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Detail'!$A$5:$Q$5</definedName>
    <definedName name="_xlnm._FilterDatabase" localSheetId="16" hidden="1">'ZV Vykáz.-A Lékaři'!$A$4:$A$5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9" i="414" l="1"/>
  <c r="A8" i="414"/>
  <c r="A7" i="414"/>
  <c r="F3" i="344" l="1"/>
  <c r="D3" i="344"/>
  <c r="B3" i="344"/>
  <c r="AI21" i="419" l="1"/>
  <c r="AH21" i="419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I20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I19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I17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I16" i="419"/>
  <c r="AI18" i="419" s="1"/>
  <c r="AH16" i="419"/>
  <c r="AG16" i="419"/>
  <c r="AF16" i="419"/>
  <c r="AF18" i="419" s="1"/>
  <c r="AE16" i="419"/>
  <c r="AD16" i="419"/>
  <c r="AD18" i="419" s="1"/>
  <c r="AC16" i="419"/>
  <c r="AB16" i="419"/>
  <c r="AB18" i="419" s="1"/>
  <c r="AA16" i="419"/>
  <c r="Z16" i="419"/>
  <c r="Z18" i="419" s="1"/>
  <c r="Y16" i="419"/>
  <c r="X16" i="419"/>
  <c r="X18" i="419" s="1"/>
  <c r="W16" i="419"/>
  <c r="V16" i="419"/>
  <c r="U16" i="419"/>
  <c r="T16" i="419"/>
  <c r="T18" i="419" s="1"/>
  <c r="S16" i="419"/>
  <c r="R16" i="419"/>
  <c r="R18" i="419" s="1"/>
  <c r="Q16" i="419"/>
  <c r="P16" i="419"/>
  <c r="P18" i="419" s="1"/>
  <c r="O16" i="419"/>
  <c r="N16" i="419"/>
  <c r="N18" i="419" s="1"/>
  <c r="M16" i="419"/>
  <c r="L16" i="419"/>
  <c r="L18" i="419" s="1"/>
  <c r="K16" i="419"/>
  <c r="J16" i="419"/>
  <c r="J18" i="419" s="1"/>
  <c r="I16" i="419"/>
  <c r="H16" i="419"/>
  <c r="H18" i="419" s="1"/>
  <c r="AI14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I13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I12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I11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23" i="419" l="1"/>
  <c r="N23" i="419"/>
  <c r="R23" i="419"/>
  <c r="Z23" i="419"/>
  <c r="AD23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AI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AI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2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16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AI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7" i="414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8" i="414" s="1"/>
  <c r="C11" i="339"/>
  <c r="H11" i="339" l="1"/>
  <c r="G11" i="339"/>
  <c r="A18" i="414"/>
  <c r="A13" i="414"/>
  <c r="A14" i="414"/>
  <c r="A4" i="414"/>
  <c r="A6" i="339" l="1"/>
  <c r="A5" i="339"/>
  <c r="D4" i="414"/>
  <c r="C17" i="414"/>
  <c r="D14" i="414"/>
  <c r="C14" i="414"/>
  <c r="D17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45"/>
  <c r="N3" i="345"/>
  <c r="Q3" i="345" s="1"/>
  <c r="K3" i="345"/>
  <c r="J3" i="345"/>
  <c r="G3" i="345"/>
  <c r="P3" i="345" s="1"/>
  <c r="F3" i="345"/>
  <c r="M3" i="387"/>
  <c r="K3" i="387" s="1"/>
  <c r="L3" i="387"/>
  <c r="J3" i="387"/>
  <c r="I3" i="387"/>
  <c r="H3" i="387"/>
  <c r="G3" i="387"/>
  <c r="F3" i="387"/>
  <c r="N3" i="220"/>
  <c r="L3" i="220" s="1"/>
  <c r="C19" i="414"/>
  <c r="D19" i="414"/>
  <c r="F13" i="339" l="1"/>
  <c r="E13" i="339"/>
  <c r="E15" i="339" s="1"/>
  <c r="H12" i="339"/>
  <c r="G12" i="339"/>
  <c r="A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6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<sst xmlns="http://schemas.openxmlformats.org/spreadsheetml/2006/main" count="8222" uniqueCount="2200">
  <si>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</si>
  <si>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</si>
  <si>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</si>
  <si>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</si>
  <si>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</si>
  <si>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</si>
  <si>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</si>
  <si>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</si>
  <si>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</si>
  <si>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</si>
  <si>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</si>
  <si>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</si>
  <si>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</si>
  <si>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</si>
  <si>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</si>
  <si>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</si>
  <si>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</si>
  <si>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</si>
  <si>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</si>
  <si>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</si>
  <si>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</si>
  <si>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</si>
  <si>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</si>
  <si>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</si>
  <si>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</si>
  <si>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</si>
  <si>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</si>
  <si>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</si>
  <si>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</si>
  <si>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</si>
  <si>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</si>
  <si>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</si>
  <si>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</si>
  <si>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</si>
  <si>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</si>
  <si>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</si>
  <si>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</si>
  <si>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</si>
  <si>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</si>
  <si>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</si>
  <si>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</si>
  <si>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</si>
  <si>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</si>
  <si>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</si>
  <si>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</si>
  <si>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</si>
  <si>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</si>
  <si>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</si>
  <si>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</si>
  <si>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</si>
  <si>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</si>
  <si>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</si>
  <si>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</si>
  <si>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</si>
  <si>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</si>
  <si>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</si>
  <si>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</si>
  <si>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</si>
  <si>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</si>
  <si>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</si>
  <si>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</si>
  <si>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</si>
  <si>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</si>
  <si>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</si>
  <si>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</si>
  <si>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</si>
  <si>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</si>
  <si>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</si>
  <si>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</si>
  <si>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</si>
  <si>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</si>
  <si>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</si>
  <si>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</si>
  <si>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</si>
  <si>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</si>
  <si>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</si>
  <si>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</si>
  <si>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</si>
  <si>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</si>
  <si>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</si>
  <si>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</si>
  <si>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</si>
  <si>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</si>
  <si>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</si>
  <si>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</si>
  <si>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</si>
  <si>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</si>
  <si>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</si>
  <si>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</si>
  <si>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</si>
  <si>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</si>
  <si>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</si>
  <si>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</si>
  <si>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</si>
  <si>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</si>
  <si>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</si>
  <si>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</si>
  <si>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</si>
  <si>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</si>
  <si>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</si>
  <si>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</si>
  <si>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</si>
  <si>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</si>
  <si>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</si>
  <si>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</si>
  <si>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</si>
  <si>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</si>
  <si>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</si>
  <si>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</si>
  <si>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</si>
  <si>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</si>
  <si>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</si>
  <si>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</si>
  <si>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</si>
  <si>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</si>
  <si>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</si>
  <si>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</si>
  <si>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</si>
  <si>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</si>
  <si>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</si>
  <si>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</si>
  <si>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</si>
  <si>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</si>
  <si>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</si>
  <si>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</si>
  <si>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</si>
  <si>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</si>
  <si>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</si>
  <si>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</si>
  <si>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</si>
  <si>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</si>
  <si>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</si>
  <si>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</si>
  <si>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</si>
  <si>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</si>
  <si>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</si>
  <si>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</si>
  <si>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</si>
  <si>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</si>
  <si>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</si>
  <si>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</si>
  <si>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</si>
  <si>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</si>
  <si>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</si>
  <si>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</si>
  <si>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</si>
  <si>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</si>
  <si>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</si>
  <si>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</si>
  <si>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</si>
  <si>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</si>
  <si>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</si>
  <si>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</si>
  <si>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</si>
  <si>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</si>
  <si>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</si>
  <si>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</si>
  <si>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</si>
  <si>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</si>
  <si>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</si>
  <si>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</si>
  <si>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</si>
  <si>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</si>
  <si>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</si>
  <si>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</si>
  <si>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</si>
  <si>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</si>
  <si>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</si>
  <si>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</si>
  <si>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</si>
  <si>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</si>
  <si>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</si>
  <si>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</si>
  <si>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</si>
  <si>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</si>
  <si>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</si>
  <si>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</si>
  <si>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</si>
  <si>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</si>
  <si>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</si>
  <si>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</si>
  <si>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</si>
  <si>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</si>
  <si>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</si>
  <si>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</si>
  <si>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</si>
  <si>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</si>
  <si>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</si>
  <si>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</si>
  <si>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</si>
  <si>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</si>
  <si>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</si>
  <si>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</si>
  <si>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</si>
  <si>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</si>
  <si>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</si>
  <si>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</si>
  <si>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</si>
  <si>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</si>
  <si>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</si>
  <si>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</si>
  <si>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</si>
  <si>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</si>
  <si>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</si>
  <si>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</si>
  <si>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</si>
  <si>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</si>
  <si>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</si>
  <si>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</si>
  <si>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</si>
  <si>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</si>
  <si>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</si>
  <si>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</si>
  <si>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</si>
  <si>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</si>
  <si>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</si>
  <si>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</si>
  <si>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</si>
  <si>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</si>
  <si>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</si>
  <si>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</si>
  <si>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</si>
  <si>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</si>
  <si>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</si>
  <si>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</si>
  <si>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</si>
  <si>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</si>
  <si>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</si>
  <si>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</si>
  <si>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</si>
  <si>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</si>
  <si>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</si>
  <si>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</si>
  <si>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</si>
  <si>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</si>
  <si>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</si>
  <si>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</si>
  <si>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</si>
  <si>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</si>
  <si>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</si>
  <si>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</si>
  <si>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</si>
  <si>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</si>
  <si>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</si>
  <si>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</si>
  <si>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</si>
  <si>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</si>
  <si>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</si>
  <si>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</si>
  <si>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</si>
  <si>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</si>
  <si>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</si>
  <si>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</si>
  <si>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</si>
  <si>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</si>
  <si>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Klinika zubního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</si>
  <si>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</si>
  <si>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</si>
  <si>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</si>
  <si>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</si>
  <si>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</si>
  <si>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</si>
  <si>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</si>
  <si>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</si>
  <si>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</si>
  <si>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</si>
  <si>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50113014     léky (paušál) - antimykotika (LEK)</t>
  </si>
  <si>
    <t>--</t>
  </si>
  <si>
    <t>50113190     medicinální plyny</t>
  </si>
  <si>
    <t>50115     Zdravotnické prostředky</t>
  </si>
  <si>
    <t>50115004     implant.umělé těl.náhr.-kovové (s.Z_506)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</si>
  <si>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</si>
  <si>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</si>
  <si>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</si>
  <si>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</si>
  <si>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50115064     ostatní ZPr - šicí materiál (sk.Z_529)</t>
  </si>
  <si>
    <t>50115065     ostatní ZPr - vpichovací materiál (sk.Z_530)</t>
  </si>
  <si>
    <t>50115067     ostatní ZPr - rukavice (sk.Z_532)</t>
  </si>
  <si>
    <t>50115079     ostatní ZPr - intenzivní péče (sk.Z_542)</t>
  </si>
  <si>
    <t>50115090     ostatní ZPr - zubolékařský materiál (sk.Z_509)</t>
  </si>
  <si>
    <t>50116     Potraviny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</si>
  <si>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</si>
  <si>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</si>
  <si>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</si>
  <si>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</si>
  <si>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</si>
  <si>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</si>
  <si>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</si>
  <si>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</si>
  <si>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</si>
  <si>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</si>
  <si>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</si>
  <si>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</si>
  <si>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</si>
  <si>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50117024     všeob.mat. - ostatní-vyjímky (V44) od 0,01 do 999,99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</si>
  <si>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</si>
  <si>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</si>
  <si>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</si>
  <si>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</si>
  <si>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</si>
  <si>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</si>
  <si>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</si>
  <si>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</si>
  <si>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</si>
  <si>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</si>
  <si>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</si>
  <si>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</si>
  <si>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</si>
  <si>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</si>
  <si>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</si>
  <si>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</si>
  <si>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</si>
  <si>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</si>
  <si>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</si>
  <si>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</si>
  <si>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</si>
  <si>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</si>
  <si>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</si>
  <si>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</si>
  <si>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</si>
  <si>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</si>
  <si>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</si>
  <si>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</si>
  <si>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</si>
  <si>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</si>
  <si>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</si>
  <si>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</si>
  <si>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</si>
  <si>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</si>
  <si>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</si>
  <si>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</si>
  <si>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</si>
  <si>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</si>
  <si>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</si>
  <si>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</si>
  <si>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</si>
  <si>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</si>
  <si>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</si>
  <si>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</si>
  <si>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</si>
  <si>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</si>
  <si>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</si>
  <si>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</si>
  <si>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51874002     služby (ostraha)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</si>
  <si>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</si>
  <si>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</si>
  <si>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</si>
  <si>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</si>
  <si>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</si>
  <si>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</si>
  <si>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</si>
  <si>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</si>
  <si>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</si>
  <si>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</si>
  <si>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</si>
  <si>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</si>
  <si>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</si>
  <si>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</si>
  <si>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</si>
  <si>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</si>
  <si>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</si>
  <si>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</si>
  <si>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</si>
  <si>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</si>
  <si>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</si>
  <si>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</si>
  <si>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</si>
  <si>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</si>
  <si>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</si>
  <si>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</si>
  <si>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</si>
  <si>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53801004     ostatní poplatky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</si>
  <si>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</si>
  <si>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</si>
  <si>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</si>
  <si>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</si>
  <si>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</si>
  <si>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</si>
  <si>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</si>
  <si>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54970     Předpis - KDF za služby</t>
  </si>
  <si>
    <t>54970000     předpis KDF - služby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</si>
  <si>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</si>
  <si>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</si>
  <si>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</si>
  <si>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</si>
  <si>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</si>
  <si>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</si>
  <si>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</si>
  <si>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</si>
  <si>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</si>
  <si>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</si>
  <si>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</si>
  <si>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</si>
  <si>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</si>
  <si>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</si>
  <si>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</si>
  <si>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</si>
  <si>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55802005     DDHM - OOPP pro pacienty a doprovod (sk.T_13)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</si>
  <si>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</si>
  <si>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</si>
  <si>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</si>
  <si>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</si>
  <si>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</si>
  <si>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</si>
  <si>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</si>
  <si>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</si>
  <si>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</si>
  <si>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</si>
  <si>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</si>
  <si>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</si>
  <si>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</si>
  <si>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</si>
  <si>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</si>
  <si>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</si>
  <si>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</si>
  <si>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60228109     výkony stomatologie</t>
  </si>
  <si>
    <t>60228191     výkony za cizince (mimo EHS)</t>
  </si>
  <si>
    <t>60229     Zdr. výkony - ost. ZP sled.položky  OZPI</t>
  </si>
  <si>
    <t>60229209     výkony stomatologie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</si>
  <si>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</si>
  <si>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</si>
  <si>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</si>
  <si>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</si>
  <si>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</si>
  <si>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</si>
  <si>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</si>
  <si>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64924460     foto při UZ a ost. služby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</si>
  <si>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</si>
  <si>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</si>
  <si>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</si>
  <si>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</si>
  <si>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</si>
  <si>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</si>
  <si>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</si>
  <si>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</si>
  <si>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</si>
  <si>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</si>
  <si>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</si>
  <si>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</si>
  <si>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</si>
  <si>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</si>
  <si>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</si>
  <si>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</si>
  <si>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</si>
  <si>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24</t>
  </si>
  <si>
    <t>Klinika zubního lékařství</t>
  </si>
  <si>
    <t/>
  </si>
  <si>
    <t>Klinika zubního lékařství Celkem</t>
  </si>
  <si>
    <t>SumaKL</t>
  </si>
  <si>
    <t>2421</t>
  </si>
  <si>
    <t xml:space="preserve">ambulance </t>
  </si>
  <si>
    <t>ambulance  Celkem</t>
  </si>
  <si>
    <t>SumaNS</t>
  </si>
  <si>
    <t>mezeraNS</t>
  </si>
  <si>
    <t>50113001</t>
  </si>
  <si>
    <t>O</t>
  </si>
  <si>
    <t>51367</t>
  </si>
  <si>
    <t>CHLORID SODNÝ 0,9% BRAUN</t>
  </si>
  <si>
    <t>INF SOL 10X250MLPELAH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</si>
  <si>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</si>
  <si>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</si>
  <si>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</si>
  <si>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</si>
  <si>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</si>
  <si>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</si>
  <si>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</si>
  <si>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</si>
  <si>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</si>
  <si>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</si>
  <si>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</si>
  <si>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100643</t>
  </si>
  <si>
    <t>643</t>
  </si>
  <si>
    <t>VITAMIN B12 LECIVA 1000RG</t>
  </si>
  <si>
    <t>INJ 5X1ML/1000RG</t>
  </si>
  <si>
    <t>100802</t>
  </si>
  <si>
    <t>1000</t>
  </si>
  <si>
    <t>IR OG. OPHTHALMO-SEPTONEX</t>
  </si>
  <si>
    <t>GTT OPH 1X10ML</t>
  </si>
  <si>
    <t>100876</t>
  </si>
  <si>
    <t>876</t>
  </si>
  <si>
    <t>OPHTHALMO-SEPTONEX</t>
  </si>
  <si>
    <t>UNG OPH 1X5GM</t>
  </si>
  <si>
    <t>102477</t>
  </si>
  <si>
    <t>2477</t>
  </si>
  <si>
    <t>DIAZEPAM SLOVAKOFARMA</t>
  </si>
  <si>
    <t>TBL 20X5MG</t>
  </si>
  <si>
    <t>164881</t>
  </si>
  <si>
    <t>64881</t>
  </si>
  <si>
    <t>BEROTEC N 100 MCG</t>
  </si>
  <si>
    <t>INH SOL PSS200 DAV</t>
  </si>
  <si>
    <t>166555</t>
  </si>
  <si>
    <t>66555</t>
  </si>
  <si>
    <t>MAGNOSOLV</t>
  </si>
  <si>
    <t>GRA 30X6.1GM(SACKY)</t>
  </si>
  <si>
    <t>193104</t>
  </si>
  <si>
    <t>93104</t>
  </si>
  <si>
    <t>DEGAN</t>
  </si>
  <si>
    <t>TBL 40X10MG</t>
  </si>
  <si>
    <t>395294</t>
  </si>
  <si>
    <t>180306</t>
  </si>
  <si>
    <t>TANTUM VERDE</t>
  </si>
  <si>
    <t>LIQ 1X240ML-PET TR</t>
  </si>
  <si>
    <t>395997</t>
  </si>
  <si>
    <t>DZ SOFTASEPT N BEZBARVÝ 250 ml</t>
  </si>
  <si>
    <t>773465</t>
  </si>
  <si>
    <t>Indulona Rakytníková</t>
  </si>
  <si>
    <t>840169</t>
  </si>
  <si>
    <t xml:space="preserve">Indulona  Měsíčková </t>
  </si>
  <si>
    <t>841059</t>
  </si>
  <si>
    <t>Indulona olivová ung.100g</t>
  </si>
  <si>
    <t>846341</t>
  </si>
  <si>
    <t>Indulona Heřmánková</t>
  </si>
  <si>
    <t>1x100g</t>
  </si>
  <si>
    <t>849941</t>
  </si>
  <si>
    <t>162142</t>
  </si>
  <si>
    <t>PARALEN 500</t>
  </si>
  <si>
    <t>POR TBL NOB 24X500MG</t>
  </si>
  <si>
    <t>900503</t>
  </si>
  <si>
    <t>KL AQUA PURIF. 1000G</t>
  </si>
  <si>
    <t>930444</t>
  </si>
  <si>
    <t>KL AQUA PURIF. KUL., FAG. 1 kg</t>
  </si>
  <si>
    <t>51384</t>
  </si>
  <si>
    <t>INF SOL 10X1000MLPLAH</t>
  </si>
  <si>
    <t>189244</t>
  </si>
  <si>
    <t>89244</t>
  </si>
  <si>
    <t>AQUA PRO INJECTIONE ARDEAPHARMA</t>
  </si>
  <si>
    <t>INF 1X250ML</t>
  </si>
  <si>
    <t>196610</t>
  </si>
  <si>
    <t>96610</t>
  </si>
  <si>
    <t>APAURIN</t>
  </si>
  <si>
    <t>INJ 10X2ML/10MG</t>
  </si>
  <si>
    <t>900240</t>
  </si>
  <si>
    <t>DZ TRIXO LIND 500ML</t>
  </si>
  <si>
    <t>920170</t>
  </si>
  <si>
    <t>DZ TRIXO 500 ML</t>
  </si>
  <si>
    <t>169789</t>
  </si>
  <si>
    <t>69789</t>
  </si>
  <si>
    <t>INF 1X500ML</t>
  </si>
  <si>
    <t>193109</t>
  </si>
  <si>
    <t>93109</t>
  </si>
  <si>
    <t>SUPRACAIN 4%</t>
  </si>
  <si>
    <t>INJ 10X2ML</t>
  </si>
  <si>
    <t>841566</t>
  </si>
  <si>
    <t>KL ETHANOL.C.BENZINO 150G</t>
  </si>
  <si>
    <t>911927</t>
  </si>
  <si>
    <t>KL ETHANOL.C.BENZINO 200G</t>
  </si>
  <si>
    <t>100392</t>
  </si>
  <si>
    <t>392</t>
  </si>
  <si>
    <t>ATROPIN BIOTIKA 0.5MG</t>
  </si>
  <si>
    <t>INJ 10X1ML/0.5MG</t>
  </si>
  <si>
    <t>705608</t>
  </si>
  <si>
    <t>Indulona modrá 100ml</t>
  </si>
  <si>
    <t>841498</t>
  </si>
  <si>
    <t>Carbosorb tbl.20-blistr</t>
  </si>
  <si>
    <t>900321</t>
  </si>
  <si>
    <t>KL PRIPRAVEK</t>
  </si>
  <si>
    <t>101940</t>
  </si>
  <si>
    <t>1940</t>
  </si>
  <si>
    <t>OXAZEPAM TBL.20X10MG</t>
  </si>
  <si>
    <t>TBL 20X10MG(BLISTR)</t>
  </si>
  <si>
    <t>117011</t>
  </si>
  <si>
    <t>17011</t>
  </si>
  <si>
    <t>DICYNONE 250</t>
  </si>
  <si>
    <t>INJ SOL 4X2ML/250MG</t>
  </si>
  <si>
    <t>156926</t>
  </si>
  <si>
    <t>56926</t>
  </si>
  <si>
    <t>AQUA PRO INJECTIONE BRAUN</t>
  </si>
  <si>
    <t>INJ SOL 20X10ML-PLA</t>
  </si>
  <si>
    <t>394712</t>
  </si>
  <si>
    <t>IR  AQUA STERILE OPLACH.1x1000 ml ECOTAINER</t>
  </si>
  <si>
    <t>IR OPLACH</t>
  </si>
  <si>
    <t>841543</t>
  </si>
  <si>
    <t>MENALIND Krém na ruce 200ml</t>
  </si>
  <si>
    <t>169755</t>
  </si>
  <si>
    <t>69755</t>
  </si>
  <si>
    <t>ARDEANUTRISOL G 40</t>
  </si>
  <si>
    <t>INF 1X80ML</t>
  </si>
  <si>
    <t>921454</t>
  </si>
  <si>
    <t>KL ETHANOL.C.BENZINO 10G</t>
  </si>
  <si>
    <t>501065</t>
  </si>
  <si>
    <t>KL SIGNATURY</t>
  </si>
  <si>
    <t>500224</t>
  </si>
  <si>
    <t>Parodontax Extra 300ml ústní voda</t>
  </si>
  <si>
    <t>921184</t>
  </si>
  <si>
    <t>KL UNGUENTUM</t>
  </si>
  <si>
    <t>930589</t>
  </si>
  <si>
    <t>KL ETHANOLUM BENZ.DENAT. 900 ml / 720g/</t>
  </si>
  <si>
    <t>UN 1170</t>
  </si>
  <si>
    <t>790001</t>
  </si>
  <si>
    <t>TRAUMACEL P 2G</t>
  </si>
  <si>
    <t>neleč.</t>
  </si>
  <si>
    <t>921249</t>
  </si>
  <si>
    <t>KL SOL.FORMALDEHYDI 10%, 200G</t>
  </si>
  <si>
    <t>621272</t>
  </si>
  <si>
    <t>DZ STERILIUM CLASSIC PURE 100ML</t>
  </si>
  <si>
    <t>UN 1987</t>
  </si>
  <si>
    <t>900873</t>
  </si>
  <si>
    <t>KL VASELINUM ALBUM, 100G</t>
  </si>
  <si>
    <t>921230</t>
  </si>
  <si>
    <t>KL VASELINUM ALBUM, 20G</t>
  </si>
  <si>
    <t>920064</t>
  </si>
  <si>
    <t>KL SOL.METHYLROS.CHL.1% 10G</t>
  </si>
  <si>
    <t>921020</t>
  </si>
  <si>
    <t>KL BENZINUM 130g</t>
  </si>
  <si>
    <t>900012</t>
  </si>
  <si>
    <t>KL SOL.HYD.PEROX.3% 200G</t>
  </si>
  <si>
    <t>920271</t>
  </si>
  <si>
    <t>KL PERSTERIL 10% 200 G</t>
  </si>
  <si>
    <t>921403</t>
  </si>
  <si>
    <t>KL VASELINUM ALBUM, 50G</t>
  </si>
  <si>
    <t>930095</t>
  </si>
  <si>
    <t>KL VASELINUM ALBUM, 30G</t>
  </si>
  <si>
    <t>100514</t>
  </si>
  <si>
    <t>514</t>
  </si>
  <si>
    <t>NATRIUM CHLORATUM BIOTIKA ISOT.</t>
  </si>
  <si>
    <t>INJ 10X5ML</t>
  </si>
  <si>
    <t>920380</t>
  </si>
  <si>
    <t>KL SOL.HYD.PEROX.3% 100G v sirokohrdle lahvi</t>
  </si>
  <si>
    <t>930671</t>
  </si>
  <si>
    <t>KL CHLORHEXIDINI SOL. 0,1% 300 g</t>
  </si>
  <si>
    <t>v sirokohrdle lahvi</t>
  </si>
  <si>
    <t>500989</t>
  </si>
  <si>
    <t>KL MS HYDROG.PEROX. 3% 1000g</t>
  </si>
  <si>
    <t>900860</t>
  </si>
  <si>
    <t>KL JODALKOHOL, 20G</t>
  </si>
  <si>
    <t>900513</t>
  </si>
  <si>
    <t>KL ETHANOL.C.BENZINO 75G</t>
  </si>
  <si>
    <t>180441</t>
  </si>
  <si>
    <t>80441</t>
  </si>
  <si>
    <t>UBISTESIN FORTE</t>
  </si>
  <si>
    <t>INJ SOL 50X1.7ML</t>
  </si>
  <si>
    <t>185793</t>
  </si>
  <si>
    <t>136395</t>
  </si>
  <si>
    <t>SOLCOSERYL DENTAL ADHESIVE</t>
  </si>
  <si>
    <t>STM PST 1X5GM</t>
  </si>
  <si>
    <t>847204</t>
  </si>
  <si>
    <t>Listerine Freshmint 500ml</t>
  </si>
  <si>
    <t>920355</t>
  </si>
  <si>
    <t>KL SOL.BORGLYCEROLI 3% 10 G</t>
  </si>
  <si>
    <t>920376</t>
  </si>
  <si>
    <t>KL SOL.HYD.PEROX.3% 200G v sirokohrdle lahvi</t>
  </si>
  <si>
    <t>920377</t>
  </si>
  <si>
    <t>KL SOL.HYD.PEROX.3% 300G v sirokohrdle lahvi</t>
  </si>
  <si>
    <t>921241</t>
  </si>
  <si>
    <t>KL SOL.ARG.NITR.10% 10G</t>
  </si>
  <si>
    <t>921272</t>
  </si>
  <si>
    <t>KL JODOVY OLEJ 10G</t>
  </si>
  <si>
    <t>921320</t>
  </si>
  <si>
    <t>KL SOL.HYD.PEROX.3% 10G</t>
  </si>
  <si>
    <t>921453</t>
  </si>
  <si>
    <t>KL SOL.PHENOLI CAMPHOR. 10g</t>
  </si>
  <si>
    <t>921520</t>
  </si>
  <si>
    <t>KL PHENOLUM liq.10g</t>
  </si>
  <si>
    <t>930417</t>
  </si>
  <si>
    <t>KL SOL.ZINCI CHLOR.10% 10 g</t>
  </si>
  <si>
    <t>930670</t>
  </si>
  <si>
    <t>KL CHLORHEXIDINI SOL. 0,2% 200 g</t>
  </si>
  <si>
    <t>930673</t>
  </si>
  <si>
    <t>KL CHLORHEXIDINI SOL. 0,1% 200g</t>
  </si>
  <si>
    <t>930674</t>
  </si>
  <si>
    <t>KL CHLORNAN SODNÝ 1% 300g v sirokohrdle lahvi</t>
  </si>
  <si>
    <t>921277</t>
  </si>
  <si>
    <t>KL JODOVÝ OLEJ 30G</t>
  </si>
  <si>
    <t>140631</t>
  </si>
  <si>
    <t>40631</t>
  </si>
  <si>
    <t>ELMEX GELEE</t>
  </si>
  <si>
    <t>STM GEL 1X25GM</t>
  </si>
  <si>
    <t>847638</t>
  </si>
  <si>
    <t>Listerine Total Care 500ml</t>
  </si>
  <si>
    <t>395712</t>
  </si>
  <si>
    <t>HBF Calcium panthotenát mast 30g</t>
  </si>
  <si>
    <t>201452</t>
  </si>
  <si>
    <t>OPHTAL</t>
  </si>
  <si>
    <t>OPH AQA 4X25ML PLAST</t>
  </si>
  <si>
    <t>203092</t>
  </si>
  <si>
    <t>LIDOCAIN EGIS 10 %</t>
  </si>
  <si>
    <t>DRM SPR SOL 1X38GM</t>
  </si>
  <si>
    <t>10561</t>
  </si>
  <si>
    <t>INJ SOL 10X1000ML-PE</t>
  </si>
  <si>
    <t>990695</t>
  </si>
  <si>
    <t>Indulona Měsíčková 85ml</t>
  </si>
  <si>
    <t>990718</t>
  </si>
  <si>
    <t>Indulona Olivová 85ml</t>
  </si>
  <si>
    <t>180440</t>
  </si>
  <si>
    <t>80440</t>
  </si>
  <si>
    <t>UBISTESIN</t>
  </si>
  <si>
    <t>50113013</t>
  </si>
  <si>
    <t>190778</t>
  </si>
  <si>
    <t>90778</t>
  </si>
  <si>
    <t>BACTROBAN</t>
  </si>
  <si>
    <t>DRM UNG 1X15GM</t>
  </si>
  <si>
    <t>844576</t>
  </si>
  <si>
    <t>100339</t>
  </si>
  <si>
    <t>DALACIN C 300 MG</t>
  </si>
  <si>
    <t>POR CPS DUR 16X300MG</t>
  </si>
  <si>
    <t>P</t>
  </si>
  <si>
    <t>105951</t>
  </si>
  <si>
    <t>5951</t>
  </si>
  <si>
    <t>AMOKSIKLAV 1G</t>
  </si>
  <si>
    <t>TBL OBD 14X1GM</t>
  </si>
  <si>
    <t>50113014</t>
  </si>
  <si>
    <t>176152</t>
  </si>
  <si>
    <t>76152</t>
  </si>
  <si>
    <t>BATRAFEN</t>
  </si>
  <si>
    <t>LIQ 1X20ML</t>
  </si>
  <si>
    <t>Klinika zubního lékařství, ambulance</t>
  </si>
  <si>
    <t>Lékárna - léčiva</t>
  </si>
  <si>
    <t>Lékárna - antibiotika</t>
  </si>
  <si>
    <t>Lékárna - antimykotika</t>
  </si>
  <si>
    <t>2421 - Klinika zubního lékařství, ambulance</t>
  </si>
  <si>
    <t>J01FF01 - Klindamycin</t>
  </si>
  <si>
    <t>J01CR02 - Amoxicilin a enzymový inhibitor</t>
  </si>
  <si>
    <t>J01CR02</t>
  </si>
  <si>
    <t>AMOKSIKLAV 1 G</t>
  </si>
  <si>
    <t>POR TBL FLM 14</t>
  </si>
  <si>
    <t>J01FF01</t>
  </si>
  <si>
    <t>Přehled plnění pozitivního listu - spotřeba léčivých přípravků - orientační přehled</t>
  </si>
  <si>
    <t>24 - Klinika zubního lékařství</t>
  </si>
  <si>
    <t xml:space="preserve">2421 - ambulance </t>
  </si>
  <si>
    <t>50115070     ostatní ZPr - katetry (sk.Z_513)</t>
  </si>
  <si>
    <t>2406</t>
  </si>
  <si>
    <t>IOP - Mod.tech.vyb.v oblasti prevence nozokomiál.infek.</t>
  </si>
  <si>
    <t>IOP - Mod.tech.vyb.v oblasti prevence nozokomiál.infek. Celkem</t>
  </si>
  <si>
    <t>ZA090</t>
  </si>
  <si>
    <t>Vata buničitá přířezy 37 x 57 cm 2730152</t>
  </si>
  <si>
    <t>ZA321</t>
  </si>
  <si>
    <t>Kompresa gáza 7,5 cm x 7,5 cm / 100 ks 17 nití, 8 vrstev 06002</t>
  </si>
  <si>
    <t>Kompresa gáza 7,5 cm x 7,5 cm/100 ks 06002</t>
  </si>
  <si>
    <t>ZA443</t>
  </si>
  <si>
    <t>Šátek trojcípý pletený 125 x 85 x 85 cm 20001</t>
  </si>
  <si>
    <t>ZA446</t>
  </si>
  <si>
    <t>Vata buničitá přířezy 20 x 30 cm 1230200129</t>
  </si>
  <si>
    <t>ZA451</t>
  </si>
  <si>
    <t>Náplast omniplast 5,0 cm x 9,2 m 9004540 (900429)</t>
  </si>
  <si>
    <t>ZA554</t>
  </si>
  <si>
    <t>Krytí hypro-sorb R 10 x 10 x 10 mm bal. á 10 ks 006</t>
  </si>
  <si>
    <t>ZA582</t>
  </si>
  <si>
    <t>Tampon sterilní small bal. á 100 ks 156760</t>
  </si>
  <si>
    <t>ZA603</t>
  </si>
  <si>
    <t>Kompresa gáza 7,5 x 7,5 cm / 2 ks sterilní karton á 1000 ks 26005</t>
  </si>
  <si>
    <t>Kompresa gáza 7,5 x 7,5 cm/2 ks sterilní karton á 1000 ks 26005</t>
  </si>
  <si>
    <t>ZA604</t>
  </si>
  <si>
    <t>Tyčinka vatová sterilní jednotlivě balalená bal. á 1000 ks 5100/SG/CS</t>
  </si>
  <si>
    <t>ZB404</t>
  </si>
  <si>
    <t>Náplast cosmos 8 cm x 1 m 5403353</t>
  </si>
  <si>
    <t>ZC100</t>
  </si>
  <si>
    <t>Vata buničitá dělená 2 role / 500 ks 40 x 50 mm 1230200310</t>
  </si>
  <si>
    <t>ZD103</t>
  </si>
  <si>
    <t>Náplast omniplast 2,5 cm x 9,2 m 9004530</t>
  </si>
  <si>
    <t>ZD740</t>
  </si>
  <si>
    <t>Kompresa gáza sterilkompres 7,5 x 7,5 cm / 5 ks sterilní 1325019265(1230119225)</t>
  </si>
  <si>
    <t>Kompresa gáza sterilkompres 7,5 x 7,5 cm/5 ks sterilní 1325019265(1230119225)</t>
  </si>
  <si>
    <t>ZF080</t>
  </si>
  <si>
    <t>Rouška břišní 17 nití s kroužkem na tkanici 12 x 47 cm karton á 300 ks 1230100311</t>
  </si>
  <si>
    <t>ZG538</t>
  </si>
  <si>
    <t>Obvaz ran po chir.zákrocích COE PACK 530315</t>
  </si>
  <si>
    <t>Obvaz ran po chir. zákrocích COE PACK 530315</t>
  </si>
  <si>
    <t>ZA613</t>
  </si>
  <si>
    <t>Drenáž ústní sterilní 1 x 8 cm 0368 - již se nevyrábí</t>
  </si>
  <si>
    <t>ZA616</t>
  </si>
  <si>
    <t>Drenáž zubní sterilní 1 x 6 cm 0360</t>
  </si>
  <si>
    <t>ZC917</t>
  </si>
  <si>
    <t>Krytí hypro-sorb F 20 x 30 mm HY 2030/2</t>
  </si>
  <si>
    <t>ZA486</t>
  </si>
  <si>
    <t>Krytí mastný tyl jelonet   5 x 5 cm á 50 ks 7403</t>
  </si>
  <si>
    <t>ZL789</t>
  </si>
  <si>
    <t>Obvaz sterilní hotový č. 2 A4091360</t>
  </si>
  <si>
    <t>ZL790</t>
  </si>
  <si>
    <t>Obvaz sterilní hotový č. 3 A4101144</t>
  </si>
  <si>
    <t>ZL791</t>
  </si>
  <si>
    <t>Obvaz sterilní hotový č. 4 002370873</t>
  </si>
  <si>
    <t>ZM000</t>
  </si>
  <si>
    <t>Vata obvazová skládaná 50g 004307667</t>
  </si>
  <si>
    <t>ZL995</t>
  </si>
  <si>
    <t>Obinadlo hyrofilní sterilní  6 cm x 5 m  004310190</t>
  </si>
  <si>
    <t>ZL999</t>
  </si>
  <si>
    <t>Rychloobvaz 8 x 4 cm / 3 ks ( pro obj. 1 kus = 3 náplasti) 001445510</t>
  </si>
  <si>
    <t>ZA533</t>
  </si>
  <si>
    <t>Váleček zubní Celluron č.2 á 600 ks 4301821</t>
  </si>
  <si>
    <t>ZF598</t>
  </si>
  <si>
    <t>Krytí hypro-sorb Z bal. á 10 ks 009</t>
  </si>
  <si>
    <t>ZC399</t>
  </si>
  <si>
    <t>Krytí traumacel taf light 1,5 x 5 cm bal. á 10 ks V0081946</t>
  </si>
  <si>
    <t>ZN200</t>
  </si>
  <si>
    <t>Krytí  traumacel new dent bal. á 50 ks 10115</t>
  </si>
  <si>
    <t>Krytí traumacel new dent bal. á 50 ks 10115</t>
  </si>
  <si>
    <t>ZA517</t>
  </si>
  <si>
    <t>Váleček zubní Celluron č.1 á 864 ks 430181</t>
  </si>
  <si>
    <t>ZA524</t>
  </si>
  <si>
    <t>Krytí hypro-sorb F 30 x 40 mm</t>
  </si>
  <si>
    <t>ZA727</t>
  </si>
  <si>
    <t>Kontejner 30 ml sterilní 331690251750</t>
  </si>
  <si>
    <t>ZA728</t>
  </si>
  <si>
    <t>Lopatka lékařská nesterilní dřevěná ústní bal. á 100 ks 1320100655</t>
  </si>
  <si>
    <t>Lopatka ústní dřevěná lékařská nesterilní bal. á 100 ks 1320100655</t>
  </si>
  <si>
    <t>ZA754</t>
  </si>
  <si>
    <t>Stříkačka injekční 3-dílná 10 ml LL Omnifix Solo 4617100V</t>
  </si>
  <si>
    <t>Stříkačka injekční 3-dílná 10 ml LL Omnifix Solo se závitem 4617100V</t>
  </si>
  <si>
    <t>ZA789</t>
  </si>
  <si>
    <t>Stříkačka injekční 2-dílná 2 ml L Inject Solo 4606027V</t>
  </si>
  <si>
    <t>ZA790</t>
  </si>
  <si>
    <t>Stříkačka injekční 2-dílná 5 ml L Inject Solo4606051V</t>
  </si>
  <si>
    <t>ZB006</t>
  </si>
  <si>
    <t>Teploměr digitální thermoval basic 9250391</t>
  </si>
  <si>
    <t>ZB830</t>
  </si>
  <si>
    <t>Zrcátko zubní - zvětšovací b397122510020</t>
  </si>
  <si>
    <t>ZB844</t>
  </si>
  <si>
    <t>Esmarch 60 x 1250 KVS 06125</t>
  </si>
  <si>
    <t>ZB949</t>
  </si>
  <si>
    <t>Pinzeta UH sterilní HAR999565</t>
  </si>
  <si>
    <t>ZC752</t>
  </si>
  <si>
    <t>Čepelka skalpelová 15 BB515</t>
  </si>
  <si>
    <t>ZC766</t>
  </si>
  <si>
    <t>Nůžky rovné chirurgické hrotnaté 130 mm P00768</t>
  </si>
  <si>
    <t>ZE159</t>
  </si>
  <si>
    <t>Nádoba na kontaminovaný odpad 2 l 15-0003</t>
  </si>
  <si>
    <t>ZF159</t>
  </si>
  <si>
    <t>Nádoba na kontaminovaný odpad 1 l 15-0002</t>
  </si>
  <si>
    <t>ZI179</t>
  </si>
  <si>
    <t>Zkumavka s mediem+ flovakovaný tampon eSwab růžový 490CE.A</t>
  </si>
  <si>
    <t>ZK884</t>
  </si>
  <si>
    <t>Kohout trojcestný discofix modrý 4095111</t>
  </si>
  <si>
    <t>ZC913</t>
  </si>
  <si>
    <t>Elektroda defibrilační pro děti 0-33/BS/ 0-15 kg quick combo 11996-000093</t>
  </si>
  <si>
    <t>ZD131</t>
  </si>
  <si>
    <t>Čepelka skalpelová 12 BB512</t>
  </si>
  <si>
    <t>ZF549</t>
  </si>
  <si>
    <t>Náústek s filtrem výměnný k plynu Entonox 1043178</t>
  </si>
  <si>
    <t>ZB585</t>
  </si>
  <si>
    <t>Vzduchovod nosní PVC 6/8 KVS 321024 (579208)</t>
  </si>
  <si>
    <t>ZB823</t>
  </si>
  <si>
    <t>Drát kulatý 0,8 mm IN0308</t>
  </si>
  <si>
    <t>ZB327</t>
  </si>
  <si>
    <t>Držák skalpelových čepelek č. 3 délka 12,3 cm cm B397112910003</t>
  </si>
  <si>
    <t>ZG735</t>
  </si>
  <si>
    <t>Čep vodící bi-pin krátký, á 100 ks RE326.1000</t>
  </si>
  <si>
    <t>ZB458</t>
  </si>
  <si>
    <t>Osteofix 0,7 mm</t>
  </si>
  <si>
    <t>ZB681</t>
  </si>
  <si>
    <t>Návlek na fix. tyčinku k OPG bal. á 200 ks 6644-IMG</t>
  </si>
  <si>
    <t>ZB848</t>
  </si>
  <si>
    <t>Osteofix 0,9 mm</t>
  </si>
  <si>
    <t>ZD178</t>
  </si>
  <si>
    <t>Sof-lex disky ES8692F</t>
  </si>
  <si>
    <t>ZK634</t>
  </si>
  <si>
    <t>Elektroda defibrilační Lifepak EDC-2015</t>
  </si>
  <si>
    <t>ZB831</t>
  </si>
  <si>
    <t>Držák zubního zrcátka 397122510100</t>
  </si>
  <si>
    <t>ZM705</t>
  </si>
  <si>
    <t>Pinzeta zubní s rýhovanou čelistí lomená 157 mm 397114500021</t>
  </si>
  <si>
    <t>ZD568</t>
  </si>
  <si>
    <t>Kleště laboratorní 117520700</t>
  </si>
  <si>
    <t>ZN659</t>
  </si>
  <si>
    <t>Sonda parodontická 165 mm DB775R</t>
  </si>
  <si>
    <t>ZL158</t>
  </si>
  <si>
    <t>Sklíčko histologické bílé Starfrost Advanced Adhesiv pro IHC bal. á 50 ks CS113771077FKN</t>
  </si>
  <si>
    <t>ZB933</t>
  </si>
  <si>
    <t>Štětečky aplikační, á 400 ks, SD8100123</t>
  </si>
  <si>
    <t>ZC196</t>
  </si>
  <si>
    <t>Implantát D5.1 BIO/L10 2551:3</t>
  </si>
  <si>
    <t>ZC234</t>
  </si>
  <si>
    <t>Implantát D3.7 BIO/L12 0351:3</t>
  </si>
  <si>
    <t>ZC237</t>
  </si>
  <si>
    <t>Implantát D5.1 BIO/L12 3551:3</t>
  </si>
  <si>
    <t>ZC300</t>
  </si>
  <si>
    <t>Pasta Depural Neo 75 g 4816210</t>
  </si>
  <si>
    <t>ZC301</t>
  </si>
  <si>
    <t>Ypeen 800 g dóza 100066</t>
  </si>
  <si>
    <t>ZC306</t>
  </si>
  <si>
    <t>Adhesor orig. 80 g N-1 prášek 55 g tekutina N-1</t>
  </si>
  <si>
    <t>ZC313</t>
  </si>
  <si>
    <t>Repin 800g orig. 4241110</t>
  </si>
  <si>
    <t>Repin 800 g orig. 4241110</t>
  </si>
  <si>
    <t>ZC325</t>
  </si>
  <si>
    <t>Gel Etching 4122505</t>
  </si>
  <si>
    <t>ZC357</t>
  </si>
  <si>
    <t>Superacryl plus Z a 500 gr pl 4328414</t>
  </si>
  <si>
    <t>ZC360</t>
  </si>
  <si>
    <t>Premacryl liq.bezbarvý 250 ml 4342921</t>
  </si>
  <si>
    <t>ZC373</t>
  </si>
  <si>
    <t>Sprej cognoscin orig. 120 g 1IX1140</t>
  </si>
  <si>
    <t>ZC405</t>
  </si>
  <si>
    <t>Pilíř attachment kulový classic D3.7/d3.7/L2 22432:3</t>
  </si>
  <si>
    <t>ZC441</t>
  </si>
  <si>
    <t>Sádra marmodent 0208/25 á 25 kg</t>
  </si>
  <si>
    <t>ZC450</t>
  </si>
  <si>
    <t>Sádra efektor otisk 25 kg 4251135</t>
  </si>
  <si>
    <t>ZC453</t>
  </si>
  <si>
    <t>Prime-bond 60667240</t>
  </si>
  <si>
    <t>ZC455</t>
  </si>
  <si>
    <t>Kartáček nylon do kolénka BT260.23N</t>
  </si>
  <si>
    <t>ZC456</t>
  </si>
  <si>
    <t>Savka UH 709, á 100 ks, 00709</t>
  </si>
  <si>
    <t>ZC462</t>
  </si>
  <si>
    <t>Písek Interalox 250 620000122</t>
  </si>
  <si>
    <t>ZC481</t>
  </si>
  <si>
    <t>Siloflex plus catal. 60 g 4213310</t>
  </si>
  <si>
    <t>ZC518</t>
  </si>
  <si>
    <t>Kromopan 100 450 g, 1/X2710</t>
  </si>
  <si>
    <t>ZC519</t>
  </si>
  <si>
    <t>Elastic cromo 4221305</t>
  </si>
  <si>
    <t>ZC527</t>
  </si>
  <si>
    <t>Sádra alabastr. 0301/25 á 25 kg</t>
  </si>
  <si>
    <t>ZD161</t>
  </si>
  <si>
    <t>Matrice classic eliptická 7932.3</t>
  </si>
  <si>
    <t>ZD351</t>
  </si>
  <si>
    <t>Speedex Universal Aktivator 1 x 60 ml - 60 g IX4990</t>
  </si>
  <si>
    <t>ZD387</t>
  </si>
  <si>
    <t>Gumička ligovací elast.ligatury Safe-T-Ties (400-417) 400-801</t>
  </si>
  <si>
    <t>ZD390</t>
  </si>
  <si>
    <t>Tahy gumové intraor.-medium 3/16" 407-031S</t>
  </si>
  <si>
    <t>ZD528</t>
  </si>
  <si>
    <t>Zuby primodent zadní PO610</t>
  </si>
  <si>
    <t>ZD680</t>
  </si>
  <si>
    <t>Aqua cem, fix.materiál pro zub.náhrady 30 g 88115</t>
  </si>
  <si>
    <t>ZD767</t>
  </si>
  <si>
    <t>Aquasil soft Putty01</t>
  </si>
  <si>
    <t>ZD811</t>
  </si>
  <si>
    <t>Pilíř attachment kulový classic D3.7/d3.7/L1 21432:3</t>
  </si>
  <si>
    <t>ZE025</t>
  </si>
  <si>
    <t>Zuby primodent přední PO609</t>
  </si>
  <si>
    <t>ZE060</t>
  </si>
  <si>
    <t>Drát NiTi 012 upper oval form III 101-430</t>
  </si>
  <si>
    <t>ZE066</t>
  </si>
  <si>
    <t>Gumička ligovací neon růžová 400-803 (400-405)</t>
  </si>
  <si>
    <t>ZE730</t>
  </si>
  <si>
    <t>Implantát D4.4 BIO-ACCEL/L10 0221:3</t>
  </si>
  <si>
    <t>ZF135</t>
  </si>
  <si>
    <t>Fréza malá 999-6000</t>
  </si>
  <si>
    <t>ZG557</t>
  </si>
  <si>
    <t>Zámky keramické signature (sada=6ks) Q3010</t>
  </si>
  <si>
    <t>ZG693</t>
  </si>
  <si>
    <t>Desky bazální - horní transparentní bal.á 50 ks 90 02 525</t>
  </si>
  <si>
    <t>ZI638</t>
  </si>
  <si>
    <t>Koncovka odsávací Sugritip-micro, á 20 ks 402048</t>
  </si>
  <si>
    <t>ZI663</t>
  </si>
  <si>
    <t>Gumička ligovací 400-402</t>
  </si>
  <si>
    <t>Gumička ligovací 400-809</t>
  </si>
  <si>
    <t>ZI807</t>
  </si>
  <si>
    <t>Implantát D4.4 BIO-ACCEL/L12 0321:3</t>
  </si>
  <si>
    <t>ZI810</t>
  </si>
  <si>
    <t>Nit elastická kulatá hrubá J0388</t>
  </si>
  <si>
    <t>ZI811</t>
  </si>
  <si>
    <t>Klínek derotační 400-301</t>
  </si>
  <si>
    <t>ZI927</t>
  </si>
  <si>
    <t>Amalgám YDM velikost 1 YDM-I/400</t>
  </si>
  <si>
    <t>ZL577</t>
  </si>
  <si>
    <t>Sprej Kavo 4119640KA</t>
  </si>
  <si>
    <t>ZA985</t>
  </si>
  <si>
    <t>Šroubovák imbus ruční hex krátký 1.4/L11/L25 2224.3</t>
  </si>
  <si>
    <t>ZB881</t>
  </si>
  <si>
    <t>Implantát D2.9 SB/L12 02101:3</t>
  </si>
  <si>
    <t>ZC480</t>
  </si>
  <si>
    <t>Siloflex plus light 200 g 4213210</t>
  </si>
  <si>
    <t>ZC512</t>
  </si>
  <si>
    <t>Čep papírový 15-40 BT930.1</t>
  </si>
  <si>
    <t>ZC570</t>
  </si>
  <si>
    <t>Kavitan LC A2 12 g prášku + 5 g tekutiny 4113411</t>
  </si>
  <si>
    <t>ZC920</t>
  </si>
  <si>
    <t>Zámky elite medium twin set. 022 707-398</t>
  </si>
  <si>
    <t>ZD118</t>
  </si>
  <si>
    <t>Interim Stand pěn.vložky 0658697</t>
  </si>
  <si>
    <t>ZD133</t>
  </si>
  <si>
    <t>Hmota otiskovací kettenbach 0137221</t>
  </si>
  <si>
    <t>ZD288</t>
  </si>
  <si>
    <t>Fólie Erkoflex 4 mm / 120 mm ER581240</t>
  </si>
  <si>
    <t>ZD290</t>
  </si>
  <si>
    <t>Tetric Evo 2g Flow A2</t>
  </si>
  <si>
    <t>ZD336</t>
  </si>
  <si>
    <t>Dentalon plus liquid 250 ml HK65041138</t>
  </si>
  <si>
    <t>ZD531</t>
  </si>
  <si>
    <t>Superacryl plus PLV. 500 g</t>
  </si>
  <si>
    <t>ZD789</t>
  </si>
  <si>
    <t>Clip clip /voco/prov.výplňový materiál stříkačka 2 x 4 g 1284</t>
  </si>
  <si>
    <t>ZF313</t>
  </si>
  <si>
    <t>Opticor flow barva A3 4000009</t>
  </si>
  <si>
    <t>ZF690</t>
  </si>
  <si>
    <t>Drát NiTi 016 lower oval form III 101-435</t>
  </si>
  <si>
    <t>ZF691</t>
  </si>
  <si>
    <t>Drát NiTi 16 x 22 upper oval form III 101-442</t>
  </si>
  <si>
    <t>ZG386</t>
  </si>
  <si>
    <t>Sprej CAD/CAM 50 ml 9002655</t>
  </si>
  <si>
    <t>ZG402</t>
  </si>
  <si>
    <t>Orthocryl Neon modrý á 1 kg 160-003-00</t>
  </si>
  <si>
    <t>ZG841</t>
  </si>
  <si>
    <t>Cement výplňový skloionomerní bal. á 50 ks 0298198</t>
  </si>
  <si>
    <t>ZG862</t>
  </si>
  <si>
    <t>Gumička ligovací á 30 ks 400-446</t>
  </si>
  <si>
    <t>ZH467</t>
  </si>
  <si>
    <t>Sprej KaVo QUATTROCARE á 6 ks (6 lahví) KaVo QUATTROcare spreje a 500 ml 1.005.4525</t>
  </si>
  <si>
    <t>ZJ177</t>
  </si>
  <si>
    <t>Implantát D3.7 BIO/L8 0151:3</t>
  </si>
  <si>
    <t>ZK611</t>
  </si>
  <si>
    <t>Kanyla RMO FLI 47 A08747</t>
  </si>
  <si>
    <t>ZL447</t>
  </si>
  <si>
    <t>Matrice Hawe adapt 1207581207</t>
  </si>
  <si>
    <t>ZL587</t>
  </si>
  <si>
    <t>Blána na kofferdam nic tone rubber nam medium 13227</t>
  </si>
  <si>
    <t>ZL622</t>
  </si>
  <si>
    <t>Štětečky jednorázové bílé měkké, á 50 ks, DC702008</t>
  </si>
  <si>
    <t>ZB277</t>
  </si>
  <si>
    <t>Pronikač K-File 063025015</t>
  </si>
  <si>
    <t>Pronikač K - File 063025015</t>
  </si>
  <si>
    <t>ZL796</t>
  </si>
  <si>
    <t>Vlákno zubní Oral-Satin Tape 0498822</t>
  </si>
  <si>
    <t>ZC827</t>
  </si>
  <si>
    <t>Implantát D4.4 BIO-ACCEL/L14 0421:3</t>
  </si>
  <si>
    <t>ZL894</t>
  </si>
  <si>
    <t>Aplikátor M+W MicroTips modrý 0200507</t>
  </si>
  <si>
    <t>ZC446</t>
  </si>
  <si>
    <t>Kroužek molárový horní +7 H/LV  887-001 až 036</t>
  </si>
  <si>
    <t>ZG111</t>
  </si>
  <si>
    <t>Kroužky molárové dolní 6-  D/PR  880-001 až 036</t>
  </si>
  <si>
    <t>ZK252</t>
  </si>
  <si>
    <t>Hmota otiskovací zeta plus 900 ml 003-540107</t>
  </si>
  <si>
    <t>ZL967</t>
  </si>
  <si>
    <t>Transpa incizal TI 3 á 20 g IV593264</t>
  </si>
  <si>
    <t>ZL961</t>
  </si>
  <si>
    <t>Dentin D 3 á 20 g IV593240</t>
  </si>
  <si>
    <t>ZM052</t>
  </si>
  <si>
    <t>Hmota otiskovací silikonová express XT Ligh Body A 9018671</t>
  </si>
  <si>
    <t>ZE181</t>
  </si>
  <si>
    <t>Fólie erkodur 1,0 x 120 mm ER521210</t>
  </si>
  <si>
    <t>ZD986</t>
  </si>
  <si>
    <t>Superpont Vita 100g 620003503</t>
  </si>
  <si>
    <t>ZH111</t>
  </si>
  <si>
    <t>Čep 06 papírový 15-40 dentaclean 9019134</t>
  </si>
  <si>
    <t>ZI092</t>
  </si>
  <si>
    <t>Čep papírový 04% VDW558025 1569322</t>
  </si>
  <si>
    <t>ZD465</t>
  </si>
  <si>
    <t>Pilník K-File 397144518762</t>
  </si>
  <si>
    <t>Pilník K - File 397144518762</t>
  </si>
  <si>
    <t>ZC193</t>
  </si>
  <si>
    <t>Poresorb-TCP 1.0 g/1.2 ml 1,0-2,0 m 41:2</t>
  </si>
  <si>
    <t>Poresorb-TCP 1.0 g/1.2 ml 1,0-2,0 mm 41:2</t>
  </si>
  <si>
    <t>ZE581</t>
  </si>
  <si>
    <t>Signum - insulating gel á 10g HK64706307</t>
  </si>
  <si>
    <t>ZC479</t>
  </si>
  <si>
    <t>Siloflex plus putty 1350 g 4213110</t>
  </si>
  <si>
    <t>ZD415</t>
  </si>
  <si>
    <t>Amalgám kapslový č.2 YDM-I600</t>
  </si>
  <si>
    <t>ZD214</t>
  </si>
  <si>
    <t>Speedex komplet 620003520</t>
  </si>
  <si>
    <t>ZD140</t>
  </si>
  <si>
    <t>Pájka univerz.stříbrná - 700°C 380-604-50</t>
  </si>
  <si>
    <t>ZG518</t>
  </si>
  <si>
    <t>Návlek na senzor RVG  bal. á 500ks 582024</t>
  </si>
  <si>
    <t>ZH114</t>
  </si>
  <si>
    <t>Čep gutaperčový ProTaper F2 bal. á 60 ks 0488676</t>
  </si>
  <si>
    <t>ZG694</t>
  </si>
  <si>
    <t>Desky bazální - dolní transparentní bal.á 50 ks 90 02 526</t>
  </si>
  <si>
    <t>ZD524</t>
  </si>
  <si>
    <t>Čep vodící střední 302</t>
  </si>
  <si>
    <t>ZL045</t>
  </si>
  <si>
    <t>Implantát astra tech TX 4.0 S 24942</t>
  </si>
  <si>
    <t>ZC555</t>
  </si>
  <si>
    <t>Vosk měkký modelovací ceradent 1000 g vosku v destičkách 155 x 75 mm s tloušťkou 1,2 - 1,4 mm 4411115</t>
  </si>
  <si>
    <t>ZE576</t>
  </si>
  <si>
    <t>Glaze IPS- InLine á 3g IV602384</t>
  </si>
  <si>
    <t>ZD469</t>
  </si>
  <si>
    <t>Sádra-stone orange 0613/25</t>
  </si>
  <si>
    <t>Sádra stone orange 0613/25</t>
  </si>
  <si>
    <t>Sádra Hinristone zlatoh. 25 kg 0613/25</t>
  </si>
  <si>
    <t>ZG110</t>
  </si>
  <si>
    <t>Kroužky molárové dolní -6  D/LV  881-001 až 036</t>
  </si>
  <si>
    <t>ZF445</t>
  </si>
  <si>
    <t>Váleček vhojovací D3.7/d5.2/L6 3722.3</t>
  </si>
  <si>
    <t>ZH107</t>
  </si>
  <si>
    <t>Čep 06 gutaperčový 15-40 dentaclean á 60 ks G64011 9003571</t>
  </si>
  <si>
    <t>ZC299</t>
  </si>
  <si>
    <t>Dentiplast 20 g 4232110</t>
  </si>
  <si>
    <t>ZD335</t>
  </si>
  <si>
    <t>Dentalon plus-barva HK650410L</t>
  </si>
  <si>
    <t>ZD375</t>
  </si>
  <si>
    <t>GC Fuji Plus GC001409</t>
  </si>
  <si>
    <t>ZE685</t>
  </si>
  <si>
    <t>Nit elastická čirá 18 x 18 ECM0695</t>
  </si>
  <si>
    <t>ZG695</t>
  </si>
  <si>
    <t>Vosk modelovací - speciál letní 1,5 mm 2500 g 9001516</t>
  </si>
  <si>
    <t>ZC328</t>
  </si>
  <si>
    <t>Calxyd ve stříkačce 2 x 3,5 g 4142120</t>
  </si>
  <si>
    <t>ZG959</t>
  </si>
  <si>
    <t>Keramika ceramco 3 - přirozená tavná hmota 15g DE301322</t>
  </si>
  <si>
    <t>ZD005</t>
  </si>
  <si>
    <t>Separating fluid 500 ml 620000380</t>
  </si>
  <si>
    <t>ZC382</t>
  </si>
  <si>
    <t>Opticor flow barva A2 1008A2</t>
  </si>
  <si>
    <t>ZL411</t>
  </si>
  <si>
    <t>Cement pryskyřičný RelyX U 200 9026798</t>
  </si>
  <si>
    <t>ZF615</t>
  </si>
  <si>
    <t>Pronikač Hedstrém 053025008B</t>
  </si>
  <si>
    <t>ZL521</t>
  </si>
  <si>
    <t>Granulát spongiozní ACE Nu Oss Collagen blok 6 x 7 x 8 mm 100 mg 509-9100</t>
  </si>
  <si>
    <t>ZF935</t>
  </si>
  <si>
    <t>Pronikač 053025015</t>
  </si>
  <si>
    <t>ZG860</t>
  </si>
  <si>
    <t>Gumička ligovací á 30 ks neon modrá 400-812 (400-413)</t>
  </si>
  <si>
    <t>ZF575</t>
  </si>
  <si>
    <t>Granulát BOI-OSS spongiosa granulát 1- 2 mm á 0,5 g DGD46B307098E</t>
  </si>
  <si>
    <t>ZJ178</t>
  </si>
  <si>
    <t>Implantát D5.1 BIO/L8 1551:3</t>
  </si>
  <si>
    <t>ZD523</t>
  </si>
  <si>
    <t>Kotouč řezací pr.40/0,5 mm, á 10 ks, 370000107</t>
  </si>
  <si>
    <t>ZB044</t>
  </si>
  <si>
    <t>Šroub ortodontický Bertoni 602-606-1</t>
  </si>
  <si>
    <t>ZC471</t>
  </si>
  <si>
    <t>Spofacryl orig. 100g O 4318200</t>
  </si>
  <si>
    <t>ZG158</t>
  </si>
  <si>
    <t>Vlákno wedjets na kofferdam 2,1 m barva žlutá 0035117</t>
  </si>
  <si>
    <t>ZF010</t>
  </si>
  <si>
    <t>Pilník L=31 397144519032</t>
  </si>
  <si>
    <t>ZC821</t>
  </si>
  <si>
    <t>Occlu spray zelený 75 ml 620000306</t>
  </si>
  <si>
    <t>ZB278</t>
  </si>
  <si>
    <t>Pronikač K-File 063025020</t>
  </si>
  <si>
    <t>Pronikač K - File 063025020</t>
  </si>
  <si>
    <t>ZD095</t>
  </si>
  <si>
    <t>Tekutina expanzní sheraifina 1l 1501SH</t>
  </si>
  <si>
    <t>ZD500</t>
  </si>
  <si>
    <t>IPS-InLine dentin A-D A4 20g  IV593230</t>
  </si>
  <si>
    <t>ZC517</t>
  </si>
  <si>
    <t>Nit dentální BT485</t>
  </si>
  <si>
    <t>ZJ033</t>
  </si>
  <si>
    <t>Čep gutaperčový 06 vel. 25 dentaclean 9003557</t>
  </si>
  <si>
    <t>ZE411</t>
  </si>
  <si>
    <t>Nůž modelovací 130 mm ME155520212</t>
  </si>
  <si>
    <t>ZC522</t>
  </si>
  <si>
    <t>Pasta Superpolish 1719 620000422</t>
  </si>
  <si>
    <t>ZE911</t>
  </si>
  <si>
    <t>Čep 06 papírový 30 dentaclean á 100 ks P64030 9019139</t>
  </si>
  <si>
    <t>ZK443</t>
  </si>
  <si>
    <t>Pomůcka k odtažení rtů Optragate 80 ks 590851 0091612</t>
  </si>
  <si>
    <t>ZE860</t>
  </si>
  <si>
    <t>Nástroj modelovací červený HSL033-00</t>
  </si>
  <si>
    <t>ZI516</t>
  </si>
  <si>
    <t>Čep 06 papírový 25 dentaclean á 100 ks P64025 9019138</t>
  </si>
  <si>
    <t>ZI515</t>
  </si>
  <si>
    <t>Čep 06 papírový 20 dentaclean á 100 ks 9019137</t>
  </si>
  <si>
    <t>ZI630</t>
  </si>
  <si>
    <t>Cement dent. ketac cem sada 33 g prášku 12 ml tekutiny + příslušenství 37200</t>
  </si>
  <si>
    <t>ZC386</t>
  </si>
  <si>
    <t>Kavitan pro A3 15 g prášek 10 g LIQ 4113312</t>
  </si>
  <si>
    <t>ZF279</t>
  </si>
  <si>
    <t>Kroužky molárové dolní  -7  D/LV  889-011 až 036</t>
  </si>
  <si>
    <t>ZL966</t>
  </si>
  <si>
    <t>Transpa incizal TI 2 á 20 g IV593263</t>
  </si>
  <si>
    <t>ZI685</t>
  </si>
  <si>
    <t>Pilník K-File 397144518772</t>
  </si>
  <si>
    <t>ZH124</t>
  </si>
  <si>
    <t>Pronikač K-File 063025010</t>
  </si>
  <si>
    <t>Pronikač K - File 063025010</t>
  </si>
  <si>
    <t>ZD368</t>
  </si>
  <si>
    <t>Matrice Hawe Neos 376</t>
  </si>
  <si>
    <t>ZL182</t>
  </si>
  <si>
    <t>Ingoty LT IPS e-max Press barva A3,5 bal. á 5 ks IV605276</t>
  </si>
  <si>
    <t>ZC387</t>
  </si>
  <si>
    <t>Kavitan plus A2 4113231</t>
  </si>
  <si>
    <t>ZF278</t>
  </si>
  <si>
    <t>Kroužky molárové dolní  7-  D/PR 888-001 až 036</t>
  </si>
  <si>
    <t>ZD006</t>
  </si>
  <si>
    <t>Duracryl plus liq. 250 g 160000041</t>
  </si>
  <si>
    <t>ZD440</t>
  </si>
  <si>
    <t>Čep světlovodný DT light vel.0-3 bal.á 6 ks</t>
  </si>
  <si>
    <t>ZC476</t>
  </si>
  <si>
    <t>Sprej Kavo 500 ml 4620402A</t>
  </si>
  <si>
    <t>ZF025</t>
  </si>
  <si>
    <t>Superpont enamel T 100g 4321251</t>
  </si>
  <si>
    <t>ZC415</t>
  </si>
  <si>
    <t>Interwaxit s rozprašovačem á 200 ml 413</t>
  </si>
  <si>
    <t>ZC565</t>
  </si>
  <si>
    <t>Premacryl prášek růžový 500 g 4342405</t>
  </si>
  <si>
    <t>ZF806</t>
  </si>
  <si>
    <t>Calcimol LC stříkačka 2 x 2 ml (2 x 2 5g střík., aplikačná kanyly) 0075356</t>
  </si>
  <si>
    <t>ZK291</t>
  </si>
  <si>
    <t>Adhesor orig. 80 g N3 4111113</t>
  </si>
  <si>
    <t>ZI271</t>
  </si>
  <si>
    <t>Šroub pro fixaci konstrukce M1.6/hex 1.0 1641.3</t>
  </si>
  <si>
    <t>ZM736</t>
  </si>
  <si>
    <t>Fólie Erkoflex 1 mm / 120 mm ER581210</t>
  </si>
  <si>
    <t>ZD270</t>
  </si>
  <si>
    <t>Čep papírový 170000129</t>
  </si>
  <si>
    <t>ZL707</t>
  </si>
  <si>
    <t>Tekutina pro zatmelovací hmotu IPS Vest Press Speed á 1000 ml IV595587</t>
  </si>
  <si>
    <t>ZL536</t>
  </si>
  <si>
    <t>Dyract extra A2</t>
  </si>
  <si>
    <t>ZG401</t>
  </si>
  <si>
    <t>Orthocryl Neon zelený pulvis á200g 160-010-00</t>
  </si>
  <si>
    <t>ZM836</t>
  </si>
  <si>
    <t>Čep 06 papírový 60 dentacean 9019141</t>
  </si>
  <si>
    <t>ZB256</t>
  </si>
  <si>
    <t>IPS Dentin A-D B1 20g  IV593231</t>
  </si>
  <si>
    <t>ZM837</t>
  </si>
  <si>
    <t>Drát ligaturový 0,25 501-025-00</t>
  </si>
  <si>
    <t>ZF493</t>
  </si>
  <si>
    <t>Gumička ligovací 400-437</t>
  </si>
  <si>
    <t>ZC445</t>
  </si>
  <si>
    <t>Kroužek molárový horní 7+ H/PR 886-001 až 036</t>
  </si>
  <si>
    <t>ZI514</t>
  </si>
  <si>
    <t>Čep 06 papírový 15 dentaclean 9019136</t>
  </si>
  <si>
    <t>ZD420</t>
  </si>
  <si>
    <t>Klínek dřevěný (polydentia) 9002277</t>
  </si>
  <si>
    <t>ZD235</t>
  </si>
  <si>
    <t>Signum metal bond 2 4 ml 620003528</t>
  </si>
  <si>
    <t>ZM899</t>
  </si>
  <si>
    <t>Čepy pro destičku na pálení keramiky 2 mm bal. á 12 ks SL9020</t>
  </si>
  <si>
    <t>ZM903</t>
  </si>
  <si>
    <t>Stojánek keramický C VIB013</t>
  </si>
  <si>
    <t>ZM898</t>
  </si>
  <si>
    <t>Spray pro skenování 3D bal. á 400 ml Laserscanning Anti-clare-spray 119990001</t>
  </si>
  <si>
    <t>ZD141</t>
  </si>
  <si>
    <t>Pasta ochran. pro ledování R0227-01</t>
  </si>
  <si>
    <t>ZD890</t>
  </si>
  <si>
    <t>Hmota zatmelovací Shera Cast 20 kg /8x2,5/</t>
  </si>
  <si>
    <t>ZE019</t>
  </si>
  <si>
    <t>Pasta leštící Opal 35 g 520.0000RE</t>
  </si>
  <si>
    <t>ZD874</t>
  </si>
  <si>
    <t>Fréza heatles bílá HFB 7 mon. 7HFB</t>
  </si>
  <si>
    <t>ZJ749</t>
  </si>
  <si>
    <t>Obturátor ProTaper F3 bal. á 6 ks 9026538</t>
  </si>
  <si>
    <t>ZM869</t>
  </si>
  <si>
    <t>Jehla jednorázová septoject zelená G 30 0,3 x 16 mm bal. á 100 ks 9009059</t>
  </si>
  <si>
    <t>ZM900</t>
  </si>
  <si>
    <t>Čepy pro destičku na pálení keramiky 3 mm bal. á 12 ks SL9021</t>
  </si>
  <si>
    <t>ZM902</t>
  </si>
  <si>
    <t>Stojánek keramický A  VIB011</t>
  </si>
  <si>
    <t>ZC535</t>
  </si>
  <si>
    <t>Induret gel C100700</t>
  </si>
  <si>
    <t>ZD313</t>
  </si>
  <si>
    <t>Oranwash L 140 ml IX2877</t>
  </si>
  <si>
    <t>ZM870</t>
  </si>
  <si>
    <t>Čep gutaperčový 06 vel. 15 dentaclean 9003553</t>
  </si>
  <si>
    <t>ZM871</t>
  </si>
  <si>
    <t>Čep gutaperčový 06 vel. 20 dentaclean 9003555</t>
  </si>
  <si>
    <t>ZL448</t>
  </si>
  <si>
    <t>Matrice Hawe adapt 1205581205</t>
  </si>
  <si>
    <t>ZC469</t>
  </si>
  <si>
    <t>Superpont pulvis 100g 4321751</t>
  </si>
  <si>
    <t>ZM654</t>
  </si>
  <si>
    <t>Pinzeta na lepení zámků 025-277-00</t>
  </si>
  <si>
    <t>ZM904</t>
  </si>
  <si>
    <t>Stojánek keramický G VIB009</t>
  </si>
  <si>
    <t>ZK453</t>
  </si>
  <si>
    <t>Pronikač C pilot 053031020</t>
  </si>
  <si>
    <t>ZC253</t>
  </si>
  <si>
    <t>Čep 06 papírový 35 dentaclean 9019140</t>
  </si>
  <si>
    <t>ZG865</t>
  </si>
  <si>
    <t>Pásek strippingový 106-221</t>
  </si>
  <si>
    <t>ZF929</t>
  </si>
  <si>
    <t>Pronikač 053025030</t>
  </si>
  <si>
    <t>ZI257</t>
  </si>
  <si>
    <t>Čep gutaperčový č. 015 1559241</t>
  </si>
  <si>
    <t>ZJ039</t>
  </si>
  <si>
    <t>Adhezivum Xeno V 2,5 ml 60667317</t>
  </si>
  <si>
    <t>ZG867</t>
  </si>
  <si>
    <t>Pásek strippingový 106-221D</t>
  </si>
  <si>
    <t>Pásek strippingový ,á 10 ks, 106-221D</t>
  </si>
  <si>
    <t>ZM868</t>
  </si>
  <si>
    <t>Kroužek horní premoláry 790-218-02</t>
  </si>
  <si>
    <t>ZH125</t>
  </si>
  <si>
    <t>Čep gutaperčový sada 02% 015-40 VDW525230 1552432</t>
  </si>
  <si>
    <t>ZC447</t>
  </si>
  <si>
    <t>Striproll 6 mm HW685</t>
  </si>
  <si>
    <t>ZG149</t>
  </si>
  <si>
    <t>Kazeta a stojánek na rotační nástroje 397139500740</t>
  </si>
  <si>
    <t>ZN018</t>
  </si>
  <si>
    <t>Vlákno zubní Mira floss zásobník Big 0122830</t>
  </si>
  <si>
    <t>ZM649</t>
  </si>
  <si>
    <t>Drát noninium 16 x 25D 764-029-00</t>
  </si>
  <si>
    <t>ZL706</t>
  </si>
  <si>
    <t>Hmota zatmelovací IPS Vest Press Speed á 50/100G IV595591</t>
  </si>
  <si>
    <t>ZN014</t>
  </si>
  <si>
    <t>Drát ocelový prut 018 remanium 535-045-00</t>
  </si>
  <si>
    <t>Drát ocelový prut 018 remanium bal. á 25 ks 535-045-00</t>
  </si>
  <si>
    <t>ZB393</t>
  </si>
  <si>
    <t>Hmota otiskovací silikonová speedex putty 0026292</t>
  </si>
  <si>
    <t>ZM901</t>
  </si>
  <si>
    <t>Čepy pro destičku na pálení keramiky 5 mm bal. á 12 ks SL9022</t>
  </si>
  <si>
    <t>ZC379</t>
  </si>
  <si>
    <t>Aqasil Ultra LV Regular 4 x 50 ml DT678779</t>
  </si>
  <si>
    <t>Aquasil Ultra LV Regular 4 x 50 ml DT678779</t>
  </si>
  <si>
    <t>ZM647</t>
  </si>
  <si>
    <t>Drát noninium 16 x 22D 764-021-00</t>
  </si>
  <si>
    <t>ZL184</t>
  </si>
  <si>
    <t>Ingoty LT IPS e-max Press barva D3 bal. á 5 ks IV605281</t>
  </si>
  <si>
    <t>ZM646</t>
  </si>
  <si>
    <t>Rretraktor kombinovaný dětský 57</t>
  </si>
  <si>
    <t>ZC552</t>
  </si>
  <si>
    <t>Sof-lex disky ES8692SF</t>
  </si>
  <si>
    <t>ZC319</t>
  </si>
  <si>
    <t>Papír artikulační modročerv. l 12x10lis 102</t>
  </si>
  <si>
    <t>ZL944</t>
  </si>
  <si>
    <t>Vlákno zubní M + W 25 m nevosk 0000876</t>
  </si>
  <si>
    <t>ZH130</t>
  </si>
  <si>
    <t>Keramika Ceramco 3 - base paste á 2 ml DE301040</t>
  </si>
  <si>
    <t>ZJ200</t>
  </si>
  <si>
    <t>Šroub ortodontický 600-301</t>
  </si>
  <si>
    <t>ZE858</t>
  </si>
  <si>
    <t>Šroub ortodontický 600-300</t>
  </si>
  <si>
    <t>ZC533</t>
  </si>
  <si>
    <t>Relyx temp NE001</t>
  </si>
  <si>
    <t>ZL181</t>
  </si>
  <si>
    <t>Ingoty LT IPS e-max Press barva A3 bal. á 5 ks IV605275</t>
  </si>
  <si>
    <t>ZA237</t>
  </si>
  <si>
    <t>Vosk plotýn.růžový 1,5mm 500g IN02312</t>
  </si>
  <si>
    <t>ZM050</t>
  </si>
  <si>
    <t>Hmota otiskovací silikonová express XT Putty soft 9018679</t>
  </si>
  <si>
    <t>ZC529</t>
  </si>
  <si>
    <t>Kavitan LC VARNISCH 5 g 4113280</t>
  </si>
  <si>
    <t>ZC235</t>
  </si>
  <si>
    <t>Implantát D5.1 BIO/L14 4551:3</t>
  </si>
  <si>
    <t>ZL183</t>
  </si>
  <si>
    <t>Ingoty LT IPS e-max Press barva D2 bal. á 5 ks IV626311</t>
  </si>
  <si>
    <t>ZC304</t>
  </si>
  <si>
    <t>Stomaflex varnish (lak) 140 g 4817330</t>
  </si>
  <si>
    <t>ZD543</t>
  </si>
  <si>
    <t>Speedex Light Body IX4980</t>
  </si>
  <si>
    <t>ZN042</t>
  </si>
  <si>
    <t>Pečetidlo fisur Fissurit FX bal. á 2 x 2,5 g 0175196</t>
  </si>
  <si>
    <t>ZJ754</t>
  </si>
  <si>
    <t>Pilník K-File 063031015</t>
  </si>
  <si>
    <t>Pilník K - File 063031015</t>
  </si>
  <si>
    <t>ZF058</t>
  </si>
  <si>
    <t>Signum Dentin 1x4g D3 4951000A</t>
  </si>
  <si>
    <t>ZE584</t>
  </si>
  <si>
    <t>Aquasil ultra XLV/regular set 678781</t>
  </si>
  <si>
    <t>ZN005</t>
  </si>
  <si>
    <t>Implantát astra tech osseoSpeed TX 3.5 9 mm a24951</t>
  </si>
  <si>
    <t>ZC178</t>
  </si>
  <si>
    <t>Implantát D2.9 SB/L14 03101:3</t>
  </si>
  <si>
    <t>ZJ753</t>
  </si>
  <si>
    <t>Pilník K-File 063031010</t>
  </si>
  <si>
    <t>Pilník K - File 063031010</t>
  </si>
  <si>
    <t>ZN004</t>
  </si>
  <si>
    <t>Implantát astra tech osseoSpeed TX 3.5 S 9 mm a24931</t>
  </si>
  <si>
    <t>ZJ765</t>
  </si>
  <si>
    <t>Pasta pro vypalování v keramické peci á 12 g VIEFP12</t>
  </si>
  <si>
    <t>ZC358</t>
  </si>
  <si>
    <t>Superacryl plus  liq. 250 ml 4328902</t>
  </si>
  <si>
    <t>Superacryl plus liq. 250 ml 4328902</t>
  </si>
  <si>
    <t>ZC326</t>
  </si>
  <si>
    <t>Kartáček na kořenové nástroje 14360NI</t>
  </si>
  <si>
    <t>ZF383</t>
  </si>
  <si>
    <t>Tetric Evo ceram 3g</t>
  </si>
  <si>
    <t>ZG960</t>
  </si>
  <si>
    <t>Keramika ceramco 3 - opálová tavná hmota</t>
  </si>
  <si>
    <t>ZC332</t>
  </si>
  <si>
    <t>Matrice Hawe Kerr 399A</t>
  </si>
  <si>
    <t>ZC369</t>
  </si>
  <si>
    <t>Drát kulatý pr. 7 mm IN0307</t>
  </si>
  <si>
    <t>ZL180</t>
  </si>
  <si>
    <t>Ingoty LT IPS e-max Press barva A2 bal. á 5 ks IV605274</t>
  </si>
  <si>
    <t>ZF676</t>
  </si>
  <si>
    <t>Superpont dentin 100g 4324220</t>
  </si>
  <si>
    <t>ZJ046</t>
  </si>
  <si>
    <t>Drát v prutu 018 splétaný  545-745-00</t>
  </si>
  <si>
    <t>ZC385</t>
  </si>
  <si>
    <t>Dyract flow A3 2 x 1,8 g</t>
  </si>
  <si>
    <t>ZD115</t>
  </si>
  <si>
    <t>Signum Margin á 4 g SM4001</t>
  </si>
  <si>
    <t>ZA277</t>
  </si>
  <si>
    <t>Sádra Hinristone 25 kg 0612/25</t>
  </si>
  <si>
    <t>Sádra Hinristone zelený 25 kg 0612/25</t>
  </si>
  <si>
    <t>ZG958</t>
  </si>
  <si>
    <t>Keramika ceramco 3 - dentinová hmota D3 15g</t>
  </si>
  <si>
    <t>ZC907</t>
  </si>
  <si>
    <t>Implantát D2.9 SB/L16 04101:3</t>
  </si>
  <si>
    <t>ZN019</t>
  </si>
  <si>
    <t>Pronikač C pilot V040368025012</t>
  </si>
  <si>
    <t>ZC312</t>
  </si>
  <si>
    <t>Remanium CS 1 kg, 102-403</t>
  </si>
  <si>
    <t>Remanium CS 1 kg, 102-403 180000228</t>
  </si>
  <si>
    <t>ZE589</t>
  </si>
  <si>
    <t>Kavitan pro 9004 567</t>
  </si>
  <si>
    <t>ZC233</t>
  </si>
  <si>
    <t>Implantát D3.7 BIO/L14 0451:3</t>
  </si>
  <si>
    <t>ZD393</t>
  </si>
  <si>
    <t>Drát NiTi 016 upper oval form III 101-434</t>
  </si>
  <si>
    <t>ZC663</t>
  </si>
  <si>
    <t>Calcimol LC 2 x 5 g tuba 1047</t>
  </si>
  <si>
    <t>ZI095</t>
  </si>
  <si>
    <t>Pronikač k-reamers 053025010</t>
  </si>
  <si>
    <t>ZA422</t>
  </si>
  <si>
    <t>Prostředek izolační picosep á 30 ml 1552.0030</t>
  </si>
  <si>
    <t>ZC320</t>
  </si>
  <si>
    <t>Písek Cobra White 50 um 5 kg</t>
  </si>
  <si>
    <t>ZD116</t>
  </si>
  <si>
    <t>Signum enamel á 4 g 4951013A</t>
  </si>
  <si>
    <t>ZL520</t>
  </si>
  <si>
    <t>Materiál kostní výplňový R.T.R. 0056610</t>
  </si>
  <si>
    <t>ZN016</t>
  </si>
  <si>
    <t>Zátka pro čepy BiPin bal. á 500 ks RE322000</t>
  </si>
  <si>
    <t>ZL705</t>
  </si>
  <si>
    <t>Tekutina Build-UP liquid IV593352</t>
  </si>
  <si>
    <t>ZA477</t>
  </si>
  <si>
    <t>IPS e.max Press Ingoty LT B2, á 5 ks, IV605278</t>
  </si>
  <si>
    <t>ZD798</t>
  </si>
  <si>
    <t>Light bond stříkačky á 4 ks LBPPF</t>
  </si>
  <si>
    <t>ZD357</t>
  </si>
  <si>
    <t>Papír artikulační modročerv. U 6 x 10 lis. 103</t>
  </si>
  <si>
    <t>ZI256</t>
  </si>
  <si>
    <t>Čep papírový Cell Pack 0,2/80 DC61630025</t>
  </si>
  <si>
    <t>ZC232</t>
  </si>
  <si>
    <t>Implantát D3.7 BIO/L10 0251:3</t>
  </si>
  <si>
    <t>ZL893</t>
  </si>
  <si>
    <t>Aplikátor M+W MicroTips žluté 0200508</t>
  </si>
  <si>
    <t>ZG670</t>
  </si>
  <si>
    <t>KaVo prophy pearls (80 sáčků á 15 g) 1.010.1826</t>
  </si>
  <si>
    <t>ZF484</t>
  </si>
  <si>
    <t>Drát NiTi 018 101-437</t>
  </si>
  <si>
    <t>ZJ747</t>
  </si>
  <si>
    <t>Obturátor ProTaper F2 bal. á 6 ks 9026537</t>
  </si>
  <si>
    <t>ZA934</t>
  </si>
  <si>
    <t>Granulát BOI-OSS 0,25-1 mm 0,5 g DGD460306107E</t>
  </si>
  <si>
    <t>ZL965</t>
  </si>
  <si>
    <t>Transpa incizal TI 1 á 20 g IV593262</t>
  </si>
  <si>
    <t>ZC921</t>
  </si>
  <si>
    <t>Pružina open v cívce 100-751</t>
  </si>
  <si>
    <t>ZH899</t>
  </si>
  <si>
    <t>Pásky stripovací jednostranné 106-220</t>
  </si>
  <si>
    <t>ZA222</t>
  </si>
  <si>
    <t>Membrána bio-gide 30 x 40 mm DGD460308034</t>
  </si>
  <si>
    <t>ZN043</t>
  </si>
  <si>
    <t>Kanyla aplikační pro Fissurit FX typ 40 bal. á 100 ks 0175101</t>
  </si>
  <si>
    <t>ZI808</t>
  </si>
  <si>
    <t>Biodentine biokompatibilní materiál 15 x 0,7 g 530387</t>
  </si>
  <si>
    <t>ZA397</t>
  </si>
  <si>
    <t>IPS e.max Ceram Transpa incisal TI  IV596979</t>
  </si>
  <si>
    <t>ZC477</t>
  </si>
  <si>
    <t>Pemza leštící  5kg 260000013</t>
  </si>
  <si>
    <t>ZF218</t>
  </si>
  <si>
    <t>Koferdam Medium 620003904</t>
  </si>
  <si>
    <t>ZC783</t>
  </si>
  <si>
    <t>Vana dezinfekční 3 l 9800600</t>
  </si>
  <si>
    <t>ZN017</t>
  </si>
  <si>
    <t>Vlákno zubní Mira floss zelené voskované náhradní role 0122831</t>
  </si>
  <si>
    <t>ZG539</t>
  </si>
  <si>
    <t>Roztok Gingiva liquid 540213</t>
  </si>
  <si>
    <t>ZC928</t>
  </si>
  <si>
    <t>Protahováček Hedstrém 073025015</t>
  </si>
  <si>
    <t>ZD338</t>
  </si>
  <si>
    <t>Keramika IPS InLine/PoM Opaquer A-D A 3 IV593162</t>
  </si>
  <si>
    <t>ZB800</t>
  </si>
  <si>
    <t>Membrána combi-pack 16 x 22 mm DGD460309023</t>
  </si>
  <si>
    <t>ZD287</t>
  </si>
  <si>
    <t>Enhance System Kit001</t>
  </si>
  <si>
    <t>ZD497</t>
  </si>
  <si>
    <t>Váleček vhojovací D3.7/d5.2/L4 822.3</t>
  </si>
  <si>
    <t>ZE067</t>
  </si>
  <si>
    <t>Gumička ligovací červená 400-805 (400-408)</t>
  </si>
  <si>
    <t>ZE681</t>
  </si>
  <si>
    <t>Gumička ligovací čirá 400-802 (400-401)</t>
  </si>
  <si>
    <t>ZF067</t>
  </si>
  <si>
    <t>Gumička ligovací 400-406</t>
  </si>
  <si>
    <t>ZF068</t>
  </si>
  <si>
    <t>Gumička ligovací žlutá 400-808 (400-409)</t>
  </si>
  <si>
    <t>ZF134</t>
  </si>
  <si>
    <t>Pilíř standard přímý D3.7/d4.8/L1 1132.3</t>
  </si>
  <si>
    <t>ZF487</t>
  </si>
  <si>
    <t>Gumička ligovací černá 400-807 (400-406)</t>
  </si>
  <si>
    <t>ZF618</t>
  </si>
  <si>
    <t>Gumička separační modrá dentalastic 774-200-01</t>
  </si>
  <si>
    <t>ZG141</t>
  </si>
  <si>
    <t>Dosazovač zámků s kloubem 200-223</t>
  </si>
  <si>
    <t>ZG284</t>
  </si>
  <si>
    <t>Cement temposil 2 bílý intro kit 9022969</t>
  </si>
  <si>
    <t>ZG717</t>
  </si>
  <si>
    <t>Pilíř locator attachmenty D3.7/L2 01209</t>
  </si>
  <si>
    <t>ZG719</t>
  </si>
  <si>
    <t>Sada protetická locator á 2 ks 08519-2</t>
  </si>
  <si>
    <t>ZG722</t>
  </si>
  <si>
    <t>Matrice classic plus 055752</t>
  </si>
  <si>
    <t>ZI003</t>
  </si>
  <si>
    <t>Nástroj na ohýbání konců drátů oboustranný RMO-001</t>
  </si>
  <si>
    <t>ZI144</t>
  </si>
  <si>
    <t>Pilíř attachment kulový classic D3.7/d3.7/L3 23432:3</t>
  </si>
  <si>
    <t>ZI754</t>
  </si>
  <si>
    <t>Cement výplňový skloionomerní bal. á 50 ks 0298182</t>
  </si>
  <si>
    <t>ZI823</t>
  </si>
  <si>
    <t>Signum Dentin 1x4g A4 4950996A</t>
  </si>
  <si>
    <t>ZI891</t>
  </si>
  <si>
    <t>Gumička ligovací kobalt  modrá á 30 ks 400-845 (400-445)</t>
  </si>
  <si>
    <t>ZK607</t>
  </si>
  <si>
    <t>Kanyla RMO FLI 37 A08746</t>
  </si>
  <si>
    <t>ZK610</t>
  </si>
  <si>
    <t>Kanyla RMO FLI 17 A08736</t>
  </si>
  <si>
    <t>ZL445</t>
  </si>
  <si>
    <t>Matrice Hawe adapt 1204581204</t>
  </si>
  <si>
    <t>ZL504</t>
  </si>
  <si>
    <t>Drát retainerový pozlacený bal. á 5 ks ZMRW</t>
  </si>
  <si>
    <t>ZL943</t>
  </si>
  <si>
    <t>Vlákno zubní super floss 0098890</t>
  </si>
  <si>
    <t>ZL957</t>
  </si>
  <si>
    <t>Deep dentin A4,0 á 20 g IV593214</t>
  </si>
  <si>
    <t>ZN175</t>
  </si>
  <si>
    <t>Háček chirurgický rovný bal. á 10 ks SURHK</t>
  </si>
  <si>
    <t>ZN176</t>
  </si>
  <si>
    <t>Ochrana měkké tkáně čirá 400-326</t>
  </si>
  <si>
    <t>ZN191</t>
  </si>
  <si>
    <t>Vlákno zubní Mira floss bílé voskované náhradní role 0122833</t>
  </si>
  <si>
    <t>ZN212</t>
  </si>
  <si>
    <t>Pilíř locator attachmenty L5 D3.7 01212</t>
  </si>
  <si>
    <t>ZA144</t>
  </si>
  <si>
    <t>Aquasil soft putty DT60578320</t>
  </si>
  <si>
    <t>ZB321</t>
  </si>
  <si>
    <t>Caryosan orig. 60g 4112110</t>
  </si>
  <si>
    <t>ZB374</t>
  </si>
  <si>
    <t>Ultrapak 0 UD9333</t>
  </si>
  <si>
    <t>ZB722</t>
  </si>
  <si>
    <t>Orthocryl červený 100ml 161-620-00</t>
  </si>
  <si>
    <t>ZB860</t>
  </si>
  <si>
    <t>Kotouč plátěný pr.100 mm-neprošív. IX5001</t>
  </si>
  <si>
    <t>ZC336</t>
  </si>
  <si>
    <t>Matrice Hawe 7 mm HW686</t>
  </si>
  <si>
    <t>ZC457</t>
  </si>
  <si>
    <t>Solitine (Kerr) 60084</t>
  </si>
  <si>
    <t>ZC524</t>
  </si>
  <si>
    <t>Begosol HE 5 lit. BG51096</t>
  </si>
  <si>
    <t>ZC538</t>
  </si>
  <si>
    <t>Hmota zatmelovací Bellvest SH 12,8 kg BG54252</t>
  </si>
  <si>
    <t>ZD219</t>
  </si>
  <si>
    <t>Nástroj na keramiku</t>
  </si>
  <si>
    <t>ZD581</t>
  </si>
  <si>
    <t>Kotouč HP 22 mm drátěný nerez BT277.1</t>
  </si>
  <si>
    <t>ZE627</t>
  </si>
  <si>
    <t>Šroubovák classic plus 072609</t>
  </si>
  <si>
    <t>ZE678</t>
  </si>
  <si>
    <t>Gumička ligovací 400-836 (původní 400-441)</t>
  </si>
  <si>
    <t>ZF066</t>
  </si>
  <si>
    <t>Gumička ligovací 400-806 (původní 400-403)</t>
  </si>
  <si>
    <t>ZF198</t>
  </si>
  <si>
    <t>Orthocryl Neon Lila 160-004</t>
  </si>
  <si>
    <t>ZF333</t>
  </si>
  <si>
    <t>Štětec Vita č.8 VI9143</t>
  </si>
  <si>
    <t>ZF578</t>
  </si>
  <si>
    <t>Kuželík filcový</t>
  </si>
  <si>
    <t>ZF679</t>
  </si>
  <si>
    <t>IPS-InLine Add-On Bleach 20g IV602983</t>
  </si>
  <si>
    <t>ZF735</t>
  </si>
  <si>
    <t>Signum ceramis margin M2 4g HK66031432</t>
  </si>
  <si>
    <t>ZG412</t>
  </si>
  <si>
    <t>Kotouč plstěný - špička BT110.1</t>
  </si>
  <si>
    <t>ZG416</t>
  </si>
  <si>
    <t>Podložka plastová vel.6 HK64500720</t>
  </si>
  <si>
    <t>ZG856</t>
  </si>
  <si>
    <t>Prostředek na čišť. kořen. kanálků FileCare EDTA/vdw/ stříkačky 5 x 3 ml 0858649</t>
  </si>
  <si>
    <t>ZH112</t>
  </si>
  <si>
    <t>Čep 06 papírový 45-80 dentaclean á 100 ks 9019135</t>
  </si>
  <si>
    <t>ZH113</t>
  </si>
  <si>
    <t>Čep gutaperčový ProTaper F1 bal. á 60 ks 0488675</t>
  </si>
  <si>
    <t>ZH115</t>
  </si>
  <si>
    <t>Čep gutaperčový ProTaper F3 bal. á 60 ks 0488677</t>
  </si>
  <si>
    <t>ZH726</t>
  </si>
  <si>
    <t>Čep gutaperčový 04 vel. 60 dentaclean á 60 ks 9003568</t>
  </si>
  <si>
    <t>ZI055</t>
  </si>
  <si>
    <t>Čep gutaperčový 04 vel. 30 dentaclean 9003558</t>
  </si>
  <si>
    <t>ZI564</t>
  </si>
  <si>
    <t>Šroubovák inbus ruční extra orální hex 1.4 2924.3</t>
  </si>
  <si>
    <t>ZJ245</t>
  </si>
  <si>
    <t>Čep gutaperčový 06 vel. 30 dentaclean bal. á 60 ks 9003559</t>
  </si>
  <si>
    <t>ZK182</t>
  </si>
  <si>
    <t>Dycal 4401</t>
  </si>
  <si>
    <t>ZK414</t>
  </si>
  <si>
    <t>Destička skleněná 95x70x6mm BT724</t>
  </si>
  <si>
    <t>ZK658</t>
  </si>
  <si>
    <t>Protemp 4 50 ml A3 ES46957</t>
  </si>
  <si>
    <t>ZL955</t>
  </si>
  <si>
    <t>Deep dentin A3,0 á 20 g IV593212</t>
  </si>
  <si>
    <t>ZM350</t>
  </si>
  <si>
    <t>Biner LC podložkový materiál Bin2-6228</t>
  </si>
  <si>
    <t>ZM729</t>
  </si>
  <si>
    <t>Roztok na otiskovací hmotu VPS Tray Adhezivum ES7307</t>
  </si>
  <si>
    <t>ZM851</t>
  </si>
  <si>
    <t>Ráčna na implantáty 2409.0</t>
  </si>
  <si>
    <t>ZN281</t>
  </si>
  <si>
    <t>Knoflík OQ linqvální s očkem zavřený zakřivená baze D0332 bal. á 10 ks</t>
  </si>
  <si>
    <t>ZC539</t>
  </si>
  <si>
    <t>Lopatka na cement 18 cm 121520020</t>
  </si>
  <si>
    <t>ZC922</t>
  </si>
  <si>
    <t>Očko Opti-MIM 430-005</t>
  </si>
  <si>
    <t>ZD215</t>
  </si>
  <si>
    <t>Nůž na sádru Buffalo 6R 620003518</t>
  </si>
  <si>
    <t>ZD386</t>
  </si>
  <si>
    <t>Orthocryl lig.čiré 500 161-100</t>
  </si>
  <si>
    <t>ZD389</t>
  </si>
  <si>
    <t>Gumička ligovací elast.ligatury Safe-T-Ties á 30 ks 400-833</t>
  </si>
  <si>
    <t>ZD416</t>
  </si>
  <si>
    <t>Amalgám kapslový č.3 YDM-I800</t>
  </si>
  <si>
    <t>ZD580</t>
  </si>
  <si>
    <t>Kladívko laborat. ocelové 397128520111</t>
  </si>
  <si>
    <t>ZD826</t>
  </si>
  <si>
    <t>Nástroj modelovací LeCron 155520180</t>
  </si>
  <si>
    <t>ZE458</t>
  </si>
  <si>
    <t>Adisil Rapid 1+1 0304/AD</t>
  </si>
  <si>
    <t>ZF481</t>
  </si>
  <si>
    <t>Tahy gumové intraor.-medium 1/4" 407-041S</t>
  </si>
  <si>
    <t>ZF585</t>
  </si>
  <si>
    <t>Nástroj modelovací HSL032-00</t>
  </si>
  <si>
    <t>ZG859</t>
  </si>
  <si>
    <t>Gumička ligovací á 30 ks 400-404</t>
  </si>
  <si>
    <t>ZH306</t>
  </si>
  <si>
    <t>Špendlík-spona 0,7 mm á 100 ks 620-107 00</t>
  </si>
  <si>
    <t>ZI511</t>
  </si>
  <si>
    <t>Vosk do kapničkovače Elaflex á 130 g 510 0090 0</t>
  </si>
  <si>
    <t>ZJ369</t>
  </si>
  <si>
    <t>Remanium 2000+ kovová slitina á 1000g DM10260010</t>
  </si>
  <si>
    <t>ZJ766</t>
  </si>
  <si>
    <t>Pryskyřice LC Block-out resin sada UD240</t>
  </si>
  <si>
    <t>ZK606</t>
  </si>
  <si>
    <t>Kanyla RMO FLI 27 A08737</t>
  </si>
  <si>
    <t>ZK637</t>
  </si>
  <si>
    <t>Klíč na kalibraci pro vypalovací pec Programat P500 ATK2</t>
  </si>
  <si>
    <t>ZL505</t>
  </si>
  <si>
    <t>Drát vícepramenný D Proform BR 100-389</t>
  </si>
  <si>
    <t>ZN391</t>
  </si>
  <si>
    <t>Drát ocelový prut 014 remanium bal. á 25 ks 535-035-00</t>
  </si>
  <si>
    <t>ZN392</t>
  </si>
  <si>
    <t>Aplikátor elastických tahů bal. á 100 ks 772-400-00</t>
  </si>
  <si>
    <t>ZN393</t>
  </si>
  <si>
    <t>Clona vestibulární č.1 074-00-000</t>
  </si>
  <si>
    <t>ZA871</t>
  </si>
  <si>
    <t>Hladítko jemné na plast.výpl. DE408R</t>
  </si>
  <si>
    <t>ZB752</t>
  </si>
  <si>
    <t>Váleček vhojovací D3.7/d4.0/L4 422.3</t>
  </si>
  <si>
    <t>ZB842</t>
  </si>
  <si>
    <t>Upravovač voskových valů (9102607) 69600010</t>
  </si>
  <si>
    <t>ZB984</t>
  </si>
  <si>
    <t>Pátradlo zubní lomené-krátké 397133510040</t>
  </si>
  <si>
    <t>ZC822</t>
  </si>
  <si>
    <t>Páska brusná 50 m zrnitost 120 IN0820</t>
  </si>
  <si>
    <t>ZD352</t>
  </si>
  <si>
    <t>Pronikač K - File 063025030</t>
  </si>
  <si>
    <t>ZD589</t>
  </si>
  <si>
    <t>Pattern Resin-prášek 100 g GCREPR003</t>
  </si>
  <si>
    <t>ZE225</t>
  </si>
  <si>
    <t>Fréza na silikon S187QG23</t>
  </si>
  <si>
    <t>ZE624</t>
  </si>
  <si>
    <t>Šroubovák imbus ruční hex krátký 1,0/L25 5224.3</t>
  </si>
  <si>
    <t>ZE896</t>
  </si>
  <si>
    <t>Kartáč Taurus kozí chlup BT1100.1</t>
  </si>
  <si>
    <t>ZF226</t>
  </si>
  <si>
    <t>Fréza na silikon S263QG60</t>
  </si>
  <si>
    <t>ZF280</t>
  </si>
  <si>
    <t>Molloplast B 45 g 882033</t>
  </si>
  <si>
    <t>ZF398</t>
  </si>
  <si>
    <t>Fréza tvrdokovová HM77ET023</t>
  </si>
  <si>
    <t>ZF760</t>
  </si>
  <si>
    <t>Šroubovák imbus ruční dlouhý hex 1.0/L21/L35 6224.3</t>
  </si>
  <si>
    <t>ZG447</t>
  </si>
  <si>
    <t>Plnič do kolénka 093 021 040</t>
  </si>
  <si>
    <t>ZH210</t>
  </si>
  <si>
    <t>Vidlice skusová-Foxova deska 69600020</t>
  </si>
  <si>
    <t>ZJ045</t>
  </si>
  <si>
    <t>Ligatury elastické průhledné 774-002-01</t>
  </si>
  <si>
    <t>ZB626</t>
  </si>
  <si>
    <t>Guma leštící /bílá/ 9526V 204 G6</t>
  </si>
  <si>
    <t>ZC406</t>
  </si>
  <si>
    <t>Pronikač 053025020A</t>
  </si>
  <si>
    <t>ZC432</t>
  </si>
  <si>
    <t>Kořenová výplň AH 26 8 g prášek 10 g pasta 60621101</t>
  </si>
  <si>
    <t>ZC451</t>
  </si>
  <si>
    <t>Orthocryl E Q prášek transparent 1kg 160-300</t>
  </si>
  <si>
    <t>ZC478</t>
  </si>
  <si>
    <t>Provicol 1075VO</t>
  </si>
  <si>
    <t>ZC497</t>
  </si>
  <si>
    <t>Pronikač k-reamer 397144517762</t>
  </si>
  <si>
    <t>ZC818</t>
  </si>
  <si>
    <t>Matrice Hawe 7 mm 0,03 mm 399C 1HW399C</t>
  </si>
  <si>
    <t>ZC850</t>
  </si>
  <si>
    <t>Vlákno Ultrapak č. 0 509333</t>
  </si>
  <si>
    <t>ZC927</t>
  </si>
  <si>
    <t>Pronikač 053025045</t>
  </si>
  <si>
    <t>ZD121</t>
  </si>
  <si>
    <t>Fréza tvrdokovová 5741.045</t>
  </si>
  <si>
    <t>ZD124</t>
  </si>
  <si>
    <t>Caries detector 6 ml 152010</t>
  </si>
  <si>
    <t>ZD388</t>
  </si>
  <si>
    <t>Gumička ligovací elast.ligatury Safe-T-Ties (400-426)  400-820</t>
  </si>
  <si>
    <t>ZD786</t>
  </si>
  <si>
    <t>Kanyla žl. mixing tips bal. á 40 ks 60578121</t>
  </si>
  <si>
    <t>ZD787</t>
  </si>
  <si>
    <t>Koncovka žl.intra oral tips,na míchací kanylu 0088259</t>
  </si>
  <si>
    <t>ZD895</t>
  </si>
  <si>
    <t>Protahováček h-file 397144515472</t>
  </si>
  <si>
    <t>ZE583</t>
  </si>
  <si>
    <t>Aquasil soft putty/regular economy pack 8 x 450 ml 605.78.321</t>
  </si>
  <si>
    <t>ZE614</t>
  </si>
  <si>
    <t>Člen otiskovací D3.7/d3.7 633.3</t>
  </si>
  <si>
    <t>ZE615</t>
  </si>
  <si>
    <t>Člen otiskovací D3.7/d4.8 533.3</t>
  </si>
  <si>
    <t>ZE616</t>
  </si>
  <si>
    <t>Člen otiskovací D2.9/d3.7 933.3</t>
  </si>
  <si>
    <t>ZE679</t>
  </si>
  <si>
    <t>Gumička ligovací (400-407) 400-804</t>
  </si>
  <si>
    <t>ZF069</t>
  </si>
  <si>
    <t>Gumička ligovací (400-411) 400-825</t>
  </si>
  <si>
    <t>ZF759</t>
  </si>
  <si>
    <t>AH 26 silverfree 0088312</t>
  </si>
  <si>
    <t>ZF931</t>
  </si>
  <si>
    <t>Pronikač 053025040</t>
  </si>
  <si>
    <t>ZG422</t>
  </si>
  <si>
    <t>Štetec opaquer Dentsply INSB32FO</t>
  </si>
  <si>
    <t>ZG718</t>
  </si>
  <si>
    <t>Pilíř locator attachmenty D3.7/L3 01210</t>
  </si>
  <si>
    <t>ZG858</t>
  </si>
  <si>
    <t>Gumička ligovací á 30 ks (400-431) 400-830</t>
  </si>
  <si>
    <t>ZH674</t>
  </si>
  <si>
    <t>Podložky míchací v blocích 0000238</t>
  </si>
  <si>
    <t>ZH735</t>
  </si>
  <si>
    <t>Matrice pásková 0023116</t>
  </si>
  <si>
    <t>ZJ201</t>
  </si>
  <si>
    <t>Kleště s plochými čelistmi s hrotem 045-018-00</t>
  </si>
  <si>
    <t>ZJ288</t>
  </si>
  <si>
    <t>Gumička ligovací á 30 ks (400-422) 400-837</t>
  </si>
  <si>
    <t>ZJ755</t>
  </si>
  <si>
    <t>Pronikač k-reamers 053031010</t>
  </si>
  <si>
    <t>ZL444</t>
  </si>
  <si>
    <t>Matrice Hawe adapt 1202581202</t>
  </si>
  <si>
    <t>ZL446</t>
  </si>
  <si>
    <t>Matrice Hawe adapt 1208581208</t>
  </si>
  <si>
    <t>ZL566</t>
  </si>
  <si>
    <t>Drát ocelový prut. á 10 ks 025 100-052</t>
  </si>
  <si>
    <t>ZL574</t>
  </si>
  <si>
    <t>Cement výplňový skloionomerní 0120164</t>
  </si>
  <si>
    <t>ZN451</t>
  </si>
  <si>
    <t>Koncovka plastová výměnná bal. á 10 ks, 039-357-00</t>
  </si>
  <si>
    <t>ZN452</t>
  </si>
  <si>
    <t>Tekutina Primo adhesiv 15 ml DC4546</t>
  </si>
  <si>
    <t>ZN548</t>
  </si>
  <si>
    <t>Sada flexistone Plus DC005115</t>
  </si>
  <si>
    <t>ZN549</t>
  </si>
  <si>
    <t>Kanyla míchací modrá M+W 4:1/10:1 bal. á 50 ks 0000289</t>
  </si>
  <si>
    <t>ZE063</t>
  </si>
  <si>
    <t>Drát ocelový 17 x 25 101-414</t>
  </si>
  <si>
    <t>ZE062</t>
  </si>
  <si>
    <t>Drát ocelový 16 x 22 101-412</t>
  </si>
  <si>
    <t>ZF496</t>
  </si>
  <si>
    <t>Drát NiTi 018 101-436</t>
  </si>
  <si>
    <t>ZH889</t>
  </si>
  <si>
    <t>Drát NiTi 17 x 25 101-445</t>
  </si>
  <si>
    <t>ZF061</t>
  </si>
  <si>
    <t>Drát NiTi 012 101-431</t>
  </si>
  <si>
    <t>ZF489</t>
  </si>
  <si>
    <t>Drát NiTi 18 x 25 101-448</t>
  </si>
  <si>
    <t>ZF063</t>
  </si>
  <si>
    <t>Drát ocelový 16 x 22 101-413</t>
  </si>
  <si>
    <t>ZE675</t>
  </si>
  <si>
    <t>Drát NiTi 19 x 25 101-451</t>
  </si>
  <si>
    <t>ZD391</t>
  </si>
  <si>
    <t>Drát NiTi 014 upper oval form III 101-432</t>
  </si>
  <si>
    <t>ZE061</t>
  </si>
  <si>
    <t>Drát NiTi 18 x 25 101-449</t>
  </si>
  <si>
    <t>ZD392</t>
  </si>
  <si>
    <t>Drát NiTi 014 lower oval form III 101-433</t>
  </si>
  <si>
    <t>ZF064</t>
  </si>
  <si>
    <t>Drát ocelový 17 x 25 101-415</t>
  </si>
  <si>
    <t>ZG296</t>
  </si>
  <si>
    <t>OptiBond FL 0036191</t>
  </si>
  <si>
    <t>ZB498</t>
  </si>
  <si>
    <t>Kartáček čistící na vrtáčky 9002460</t>
  </si>
  <si>
    <t>ZE941</t>
  </si>
  <si>
    <t>Disk diamantový sypaný meisinger 935F H 190</t>
  </si>
  <si>
    <t>ZE939</t>
  </si>
  <si>
    <t>Disk diamantový sypaný meisinger 935F H 220</t>
  </si>
  <si>
    <t>ZE942</t>
  </si>
  <si>
    <t>Disk diamantový sypaný meisinger 932F H 190</t>
  </si>
  <si>
    <t>ZH084</t>
  </si>
  <si>
    <t>Kamínek na Zirkonoxid-čočka Z772</t>
  </si>
  <si>
    <t>ZH078</t>
  </si>
  <si>
    <t>Kamínek na Zirkonoxid-kulička Z602</t>
  </si>
  <si>
    <t>ZH085</t>
  </si>
  <si>
    <t>Kamínek na Zirkonoxid-vysoký váleček Z732</t>
  </si>
  <si>
    <t>ZH079</t>
  </si>
  <si>
    <t>Kamínek na Zirkonoxid-nízký váleček Z623</t>
  </si>
  <si>
    <t>ZH081</t>
  </si>
  <si>
    <t>Kamínek na Zirkonoxid-špička Z652</t>
  </si>
  <si>
    <t>ZH083</t>
  </si>
  <si>
    <t>Kamínek na Zirkonoxid-malé vajíčko Z667</t>
  </si>
  <si>
    <t>ZH082</t>
  </si>
  <si>
    <t>Kamínek na Zirkonoxid-vajíčko Z660</t>
  </si>
  <si>
    <t>ZA777</t>
  </si>
  <si>
    <t>Čep papírový ISO 25 1BT930.25</t>
  </si>
  <si>
    <t>ZL960</t>
  </si>
  <si>
    <t>Dentin D 2 á 20 g IV593239</t>
  </si>
  <si>
    <t>ZL958</t>
  </si>
  <si>
    <t>Dentin A 2 á 20 g IV593227</t>
  </si>
  <si>
    <t>ZL798</t>
  </si>
  <si>
    <t>Guma leštící Alphaflex špička 0032 RA bal.á 12 ks 860032</t>
  </si>
  <si>
    <t>ZF420</t>
  </si>
  <si>
    <t>Implantát BIO 5,1 L6 6551:3</t>
  </si>
  <si>
    <t>ZC564</t>
  </si>
  <si>
    <t>Oralium 1 g  1700/O</t>
  </si>
  <si>
    <t>ZB986</t>
  </si>
  <si>
    <t>Seal Protect  606.04.700</t>
  </si>
  <si>
    <t>ZJ700</t>
  </si>
  <si>
    <t>Apexit plus 2 x 6 g stříkačka 15 x míchací kanyly 5 x intraosální špičky 0091325</t>
  </si>
  <si>
    <t>ZM048</t>
  </si>
  <si>
    <t>Gel hemostatický ViscoStat Clear 0076205</t>
  </si>
  <si>
    <t>ZN456</t>
  </si>
  <si>
    <t>Výplň kostní BIO-OSS souprava Collagen/membrána 16 x 22 mm + collagen 0,1 g DGD460305911</t>
  </si>
  <si>
    <t>ZN626</t>
  </si>
  <si>
    <t>Brousek diamantový kulička 1 mm 397146511010</t>
  </si>
  <si>
    <t>ZN627</t>
  </si>
  <si>
    <t>Brousek diamantový kulička 2 mm 397146511020</t>
  </si>
  <si>
    <t>ZN628</t>
  </si>
  <si>
    <t>Brousek diamantový kulička 3 mm 397146511030</t>
  </si>
  <si>
    <t>ZN625</t>
  </si>
  <si>
    <t>Kanyla míchací červená Penta bal. á 50 ks 0116279</t>
  </si>
  <si>
    <t>ZD039</t>
  </si>
  <si>
    <t>Opaquer B3 á 3g IV593167</t>
  </si>
  <si>
    <t>ZD532</t>
  </si>
  <si>
    <t>Keramika IPS InLine PoM Opaquer A-D D3 IV593174</t>
  </si>
  <si>
    <t>ZC375</t>
  </si>
  <si>
    <t>List k pilce - náhradní 336</t>
  </si>
  <si>
    <t>ZF418</t>
  </si>
  <si>
    <t>Štětec Vita č.3 VI9104</t>
  </si>
  <si>
    <t>ZF334</t>
  </si>
  <si>
    <t>Štětec Vita č.2 VI9103</t>
  </si>
  <si>
    <t>ZC561</t>
  </si>
  <si>
    <t>Sada na leštění amalgam. výplní (2 ks Amalgam reducerů, 5 ks Alphaflex hnědé, 5 ks Alphaflex zelené) 9000288</t>
  </si>
  <si>
    <t>ZC516</t>
  </si>
  <si>
    <t>Čep papírový 1507</t>
  </si>
  <si>
    <t>ZL506</t>
  </si>
  <si>
    <t>Sada na leptání porcelain etch silane 9007950</t>
  </si>
  <si>
    <t>ZF335</t>
  </si>
  <si>
    <t>Štětec Kolinský č. 4 TD22951</t>
  </si>
  <si>
    <t>ZD217</t>
  </si>
  <si>
    <t>Tekutina Pattern Resin 100 g 55-3949</t>
  </si>
  <si>
    <t>ZD077</t>
  </si>
  <si>
    <t>Spofacryl orig. 100g A 3,5</t>
  </si>
  <si>
    <t>ZE370</t>
  </si>
  <si>
    <t>Alphaflex</t>
  </si>
  <si>
    <t>ZE020</t>
  </si>
  <si>
    <t>Preci-vertix P sada (6 ks patric 1813, 6 ks žlutých matric, 1 ks zavaděč) AD1811</t>
  </si>
  <si>
    <t>ZF452</t>
  </si>
  <si>
    <t>Lak distanční zlatý 16 ml IN0381</t>
  </si>
  <si>
    <t>ZF337</t>
  </si>
  <si>
    <t>Kelímek na sádru velký DC1121103</t>
  </si>
  <si>
    <t>ZD871</t>
  </si>
  <si>
    <t>Fréza heatles bílá č.1 0000211</t>
  </si>
  <si>
    <t>ZE417</t>
  </si>
  <si>
    <t>Fólie termopl. Erkodur 1,5/120 mm ER524215</t>
  </si>
  <si>
    <t>ZB349</t>
  </si>
  <si>
    <t>Plnič 093 025 025</t>
  </si>
  <si>
    <t>ZC412</t>
  </si>
  <si>
    <t>Plnič 093 025 030</t>
  </si>
  <si>
    <t>ZB196</t>
  </si>
  <si>
    <t>Šití prolen bl 4-0 bal. á 36 ks EH7151H</t>
  </si>
  <si>
    <t>Šití prolene bl 4-0 bal. á 36 ks EH7151H</t>
  </si>
  <si>
    <t>ZB461</t>
  </si>
  <si>
    <t>Šití silkam černý 3/0 (2) bal. á 36 ks C0760307</t>
  </si>
  <si>
    <t>ZD736</t>
  </si>
  <si>
    <t>Šití silkam černý 4/0 (1.5) bal. á 36 ks C0760293</t>
  </si>
  <si>
    <t>ZH392</t>
  </si>
  <si>
    <t>Šití safil quick + bezb. 3/0 (2) bal. á 36 ks C1046030</t>
  </si>
  <si>
    <t>ZB443</t>
  </si>
  <si>
    <t>Šití silkam černý 4/0 (1.5) bal. á 36 ks C0760137</t>
  </si>
  <si>
    <t>ZC151</t>
  </si>
  <si>
    <t>Šití safil quick 3/0 (2) bal. á 36 ks C1046014</t>
  </si>
  <si>
    <t>ZI407</t>
  </si>
  <si>
    <t>Šití premilene 6/0 (0.7) bal. á 36 ks C2090211</t>
  </si>
  <si>
    <t>ZB444</t>
  </si>
  <si>
    <t>Šití silkam černý 4/0 (1.5) bal. á 36 ks C0761290</t>
  </si>
  <si>
    <t>ZA360</t>
  </si>
  <si>
    <t>Jehla sterican 0,5 x 25 mm oranžová 9186158</t>
  </si>
  <si>
    <t>ZA833</t>
  </si>
  <si>
    <t>Jehla injekční 0,8 x 40 mm zelená 4657527</t>
  </si>
  <si>
    <t>ZA834</t>
  </si>
  <si>
    <t>Jehla injekční 0,7 x 40 mm černá 4660021</t>
  </si>
  <si>
    <t>ZC305</t>
  </si>
  <si>
    <t>Jehla injekční 0,4 x 20 mm šedá 4657705</t>
  </si>
  <si>
    <t>ZD515</t>
  </si>
  <si>
    <t>Jehla jednorázová septoject G30 0,3 x 25 mm á 100 ks 0038505</t>
  </si>
  <si>
    <t>ZF431</t>
  </si>
  <si>
    <t>Rukavice operační gammex PF sensitive vel. 7,5 353195</t>
  </si>
  <si>
    <t>ZI757</t>
  </si>
  <si>
    <t>Rukavice vinyl bez p. S á 100 ks EFEKTVR02</t>
  </si>
  <si>
    <t>ZI758</t>
  </si>
  <si>
    <t>Rukavice vinyl bez p. M á 100 ks EFEKTVR03</t>
  </si>
  <si>
    <t>ZK473</t>
  </si>
  <si>
    <t>Rukavice operační latexové s pudrem ansell medigrip plus vel. 6,0 303502EU (302762)</t>
  </si>
  <si>
    <t>ZK474</t>
  </si>
  <si>
    <t>Rukavice operační latexové s pudrem ansell medigrip plus vel. 6,5 303503</t>
  </si>
  <si>
    <t>ZK475</t>
  </si>
  <si>
    <t>Rukavice operační latexové s pudrem ansell medigrip plus vel. 7,0 303504 (303364)</t>
  </si>
  <si>
    <t>Rukavice operační latexové s pudrem ansell medigrip plus vel. 7,0 303504EU (303364)</t>
  </si>
  <si>
    <t>ZK476</t>
  </si>
  <si>
    <t>Rukavice operační latexové s pudrem ansell medigrip plus vel. 7,5 303505 (302925)</t>
  </si>
  <si>
    <t>Rukavice operační latexové s pudrem ansell medigrip plus vel. 7,5 303505EU (302925)</t>
  </si>
  <si>
    <t>ZK477</t>
  </si>
  <si>
    <t>Rukavice operační latexové s pudrem ansell medigrip plus vel. 8,0 303506(303366)</t>
  </si>
  <si>
    <t>Rukavice operační latexové s pudrem ansell medigrip plus vel. 8,0 303506EU (303366)</t>
  </si>
  <si>
    <t>ZL071</t>
  </si>
  <si>
    <t>Rukavice operační gammex bez pudru PF EnLite vel. 6,5 353383</t>
  </si>
  <si>
    <t>ZL073</t>
  </si>
  <si>
    <t>Rukavice operační gammex bez pudru PF EnLite vel. 7,5 353385</t>
  </si>
  <si>
    <t>ZC063</t>
  </si>
  <si>
    <t>Rukavice latex bez p. M 9421615 - povoleno pouze pro ÚČOCH a KZL</t>
  </si>
  <si>
    <t>ZK098</t>
  </si>
  <si>
    <t>Rukavice latex s p. L karton 2000 ks 8951473 - povoleno pouze pro ÚČOCH a KZL</t>
  </si>
  <si>
    <t>ZK093</t>
  </si>
  <si>
    <t>Rukavice latex s p. S karton 2000 ks 8958864 - povoleno pouze pro ÚČOCH a KZL</t>
  </si>
  <si>
    <t>ZJ594</t>
  </si>
  <si>
    <t>Rukavice nitril Sterling bez p., á 200 ks XS 13938</t>
  </si>
  <si>
    <t>Rukavice nitril sterling bez p. á 200 ks XS 13938</t>
  </si>
  <si>
    <t>ZK094</t>
  </si>
  <si>
    <t>Rukavice latex s p. M karton 2000 ks 8955565 - povoleno pouze pro ÚČOCH a KZL</t>
  </si>
  <si>
    <t>ZM292</t>
  </si>
  <si>
    <t>Rukavice nitril sempercare bez p. M bal. á 200 ks 30803</t>
  </si>
  <si>
    <t>ZM294</t>
  </si>
  <si>
    <t>Rukavice nitril sempercare bez p. XL bal. á 180 ks 30818</t>
  </si>
  <si>
    <t>ZM291</t>
  </si>
  <si>
    <t>Rukavice nitril sempercare bez p. S bal. á 200 ks 30802</t>
  </si>
  <si>
    <t>ZM293</t>
  </si>
  <si>
    <t>Rukavice nitril sempercare bez p. L bal. á 200 ks 30804</t>
  </si>
  <si>
    <t>ZN125</t>
  </si>
  <si>
    <t>Rukavice operační gammex ansell PF bez pudru 7,5 A351145</t>
  </si>
  <si>
    <t>ZA568</t>
  </si>
  <si>
    <t>Rukavice latex premium s pudrem XS bal. á 100 ks 1016863 - povoleno pouze pro ÚČOCH a KZL</t>
  </si>
  <si>
    <t>ZA997</t>
  </si>
  <si>
    <t>Maska kyslíková dospělá 01.000.08.110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</si>
  <si>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</si>
  <si>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</si>
  <si>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</si>
  <si>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</si>
  <si>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</si>
  <si>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</si>
  <si>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50115090</t>
  </si>
  <si>
    <t>509 SZM zubolékařský (112 02 110)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</si>
  <si>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</si>
  <si>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</si>
  <si>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</si>
  <si>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</si>
  <si>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</si>
  <si>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</si>
  <si>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50115079</t>
  </si>
  <si>
    <t>542 SZM Intenzivní péče (112 02 100)</t>
  </si>
  <si>
    <t>Spotřeba zdravotnického materiálu - orientační přehled</t>
  </si>
  <si>
    <t>ON Data</t>
  </si>
  <si>
    <t>014 - Pracoviště praktického zubního lékaře</t>
  </si>
  <si>
    <t>015 - Pracoviště čelistní ortopedie</t>
  </si>
  <si>
    <t>Zdravotní výkony vykázané na pracovišti v rámci ambulantní péče *</t>
  </si>
  <si>
    <t>2422</t>
  </si>
  <si>
    <t>2423</t>
  </si>
  <si>
    <t>2424</t>
  </si>
  <si>
    <t>2425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</si>
  <si>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</si>
  <si>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</si>
  <si>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</si>
  <si>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</si>
  <si>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</si>
  <si>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014</t>
  </si>
  <si>
    <t>4</t>
  </si>
  <si>
    <t>0060080</t>
  </si>
  <si>
    <t>0071601</t>
  </si>
  <si>
    <t>0080001</t>
  </si>
  <si>
    <t>0080002</t>
  </si>
  <si>
    <t>0080011</t>
  </si>
  <si>
    <t>0080012</t>
  </si>
  <si>
    <t>0080021</t>
  </si>
  <si>
    <t>0080031</t>
  </si>
  <si>
    <t>0080051</t>
  </si>
  <si>
    <t>0080061</t>
  </si>
  <si>
    <t>0081041</t>
  </si>
  <si>
    <t>0081042</t>
  </si>
  <si>
    <t>0081052</t>
  </si>
  <si>
    <t>0081062</t>
  </si>
  <si>
    <t>0081102</t>
  </si>
  <si>
    <t>0081112</t>
  </si>
  <si>
    <t>0081114</t>
  </si>
  <si>
    <t>0081115</t>
  </si>
  <si>
    <t>0081123</t>
  </si>
  <si>
    <t>0081124</t>
  </si>
  <si>
    <t>0081132</t>
  </si>
  <si>
    <t>0081231</t>
  </si>
  <si>
    <t>0081303</t>
  </si>
  <si>
    <t>0081311</t>
  </si>
  <si>
    <t>0081312</t>
  </si>
  <si>
    <t>0081531</t>
  </si>
  <si>
    <t>0081601</t>
  </si>
  <si>
    <t>0081611</t>
  </si>
  <si>
    <t>0081612</t>
  </si>
  <si>
    <t>0081621</t>
  </si>
  <si>
    <t>0081631</t>
  </si>
  <si>
    <t>0082001</t>
  </si>
  <si>
    <t>0082002</t>
  </si>
  <si>
    <t>0082011</t>
  </si>
  <si>
    <t>0082014</t>
  </si>
  <si>
    <t>0082021</t>
  </si>
  <si>
    <t>0082114</t>
  </si>
  <si>
    <t>0082115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</si>
  <si>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</si>
  <si>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</si>
  <si>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</si>
  <si>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</si>
  <si>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</si>
  <si>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</si>
  <si>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</si>
  <si>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</si>
  <si>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0083001</t>
  </si>
  <si>
    <t>0083002</t>
  </si>
  <si>
    <t>0083003</t>
  </si>
  <si>
    <t>0084021</t>
  </si>
  <si>
    <t>0171132</t>
  </si>
  <si>
    <t>0181115</t>
  </si>
  <si>
    <t>0181132</t>
  </si>
  <si>
    <t>0081051</t>
  </si>
  <si>
    <t>0082354</t>
  </si>
  <si>
    <t>0081202</t>
  </si>
  <si>
    <t>0081222</t>
  </si>
  <si>
    <t>0082105</t>
  </si>
  <si>
    <t>0181231</t>
  </si>
  <si>
    <t>0081301</t>
  </si>
  <si>
    <t>0082204</t>
  </si>
  <si>
    <t>0081033</t>
  </si>
  <si>
    <t>0082353</t>
  </si>
  <si>
    <t>0082352</t>
  </si>
  <si>
    <t>0081203</t>
  </si>
  <si>
    <t>0082104</t>
  </si>
  <si>
    <t>0084001</t>
  </si>
  <si>
    <t>0081253</t>
  </si>
  <si>
    <t>0081521</t>
  </si>
  <si>
    <t>0082205</t>
  </si>
  <si>
    <t>V</t>
  </si>
  <si>
    <t>00900</t>
  </si>
  <si>
    <t>KOMPLEXNÍ VYŠETŘENÍ STOMATOLOGEM PŘI REGISTRACI PO</t>
  </si>
  <si>
    <t>00901</t>
  </si>
  <si>
    <t>OPAKOVANÉ KOMPLEXNÍ VYŠETŘENÍ A OŠETŘENÍ REGISTROV</t>
  </si>
  <si>
    <t>00910</t>
  </si>
  <si>
    <t>ZHOTOVENÍ INTRAORÁLNÍHO RENTGENOVÉHO SNÍMKU</t>
  </si>
  <si>
    <t>00911</t>
  </si>
  <si>
    <t>ZHOTOVENÍ EXTRAORÁLNÍHO RENTGENOVÉHO SNÍMKU</t>
  </si>
  <si>
    <t>00916</t>
  </si>
  <si>
    <t>ANESTEZIE NA FORAMEN MANDIBULAE A INFRAORBITALE</t>
  </si>
  <si>
    <t>00920</t>
  </si>
  <si>
    <t>OŠETŘENÍ ZUBNÍHO KAZU - STÁLÝ ZUB - FOTOKOMPOZITNÍ</t>
  </si>
  <si>
    <t>00921</t>
  </si>
  <si>
    <t>OŠETŘENÍ ZUBNÍHO KAZU - STÁLÝ ZUB</t>
  </si>
  <si>
    <t>00925</t>
  </si>
  <si>
    <t>KONZERVATIVNÍ LÉČBA KOMPLIKACÍ ZUBNÍHO KAZU II - S</t>
  </si>
  <si>
    <t>00945</t>
  </si>
  <si>
    <t>CÍLENÉ VYŠETŘENÍ</t>
  </si>
  <si>
    <t>00946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</si>
  <si>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</si>
  <si>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</si>
  <si>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</si>
  <si>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</si>
  <si>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</si>
  <si>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</si>
  <si>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00961</t>
  </si>
  <si>
    <t xml:space="preserve">OŠETŘENÍ KOMPLIKACÍ CHIRURGICKÝCH VÝKONŮ V DUTINĚ </t>
  </si>
  <si>
    <t>00970</t>
  </si>
  <si>
    <t>SEJMUTÍ FIXNÍ NÁHRADY - ZA KAŽDOU PILÍŘOVOU KONSTR</t>
  </si>
  <si>
    <t>00971</t>
  </si>
  <si>
    <t>PROVIZORNÍ OCHRANNÁ KORUNKA</t>
  </si>
  <si>
    <t>09547</t>
  </si>
  <si>
    <t>REGULAČNÍ POPLATEK -- POJIŠTĚNEC OD ÚHRADY POPLATK</t>
  </si>
  <si>
    <t>00974</t>
  </si>
  <si>
    <t>ODEVZDÁNÍ STOMATOLOGICKÉHO VÝROBKU</t>
  </si>
  <si>
    <t>00913</t>
  </si>
  <si>
    <t>ZHOTOVENÍ ORTOPANTOMOGRAMU</t>
  </si>
  <si>
    <t>09543</t>
  </si>
  <si>
    <t>SIGNÁLNÍ VÝKON KLINICKÉHO VYŠETŘENÍ / DO 31.12.201</t>
  </si>
  <si>
    <t>00909</t>
  </si>
  <si>
    <t>KLINICKÉ STOMATOLOGICKÉ VYŠETŘENÍ</t>
  </si>
  <si>
    <t>00914</t>
  </si>
  <si>
    <t>VYHODNOCENÍ ORTOPANTOMOGRAMU</t>
  </si>
  <si>
    <t>99999</t>
  </si>
  <si>
    <t>Nespecifikovany vykon</t>
  </si>
  <si>
    <t>00932</t>
  </si>
  <si>
    <t>LÉČBA CHRONICKÝCH ONEMOCNĚNÍ PARODONTU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</si>
  <si>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</si>
  <si>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</si>
  <si>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</si>
  <si>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</si>
  <si>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</si>
  <si>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</si>
  <si>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00923</t>
  </si>
  <si>
    <t>KONZERVATIVNÍ LÉČBA KOMPLIKACÍ ZUBNÍHO KAZU - STÁL</t>
  </si>
  <si>
    <t>00922</t>
  </si>
  <si>
    <t>OŠETŘENÍ ZUBNÍHO KAZU - DOČASNÝ ZUB</t>
  </si>
  <si>
    <t>00959</t>
  </si>
  <si>
    <t>INTRAORÁLNÍ INCIZE</t>
  </si>
  <si>
    <t>00938</t>
  </si>
  <si>
    <t>PŘECHODNÉ DLAHY KE STABILIZACI ZUBŮ S OSLABENÝM PA</t>
  </si>
  <si>
    <t>00908</t>
  </si>
  <si>
    <t>AKUTNÍ OŠETŘENÍ A VYŠETŘENÍ NEREGISTROVANÉHO POJIŠ</t>
  </si>
  <si>
    <t>00947</t>
  </si>
  <si>
    <t>PÉČE O REGISTROVANÉHO POJIŠTĚNCE NAD 18 LET VĚKU I</t>
  </si>
  <si>
    <t>00902</t>
  </si>
  <si>
    <t>PÉČE O REGISTROVANÉHO POJIŠTĚNCE NAD 18 LET VĚKU</t>
  </si>
  <si>
    <t>00906</t>
  </si>
  <si>
    <t>STOMATOLOGICKÉ OŠETŘENÍ POJIŠTĚNCE DO 6 LET NEBO H</t>
  </si>
  <si>
    <t>00963</t>
  </si>
  <si>
    <t>INJEKCE I.M., I.V., I.D., S.C.</t>
  </si>
  <si>
    <t>00907</t>
  </si>
  <si>
    <t>STOMATOLOGICKÉ OŠETŘENÍ  POJIŠTĚNCE OD 6 DO 15 LET</t>
  </si>
  <si>
    <t>00954</t>
  </si>
  <si>
    <t>KONZERVAČNĚ - CHIRURGICKÁ LÉČBA KOMPLIKACÍ ZUBNÍHO</t>
  </si>
  <si>
    <t>00904</t>
  </si>
  <si>
    <t>STOMATOLOGICKÉ VYŠETŘENÍ REGISTROVANÉHO POJIŠTĚNCE</t>
  </si>
  <si>
    <t>0070001</t>
  </si>
  <si>
    <t>0071112</t>
  </si>
  <si>
    <t>0072001</t>
  </si>
  <si>
    <t>0072041</t>
  </si>
  <si>
    <t>0072301</t>
  </si>
  <si>
    <t>0074001</t>
  </si>
  <si>
    <t>0076081</t>
  </si>
  <si>
    <t>0072311</t>
  </si>
  <si>
    <t>0071111</t>
  </si>
  <si>
    <t>00956</t>
  </si>
  <si>
    <t>00960</t>
  </si>
  <si>
    <t>ZEVNÍ INCIZE</t>
  </si>
  <si>
    <t>00953</t>
  </si>
  <si>
    <t>CHIRURGICKÉ OŠETŘOVÁNÍ RETENCE ZUBŮ</t>
  </si>
  <si>
    <t>00962</t>
  </si>
  <si>
    <t>KONZERVATIVNÍ LÉČBA TEMPOROMANDIBULÁRNÍCH PORUCH</t>
  </si>
  <si>
    <t>00952</t>
  </si>
  <si>
    <t>CHIRURGIE TVRDÝCH TKÁNÍ DUTINY ÚSTNÍ VELKÉHO ROZSA</t>
  </si>
  <si>
    <t>00957</t>
  </si>
  <si>
    <t>TRAUMATOLOGIE TVRDÝCH TKÁNÍ DUTINY ÚSTNÍ MALÉHO RO</t>
  </si>
  <si>
    <t>00912</t>
  </si>
  <si>
    <t>NÁPLŇ SLINNÉ ŽLÁZY KONTRASTNÍ LÁTKOU</t>
  </si>
  <si>
    <t>00924</t>
  </si>
  <si>
    <t>KONZERVATIVNÍ LÉČBA KOMPLIKACÍ ZUBNÍHO KAZU - DOČA</t>
  </si>
  <si>
    <t>00915</t>
  </si>
  <si>
    <t>ZHOTOVENÍ TELERENTGENOVÉHO SNÍMKU LBI</t>
  </si>
  <si>
    <t>00931</t>
  </si>
  <si>
    <t>KOMPLEXNÍ LÉČBA CHRONICKÝCH ONEMOCNĚNÍ PARODONTU</t>
  </si>
  <si>
    <t>00935</t>
  </si>
  <si>
    <t>SUBGINGIVÁLNÍ OŠETŘENÍ</t>
  </si>
  <si>
    <t>00936</t>
  </si>
  <si>
    <t>ODEBRÁNÍ A ZAJIŠTĚNÍ PŘENOSU TRANSPLANTÁTU</t>
  </si>
  <si>
    <t>00940</t>
  </si>
  <si>
    <t>KOMPLEXNÍ VYŠETŘENÍ A NÁVRH LÉČBY ONEMOCNĚNÍ ÚSTNÍ</t>
  </si>
  <si>
    <t>00941</t>
  </si>
  <si>
    <t>KONTROLNÍ VYŠETŘENÍ A LÉČBA ONEMOCNĚNÍ ÚSTNÍ SLIZN</t>
  </si>
  <si>
    <t>00934</t>
  </si>
  <si>
    <t>CHIRURGICKÁ LÉČBA ONEMOCNĚNÍ PARODONTU VELKÉHO ROZ</t>
  </si>
  <si>
    <t>00933</t>
  </si>
  <si>
    <t>CHIRURGICKÁ LÉČBA ONEMOCNĚNÍ PARODONTU MALÉHO ROZS</t>
  </si>
  <si>
    <t>00943</t>
  </si>
  <si>
    <t>MĚŘENÍ GALVANICKÝCH PROUDŮ</t>
  </si>
  <si>
    <t>00903</t>
  </si>
  <si>
    <t>VYŽÁDANÉ VYŠETŘENí ODBORNÍKEM NEBO SPECIALISTOU</t>
  </si>
  <si>
    <t>00937</t>
  </si>
  <si>
    <t>ARTIKULACE CHRUPU</t>
  </si>
  <si>
    <t>015</t>
  </si>
  <si>
    <t>0074021</t>
  </si>
  <si>
    <t>0076001</t>
  </si>
  <si>
    <t>0076011</t>
  </si>
  <si>
    <t>0076012</t>
  </si>
  <si>
    <t>0076014</t>
  </si>
  <si>
    <t>0076017</t>
  </si>
  <si>
    <t>0076030</t>
  </si>
  <si>
    <t>0076031</t>
  </si>
  <si>
    <t>0076033</t>
  </si>
  <si>
    <t>0076034</t>
  </si>
  <si>
    <t>0076037</t>
  </si>
  <si>
    <t>0076041</t>
  </si>
  <si>
    <t>0076070</t>
  </si>
  <si>
    <t>0076071</t>
  </si>
  <si>
    <t>0076080</t>
  </si>
  <si>
    <t>0080004</t>
  </si>
  <si>
    <t>0086001</t>
  </si>
  <si>
    <t>0086021</t>
  </si>
  <si>
    <t>0086031</t>
  </si>
  <si>
    <t>0086034</t>
  </si>
  <si>
    <t>0086037</t>
  </si>
  <si>
    <t>0086041</t>
  </si>
  <si>
    <t>0086071</t>
  </si>
  <si>
    <t>0086080</t>
  </si>
  <si>
    <t>0086081</t>
  </si>
  <si>
    <t>0076010</t>
  </si>
  <si>
    <t>0086070</t>
  </si>
  <si>
    <t>0086030</t>
  </si>
  <si>
    <t>00981</t>
  </si>
  <si>
    <t>DIAGNOSTIKA ORTODONTICKÝCH ANOMÁLIÍ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</si>
  <si>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</si>
  <si>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</si>
  <si>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</si>
  <si>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</si>
  <si>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00986</t>
  </si>
  <si>
    <t>KONTROLA VE FÁZI RETENCE NEBO AKTIVNÍ SLEDOVÁNÍ VE</t>
  </si>
  <si>
    <t>00990</t>
  </si>
  <si>
    <t>DIAGNOSTICKÁ PŘESTAVBA ORTODONTICKÉHO MODELU</t>
  </si>
  <si>
    <t>00994</t>
  </si>
  <si>
    <t>ZAHÁJENÍ LÉČBY ORTODONTICKÝCH ANOMÁLIÍ MALÝM FIXNÍ</t>
  </si>
  <si>
    <t>00982</t>
  </si>
  <si>
    <t>ZAHÁJENÍ LÉČBY ORTODONTICKÝCH ANOMÁLIÍ FIXNÍM ORTO</t>
  </si>
  <si>
    <t>00989</t>
  </si>
  <si>
    <t>ANALÝZA ORTODONTICKÝCH MODELŮ</t>
  </si>
  <si>
    <t>00987</t>
  </si>
  <si>
    <t>STANOVENÍ FÁZE RŮSTU</t>
  </si>
  <si>
    <t>00988</t>
  </si>
  <si>
    <t>ANALÝZA TELERENTGENOVÉHO SNÍMKU LBI</t>
  </si>
  <si>
    <t>00983</t>
  </si>
  <si>
    <t xml:space="preserve">KONTROLA LÉČBY ORTODONTICKÝCH ANOMÁLIÍ S POUŽITÍM </t>
  </si>
  <si>
    <t>00993</t>
  </si>
  <si>
    <t>NAVÁZÁNÍ PARCIÁLNÍHO OBLOUKU</t>
  </si>
  <si>
    <t>Zdravotní výkony + ZUM + ZULP vykázané na pracovišti v rámci ambulantní péče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</si>
</sst>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30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2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1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62" xfId="0" applyNumberFormat="1" applyFont="1" applyFill="1" applyBorder="1"/>
    <xf numFmtId="3" fontId="53" fillId="8" borderId="63" xfId="0" applyNumberFormat="1" applyFont="1" applyFill="1" applyBorder="1"/>
    <xf numFmtId="3" fontId="53" fillId="8" borderId="62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6" xfId="0" applyNumberFormat="1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3" fontId="55" fillId="2" borderId="69" xfId="0" applyNumberFormat="1" applyFont="1" applyFill="1" applyBorder="1" applyAlignment="1">
      <alignment horizontal="center" vertical="center" wrapText="1"/>
    </xf>
    <xf numFmtId="0" fontId="55" fillId="2" borderId="70" xfId="0" applyFont="1" applyFill="1" applyBorder="1" applyAlignment="1">
      <alignment horizontal="center" vertical="center" wrapText="1"/>
    </xf>
    <xf numFmtId="0" fontId="39" fillId="2" borderId="72" xfId="0" applyFont="1" applyFill="1" applyBorder="1" applyAlignment="1"/>
    <xf numFmtId="0" fontId="39" fillId="2" borderId="74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2" xfId="0" applyFont="1" applyFill="1" applyBorder="1" applyAlignment="1"/>
    <xf numFmtId="0" fontId="39" fillId="4" borderId="74" xfId="0" applyFont="1" applyFill="1" applyBorder="1" applyAlignment="1">
      <alignment horizontal="left" indent="1"/>
    </xf>
    <xf numFmtId="0" fontId="39" fillId="4" borderId="85" xfId="0" applyFont="1" applyFill="1" applyBorder="1" applyAlignment="1">
      <alignment horizontal="left" indent="1"/>
    </xf>
    <xf numFmtId="0" fontId="32" fillId="2" borderId="74" xfId="0" quotePrefix="1" applyFont="1" applyFill="1" applyBorder="1" applyAlignment="1">
      <alignment horizontal="left" indent="2"/>
    </xf>
    <xf numFmtId="0" fontId="32" fillId="2" borderId="80" xfId="0" quotePrefix="1" applyFont="1" applyFill="1" applyBorder="1" applyAlignment="1">
      <alignment horizontal="left" indent="2"/>
    </xf>
    <xf numFmtId="0" fontId="39" fillId="2" borderId="72" xfId="0" applyFont="1" applyFill="1" applyBorder="1" applyAlignment="1">
      <alignment horizontal="left" indent="1"/>
    </xf>
    <xf numFmtId="0" fontId="39" fillId="2" borderId="85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0" borderId="90" xfId="0" applyFont="1" applyBorder="1"/>
    <xf numFmtId="3" fontId="32" fillId="0" borderId="90" xfId="0" applyNumberFormat="1" applyFont="1" applyBorder="1"/>
    <xf numFmtId="0" fontId="39" fillId="4" borderId="64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9" xfId="0" applyNumberFormat="1" applyFont="1" applyFill="1" applyBorder="1" applyAlignment="1">
      <alignment horizontal="center" vertical="center"/>
    </xf>
    <xf numFmtId="3" fontId="55" fillId="2" borderId="87" xfId="0" applyNumberFormat="1" applyFont="1" applyFill="1" applyBorder="1" applyAlignment="1">
      <alignment horizontal="center" vertical="center" wrapText="1"/>
    </xf>
    <xf numFmtId="173" fontId="39" fillId="4" borderId="73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4" borderId="67" xfId="0" applyNumberFormat="1" applyFont="1" applyFill="1" applyBorder="1" applyAlignment="1"/>
    <xf numFmtId="173" fontId="39" fillId="0" borderId="75" xfId="0" applyNumberFormat="1" applyFont="1" applyBorder="1"/>
    <xf numFmtId="173" fontId="32" fillId="0" borderId="79" xfId="0" applyNumberFormat="1" applyFont="1" applyBorder="1"/>
    <xf numFmtId="173" fontId="32" fillId="0" borderId="77" xfId="0" applyNumberFormat="1" applyFont="1" applyBorder="1"/>
    <xf numFmtId="173" fontId="39" fillId="0" borderId="86" xfId="0" applyNumberFormat="1" applyFont="1" applyBorder="1"/>
    <xf numFmtId="173" fontId="32" fillId="0" borderId="87" xfId="0" applyNumberFormat="1" applyFont="1" applyBorder="1"/>
    <xf numFmtId="173" fontId="32" fillId="0" borderId="70" xfId="0" applyNumberFormat="1" applyFont="1" applyBorder="1"/>
    <xf numFmtId="173" fontId="39" fillId="2" borderId="88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2" borderId="67" xfId="0" applyNumberFormat="1" applyFont="1" applyFill="1" applyBorder="1" applyAlignment="1"/>
    <xf numFmtId="173" fontId="39" fillId="0" borderId="81" xfId="0" applyNumberFormat="1" applyFont="1" applyBorder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0" borderId="73" xfId="0" applyNumberFormat="1" applyFont="1" applyBorder="1"/>
    <xf numFmtId="173" fontId="32" fillId="0" borderId="89" xfId="0" applyNumberFormat="1" applyFont="1" applyBorder="1"/>
    <xf numFmtId="173" fontId="32" fillId="0" borderId="67" xfId="0" applyNumberFormat="1" applyFont="1" applyBorder="1"/>
    <xf numFmtId="174" fontId="39" fillId="2" borderId="73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2" fillId="2" borderId="67" xfId="0" applyNumberFormat="1" applyFont="1" applyFill="1" applyBorder="1" applyAlignment="1"/>
    <xf numFmtId="174" fontId="39" fillId="0" borderId="75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174" fontId="32" fillId="0" borderId="79" xfId="0" applyNumberFormat="1" applyFont="1" applyBorder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3" xfId="0" applyNumberFormat="1" applyFont="1" applyFill="1" applyBorder="1" applyAlignment="1">
      <alignment horizontal="center"/>
    </xf>
    <xf numFmtId="175" fontId="39" fillId="0" borderId="81" xfId="0" applyNumberFormat="1" applyFont="1" applyBorder="1"/>
    <xf numFmtId="0" fontId="31" fillId="2" borderId="96" xfId="74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8" xfId="0" applyFont="1" applyFill="1" applyBorder="1"/>
    <xf numFmtId="0" fontId="32" fillId="0" borderId="79" xfId="0" applyFont="1" applyBorder="1" applyAlignment="1"/>
    <xf numFmtId="9" fontId="32" fillId="0" borderId="7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90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5" xfId="0" applyNumberFormat="1" applyFont="1" applyBorder="1"/>
    <xf numFmtId="9" fontId="32" fillId="0" borderId="79" xfId="0" applyNumberFormat="1" applyFont="1" applyBorder="1"/>
    <xf numFmtId="9" fontId="32" fillId="0" borderId="77" xfId="0" applyNumberFormat="1" applyFont="1" applyBorder="1"/>
    <xf numFmtId="0" fontId="40" fillId="0" borderId="90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7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65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4" xfId="0" applyNumberFormat="1" applyFont="1" applyFill="1" applyBorder="1" applyAlignment="1">
      <alignment horizontal="center" vertical="top"/>
    </xf>
    <xf numFmtId="0" fontId="31" fillId="2" borderId="64" xfId="0" applyFont="1" applyFill="1" applyBorder="1" applyAlignment="1">
      <alignment horizontal="center" vertical="top" wrapText="1"/>
    </xf>
    <xf numFmtId="3" fontId="33" fillId="9" borderId="101" xfId="0" applyNumberFormat="1" applyFont="1" applyFill="1" applyBorder="1" applyAlignment="1">
      <alignment horizontal="right" vertical="top"/>
    </xf>
    <xf numFmtId="3" fontId="33" fillId="9" borderId="102" xfId="0" applyNumberFormat="1" applyFont="1" applyFill="1" applyBorder="1" applyAlignment="1">
      <alignment horizontal="right" vertical="top"/>
    </xf>
    <xf numFmtId="176" fontId="33" fillId="9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6" fontId="33" fillId="9" borderId="104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3" fontId="35" fillId="9" borderId="107" xfId="0" applyNumberFormat="1" applyFont="1" applyFill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9" borderId="109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0" fontId="33" fillId="9" borderId="104" xfId="0" applyFont="1" applyFill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176" fontId="35" fillId="9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176" fontId="35" fillId="9" borderId="113" xfId="0" applyNumberFormat="1" applyFont="1" applyFill="1" applyBorder="1" applyAlignment="1">
      <alignment horizontal="right" vertical="top"/>
    </xf>
    <xf numFmtId="0" fontId="37" fillId="10" borderId="100" xfId="0" applyFont="1" applyFill="1" applyBorder="1" applyAlignment="1">
      <alignment vertical="top"/>
    </xf>
    <xf numFmtId="0" fontId="37" fillId="10" borderId="100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 indent="6"/>
    </xf>
    <xf numFmtId="0" fontId="37" fillId="10" borderId="100" xfId="0" applyFont="1" applyFill="1" applyBorder="1" applyAlignment="1">
      <alignment vertical="top" indent="8"/>
    </xf>
    <xf numFmtId="0" fontId="38" fillId="10" borderId="105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6"/>
    </xf>
    <xf numFmtId="0" fontId="38" fillId="10" borderId="105" xfId="0" applyFont="1" applyFill="1" applyBorder="1" applyAlignment="1">
      <alignment vertical="top" indent="4"/>
    </xf>
    <xf numFmtId="0" fontId="32" fillId="10" borderId="10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4" xfId="53" applyNumberFormat="1" applyFont="1" applyFill="1" applyBorder="1" applyAlignment="1">
      <alignment horizontal="left"/>
    </xf>
    <xf numFmtId="164" fontId="31" fillId="2" borderId="115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5" xfId="0" applyNumberFormat="1" applyFont="1" applyFill="1" applyBorder="1"/>
    <xf numFmtId="3" fontId="32" fillId="0" borderId="117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76" xfId="0" applyFont="1" applyFill="1" applyBorder="1"/>
    <xf numFmtId="0" fontId="32" fillId="0" borderId="77" xfId="0" applyFont="1" applyFill="1" applyBorder="1"/>
    <xf numFmtId="164" fontId="32" fillId="0" borderId="77" xfId="0" applyNumberFormat="1" applyFont="1" applyFill="1" applyBorder="1"/>
    <xf numFmtId="164" fontId="32" fillId="0" borderId="77" xfId="0" applyNumberFormat="1" applyFont="1" applyFill="1" applyBorder="1" applyAlignment="1">
      <alignment horizontal="right"/>
    </xf>
    <xf numFmtId="3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9" fillId="2" borderId="114" xfId="0" applyFont="1" applyFill="1" applyBorder="1"/>
    <xf numFmtId="3" fontId="39" fillId="2" borderId="116" xfId="0" applyNumberFormat="1" applyFont="1" applyFill="1" applyBorder="1"/>
    <xf numFmtId="9" fontId="39" fillId="2" borderId="61" xfId="0" applyNumberFormat="1" applyFont="1" applyFill="1" applyBorder="1"/>
    <xf numFmtId="3" fontId="39" fillId="2" borderId="55" xfId="0" applyNumberFormat="1" applyFont="1" applyFill="1" applyBorder="1"/>
    <xf numFmtId="9" fontId="32" fillId="0" borderId="115" xfId="0" applyNumberFormat="1" applyFont="1" applyFill="1" applyBorder="1"/>
    <xf numFmtId="9" fontId="32" fillId="0" borderId="67" xfId="0" applyNumberFormat="1" applyFont="1" applyFill="1" applyBorder="1"/>
    <xf numFmtId="9" fontId="32" fillId="0" borderId="70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4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7" xfId="0" applyNumberFormat="1" applyFont="1" applyFill="1" applyBorder="1"/>
    <xf numFmtId="3" fontId="32" fillId="0" borderId="83" xfId="0" applyNumberFormat="1" applyFont="1" applyFill="1" applyBorder="1"/>
    <xf numFmtId="9" fontId="32" fillId="0" borderId="83" xfId="0" applyNumberFormat="1" applyFont="1" applyFill="1" applyBorder="1"/>
    <xf numFmtId="3" fontId="32" fillId="0" borderId="84" xfId="0" applyNumberFormat="1" applyFont="1" applyFill="1" applyBorder="1"/>
    <xf numFmtId="0" fontId="39" fillId="0" borderId="66" xfId="0" applyFont="1" applyFill="1" applyBorder="1"/>
    <xf numFmtId="0" fontId="39" fillId="0" borderId="118" xfId="0" applyFont="1" applyFill="1" applyBorder="1"/>
    <xf numFmtId="0" fontId="39" fillId="2" borderId="115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4" xfId="79" applyFont="1" applyFill="1" applyBorder="1" applyAlignment="1">
      <alignment horizontal="left"/>
    </xf>
    <xf numFmtId="3" fontId="3" fillId="2" borderId="83" xfId="80" applyNumberFormat="1" applyFont="1" applyFill="1" applyBorder="1"/>
    <xf numFmtId="3" fontId="3" fillId="2" borderId="84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9" fontId="3" fillId="2" borderId="84" xfId="8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0" borderId="96" xfId="0" applyFont="1" applyFill="1" applyBorder="1"/>
    <xf numFmtId="0" fontId="39" fillId="0" borderId="95" xfId="0" applyFont="1" applyFill="1" applyBorder="1" applyAlignment="1">
      <alignment horizontal="left" indent="1"/>
    </xf>
    <xf numFmtId="9" fontId="32" fillId="0" borderId="89" xfId="0" applyNumberFormat="1" applyFont="1" applyFill="1" applyBorder="1"/>
    <xf numFmtId="9" fontId="32" fillId="0" borderId="8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3" xfId="0" applyNumberFormat="1" applyFont="1" applyFill="1" applyBorder="1"/>
    <xf numFmtId="9" fontId="32" fillId="0" borderId="92" xfId="0" applyNumberFormat="1" applyFont="1" applyFill="1" applyBorder="1"/>
    <xf numFmtId="173" fontId="39" fillId="4" borderId="119" xfId="0" applyNumberFormat="1" applyFont="1" applyFill="1" applyBorder="1" applyAlignment="1">
      <alignment horizontal="center"/>
    </xf>
    <xf numFmtId="173" fontId="39" fillId="4" borderId="120" xfId="0" applyNumberFormat="1" applyFont="1" applyFill="1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 wrapText="1"/>
    </xf>
    <xf numFmtId="175" fontId="32" fillId="0" borderId="121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173" fontId="32" fillId="0" borderId="124" xfId="0" applyNumberFormat="1" applyFont="1" applyBorder="1" applyAlignment="1">
      <alignment horizontal="right"/>
    </xf>
    <xf numFmtId="0" fontId="39" fillId="2" borderId="93" xfId="0" applyFont="1" applyFill="1" applyBorder="1" applyAlignment="1">
      <alignment horizontal="center" vertical="center"/>
    </xf>
    <xf numFmtId="0" fontId="55" fillId="2" borderId="92" xfId="0" applyFont="1" applyFill="1" applyBorder="1" applyAlignment="1">
      <alignment horizontal="center" vertical="center" wrapText="1"/>
    </xf>
    <xf numFmtId="174" fontId="32" fillId="2" borderId="93" xfId="0" applyNumberFormat="1" applyFont="1" applyFill="1" applyBorder="1" applyAlignment="1"/>
    <xf numFmtId="174" fontId="32" fillId="0" borderId="91" xfId="0" applyNumberFormat="1" applyFont="1" applyBorder="1"/>
    <xf numFmtId="174" fontId="32" fillId="0" borderId="126" xfId="0" applyNumberFormat="1" applyFont="1" applyBorder="1"/>
    <xf numFmtId="173" fontId="39" fillId="4" borderId="93" xfId="0" applyNumberFormat="1" applyFont="1" applyFill="1" applyBorder="1" applyAlignment="1"/>
    <xf numFmtId="173" fontId="32" fillId="0" borderId="91" xfId="0" applyNumberFormat="1" applyFont="1" applyBorder="1"/>
    <xf numFmtId="173" fontId="32" fillId="0" borderId="92" xfId="0" applyNumberFormat="1" applyFont="1" applyBorder="1"/>
    <xf numFmtId="173" fontId="39" fillId="2" borderId="93" xfId="0" applyNumberFormat="1" applyFont="1" applyFill="1" applyBorder="1" applyAlignment="1"/>
    <xf numFmtId="173" fontId="32" fillId="0" borderId="126" xfId="0" applyNumberFormat="1" applyFont="1" applyBorder="1"/>
    <xf numFmtId="173" fontId="32" fillId="0" borderId="93" xfId="0" applyNumberFormat="1" applyFont="1" applyBorder="1"/>
    <xf numFmtId="9" fontId="32" fillId="0" borderId="91" xfId="0" applyNumberFormat="1" applyFont="1" applyBorder="1"/>
    <xf numFmtId="173" fontId="39" fillId="4" borderId="127" xfId="0" applyNumberFormat="1" applyFont="1" applyFill="1" applyBorder="1" applyAlignment="1">
      <alignment horizontal="center"/>
    </xf>
    <xf numFmtId="0" fontId="0" fillId="0" borderId="128" xfId="0" applyBorder="1" applyAlignment="1">
      <alignment horizontal="right"/>
    </xf>
    <xf numFmtId="173" fontId="32" fillId="0" borderId="128" xfId="0" applyNumberFormat="1" applyFont="1" applyBorder="1" applyAlignment="1">
      <alignment horizontal="right"/>
    </xf>
    <xf numFmtId="175" fontId="32" fillId="0" borderId="128" xfId="0" applyNumberFormat="1" applyFont="1" applyBorder="1" applyAlignment="1">
      <alignment horizontal="right"/>
    </xf>
    <xf numFmtId="173" fontId="32" fillId="0" borderId="129" xfId="0" applyNumberFormat="1" applyFont="1" applyBorder="1" applyAlignment="1">
      <alignment horizontal="right"/>
    </xf>
    <xf numFmtId="0" fontId="0" fillId="0" borderId="125" xfId="0" applyBorder="1"/>
    <xf numFmtId="173" fontId="39" fillId="4" borderId="72" xfId="0" applyNumberFormat="1" applyFont="1" applyFill="1" applyBorder="1" applyAlignment="1">
      <alignment horizontal="center"/>
    </xf>
    <xf numFmtId="173" fontId="32" fillId="0" borderId="74" xfId="0" applyNumberFormat="1" applyFont="1" applyBorder="1" applyAlignment="1">
      <alignment horizontal="right"/>
    </xf>
    <xf numFmtId="175" fontId="32" fillId="0" borderId="74" xfId="0" applyNumberFormat="1" applyFont="1" applyBorder="1" applyAlignment="1">
      <alignment horizontal="right"/>
    </xf>
    <xf numFmtId="173" fontId="32" fillId="0" borderId="85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7" xfId="0" applyNumberFormat="1" applyFont="1" applyFill="1" applyBorder="1"/>
    <xf numFmtId="169" fontId="32" fillId="0" borderId="70" xfId="0" applyNumberFormat="1" applyFont="1" applyFill="1" applyBorder="1"/>
    <xf numFmtId="0" fontId="39" fillId="0" borderId="69" xfId="0" applyFont="1" applyFill="1" applyBorder="1"/>
    <xf numFmtId="169" fontId="32" fillId="0" borderId="77" xfId="0" applyNumberFormat="1" applyFont="1" applyFill="1" applyBorder="1"/>
    <xf numFmtId="9" fontId="32" fillId="0" borderId="78" xfId="0" applyNumberFormat="1" applyFont="1" applyFill="1" applyBorder="1"/>
    <xf numFmtId="0" fontId="39" fillId="0" borderId="76" xfId="0" applyFont="1" applyFill="1" applyBorder="1"/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3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0.58768195572452153</c:v>
                </c:pt>
                <c:pt idx="1">
                  <c:v>0.62247978835303841</c:v>
                </c:pt>
                <c:pt idx="2">
                  <c:v>0.61754975132631795</c:v>
                </c:pt>
                <c:pt idx="3">
                  <c:v>0.65428513571097879</c:v>
                </c:pt>
                <c:pt idx="4">
                  <c:v>0.63600361572313735</c:v>
                </c:pt>
                <c:pt idx="5">
                  <c:v>0.59154925526692781</c:v>
                </c:pt>
                <c:pt idx="6">
                  <c:v>0.54352079017866073</c:v>
                </c:pt>
                <c:pt idx="7">
                  <c:v>0.50417663278215907</c:v>
                </c:pt>
                <c:pt idx="8">
                  <c:v>0.49882231682003225</c:v>
                </c:pt>
                <c:pt idx="9">
                  <c:v>0.51001789262735475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411968"/>
        <c:axId val="-2042448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0.49131814037953964</c:v>
                </c:pt>
                <c:pt idx="1">
                  <c:v>0.49131814037953964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417952"/>
        <c:axId val="-20423936"/>
      </c:scatterChart>
      <c:catAx>
        <c:axId val="-20411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2042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4244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20411968"/>
        <c:crosses val="autoZero"/>
        <c:crossBetween val="between"/>
      </c:valAx>
      <c:valAx>
        <c:axId val="-2041795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20423936"/>
        <c:crosses val="max"/>
        <c:crossBetween val="midCat"/>
      </c:valAx>
      <c:valAx>
        <c:axId val="-204239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2041795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5" bestFit="1" customWidth="1"/>
    <col min="2" max="2" width="102.21875" style="115" bestFit="1" customWidth="1"/>
    <col min="3" max="3" width="16.109375" style="47" hidden="1" customWidth="1"/>
    <col min="4" max="16384" width="8.88671875" style="115"/>
  </cols>
  <sheetData>
    <row r="1" spans="1:3" ht="18.600000000000001" customHeight="1" thickBot="1" x14ac:dyDescent="0.4">
      <c r="A1" s="302" t="s">
        <v>93</v>
      </c>
      <c r="B1" s="302"/>
    </row>
    <row r="2" spans="1:3" ht="14.4" customHeight="1" thickBot="1" x14ac:dyDescent="0.35">
      <c r="A2" s="211" t="s">
        <v>255</v>
      </c>
      <c r="B2" s="46"/>
    </row>
    <row r="3" spans="1:3" ht="14.4" customHeight="1" thickBot="1" x14ac:dyDescent="0.35">
      <c r="A3" s="298" t="s">
        <v>120</v>
      </c>
      <c r="B3" s="299"/>
    </row>
    <row r="4" spans="1:3" ht="14.4" customHeight="1" x14ac:dyDescent="0.3">
      <c r="A4" s="128" t="str">
        <f t="shared" ref="A4:A8" si="0">HYPERLINK("#'"&amp;C4&amp;"'!A1",C4)</f>
        <v>Motivace</v>
      </c>
      <c r="B4" s="74" t="s">
        <v>104</v>
      </c>
      <c r="C4" s="47" t="s">
        <v>105</v>
      </c>
    </row>
    <row r="5" spans="1:3" ht="14.4" customHeight="1" x14ac:dyDescent="0.3">
      <c r="A5" s="129" t="str">
        <f t="shared" si="0"/>
        <v>HI</v>
      </c>
      <c r="B5" s="75" t="s">
        <v>117</v>
      </c>
      <c r="C5" s="47" t="s">
        <v>96</v>
      </c>
    </row>
    <row r="6" spans="1:3" ht="14.4" customHeight="1" x14ac:dyDescent="0.3">
      <c r="A6" s="130" t="str">
        <f t="shared" si="0"/>
        <v>HI Graf</v>
      </c>
      <c r="B6" s="76" t="s">
        <v>90</v>
      </c>
      <c r="C6" s="47" t="s">
        <v>97</v>
      </c>
    </row>
    <row r="7" spans="1:3" ht="14.4" customHeight="1" x14ac:dyDescent="0.3">
      <c r="A7" s="130" t="str">
        <f t="shared" si="0"/>
        <v>Man Tab</v>
      </c>
      <c r="B7" s="76" t="s">
        <v>257</v>
      </c>
      <c r="C7" s="47" t="s">
        <v>98</v>
      </c>
    </row>
    <row r="8" spans="1:3" ht="14.4" customHeight="1" thickBot="1" x14ac:dyDescent="0.35">
      <c r="A8" s="131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0" t="s">
        <v>94</v>
      </c>
      <c r="B10" s="299"/>
    </row>
    <row r="11" spans="1:3" ht="14.4" customHeight="1" x14ac:dyDescent="0.3">
      <c r="A11" s="132" t="str">
        <f t="shared" ref="A11" si="1">HYPERLINK("#'"&amp;C11&amp;"'!A1",C11)</f>
        <v>Léky Žádanky</v>
      </c>
      <c r="B11" s="75" t="s">
        <v>118</v>
      </c>
      <c r="C11" s="47" t="s">
        <v>99</v>
      </c>
    </row>
    <row r="12" spans="1:3" ht="14.4" customHeight="1" x14ac:dyDescent="0.3">
      <c r="A12" s="130" t="str">
        <f t="shared" ref="A12:A18" si="2">HYPERLINK("#'"&amp;C12&amp;"'!A1",C12)</f>
        <v>LŽ Detail</v>
      </c>
      <c r="B12" s="76" t="s">
        <v>138</v>
      </c>
      <c r="C12" s="47" t="s">
        <v>100</v>
      </c>
    </row>
    <row r="13" spans="1:3" ht="28.8" customHeight="1" x14ac:dyDescent="0.3">
      <c r="A13" s="130" t="str">
        <f t="shared" si="2"/>
        <v>LŽ PL</v>
      </c>
      <c r="B13" s="447" t="s">
        <v>139</v>
      </c>
      <c r="C13" s="47" t="s">
        <v>124</v>
      </c>
    </row>
    <row r="14" spans="1:3" ht="14.4" customHeight="1" x14ac:dyDescent="0.3">
      <c r="A14" s="130" t="str">
        <f t="shared" si="2"/>
        <v>LŽ PL Detail</v>
      </c>
      <c r="B14" s="76" t="s">
        <v>716</v>
      </c>
      <c r="C14" s="47" t="s">
        <v>125</v>
      </c>
    </row>
    <row r="15" spans="1:3" ht="14.4" customHeight="1" x14ac:dyDescent="0.3">
      <c r="A15" s="130" t="str">
        <f t="shared" si="2"/>
        <v>LŽ Statim</v>
      </c>
      <c r="B15" s="285" t="s">
        <v>218</v>
      </c>
      <c r="C15" s="47" t="s">
        <v>228</v>
      </c>
    </row>
    <row r="16" spans="1:3" ht="14.4" customHeight="1" x14ac:dyDescent="0.3">
      <c r="A16" s="132" t="str">
        <f t="shared" ref="A16" si="3">HYPERLINK("#'"&amp;C16&amp;"'!A1",C16)</f>
        <v>Materiál Žádanky</v>
      </c>
      <c r="B16" s="76" t="s">
        <v>119</v>
      </c>
      <c r="C16" s="47" t="s">
        <v>101</v>
      </c>
    </row>
    <row r="17" spans="1:3" ht="14.4" customHeight="1" x14ac:dyDescent="0.3">
      <c r="A17" s="130" t="str">
        <f t="shared" si="2"/>
        <v>MŽ Detail</v>
      </c>
      <c r="B17" s="76" t="s">
        <v>1936</v>
      </c>
      <c r="C17" s="47" t="s">
        <v>102</v>
      </c>
    </row>
    <row r="18" spans="1:3" ht="14.4" customHeight="1" thickBot="1" x14ac:dyDescent="0.35">
      <c r="A18" s="132" t="str">
        <f t="shared" si="2"/>
        <v>Osobní náklady</v>
      </c>
      <c r="B18" s="76" t="s">
        <v>91</v>
      </c>
      <c r="C18" s="47" t="s">
        <v>103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1" t="s">
        <v>95</v>
      </c>
      <c r="B20" s="299"/>
    </row>
    <row r="21" spans="1:3" ht="14.4" customHeight="1" x14ac:dyDescent="0.3">
      <c r="A21" s="133" t="str">
        <f t="shared" ref="A21:A23" si="4">HYPERLINK("#'"&amp;C21&amp;"'!A1",C21)</f>
        <v>ZV Vykáz.-A</v>
      </c>
      <c r="B21" s="75" t="s">
        <v>1940</v>
      </c>
      <c r="C21" s="47" t="s">
        <v>106</v>
      </c>
    </row>
    <row r="22" spans="1:3" ht="14.4" customHeight="1" x14ac:dyDescent="0.3">
      <c r="A22" s="130" t="str">
        <f t="shared" ref="A22" si="5">HYPERLINK("#'"&amp;C22&amp;"'!A1",C22)</f>
        <v>ZV Vykáz.-A Lékaři</v>
      </c>
      <c r="B22" s="76" t="s">
        <v>1949</v>
      </c>
      <c r="C22" s="47" t="s">
        <v>231</v>
      </c>
    </row>
    <row r="23" spans="1:3" ht="14.4" customHeight="1" x14ac:dyDescent="0.3">
      <c r="A23" s="130" t="str">
        <f t="shared" si="4"/>
        <v>ZV Vykáz.-A Detail</v>
      </c>
      <c r="B23" s="76" t="s">
        <v>2199</v>
      </c>
      <c r="C23" s="47" t="s">
        <v>107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5" bestFit="1" customWidth="1"/>
    <col min="2" max="2" width="8.88671875" style="115" bestFit="1" customWidth="1"/>
    <col min="3" max="3" width="7" style="115" bestFit="1" customWidth="1"/>
    <col min="4" max="4" width="53.44140625" style="115" bestFit="1" customWidth="1"/>
    <col min="5" max="5" width="28.44140625" style="115" bestFit="1" customWidth="1"/>
    <col min="6" max="6" width="6.6640625" style="190" customWidth="1"/>
    <col min="7" max="7" width="10" style="190" customWidth="1"/>
    <col min="8" max="8" width="6.77734375" style="193" bestFit="1" customWidth="1"/>
    <col min="9" max="9" width="6.6640625" style="190" customWidth="1"/>
    <col min="10" max="10" width="10" style="190" customWidth="1"/>
    <col min="11" max="11" width="6.77734375" style="193" bestFit="1" customWidth="1"/>
    <col min="12" max="12" width="6.6640625" style="190" customWidth="1"/>
    <col min="13" max="13" width="10" style="190" customWidth="1"/>
    <col min="14" max="16384" width="8.88671875" style="115"/>
  </cols>
  <sheetData>
    <row r="1" spans="1:13" ht="18.600000000000001" customHeight="1" thickBot="1" x14ac:dyDescent="0.4">
      <c r="A1" s="340" t="s">
        <v>716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02"/>
      <c r="M1" s="302"/>
    </row>
    <row r="2" spans="1:13" ht="14.4" customHeight="1" thickBot="1" x14ac:dyDescent="0.35">
      <c r="A2" s="211" t="s">
        <v>255</v>
      </c>
      <c r="B2" s="189"/>
      <c r="C2" s="189"/>
      <c r="D2" s="189"/>
      <c r="E2" s="189"/>
      <c r="F2" s="197"/>
      <c r="G2" s="197"/>
      <c r="H2" s="198"/>
      <c r="I2" s="197"/>
      <c r="J2" s="197"/>
      <c r="K2" s="198"/>
      <c r="L2" s="197"/>
    </row>
    <row r="3" spans="1:13" ht="14.4" customHeight="1" thickBot="1" x14ac:dyDescent="0.35">
      <c r="E3" s="71" t="s">
        <v>108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12</v>
      </c>
      <c r="J3" s="43">
        <f>SUBTOTAL(9,J6:J1048576)</f>
        <v>1368.2770665111382</v>
      </c>
      <c r="K3" s="44">
        <f>IF(M3=0,0,J3/M3)</f>
        <v>1</v>
      </c>
      <c r="L3" s="43">
        <f>SUBTOTAL(9,L6:L1048576)</f>
        <v>12</v>
      </c>
      <c r="M3" s="45">
        <f>SUBTOTAL(9,M6:M1048576)</f>
        <v>1368.2770665111382</v>
      </c>
    </row>
    <row r="4" spans="1:13" ht="14.4" customHeight="1" thickBot="1" x14ac:dyDescent="0.35">
      <c r="A4" s="41"/>
      <c r="B4" s="41"/>
      <c r="C4" s="41"/>
      <c r="D4" s="41"/>
      <c r="E4" s="42"/>
      <c r="F4" s="344" t="s">
        <v>110</v>
      </c>
      <c r="G4" s="345"/>
      <c r="H4" s="346"/>
      <c r="I4" s="347" t="s">
        <v>109</v>
      </c>
      <c r="J4" s="345"/>
      <c r="K4" s="346"/>
      <c r="L4" s="348" t="s">
        <v>3</v>
      </c>
      <c r="M4" s="349"/>
    </row>
    <row r="5" spans="1:13" ht="14.4" customHeight="1" thickBot="1" x14ac:dyDescent="0.35">
      <c r="A5" s="434" t="s">
        <v>111</v>
      </c>
      <c r="B5" s="454" t="s">
        <v>112</v>
      </c>
      <c r="C5" s="454" t="s">
        <v>58</v>
      </c>
      <c r="D5" s="454" t="s">
        <v>113</v>
      </c>
      <c r="E5" s="454" t="s">
        <v>114</v>
      </c>
      <c r="F5" s="455" t="s">
        <v>15</v>
      </c>
      <c r="G5" s="455" t="s">
        <v>14</v>
      </c>
      <c r="H5" s="436" t="s">
        <v>115</v>
      </c>
      <c r="I5" s="435" t="s">
        <v>15</v>
      </c>
      <c r="J5" s="455" t="s">
        <v>14</v>
      </c>
      <c r="K5" s="436" t="s">
        <v>115</v>
      </c>
      <c r="L5" s="435" t="s">
        <v>15</v>
      </c>
      <c r="M5" s="456" t="s">
        <v>14</v>
      </c>
    </row>
    <row r="6" spans="1:13" ht="14.4" customHeight="1" x14ac:dyDescent="0.3">
      <c r="A6" s="416" t="s">
        <v>449</v>
      </c>
      <c r="B6" s="417" t="s">
        <v>712</v>
      </c>
      <c r="C6" s="417" t="s">
        <v>697</v>
      </c>
      <c r="D6" s="417" t="s">
        <v>713</v>
      </c>
      <c r="E6" s="417" t="s">
        <v>714</v>
      </c>
      <c r="F6" s="420"/>
      <c r="G6" s="420"/>
      <c r="H6" s="439">
        <v>0</v>
      </c>
      <c r="I6" s="420">
        <v>11</v>
      </c>
      <c r="J6" s="420">
        <v>1263.8570665111381</v>
      </c>
      <c r="K6" s="439">
        <v>1</v>
      </c>
      <c r="L6" s="420">
        <v>11</v>
      </c>
      <c r="M6" s="421">
        <v>1263.8570665111381</v>
      </c>
    </row>
    <row r="7" spans="1:13" ht="14.4" customHeight="1" thickBot="1" x14ac:dyDescent="0.35">
      <c r="A7" s="428" t="s">
        <v>449</v>
      </c>
      <c r="B7" s="429" t="s">
        <v>715</v>
      </c>
      <c r="C7" s="429" t="s">
        <v>692</v>
      </c>
      <c r="D7" s="429" t="s">
        <v>693</v>
      </c>
      <c r="E7" s="429" t="s">
        <v>694</v>
      </c>
      <c r="F7" s="432"/>
      <c r="G7" s="432"/>
      <c r="H7" s="440">
        <v>0</v>
      </c>
      <c r="I7" s="432">
        <v>1</v>
      </c>
      <c r="J7" s="432">
        <v>104.42</v>
      </c>
      <c r="K7" s="440">
        <v>1</v>
      </c>
      <c r="L7" s="432">
        <v>1</v>
      </c>
      <c r="M7" s="433">
        <v>104.42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9" customWidth="1"/>
    <col min="2" max="2" width="5.44140625" style="190" bestFit="1" customWidth="1"/>
    <col min="3" max="3" width="6.109375" style="190" bestFit="1" customWidth="1"/>
    <col min="4" max="4" width="7.44140625" style="190" bestFit="1" customWidth="1"/>
    <col min="5" max="5" width="6.21875" style="190" bestFit="1" customWidth="1"/>
    <col min="6" max="6" width="6.33203125" style="193" bestFit="1" customWidth="1"/>
    <col min="7" max="7" width="6.109375" style="193" bestFit="1" customWidth="1"/>
    <col min="8" max="8" width="7.44140625" style="193" bestFit="1" customWidth="1"/>
    <col min="9" max="9" width="6.21875" style="193" bestFit="1" customWidth="1"/>
    <col min="10" max="10" width="5.44140625" style="190" bestFit="1" customWidth="1"/>
    <col min="11" max="11" width="6.109375" style="190" bestFit="1" customWidth="1"/>
    <col min="12" max="12" width="7.44140625" style="190" bestFit="1" customWidth="1"/>
    <col min="13" max="13" width="6.21875" style="190" bestFit="1" customWidth="1"/>
    <col min="14" max="14" width="5.33203125" style="193" bestFit="1" customWidth="1"/>
    <col min="15" max="15" width="6.109375" style="193" bestFit="1" customWidth="1"/>
    <col min="16" max="16" width="7.44140625" style="193" bestFit="1" customWidth="1"/>
    <col min="17" max="17" width="6.21875" style="193" bestFit="1" customWidth="1"/>
    <col min="18" max="16384" width="8.88671875" style="115"/>
  </cols>
  <sheetData>
    <row r="1" spans="1:17" ht="18.600000000000001" customHeight="1" thickBot="1" x14ac:dyDescent="0.4">
      <c r="A1" s="340" t="s">
        <v>218</v>
      </c>
      <c r="B1" s="340"/>
      <c r="C1" s="340"/>
      <c r="D1" s="340"/>
      <c r="E1" s="340"/>
      <c r="F1" s="303"/>
      <c r="G1" s="303"/>
      <c r="H1" s="303"/>
      <c r="I1" s="303"/>
      <c r="J1" s="333"/>
      <c r="K1" s="333"/>
      <c r="L1" s="333"/>
      <c r="M1" s="333"/>
      <c r="N1" s="333"/>
      <c r="O1" s="333"/>
      <c r="P1" s="333"/>
      <c r="Q1" s="333"/>
    </row>
    <row r="2" spans="1:17" ht="14.4" customHeight="1" thickBot="1" x14ac:dyDescent="0.35">
      <c r="A2" s="211" t="s">
        <v>255</v>
      </c>
      <c r="B2" s="197"/>
      <c r="C2" s="197"/>
      <c r="D2" s="197"/>
      <c r="E2" s="197"/>
    </row>
    <row r="3" spans="1:17" ht="14.4" customHeight="1" thickBot="1" x14ac:dyDescent="0.35">
      <c r="A3" s="278" t="s">
        <v>3</v>
      </c>
      <c r="B3" s="282">
        <f>SUM(B6:B1048576)</f>
        <v>842</v>
      </c>
      <c r="C3" s="283">
        <f>SUM(C6:C1048576)</f>
        <v>0</v>
      </c>
      <c r="D3" s="283">
        <f>SUM(D6:D1048576)</f>
        <v>0</v>
      </c>
      <c r="E3" s="284">
        <f>SUM(E6:E1048576)</f>
        <v>0</v>
      </c>
      <c r="F3" s="281">
        <f>IF(SUM($B3:$E3)=0,"",B3/SUM($B3:$E3))</f>
        <v>1</v>
      </c>
      <c r="G3" s="279">
        <f t="shared" ref="G3:I3" si="0">IF(SUM($B3:$E3)=0,"",C3/SUM($B3:$E3))</f>
        <v>0</v>
      </c>
      <c r="H3" s="279">
        <f t="shared" si="0"/>
        <v>0</v>
      </c>
      <c r="I3" s="280">
        <f t="shared" si="0"/>
        <v>0</v>
      </c>
      <c r="J3" s="283">
        <f>SUM(J6:J1048576)</f>
        <v>145</v>
      </c>
      <c r="K3" s="283">
        <f>SUM(K6:K1048576)</f>
        <v>0</v>
      </c>
      <c r="L3" s="283">
        <f>SUM(L6:L1048576)</f>
        <v>0</v>
      </c>
      <c r="M3" s="284">
        <f>SUM(M6:M1048576)</f>
        <v>0</v>
      </c>
      <c r="N3" s="281">
        <f>IF(SUM($J3:$M3)=0,"",J3/SUM($J3:$M3))</f>
        <v>1</v>
      </c>
      <c r="O3" s="279">
        <f t="shared" ref="O3:Q3" si="1">IF(SUM($J3:$M3)=0,"",K3/SUM($J3:$M3))</f>
        <v>0</v>
      </c>
      <c r="P3" s="279">
        <f t="shared" si="1"/>
        <v>0</v>
      </c>
      <c r="Q3" s="280">
        <f t="shared" si="1"/>
        <v>0</v>
      </c>
    </row>
    <row r="4" spans="1:17" ht="14.4" customHeight="1" thickBot="1" x14ac:dyDescent="0.35">
      <c r="A4" s="277"/>
      <c r="B4" s="353" t="s">
        <v>220</v>
      </c>
      <c r="C4" s="354"/>
      <c r="D4" s="354"/>
      <c r="E4" s="355"/>
      <c r="F4" s="350" t="s">
        <v>225</v>
      </c>
      <c r="G4" s="351"/>
      <c r="H4" s="351"/>
      <c r="I4" s="352"/>
      <c r="J4" s="353" t="s">
        <v>226</v>
      </c>
      <c r="K4" s="354"/>
      <c r="L4" s="354"/>
      <c r="M4" s="355"/>
      <c r="N4" s="350" t="s">
        <v>227</v>
      </c>
      <c r="O4" s="351"/>
      <c r="P4" s="351"/>
      <c r="Q4" s="352"/>
    </row>
    <row r="5" spans="1:17" ht="14.4" customHeight="1" thickBot="1" x14ac:dyDescent="0.35">
      <c r="A5" s="457" t="s">
        <v>219</v>
      </c>
      <c r="B5" s="458" t="s">
        <v>221</v>
      </c>
      <c r="C5" s="458" t="s">
        <v>222</v>
      </c>
      <c r="D5" s="458" t="s">
        <v>223</v>
      </c>
      <c r="E5" s="459" t="s">
        <v>224</v>
      </c>
      <c r="F5" s="460" t="s">
        <v>221</v>
      </c>
      <c r="G5" s="461" t="s">
        <v>222</v>
      </c>
      <c r="H5" s="461" t="s">
        <v>223</v>
      </c>
      <c r="I5" s="462" t="s">
        <v>224</v>
      </c>
      <c r="J5" s="458" t="s">
        <v>221</v>
      </c>
      <c r="K5" s="458" t="s">
        <v>222</v>
      </c>
      <c r="L5" s="458" t="s">
        <v>223</v>
      </c>
      <c r="M5" s="459" t="s">
        <v>224</v>
      </c>
      <c r="N5" s="460" t="s">
        <v>221</v>
      </c>
      <c r="O5" s="461" t="s">
        <v>222</v>
      </c>
      <c r="P5" s="461" t="s">
        <v>223</v>
      </c>
      <c r="Q5" s="462" t="s">
        <v>224</v>
      </c>
    </row>
    <row r="6" spans="1:17" ht="14.4" customHeight="1" x14ac:dyDescent="0.3">
      <c r="A6" s="465" t="s">
        <v>717</v>
      </c>
      <c r="B6" s="469"/>
      <c r="C6" s="420"/>
      <c r="D6" s="420"/>
      <c r="E6" s="421"/>
      <c r="F6" s="467"/>
      <c r="G6" s="439"/>
      <c r="H6" s="439"/>
      <c r="I6" s="471"/>
      <c r="J6" s="469"/>
      <c r="K6" s="420"/>
      <c r="L6" s="420"/>
      <c r="M6" s="421"/>
      <c r="N6" s="467"/>
      <c r="O6" s="439"/>
      <c r="P6" s="439"/>
      <c r="Q6" s="463"/>
    </row>
    <row r="7" spans="1:17" ht="14.4" customHeight="1" thickBot="1" x14ac:dyDescent="0.35">
      <c r="A7" s="466" t="s">
        <v>718</v>
      </c>
      <c r="B7" s="470">
        <v>842</v>
      </c>
      <c r="C7" s="432"/>
      <c r="D7" s="432"/>
      <c r="E7" s="433"/>
      <c r="F7" s="468">
        <v>1</v>
      </c>
      <c r="G7" s="440">
        <v>0</v>
      </c>
      <c r="H7" s="440">
        <v>0</v>
      </c>
      <c r="I7" s="472">
        <v>0</v>
      </c>
      <c r="J7" s="470">
        <v>145</v>
      </c>
      <c r="K7" s="432"/>
      <c r="L7" s="432"/>
      <c r="M7" s="433"/>
      <c r="N7" s="468">
        <v>1</v>
      </c>
      <c r="O7" s="440">
        <v>0</v>
      </c>
      <c r="P7" s="440">
        <v>0</v>
      </c>
      <c r="Q7" s="46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1" customWidth="1"/>
    <col min="2" max="2" width="61.109375" style="191" customWidth="1"/>
    <col min="3" max="3" width="9.5546875" style="115" customWidth="1"/>
    <col min="4" max="4" width="9.5546875" style="192" customWidth="1"/>
    <col min="5" max="5" width="2.21875" style="192" customWidth="1"/>
    <col min="6" max="6" width="9.5546875" style="193" customWidth="1"/>
    <col min="7" max="7" width="9.5546875" style="190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1" t="s">
        <v>119</v>
      </c>
      <c r="B1" s="332"/>
      <c r="C1" s="332"/>
      <c r="D1" s="332"/>
      <c r="E1" s="332"/>
      <c r="F1" s="332"/>
      <c r="G1" s="303"/>
      <c r="H1" s="333"/>
      <c r="I1" s="333"/>
    </row>
    <row r="2" spans="1:10" ht="14.4" customHeight="1" thickBot="1" x14ac:dyDescent="0.35">
      <c r="A2" s="211" t="s">
        <v>255</v>
      </c>
      <c r="B2" s="189"/>
      <c r="C2" s="189"/>
      <c r="D2" s="189"/>
      <c r="E2" s="189"/>
      <c r="F2" s="189"/>
    </row>
    <row r="3" spans="1:10" ht="14.4" customHeight="1" thickBot="1" x14ac:dyDescent="0.35">
      <c r="A3" s="211"/>
      <c r="B3" s="189"/>
      <c r="C3" s="269">
        <v>2013</v>
      </c>
      <c r="D3" s="270">
        <v>2014</v>
      </c>
      <c r="E3" s="7"/>
      <c r="F3" s="326">
        <v>2015</v>
      </c>
      <c r="G3" s="327"/>
      <c r="H3" s="327"/>
      <c r="I3" s="328"/>
    </row>
    <row r="4" spans="1:10" ht="14.4" customHeight="1" thickBot="1" x14ac:dyDescent="0.35">
      <c r="A4" s="274" t="s">
        <v>0</v>
      </c>
      <c r="B4" s="275" t="s">
        <v>217</v>
      </c>
      <c r="C4" s="329" t="s">
        <v>60</v>
      </c>
      <c r="D4" s="330"/>
      <c r="E4" s="276"/>
      <c r="F4" s="271" t="s">
        <v>60</v>
      </c>
      <c r="G4" s="272" t="s">
        <v>61</v>
      </c>
      <c r="H4" s="272" t="s">
        <v>55</v>
      </c>
      <c r="I4" s="273" t="s">
        <v>62</v>
      </c>
    </row>
    <row r="5" spans="1:10" ht="14.4" customHeight="1" x14ac:dyDescent="0.3">
      <c r="A5" s="404" t="s">
        <v>444</v>
      </c>
      <c r="B5" s="405" t="s">
        <v>445</v>
      </c>
      <c r="C5" s="406" t="s">
        <v>446</v>
      </c>
      <c r="D5" s="406" t="s">
        <v>446</v>
      </c>
      <c r="E5" s="406"/>
      <c r="F5" s="406" t="s">
        <v>446</v>
      </c>
      <c r="G5" s="406" t="s">
        <v>446</v>
      </c>
      <c r="H5" s="406" t="s">
        <v>446</v>
      </c>
      <c r="I5" s="407" t="s">
        <v>446</v>
      </c>
      <c r="J5" s="408" t="s">
        <v>56</v>
      </c>
    </row>
    <row r="6" spans="1:10" ht="14.4" customHeight="1" x14ac:dyDescent="0.3">
      <c r="A6" s="404" t="s">
        <v>444</v>
      </c>
      <c r="B6" s="405" t="s">
        <v>270</v>
      </c>
      <c r="C6" s="406">
        <v>2.4112099999999996</v>
      </c>
      <c r="D6" s="406">
        <v>0</v>
      </c>
      <c r="E6" s="406"/>
      <c r="F6" s="406" t="s">
        <v>446</v>
      </c>
      <c r="G6" s="406" t="s">
        <v>446</v>
      </c>
      <c r="H6" s="406" t="s">
        <v>446</v>
      </c>
      <c r="I6" s="407" t="s">
        <v>446</v>
      </c>
      <c r="J6" s="408" t="s">
        <v>1</v>
      </c>
    </row>
    <row r="7" spans="1:10" ht="14.4" customHeight="1" x14ac:dyDescent="0.3">
      <c r="A7" s="404" t="s">
        <v>444</v>
      </c>
      <c r="B7" s="405" t="s">
        <v>271</v>
      </c>
      <c r="C7" s="406">
        <v>0.22645999999999999</v>
      </c>
      <c r="D7" s="406">
        <v>0</v>
      </c>
      <c r="E7" s="406"/>
      <c r="F7" s="406" t="s">
        <v>446</v>
      </c>
      <c r="G7" s="406" t="s">
        <v>446</v>
      </c>
      <c r="H7" s="406" t="s">
        <v>446</v>
      </c>
      <c r="I7" s="407" t="s">
        <v>446</v>
      </c>
      <c r="J7" s="408" t="s">
        <v>1</v>
      </c>
    </row>
    <row r="8" spans="1:10" ht="14.4" customHeight="1" x14ac:dyDescent="0.3">
      <c r="A8" s="404" t="s">
        <v>444</v>
      </c>
      <c r="B8" s="405" t="s">
        <v>272</v>
      </c>
      <c r="C8" s="406">
        <v>0.32429999999999998</v>
      </c>
      <c r="D8" s="406">
        <v>0.77522999999999997</v>
      </c>
      <c r="E8" s="406"/>
      <c r="F8" s="406">
        <v>1.2523500000000001</v>
      </c>
      <c r="G8" s="406">
        <v>0.64602497965166661</v>
      </c>
      <c r="H8" s="406">
        <v>0.60632502034833347</v>
      </c>
      <c r="I8" s="407">
        <v>1.938547330902376</v>
      </c>
      <c r="J8" s="408" t="s">
        <v>1</v>
      </c>
    </row>
    <row r="9" spans="1:10" ht="14.4" customHeight="1" x14ac:dyDescent="0.3">
      <c r="A9" s="404" t="s">
        <v>444</v>
      </c>
      <c r="B9" s="405" t="s">
        <v>273</v>
      </c>
      <c r="C9" s="406">
        <v>40.091980000000007</v>
      </c>
      <c r="D9" s="406">
        <v>48.91104</v>
      </c>
      <c r="E9" s="406"/>
      <c r="F9" s="406">
        <v>56.458899999998991</v>
      </c>
      <c r="G9" s="406">
        <v>50.833331732205835</v>
      </c>
      <c r="H9" s="406">
        <v>5.625568267793156</v>
      </c>
      <c r="I9" s="407">
        <v>1.1106669202292132</v>
      </c>
      <c r="J9" s="408" t="s">
        <v>1</v>
      </c>
    </row>
    <row r="10" spans="1:10" ht="14.4" customHeight="1" x14ac:dyDescent="0.3">
      <c r="A10" s="404" t="s">
        <v>444</v>
      </c>
      <c r="B10" s="405" t="s">
        <v>274</v>
      </c>
      <c r="C10" s="406">
        <v>59.51858</v>
      </c>
      <c r="D10" s="406">
        <v>70.221890000000002</v>
      </c>
      <c r="E10" s="406"/>
      <c r="F10" s="406">
        <v>57.674399999999991</v>
      </c>
      <c r="G10" s="406">
        <v>73.333331023510837</v>
      </c>
      <c r="H10" s="406">
        <v>-15.658931023510846</v>
      </c>
      <c r="I10" s="407">
        <v>0.78646911568096434</v>
      </c>
      <c r="J10" s="408" t="s">
        <v>1</v>
      </c>
    </row>
    <row r="11" spans="1:10" ht="14.4" customHeight="1" x14ac:dyDescent="0.3">
      <c r="A11" s="404" t="s">
        <v>444</v>
      </c>
      <c r="B11" s="405" t="s">
        <v>275</v>
      </c>
      <c r="C11" s="406">
        <v>54.186489999999992</v>
      </c>
      <c r="D11" s="406">
        <v>60.592490000000005</v>
      </c>
      <c r="E11" s="406"/>
      <c r="F11" s="406">
        <v>60.114990000000006</v>
      </c>
      <c r="G11" s="406">
        <v>62.499998031400843</v>
      </c>
      <c r="H11" s="406">
        <v>-2.3850080314008366</v>
      </c>
      <c r="I11" s="407">
        <v>0.96183987029563467</v>
      </c>
      <c r="J11" s="408" t="s">
        <v>1</v>
      </c>
    </row>
    <row r="12" spans="1:10" ht="14.4" customHeight="1" x14ac:dyDescent="0.3">
      <c r="A12" s="404" t="s">
        <v>444</v>
      </c>
      <c r="B12" s="405" t="s">
        <v>276</v>
      </c>
      <c r="C12" s="406">
        <v>3.9029999999989999</v>
      </c>
      <c r="D12" s="406">
        <v>4.4796000000000005</v>
      </c>
      <c r="E12" s="406"/>
      <c r="F12" s="406">
        <v>4.8167999999999997</v>
      </c>
      <c r="G12" s="406">
        <v>4.9999998425116665</v>
      </c>
      <c r="H12" s="406">
        <v>-0.18319984251166677</v>
      </c>
      <c r="I12" s="407">
        <v>0.96336003034359308</v>
      </c>
      <c r="J12" s="408" t="s">
        <v>1</v>
      </c>
    </row>
    <row r="13" spans="1:10" ht="14.4" customHeight="1" x14ac:dyDescent="0.3">
      <c r="A13" s="404" t="s">
        <v>444</v>
      </c>
      <c r="B13" s="405" t="s">
        <v>277</v>
      </c>
      <c r="C13" s="406">
        <v>119.4067</v>
      </c>
      <c r="D13" s="406">
        <v>144.30207999999999</v>
      </c>
      <c r="E13" s="406"/>
      <c r="F13" s="406">
        <v>143.84966000000003</v>
      </c>
      <c r="G13" s="406">
        <v>149.16666196827833</v>
      </c>
      <c r="H13" s="406">
        <v>-5.317001968278305</v>
      </c>
      <c r="I13" s="407">
        <v>0.96435529294468614</v>
      </c>
      <c r="J13" s="408" t="s">
        <v>1</v>
      </c>
    </row>
    <row r="14" spans="1:10" ht="14.4" customHeight="1" x14ac:dyDescent="0.3">
      <c r="A14" s="404" t="s">
        <v>444</v>
      </c>
      <c r="B14" s="405" t="s">
        <v>719</v>
      </c>
      <c r="C14" s="406">
        <v>0</v>
      </c>
      <c r="D14" s="406" t="s">
        <v>446</v>
      </c>
      <c r="E14" s="406"/>
      <c r="F14" s="406" t="s">
        <v>446</v>
      </c>
      <c r="G14" s="406" t="s">
        <v>446</v>
      </c>
      <c r="H14" s="406" t="s">
        <v>446</v>
      </c>
      <c r="I14" s="407" t="s">
        <v>446</v>
      </c>
      <c r="J14" s="408" t="s">
        <v>1</v>
      </c>
    </row>
    <row r="15" spans="1:10" ht="14.4" customHeight="1" x14ac:dyDescent="0.3">
      <c r="A15" s="404" t="s">
        <v>444</v>
      </c>
      <c r="B15" s="405" t="s">
        <v>278</v>
      </c>
      <c r="C15" s="406" t="s">
        <v>446</v>
      </c>
      <c r="D15" s="406" t="s">
        <v>446</v>
      </c>
      <c r="E15" s="406"/>
      <c r="F15" s="406">
        <v>7.4749999999999997E-2</v>
      </c>
      <c r="G15" s="406">
        <v>0</v>
      </c>
      <c r="H15" s="406">
        <v>7.4749999999999997E-2</v>
      </c>
      <c r="I15" s="407" t="s">
        <v>446</v>
      </c>
      <c r="J15" s="408" t="s">
        <v>1</v>
      </c>
    </row>
    <row r="16" spans="1:10" ht="14.4" customHeight="1" x14ac:dyDescent="0.3">
      <c r="A16" s="404" t="s">
        <v>444</v>
      </c>
      <c r="B16" s="405" t="s">
        <v>279</v>
      </c>
      <c r="C16" s="406">
        <v>2846.1860100000004</v>
      </c>
      <c r="D16" s="406">
        <v>2838.5950300000004</v>
      </c>
      <c r="E16" s="406"/>
      <c r="F16" s="406">
        <v>2713.9500900000003</v>
      </c>
      <c r="G16" s="406">
        <v>2898.3332420428583</v>
      </c>
      <c r="H16" s="406">
        <v>-184.383152042858</v>
      </c>
      <c r="I16" s="407">
        <v>0.93638303926952937</v>
      </c>
      <c r="J16" s="408" t="s">
        <v>1</v>
      </c>
    </row>
    <row r="17" spans="1:10" ht="14.4" customHeight="1" x14ac:dyDescent="0.3">
      <c r="A17" s="404" t="s">
        <v>444</v>
      </c>
      <c r="B17" s="405" t="s">
        <v>447</v>
      </c>
      <c r="C17" s="406">
        <v>3126.2547299999992</v>
      </c>
      <c r="D17" s="406">
        <v>3167.8773600000004</v>
      </c>
      <c r="E17" s="406"/>
      <c r="F17" s="406">
        <v>3038.1919399999992</v>
      </c>
      <c r="G17" s="406">
        <v>3239.8125896204174</v>
      </c>
      <c r="H17" s="406">
        <v>-201.62064962041813</v>
      </c>
      <c r="I17" s="407">
        <v>0.9377678047593363</v>
      </c>
      <c r="J17" s="408" t="s">
        <v>448</v>
      </c>
    </row>
    <row r="19" spans="1:10" ht="14.4" customHeight="1" x14ac:dyDescent="0.3">
      <c r="A19" s="404" t="s">
        <v>444</v>
      </c>
      <c r="B19" s="405" t="s">
        <v>445</v>
      </c>
      <c r="C19" s="406" t="s">
        <v>446</v>
      </c>
      <c r="D19" s="406" t="s">
        <v>446</v>
      </c>
      <c r="E19" s="406"/>
      <c r="F19" s="406" t="s">
        <v>446</v>
      </c>
      <c r="G19" s="406" t="s">
        <v>446</v>
      </c>
      <c r="H19" s="406" t="s">
        <v>446</v>
      </c>
      <c r="I19" s="407" t="s">
        <v>446</v>
      </c>
      <c r="J19" s="408" t="s">
        <v>56</v>
      </c>
    </row>
    <row r="20" spans="1:10" ht="14.4" customHeight="1" x14ac:dyDescent="0.3">
      <c r="A20" s="404" t="s">
        <v>449</v>
      </c>
      <c r="B20" s="405" t="s">
        <v>450</v>
      </c>
      <c r="C20" s="406" t="s">
        <v>446</v>
      </c>
      <c r="D20" s="406" t="s">
        <v>446</v>
      </c>
      <c r="E20" s="406"/>
      <c r="F20" s="406" t="s">
        <v>446</v>
      </c>
      <c r="G20" s="406" t="s">
        <v>446</v>
      </c>
      <c r="H20" s="406" t="s">
        <v>446</v>
      </c>
      <c r="I20" s="407" t="s">
        <v>446</v>
      </c>
      <c r="J20" s="408" t="s">
        <v>0</v>
      </c>
    </row>
    <row r="21" spans="1:10" ht="14.4" customHeight="1" x14ac:dyDescent="0.3">
      <c r="A21" s="404" t="s">
        <v>449</v>
      </c>
      <c r="B21" s="405" t="s">
        <v>270</v>
      </c>
      <c r="C21" s="406">
        <v>2.4112099999999996</v>
      </c>
      <c r="D21" s="406">
        <v>0</v>
      </c>
      <c r="E21" s="406"/>
      <c r="F21" s="406" t="s">
        <v>446</v>
      </c>
      <c r="G21" s="406" t="s">
        <v>446</v>
      </c>
      <c r="H21" s="406" t="s">
        <v>446</v>
      </c>
      <c r="I21" s="407" t="s">
        <v>446</v>
      </c>
      <c r="J21" s="408" t="s">
        <v>1</v>
      </c>
    </row>
    <row r="22" spans="1:10" ht="14.4" customHeight="1" x14ac:dyDescent="0.3">
      <c r="A22" s="404" t="s">
        <v>449</v>
      </c>
      <c r="B22" s="405" t="s">
        <v>271</v>
      </c>
      <c r="C22" s="406">
        <v>0.22645999999999999</v>
      </c>
      <c r="D22" s="406">
        <v>0</v>
      </c>
      <c r="E22" s="406"/>
      <c r="F22" s="406" t="s">
        <v>446</v>
      </c>
      <c r="G22" s="406" t="s">
        <v>446</v>
      </c>
      <c r="H22" s="406" t="s">
        <v>446</v>
      </c>
      <c r="I22" s="407" t="s">
        <v>446</v>
      </c>
      <c r="J22" s="408" t="s">
        <v>1</v>
      </c>
    </row>
    <row r="23" spans="1:10" ht="14.4" customHeight="1" x14ac:dyDescent="0.3">
      <c r="A23" s="404" t="s">
        <v>449</v>
      </c>
      <c r="B23" s="405" t="s">
        <v>272</v>
      </c>
      <c r="C23" s="406">
        <v>0.32429999999999998</v>
      </c>
      <c r="D23" s="406">
        <v>0.77522999999999997</v>
      </c>
      <c r="E23" s="406"/>
      <c r="F23" s="406">
        <v>1.2523500000000001</v>
      </c>
      <c r="G23" s="406">
        <v>0.64602497965166661</v>
      </c>
      <c r="H23" s="406">
        <v>0.60632502034833347</v>
      </c>
      <c r="I23" s="407">
        <v>1.938547330902376</v>
      </c>
      <c r="J23" s="408" t="s">
        <v>1</v>
      </c>
    </row>
    <row r="24" spans="1:10" ht="14.4" customHeight="1" x14ac:dyDescent="0.3">
      <c r="A24" s="404" t="s">
        <v>449</v>
      </c>
      <c r="B24" s="405" t="s">
        <v>273</v>
      </c>
      <c r="C24" s="406">
        <v>40.091980000000007</v>
      </c>
      <c r="D24" s="406">
        <v>48.91104</v>
      </c>
      <c r="E24" s="406"/>
      <c r="F24" s="406">
        <v>56.458899999998991</v>
      </c>
      <c r="G24" s="406">
        <v>50.833331732205835</v>
      </c>
      <c r="H24" s="406">
        <v>5.625568267793156</v>
      </c>
      <c r="I24" s="407">
        <v>1.1106669202292132</v>
      </c>
      <c r="J24" s="408" t="s">
        <v>1</v>
      </c>
    </row>
    <row r="25" spans="1:10" ht="14.4" customHeight="1" x14ac:dyDescent="0.3">
      <c r="A25" s="404" t="s">
        <v>449</v>
      </c>
      <c r="B25" s="405" t="s">
        <v>274</v>
      </c>
      <c r="C25" s="406">
        <v>59.51858</v>
      </c>
      <c r="D25" s="406">
        <v>70.221890000000002</v>
      </c>
      <c r="E25" s="406"/>
      <c r="F25" s="406">
        <v>57.674399999999991</v>
      </c>
      <c r="G25" s="406">
        <v>73.333331023510837</v>
      </c>
      <c r="H25" s="406">
        <v>-15.658931023510846</v>
      </c>
      <c r="I25" s="407">
        <v>0.78646911568096434</v>
      </c>
      <c r="J25" s="408" t="s">
        <v>1</v>
      </c>
    </row>
    <row r="26" spans="1:10" ht="14.4" customHeight="1" x14ac:dyDescent="0.3">
      <c r="A26" s="404" t="s">
        <v>449</v>
      </c>
      <c r="B26" s="405" t="s">
        <v>275</v>
      </c>
      <c r="C26" s="406">
        <v>54.186489999999992</v>
      </c>
      <c r="D26" s="406">
        <v>60.592490000000005</v>
      </c>
      <c r="E26" s="406"/>
      <c r="F26" s="406">
        <v>60.114990000000006</v>
      </c>
      <c r="G26" s="406">
        <v>62.499998031400843</v>
      </c>
      <c r="H26" s="406">
        <v>-2.3850080314008366</v>
      </c>
      <c r="I26" s="407">
        <v>0.96183987029563467</v>
      </c>
      <c r="J26" s="408" t="s">
        <v>1</v>
      </c>
    </row>
    <row r="27" spans="1:10" ht="14.4" customHeight="1" x14ac:dyDescent="0.3">
      <c r="A27" s="404" t="s">
        <v>449</v>
      </c>
      <c r="B27" s="405" t="s">
        <v>276</v>
      </c>
      <c r="C27" s="406">
        <v>3.9029999999989999</v>
      </c>
      <c r="D27" s="406">
        <v>4.4796000000000005</v>
      </c>
      <c r="E27" s="406"/>
      <c r="F27" s="406">
        <v>4.8167999999999997</v>
      </c>
      <c r="G27" s="406">
        <v>4.9999998425116665</v>
      </c>
      <c r="H27" s="406">
        <v>-0.18319984251166677</v>
      </c>
      <c r="I27" s="407">
        <v>0.96336003034359308</v>
      </c>
      <c r="J27" s="408" t="s">
        <v>1</v>
      </c>
    </row>
    <row r="28" spans="1:10" ht="14.4" customHeight="1" x14ac:dyDescent="0.3">
      <c r="A28" s="404" t="s">
        <v>449</v>
      </c>
      <c r="B28" s="405" t="s">
        <v>277</v>
      </c>
      <c r="C28" s="406">
        <v>119.4067</v>
      </c>
      <c r="D28" s="406">
        <v>144.30207999999999</v>
      </c>
      <c r="E28" s="406"/>
      <c r="F28" s="406">
        <v>143.84966000000003</v>
      </c>
      <c r="G28" s="406">
        <v>149.16666196827833</v>
      </c>
      <c r="H28" s="406">
        <v>-5.317001968278305</v>
      </c>
      <c r="I28" s="407">
        <v>0.96435529294468614</v>
      </c>
      <c r="J28" s="408" t="s">
        <v>1</v>
      </c>
    </row>
    <row r="29" spans="1:10" ht="14.4" customHeight="1" x14ac:dyDescent="0.3">
      <c r="A29" s="404" t="s">
        <v>449</v>
      </c>
      <c r="B29" s="405" t="s">
        <v>719</v>
      </c>
      <c r="C29" s="406">
        <v>0</v>
      </c>
      <c r="D29" s="406" t="s">
        <v>446</v>
      </c>
      <c r="E29" s="406"/>
      <c r="F29" s="406" t="s">
        <v>446</v>
      </c>
      <c r="G29" s="406" t="s">
        <v>446</v>
      </c>
      <c r="H29" s="406" t="s">
        <v>446</v>
      </c>
      <c r="I29" s="407" t="s">
        <v>446</v>
      </c>
      <c r="J29" s="408" t="s">
        <v>1</v>
      </c>
    </row>
    <row r="30" spans="1:10" ht="14.4" customHeight="1" x14ac:dyDescent="0.3">
      <c r="A30" s="404" t="s">
        <v>449</v>
      </c>
      <c r="B30" s="405" t="s">
        <v>278</v>
      </c>
      <c r="C30" s="406" t="s">
        <v>446</v>
      </c>
      <c r="D30" s="406" t="s">
        <v>446</v>
      </c>
      <c r="E30" s="406"/>
      <c r="F30" s="406">
        <v>7.4749999999999997E-2</v>
      </c>
      <c r="G30" s="406">
        <v>0</v>
      </c>
      <c r="H30" s="406">
        <v>7.4749999999999997E-2</v>
      </c>
      <c r="I30" s="407" t="s">
        <v>446</v>
      </c>
      <c r="J30" s="408" t="s">
        <v>1</v>
      </c>
    </row>
    <row r="31" spans="1:10" ht="14.4" customHeight="1" x14ac:dyDescent="0.3">
      <c r="A31" s="404" t="s">
        <v>449</v>
      </c>
      <c r="B31" s="405" t="s">
        <v>279</v>
      </c>
      <c r="C31" s="406">
        <v>2846.1860100000004</v>
      </c>
      <c r="D31" s="406">
        <v>2838.5950300000004</v>
      </c>
      <c r="E31" s="406"/>
      <c r="F31" s="406">
        <v>2713.9500900000003</v>
      </c>
      <c r="G31" s="406">
        <v>2898.3332420428583</v>
      </c>
      <c r="H31" s="406">
        <v>-184.383152042858</v>
      </c>
      <c r="I31" s="407">
        <v>0.93638303926952937</v>
      </c>
      <c r="J31" s="408" t="s">
        <v>1</v>
      </c>
    </row>
    <row r="32" spans="1:10" ht="14.4" customHeight="1" x14ac:dyDescent="0.3">
      <c r="A32" s="404" t="s">
        <v>449</v>
      </c>
      <c r="B32" s="405" t="s">
        <v>451</v>
      </c>
      <c r="C32" s="406">
        <v>3126.2547299999992</v>
      </c>
      <c r="D32" s="406">
        <v>3167.8773600000004</v>
      </c>
      <c r="E32" s="406"/>
      <c r="F32" s="406">
        <v>3038.1919399999992</v>
      </c>
      <c r="G32" s="406">
        <v>3239.8125896204174</v>
      </c>
      <c r="H32" s="406">
        <v>-201.62064962041813</v>
      </c>
      <c r="I32" s="407">
        <v>0.9377678047593363</v>
      </c>
      <c r="J32" s="408" t="s">
        <v>452</v>
      </c>
    </row>
    <row r="33" spans="1:10" ht="14.4" customHeight="1" x14ac:dyDescent="0.3">
      <c r="A33" s="404" t="s">
        <v>446</v>
      </c>
      <c r="B33" s="405" t="s">
        <v>446</v>
      </c>
      <c r="C33" s="406" t="s">
        <v>446</v>
      </c>
      <c r="D33" s="406" t="s">
        <v>446</v>
      </c>
      <c r="E33" s="406"/>
      <c r="F33" s="406" t="s">
        <v>446</v>
      </c>
      <c r="G33" s="406" t="s">
        <v>446</v>
      </c>
      <c r="H33" s="406" t="s">
        <v>446</v>
      </c>
      <c r="I33" s="407" t="s">
        <v>446</v>
      </c>
      <c r="J33" s="408" t="s">
        <v>453</v>
      </c>
    </row>
    <row r="34" spans="1:10" ht="14.4" customHeight="1" x14ac:dyDescent="0.3">
      <c r="A34" s="404" t="s">
        <v>720</v>
      </c>
      <c r="B34" s="405" t="s">
        <v>721</v>
      </c>
      <c r="C34" s="406" t="s">
        <v>446</v>
      </c>
      <c r="D34" s="406" t="s">
        <v>446</v>
      </c>
      <c r="E34" s="406"/>
      <c r="F34" s="406" t="s">
        <v>446</v>
      </c>
      <c r="G34" s="406" t="s">
        <v>446</v>
      </c>
      <c r="H34" s="406" t="s">
        <v>446</v>
      </c>
      <c r="I34" s="407" t="s">
        <v>446</v>
      </c>
      <c r="J34" s="408" t="s">
        <v>0</v>
      </c>
    </row>
    <row r="35" spans="1:10" ht="14.4" customHeight="1" x14ac:dyDescent="0.3">
      <c r="A35" s="404" t="s">
        <v>720</v>
      </c>
      <c r="B35" s="405" t="s">
        <v>277</v>
      </c>
      <c r="C35" s="406">
        <v>0</v>
      </c>
      <c r="D35" s="406" t="s">
        <v>446</v>
      </c>
      <c r="E35" s="406"/>
      <c r="F35" s="406" t="s">
        <v>446</v>
      </c>
      <c r="G35" s="406" t="s">
        <v>446</v>
      </c>
      <c r="H35" s="406" t="s">
        <v>446</v>
      </c>
      <c r="I35" s="407" t="s">
        <v>446</v>
      </c>
      <c r="J35" s="408" t="s">
        <v>1</v>
      </c>
    </row>
    <row r="36" spans="1:10" ht="14.4" customHeight="1" x14ac:dyDescent="0.3">
      <c r="A36" s="404" t="s">
        <v>720</v>
      </c>
      <c r="B36" s="405" t="s">
        <v>722</v>
      </c>
      <c r="C36" s="406">
        <v>0</v>
      </c>
      <c r="D36" s="406" t="s">
        <v>446</v>
      </c>
      <c r="E36" s="406"/>
      <c r="F36" s="406" t="s">
        <v>446</v>
      </c>
      <c r="G36" s="406" t="s">
        <v>446</v>
      </c>
      <c r="H36" s="406" t="s">
        <v>446</v>
      </c>
      <c r="I36" s="407" t="s">
        <v>446</v>
      </c>
      <c r="J36" s="408" t="s">
        <v>452</v>
      </c>
    </row>
    <row r="37" spans="1:10" ht="14.4" customHeight="1" x14ac:dyDescent="0.3">
      <c r="A37" s="404" t="s">
        <v>446</v>
      </c>
      <c r="B37" s="405" t="s">
        <v>446</v>
      </c>
      <c r="C37" s="406" t="s">
        <v>446</v>
      </c>
      <c r="D37" s="406" t="s">
        <v>446</v>
      </c>
      <c r="E37" s="406"/>
      <c r="F37" s="406" t="s">
        <v>446</v>
      </c>
      <c r="G37" s="406" t="s">
        <v>446</v>
      </c>
      <c r="H37" s="406" t="s">
        <v>446</v>
      </c>
      <c r="I37" s="407" t="s">
        <v>446</v>
      </c>
      <c r="J37" s="408" t="s">
        <v>453</v>
      </c>
    </row>
    <row r="38" spans="1:10" ht="14.4" customHeight="1" x14ac:dyDescent="0.3">
      <c r="A38" s="404" t="s">
        <v>444</v>
      </c>
      <c r="B38" s="405" t="s">
        <v>447</v>
      </c>
      <c r="C38" s="406">
        <v>3126.2547299999992</v>
      </c>
      <c r="D38" s="406">
        <v>3167.8773600000004</v>
      </c>
      <c r="E38" s="406"/>
      <c r="F38" s="406">
        <v>3038.1919399999992</v>
      </c>
      <c r="G38" s="406">
        <v>3239.8125896204174</v>
      </c>
      <c r="H38" s="406">
        <v>-201.62064962041813</v>
      </c>
      <c r="I38" s="407">
        <v>0.9377678047593363</v>
      </c>
      <c r="J38" s="408" t="s">
        <v>448</v>
      </c>
    </row>
  </sheetData>
  <mergeCells count="3">
    <mergeCell ref="A1:I1"/>
    <mergeCell ref="F3:I3"/>
    <mergeCell ref="C4:D4"/>
  </mergeCells>
  <conditionalFormatting sqref="F18 F39:F65537">
    <cfRule type="cellIs" dxfId="20" priority="18" stopIfTrue="1" operator="greaterThan">
      <formula>1</formula>
    </cfRule>
  </conditionalFormatting>
  <conditionalFormatting sqref="H5:H17">
    <cfRule type="expression" dxfId="19" priority="14">
      <formula>$H5&gt;0</formula>
    </cfRule>
  </conditionalFormatting>
  <conditionalFormatting sqref="I5:I17">
    <cfRule type="expression" dxfId="18" priority="15">
      <formula>$I5&gt;1</formula>
    </cfRule>
  </conditionalFormatting>
  <conditionalFormatting sqref="B5:B17">
    <cfRule type="expression" dxfId="17" priority="11">
      <formula>OR($J5="NS",$J5="SumaNS",$J5="Účet")</formula>
    </cfRule>
  </conditionalFormatting>
  <conditionalFormatting sqref="F5:I17 B5:D17">
    <cfRule type="expression" dxfId="16" priority="17">
      <formula>AND($J5&lt;&gt;"",$J5&lt;&gt;"mezeraKL")</formula>
    </cfRule>
  </conditionalFormatting>
  <conditionalFormatting sqref="B5:D17 F5:I17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14" priority="13">
      <formula>OR($J5="SumaNS",$J5="NS")</formula>
    </cfRule>
  </conditionalFormatting>
  <conditionalFormatting sqref="A5:A17">
    <cfRule type="expression" dxfId="13" priority="9">
      <formula>AND($J5&lt;&gt;"mezeraKL",$J5&lt;&gt;"")</formula>
    </cfRule>
  </conditionalFormatting>
  <conditionalFormatting sqref="A5:A17">
    <cfRule type="expression" dxfId="12" priority="10">
      <formula>AND($J5&lt;&gt;"",$J5&lt;&gt;"mezeraKL")</formula>
    </cfRule>
  </conditionalFormatting>
  <conditionalFormatting sqref="H19:H38">
    <cfRule type="expression" dxfId="11" priority="5">
      <formula>$H19&gt;0</formula>
    </cfRule>
  </conditionalFormatting>
  <conditionalFormatting sqref="A19:A38">
    <cfRule type="expression" dxfId="10" priority="2">
      <formula>AND($J19&lt;&gt;"mezeraKL",$J19&lt;&gt;"")</formula>
    </cfRule>
  </conditionalFormatting>
  <conditionalFormatting sqref="I19:I38">
    <cfRule type="expression" dxfId="9" priority="6">
      <formula>$I19&gt;1</formula>
    </cfRule>
  </conditionalFormatting>
  <conditionalFormatting sqref="B19:B38">
    <cfRule type="expression" dxfId="8" priority="1">
      <formula>OR($J19="NS",$J19="SumaNS",$J19="Účet")</formula>
    </cfRule>
  </conditionalFormatting>
  <conditionalFormatting sqref="A19:D38 F19:I38">
    <cfRule type="expression" dxfId="7" priority="8">
      <formula>AND($J19&lt;&gt;"",$J19&lt;&gt;"mezeraKL")</formula>
    </cfRule>
  </conditionalFormatting>
  <conditionalFormatting sqref="B19:D38 F19:I38">
    <cfRule type="expression" dxfId="6" priority="3">
      <formula>OR($J19="KL",$J19="SumaKL")</formula>
    </cfRule>
    <cfRule type="expression" priority="7" stopIfTrue="1">
      <formula>OR($J19="mezeraNS",$J19="mezeraKL")</formula>
    </cfRule>
  </conditionalFormatting>
  <conditionalFormatting sqref="B19:D38 F19:I38">
    <cfRule type="expression" dxfId="5" priority="4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1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2" bestFit="1" customWidth="1" collapsed="1"/>
    <col min="4" max="4" width="18.77734375" style="196" customWidth="1"/>
    <col min="5" max="5" width="9" style="192" bestFit="1" customWidth="1"/>
    <col min="6" max="6" width="18.77734375" style="196" customWidth="1"/>
    <col min="7" max="7" width="12.44140625" style="192" hidden="1" customWidth="1" outlineLevel="1"/>
    <col min="8" max="8" width="25.77734375" style="192" customWidth="1" collapsed="1"/>
    <col min="9" max="9" width="7.77734375" style="190" customWidth="1"/>
    <col min="10" max="10" width="10" style="190" customWidth="1"/>
    <col min="11" max="11" width="11.109375" style="190" customWidth="1"/>
    <col min="12" max="16384" width="8.88671875" style="115"/>
  </cols>
  <sheetData>
    <row r="1" spans="1:11" ht="18.600000000000001" customHeight="1" thickBot="1" x14ac:dyDescent="0.4">
      <c r="A1" s="338" t="s">
        <v>1936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</row>
    <row r="2" spans="1:11" ht="14.4" customHeight="1" thickBot="1" x14ac:dyDescent="0.35">
      <c r="A2" s="211" t="s">
        <v>255</v>
      </c>
      <c r="B2" s="62"/>
      <c r="C2" s="194"/>
      <c r="D2" s="194"/>
      <c r="E2" s="194"/>
      <c r="F2" s="194"/>
      <c r="G2" s="194"/>
      <c r="H2" s="194"/>
      <c r="I2" s="195"/>
      <c r="J2" s="195"/>
      <c r="K2" s="195"/>
    </row>
    <row r="3" spans="1:11" ht="14.4" customHeight="1" thickBot="1" x14ac:dyDescent="0.35">
      <c r="A3" s="62"/>
      <c r="B3" s="62"/>
      <c r="C3" s="334"/>
      <c r="D3" s="335"/>
      <c r="E3" s="335"/>
      <c r="F3" s="335"/>
      <c r="G3" s="335"/>
      <c r="H3" s="127" t="s">
        <v>108</v>
      </c>
      <c r="I3" s="84">
        <f>IF(J3&lt;&gt;0,K3/J3,0)</f>
        <v>9.9037079175573268</v>
      </c>
      <c r="J3" s="84">
        <f>SUBTOTAL(9,J5:J1048576)</f>
        <v>304551</v>
      </c>
      <c r="K3" s="85">
        <f>SUBTOTAL(9,K5:K1048576)</f>
        <v>3016184.1500000013</v>
      </c>
    </row>
    <row r="4" spans="1:11" s="191" customFormat="1" ht="14.4" customHeight="1" thickBot="1" x14ac:dyDescent="0.35">
      <c r="A4" s="409" t="s">
        <v>4</v>
      </c>
      <c r="B4" s="410" t="s">
        <v>5</v>
      </c>
      <c r="C4" s="410" t="s">
        <v>0</v>
      </c>
      <c r="D4" s="410" t="s">
        <v>6</v>
      </c>
      <c r="E4" s="410" t="s">
        <v>7</v>
      </c>
      <c r="F4" s="410" t="s">
        <v>1</v>
      </c>
      <c r="G4" s="410" t="s">
        <v>58</v>
      </c>
      <c r="H4" s="411" t="s">
        <v>11</v>
      </c>
      <c r="I4" s="412" t="s">
        <v>122</v>
      </c>
      <c r="J4" s="412" t="s">
        <v>13</v>
      </c>
      <c r="K4" s="413" t="s">
        <v>133</v>
      </c>
    </row>
    <row r="5" spans="1:11" ht="14.4" customHeight="1" x14ac:dyDescent="0.3">
      <c r="A5" s="416" t="s">
        <v>444</v>
      </c>
      <c r="B5" s="417" t="s">
        <v>445</v>
      </c>
      <c r="C5" s="418" t="s">
        <v>449</v>
      </c>
      <c r="D5" s="419" t="s">
        <v>705</v>
      </c>
      <c r="E5" s="418" t="s">
        <v>1920</v>
      </c>
      <c r="F5" s="419" t="s">
        <v>1921</v>
      </c>
      <c r="G5" s="418" t="s">
        <v>723</v>
      </c>
      <c r="H5" s="418" t="s">
        <v>724</v>
      </c>
      <c r="I5" s="420">
        <v>260.3</v>
      </c>
      <c r="J5" s="420">
        <v>8</v>
      </c>
      <c r="K5" s="421">
        <v>2082.4</v>
      </c>
    </row>
    <row r="6" spans="1:11" ht="14.4" customHeight="1" x14ac:dyDescent="0.3">
      <c r="A6" s="422" t="s">
        <v>444</v>
      </c>
      <c r="B6" s="423" t="s">
        <v>445</v>
      </c>
      <c r="C6" s="424" t="s">
        <v>449</v>
      </c>
      <c r="D6" s="425" t="s">
        <v>705</v>
      </c>
      <c r="E6" s="424" t="s">
        <v>1920</v>
      </c>
      <c r="F6" s="425" t="s">
        <v>1921</v>
      </c>
      <c r="G6" s="424" t="s">
        <v>725</v>
      </c>
      <c r="H6" s="424" t="s">
        <v>726</v>
      </c>
      <c r="I6" s="426">
        <v>0.32333333333333331</v>
      </c>
      <c r="J6" s="426">
        <v>12500</v>
      </c>
      <c r="K6" s="427">
        <v>4025</v>
      </c>
    </row>
    <row r="7" spans="1:11" ht="14.4" customHeight="1" x14ac:dyDescent="0.3">
      <c r="A7" s="422" t="s">
        <v>444</v>
      </c>
      <c r="B7" s="423" t="s">
        <v>445</v>
      </c>
      <c r="C7" s="424" t="s">
        <v>449</v>
      </c>
      <c r="D7" s="425" t="s">
        <v>705</v>
      </c>
      <c r="E7" s="424" t="s">
        <v>1920</v>
      </c>
      <c r="F7" s="425" t="s">
        <v>1921</v>
      </c>
      <c r="G7" s="424" t="s">
        <v>725</v>
      </c>
      <c r="H7" s="424" t="s">
        <v>727</v>
      </c>
      <c r="I7" s="426">
        <v>0.3</v>
      </c>
      <c r="J7" s="426">
        <v>5000</v>
      </c>
      <c r="K7" s="427">
        <v>1500</v>
      </c>
    </row>
    <row r="8" spans="1:11" ht="14.4" customHeight="1" x14ac:dyDescent="0.3">
      <c r="A8" s="422" t="s">
        <v>444</v>
      </c>
      <c r="B8" s="423" t="s">
        <v>445</v>
      </c>
      <c r="C8" s="424" t="s">
        <v>449</v>
      </c>
      <c r="D8" s="425" t="s">
        <v>705</v>
      </c>
      <c r="E8" s="424" t="s">
        <v>1920</v>
      </c>
      <c r="F8" s="425" t="s">
        <v>1921</v>
      </c>
      <c r="G8" s="424" t="s">
        <v>728</v>
      </c>
      <c r="H8" s="424" t="s">
        <v>729</v>
      </c>
      <c r="I8" s="426">
        <v>8.9749999999999996</v>
      </c>
      <c r="J8" s="426">
        <v>5</v>
      </c>
      <c r="K8" s="427">
        <v>42.519999999999996</v>
      </c>
    </row>
    <row r="9" spans="1:11" ht="14.4" customHeight="1" x14ac:dyDescent="0.3">
      <c r="A9" s="422" t="s">
        <v>444</v>
      </c>
      <c r="B9" s="423" t="s">
        <v>445</v>
      </c>
      <c r="C9" s="424" t="s">
        <v>449</v>
      </c>
      <c r="D9" s="425" t="s">
        <v>705</v>
      </c>
      <c r="E9" s="424" t="s">
        <v>1920</v>
      </c>
      <c r="F9" s="425" t="s">
        <v>1921</v>
      </c>
      <c r="G9" s="424" t="s">
        <v>730</v>
      </c>
      <c r="H9" s="424" t="s">
        <v>731</v>
      </c>
      <c r="I9" s="426">
        <v>27.823333333333334</v>
      </c>
      <c r="J9" s="426">
        <v>16</v>
      </c>
      <c r="K9" s="427">
        <v>444.71</v>
      </c>
    </row>
    <row r="10" spans="1:11" ht="14.4" customHeight="1" x14ac:dyDescent="0.3">
      <c r="A10" s="422" t="s">
        <v>444</v>
      </c>
      <c r="B10" s="423" t="s">
        <v>445</v>
      </c>
      <c r="C10" s="424" t="s">
        <v>449</v>
      </c>
      <c r="D10" s="425" t="s">
        <v>705</v>
      </c>
      <c r="E10" s="424" t="s">
        <v>1920</v>
      </c>
      <c r="F10" s="425" t="s">
        <v>1921</v>
      </c>
      <c r="G10" s="424" t="s">
        <v>732</v>
      </c>
      <c r="H10" s="424" t="s">
        <v>733</v>
      </c>
      <c r="I10" s="426">
        <v>44.096666666666664</v>
      </c>
      <c r="J10" s="426">
        <v>18</v>
      </c>
      <c r="K10" s="427">
        <v>793.74</v>
      </c>
    </row>
    <row r="11" spans="1:11" ht="14.4" customHeight="1" x14ac:dyDescent="0.3">
      <c r="A11" s="422" t="s">
        <v>444</v>
      </c>
      <c r="B11" s="423" t="s">
        <v>445</v>
      </c>
      <c r="C11" s="424" t="s">
        <v>449</v>
      </c>
      <c r="D11" s="425" t="s">
        <v>705</v>
      </c>
      <c r="E11" s="424" t="s">
        <v>1920</v>
      </c>
      <c r="F11" s="425" t="s">
        <v>1921</v>
      </c>
      <c r="G11" s="424" t="s">
        <v>734</v>
      </c>
      <c r="H11" s="424" t="s">
        <v>735</v>
      </c>
      <c r="I11" s="426">
        <v>17.085714285714289</v>
      </c>
      <c r="J11" s="426">
        <v>130</v>
      </c>
      <c r="K11" s="427">
        <v>2185</v>
      </c>
    </row>
    <row r="12" spans="1:11" ht="14.4" customHeight="1" x14ac:dyDescent="0.3">
      <c r="A12" s="422" t="s">
        <v>444</v>
      </c>
      <c r="B12" s="423" t="s">
        <v>445</v>
      </c>
      <c r="C12" s="424" t="s">
        <v>449</v>
      </c>
      <c r="D12" s="425" t="s">
        <v>705</v>
      </c>
      <c r="E12" s="424" t="s">
        <v>1920</v>
      </c>
      <c r="F12" s="425" t="s">
        <v>1921</v>
      </c>
      <c r="G12" s="424" t="s">
        <v>736</v>
      </c>
      <c r="H12" s="424" t="s">
        <v>737</v>
      </c>
      <c r="I12" s="426">
        <v>1.93</v>
      </c>
      <c r="J12" s="426">
        <v>200</v>
      </c>
      <c r="K12" s="427">
        <v>386.4</v>
      </c>
    </row>
    <row r="13" spans="1:11" ht="14.4" customHeight="1" x14ac:dyDescent="0.3">
      <c r="A13" s="422" t="s">
        <v>444</v>
      </c>
      <c r="B13" s="423" t="s">
        <v>445</v>
      </c>
      <c r="C13" s="424" t="s">
        <v>449</v>
      </c>
      <c r="D13" s="425" t="s">
        <v>705</v>
      </c>
      <c r="E13" s="424" t="s">
        <v>1920</v>
      </c>
      <c r="F13" s="425" t="s">
        <v>1921</v>
      </c>
      <c r="G13" s="424" t="s">
        <v>738</v>
      </c>
      <c r="H13" s="424" t="s">
        <v>739</v>
      </c>
      <c r="I13" s="426">
        <v>0.62</v>
      </c>
      <c r="J13" s="426">
        <v>3000</v>
      </c>
      <c r="K13" s="427">
        <v>1845.85</v>
      </c>
    </row>
    <row r="14" spans="1:11" ht="14.4" customHeight="1" x14ac:dyDescent="0.3">
      <c r="A14" s="422" t="s">
        <v>444</v>
      </c>
      <c r="B14" s="423" t="s">
        <v>445</v>
      </c>
      <c r="C14" s="424" t="s">
        <v>449</v>
      </c>
      <c r="D14" s="425" t="s">
        <v>705</v>
      </c>
      <c r="E14" s="424" t="s">
        <v>1920</v>
      </c>
      <c r="F14" s="425" t="s">
        <v>1921</v>
      </c>
      <c r="G14" s="424" t="s">
        <v>738</v>
      </c>
      <c r="H14" s="424" t="s">
        <v>740</v>
      </c>
      <c r="I14" s="426">
        <v>0.64</v>
      </c>
      <c r="J14" s="426">
        <v>3000</v>
      </c>
      <c r="K14" s="427">
        <v>1914.75</v>
      </c>
    </row>
    <row r="15" spans="1:11" ht="14.4" customHeight="1" x14ac:dyDescent="0.3">
      <c r="A15" s="422" t="s">
        <v>444</v>
      </c>
      <c r="B15" s="423" t="s">
        <v>445</v>
      </c>
      <c r="C15" s="424" t="s">
        <v>449</v>
      </c>
      <c r="D15" s="425" t="s">
        <v>705</v>
      </c>
      <c r="E15" s="424" t="s">
        <v>1920</v>
      </c>
      <c r="F15" s="425" t="s">
        <v>1921</v>
      </c>
      <c r="G15" s="424" t="s">
        <v>741</v>
      </c>
      <c r="H15" s="424" t="s">
        <v>742</v>
      </c>
      <c r="I15" s="426">
        <v>1.21</v>
      </c>
      <c r="J15" s="426">
        <v>2000</v>
      </c>
      <c r="K15" s="427">
        <v>2420</v>
      </c>
    </row>
    <row r="16" spans="1:11" ht="14.4" customHeight="1" x14ac:dyDescent="0.3">
      <c r="A16" s="422" t="s">
        <v>444</v>
      </c>
      <c r="B16" s="423" t="s">
        <v>445</v>
      </c>
      <c r="C16" s="424" t="s">
        <v>449</v>
      </c>
      <c r="D16" s="425" t="s">
        <v>705</v>
      </c>
      <c r="E16" s="424" t="s">
        <v>1920</v>
      </c>
      <c r="F16" s="425" t="s">
        <v>1921</v>
      </c>
      <c r="G16" s="424" t="s">
        <v>743</v>
      </c>
      <c r="H16" s="424" t="s">
        <v>744</v>
      </c>
      <c r="I16" s="426">
        <v>13.02</v>
      </c>
      <c r="J16" s="426">
        <v>10</v>
      </c>
      <c r="K16" s="427">
        <v>130.19999999999999</v>
      </c>
    </row>
    <row r="17" spans="1:11" ht="14.4" customHeight="1" x14ac:dyDescent="0.3">
      <c r="A17" s="422" t="s">
        <v>444</v>
      </c>
      <c r="B17" s="423" t="s">
        <v>445</v>
      </c>
      <c r="C17" s="424" t="s">
        <v>449</v>
      </c>
      <c r="D17" s="425" t="s">
        <v>705</v>
      </c>
      <c r="E17" s="424" t="s">
        <v>1920</v>
      </c>
      <c r="F17" s="425" t="s">
        <v>1921</v>
      </c>
      <c r="G17" s="424" t="s">
        <v>745</v>
      </c>
      <c r="H17" s="424" t="s">
        <v>746</v>
      </c>
      <c r="I17" s="426">
        <v>29.051999999999992</v>
      </c>
      <c r="J17" s="426">
        <v>108</v>
      </c>
      <c r="K17" s="427">
        <v>3134.28</v>
      </c>
    </row>
    <row r="18" spans="1:11" ht="14.4" customHeight="1" x14ac:dyDescent="0.3">
      <c r="A18" s="422" t="s">
        <v>444</v>
      </c>
      <c r="B18" s="423" t="s">
        <v>445</v>
      </c>
      <c r="C18" s="424" t="s">
        <v>449</v>
      </c>
      <c r="D18" s="425" t="s">
        <v>705</v>
      </c>
      <c r="E18" s="424" t="s">
        <v>1920</v>
      </c>
      <c r="F18" s="425" t="s">
        <v>1921</v>
      </c>
      <c r="G18" s="424" t="s">
        <v>747</v>
      </c>
      <c r="H18" s="424" t="s">
        <v>748</v>
      </c>
      <c r="I18" s="426">
        <v>19.8</v>
      </c>
      <c r="J18" s="426">
        <v>2</v>
      </c>
      <c r="K18" s="427">
        <v>39.6</v>
      </c>
    </row>
    <row r="19" spans="1:11" ht="14.4" customHeight="1" x14ac:dyDescent="0.3">
      <c r="A19" s="422" t="s">
        <v>444</v>
      </c>
      <c r="B19" s="423" t="s">
        <v>445</v>
      </c>
      <c r="C19" s="424" t="s">
        <v>449</v>
      </c>
      <c r="D19" s="425" t="s">
        <v>705</v>
      </c>
      <c r="E19" s="424" t="s">
        <v>1920</v>
      </c>
      <c r="F19" s="425" t="s">
        <v>1921</v>
      </c>
      <c r="G19" s="424" t="s">
        <v>749</v>
      </c>
      <c r="H19" s="424" t="s">
        <v>750</v>
      </c>
      <c r="I19" s="426">
        <v>0.57000000000000006</v>
      </c>
      <c r="J19" s="426">
        <v>10000</v>
      </c>
      <c r="K19" s="427">
        <v>5670</v>
      </c>
    </row>
    <row r="20" spans="1:11" ht="14.4" customHeight="1" x14ac:dyDescent="0.3">
      <c r="A20" s="422" t="s">
        <v>444</v>
      </c>
      <c r="B20" s="423" t="s">
        <v>445</v>
      </c>
      <c r="C20" s="424" t="s">
        <v>449</v>
      </c>
      <c r="D20" s="425" t="s">
        <v>705</v>
      </c>
      <c r="E20" s="424" t="s">
        <v>1920</v>
      </c>
      <c r="F20" s="425" t="s">
        <v>1921</v>
      </c>
      <c r="G20" s="424" t="s">
        <v>749</v>
      </c>
      <c r="H20" s="424" t="s">
        <v>751</v>
      </c>
      <c r="I20" s="426">
        <v>0.59</v>
      </c>
      <c r="J20" s="426">
        <v>2500</v>
      </c>
      <c r="K20" s="427">
        <v>1475</v>
      </c>
    </row>
    <row r="21" spans="1:11" ht="14.4" customHeight="1" x14ac:dyDescent="0.3">
      <c r="A21" s="422" t="s">
        <v>444</v>
      </c>
      <c r="B21" s="423" t="s">
        <v>445</v>
      </c>
      <c r="C21" s="424" t="s">
        <v>449</v>
      </c>
      <c r="D21" s="425" t="s">
        <v>705</v>
      </c>
      <c r="E21" s="424" t="s">
        <v>1920</v>
      </c>
      <c r="F21" s="425" t="s">
        <v>1921</v>
      </c>
      <c r="G21" s="424" t="s">
        <v>752</v>
      </c>
      <c r="H21" s="424" t="s">
        <v>753</v>
      </c>
      <c r="I21" s="426">
        <v>10.84</v>
      </c>
      <c r="J21" s="426">
        <v>100</v>
      </c>
      <c r="K21" s="427">
        <v>1084</v>
      </c>
    </row>
    <row r="22" spans="1:11" ht="14.4" customHeight="1" x14ac:dyDescent="0.3">
      <c r="A22" s="422" t="s">
        <v>444</v>
      </c>
      <c r="B22" s="423" t="s">
        <v>445</v>
      </c>
      <c r="C22" s="424" t="s">
        <v>449</v>
      </c>
      <c r="D22" s="425" t="s">
        <v>705</v>
      </c>
      <c r="E22" s="424" t="s">
        <v>1920</v>
      </c>
      <c r="F22" s="425" t="s">
        <v>1921</v>
      </c>
      <c r="G22" s="424" t="s">
        <v>754</v>
      </c>
      <c r="H22" s="424" t="s">
        <v>755</v>
      </c>
      <c r="I22" s="426">
        <v>1306.5</v>
      </c>
      <c r="J22" s="426">
        <v>2</v>
      </c>
      <c r="K22" s="427">
        <v>2613</v>
      </c>
    </row>
    <row r="23" spans="1:11" ht="14.4" customHeight="1" x14ac:dyDescent="0.3">
      <c r="A23" s="422" t="s">
        <v>444</v>
      </c>
      <c r="B23" s="423" t="s">
        <v>445</v>
      </c>
      <c r="C23" s="424" t="s">
        <v>449</v>
      </c>
      <c r="D23" s="425" t="s">
        <v>705</v>
      </c>
      <c r="E23" s="424" t="s">
        <v>1920</v>
      </c>
      <c r="F23" s="425" t="s">
        <v>1921</v>
      </c>
      <c r="G23" s="424" t="s">
        <v>754</v>
      </c>
      <c r="H23" s="424" t="s">
        <v>756</v>
      </c>
      <c r="I23" s="426">
        <v>1350.5475000000001</v>
      </c>
      <c r="J23" s="426">
        <v>4</v>
      </c>
      <c r="K23" s="427">
        <v>5402.1900000000005</v>
      </c>
    </row>
    <row r="24" spans="1:11" ht="14.4" customHeight="1" x14ac:dyDescent="0.3">
      <c r="A24" s="422" t="s">
        <v>444</v>
      </c>
      <c r="B24" s="423" t="s">
        <v>445</v>
      </c>
      <c r="C24" s="424" t="s">
        <v>449</v>
      </c>
      <c r="D24" s="425" t="s">
        <v>705</v>
      </c>
      <c r="E24" s="424" t="s">
        <v>1920</v>
      </c>
      <c r="F24" s="425" t="s">
        <v>1921</v>
      </c>
      <c r="G24" s="424" t="s">
        <v>757</v>
      </c>
      <c r="H24" s="424" t="s">
        <v>758</v>
      </c>
      <c r="I24" s="426">
        <v>5.09</v>
      </c>
      <c r="J24" s="426">
        <v>50</v>
      </c>
      <c r="K24" s="427">
        <v>254.73000000000002</v>
      </c>
    </row>
    <row r="25" spans="1:11" ht="14.4" customHeight="1" x14ac:dyDescent="0.3">
      <c r="A25" s="422" t="s">
        <v>444</v>
      </c>
      <c r="B25" s="423" t="s">
        <v>445</v>
      </c>
      <c r="C25" s="424" t="s">
        <v>449</v>
      </c>
      <c r="D25" s="425" t="s">
        <v>705</v>
      </c>
      <c r="E25" s="424" t="s">
        <v>1920</v>
      </c>
      <c r="F25" s="425" t="s">
        <v>1921</v>
      </c>
      <c r="G25" s="424" t="s">
        <v>759</v>
      </c>
      <c r="H25" s="424" t="s">
        <v>760</v>
      </c>
      <c r="I25" s="426">
        <v>5.09</v>
      </c>
      <c r="J25" s="426">
        <v>80</v>
      </c>
      <c r="K25" s="427">
        <v>407.57</v>
      </c>
    </row>
    <row r="26" spans="1:11" ht="14.4" customHeight="1" x14ac:dyDescent="0.3">
      <c r="A26" s="422" t="s">
        <v>444</v>
      </c>
      <c r="B26" s="423" t="s">
        <v>445</v>
      </c>
      <c r="C26" s="424" t="s">
        <v>449</v>
      </c>
      <c r="D26" s="425" t="s">
        <v>705</v>
      </c>
      <c r="E26" s="424" t="s">
        <v>1920</v>
      </c>
      <c r="F26" s="425" t="s">
        <v>1921</v>
      </c>
      <c r="G26" s="424" t="s">
        <v>761</v>
      </c>
      <c r="H26" s="424" t="s">
        <v>762</v>
      </c>
      <c r="I26" s="426">
        <v>1311</v>
      </c>
      <c r="J26" s="426">
        <v>4</v>
      </c>
      <c r="K26" s="427">
        <v>5244</v>
      </c>
    </row>
    <row r="27" spans="1:11" ht="14.4" customHeight="1" x14ac:dyDescent="0.3">
      <c r="A27" s="422" t="s">
        <v>444</v>
      </c>
      <c r="B27" s="423" t="s">
        <v>445</v>
      </c>
      <c r="C27" s="424" t="s">
        <v>449</v>
      </c>
      <c r="D27" s="425" t="s">
        <v>705</v>
      </c>
      <c r="E27" s="424" t="s">
        <v>1920</v>
      </c>
      <c r="F27" s="425" t="s">
        <v>1921</v>
      </c>
      <c r="G27" s="424" t="s">
        <v>763</v>
      </c>
      <c r="H27" s="424" t="s">
        <v>764</v>
      </c>
      <c r="I27" s="426">
        <v>2.86</v>
      </c>
      <c r="J27" s="426">
        <v>50</v>
      </c>
      <c r="K27" s="427">
        <v>143</v>
      </c>
    </row>
    <row r="28" spans="1:11" ht="14.4" customHeight="1" x14ac:dyDescent="0.3">
      <c r="A28" s="422" t="s">
        <v>444</v>
      </c>
      <c r="B28" s="423" t="s">
        <v>445</v>
      </c>
      <c r="C28" s="424" t="s">
        <v>449</v>
      </c>
      <c r="D28" s="425" t="s">
        <v>705</v>
      </c>
      <c r="E28" s="424" t="s">
        <v>1920</v>
      </c>
      <c r="F28" s="425" t="s">
        <v>1921</v>
      </c>
      <c r="G28" s="424" t="s">
        <v>765</v>
      </c>
      <c r="H28" s="424" t="s">
        <v>766</v>
      </c>
      <c r="I28" s="426">
        <v>11.74</v>
      </c>
      <c r="J28" s="426">
        <v>5</v>
      </c>
      <c r="K28" s="427">
        <v>58.71</v>
      </c>
    </row>
    <row r="29" spans="1:11" ht="14.4" customHeight="1" x14ac:dyDescent="0.3">
      <c r="A29" s="422" t="s">
        <v>444</v>
      </c>
      <c r="B29" s="423" t="s">
        <v>445</v>
      </c>
      <c r="C29" s="424" t="s">
        <v>449</v>
      </c>
      <c r="D29" s="425" t="s">
        <v>705</v>
      </c>
      <c r="E29" s="424" t="s">
        <v>1920</v>
      </c>
      <c r="F29" s="425" t="s">
        <v>1921</v>
      </c>
      <c r="G29" s="424" t="s">
        <v>767</v>
      </c>
      <c r="H29" s="424" t="s">
        <v>768</v>
      </c>
      <c r="I29" s="426">
        <v>14.085000000000001</v>
      </c>
      <c r="J29" s="426">
        <v>5</v>
      </c>
      <c r="K29" s="427">
        <v>70.44</v>
      </c>
    </row>
    <row r="30" spans="1:11" ht="14.4" customHeight="1" x14ac:dyDescent="0.3">
      <c r="A30" s="422" t="s">
        <v>444</v>
      </c>
      <c r="B30" s="423" t="s">
        <v>445</v>
      </c>
      <c r="C30" s="424" t="s">
        <v>449</v>
      </c>
      <c r="D30" s="425" t="s">
        <v>705</v>
      </c>
      <c r="E30" s="424" t="s">
        <v>1920</v>
      </c>
      <c r="F30" s="425" t="s">
        <v>1921</v>
      </c>
      <c r="G30" s="424" t="s">
        <v>769</v>
      </c>
      <c r="H30" s="424" t="s">
        <v>770</v>
      </c>
      <c r="I30" s="426">
        <v>12.91</v>
      </c>
      <c r="J30" s="426">
        <v>4</v>
      </c>
      <c r="K30" s="427">
        <v>51.64</v>
      </c>
    </row>
    <row r="31" spans="1:11" ht="14.4" customHeight="1" x14ac:dyDescent="0.3">
      <c r="A31" s="422" t="s">
        <v>444</v>
      </c>
      <c r="B31" s="423" t="s">
        <v>445</v>
      </c>
      <c r="C31" s="424" t="s">
        <v>449</v>
      </c>
      <c r="D31" s="425" t="s">
        <v>705</v>
      </c>
      <c r="E31" s="424" t="s">
        <v>1920</v>
      </c>
      <c r="F31" s="425" t="s">
        <v>1921</v>
      </c>
      <c r="G31" s="424" t="s">
        <v>771</v>
      </c>
      <c r="H31" s="424" t="s">
        <v>772</v>
      </c>
      <c r="I31" s="426">
        <v>9.41</v>
      </c>
      <c r="J31" s="426">
        <v>4</v>
      </c>
      <c r="K31" s="427">
        <v>37.64</v>
      </c>
    </row>
    <row r="32" spans="1:11" ht="14.4" customHeight="1" x14ac:dyDescent="0.3">
      <c r="A32" s="422" t="s">
        <v>444</v>
      </c>
      <c r="B32" s="423" t="s">
        <v>445</v>
      </c>
      <c r="C32" s="424" t="s">
        <v>449</v>
      </c>
      <c r="D32" s="425" t="s">
        <v>705</v>
      </c>
      <c r="E32" s="424" t="s">
        <v>1920</v>
      </c>
      <c r="F32" s="425" t="s">
        <v>1921</v>
      </c>
      <c r="G32" s="424" t="s">
        <v>773</v>
      </c>
      <c r="H32" s="424" t="s">
        <v>774</v>
      </c>
      <c r="I32" s="426">
        <v>5.92</v>
      </c>
      <c r="J32" s="426">
        <v>3</v>
      </c>
      <c r="K32" s="427">
        <v>17.760000000000002</v>
      </c>
    </row>
    <row r="33" spans="1:11" ht="14.4" customHeight="1" x14ac:dyDescent="0.3">
      <c r="A33" s="422" t="s">
        <v>444</v>
      </c>
      <c r="B33" s="423" t="s">
        <v>445</v>
      </c>
      <c r="C33" s="424" t="s">
        <v>449</v>
      </c>
      <c r="D33" s="425" t="s">
        <v>705</v>
      </c>
      <c r="E33" s="424" t="s">
        <v>1920</v>
      </c>
      <c r="F33" s="425" t="s">
        <v>1921</v>
      </c>
      <c r="G33" s="424" t="s">
        <v>775</v>
      </c>
      <c r="H33" s="424" t="s">
        <v>776</v>
      </c>
      <c r="I33" s="426">
        <v>2.67</v>
      </c>
      <c r="J33" s="426">
        <v>9</v>
      </c>
      <c r="K33" s="427">
        <v>24.04</v>
      </c>
    </row>
    <row r="34" spans="1:11" ht="14.4" customHeight="1" x14ac:dyDescent="0.3">
      <c r="A34" s="422" t="s">
        <v>444</v>
      </c>
      <c r="B34" s="423" t="s">
        <v>445</v>
      </c>
      <c r="C34" s="424" t="s">
        <v>449</v>
      </c>
      <c r="D34" s="425" t="s">
        <v>705</v>
      </c>
      <c r="E34" s="424" t="s">
        <v>1920</v>
      </c>
      <c r="F34" s="425" t="s">
        <v>1921</v>
      </c>
      <c r="G34" s="424" t="s">
        <v>777</v>
      </c>
      <c r="H34" s="424" t="s">
        <v>778</v>
      </c>
      <c r="I34" s="426">
        <v>0.19</v>
      </c>
      <c r="J34" s="426">
        <v>12600</v>
      </c>
      <c r="K34" s="427">
        <v>2348.8200000000002</v>
      </c>
    </row>
    <row r="35" spans="1:11" ht="14.4" customHeight="1" x14ac:dyDescent="0.3">
      <c r="A35" s="422" t="s">
        <v>444</v>
      </c>
      <c r="B35" s="423" t="s">
        <v>445</v>
      </c>
      <c r="C35" s="424" t="s">
        <v>449</v>
      </c>
      <c r="D35" s="425" t="s">
        <v>705</v>
      </c>
      <c r="E35" s="424" t="s">
        <v>1920</v>
      </c>
      <c r="F35" s="425" t="s">
        <v>1921</v>
      </c>
      <c r="G35" s="424" t="s">
        <v>779</v>
      </c>
      <c r="H35" s="424" t="s">
        <v>780</v>
      </c>
      <c r="I35" s="426">
        <v>16.600000000000001</v>
      </c>
      <c r="J35" s="426">
        <v>100</v>
      </c>
      <c r="K35" s="427">
        <v>1637</v>
      </c>
    </row>
    <row r="36" spans="1:11" ht="14.4" customHeight="1" x14ac:dyDescent="0.3">
      <c r="A36" s="422" t="s">
        <v>444</v>
      </c>
      <c r="B36" s="423" t="s">
        <v>445</v>
      </c>
      <c r="C36" s="424" t="s">
        <v>449</v>
      </c>
      <c r="D36" s="425" t="s">
        <v>705</v>
      </c>
      <c r="E36" s="424" t="s">
        <v>1920</v>
      </c>
      <c r="F36" s="425" t="s">
        <v>1921</v>
      </c>
      <c r="G36" s="424" t="s">
        <v>781</v>
      </c>
      <c r="H36" s="424" t="s">
        <v>782</v>
      </c>
      <c r="I36" s="426">
        <v>111.59</v>
      </c>
      <c r="J36" s="426">
        <v>10</v>
      </c>
      <c r="K36" s="427">
        <v>1115.9000000000001</v>
      </c>
    </row>
    <row r="37" spans="1:11" ht="14.4" customHeight="1" x14ac:dyDescent="0.3">
      <c r="A37" s="422" t="s">
        <v>444</v>
      </c>
      <c r="B37" s="423" t="s">
        <v>445</v>
      </c>
      <c r="C37" s="424" t="s">
        <v>449</v>
      </c>
      <c r="D37" s="425" t="s">
        <v>705</v>
      </c>
      <c r="E37" s="424" t="s">
        <v>1920</v>
      </c>
      <c r="F37" s="425" t="s">
        <v>1921</v>
      </c>
      <c r="G37" s="424" t="s">
        <v>783</v>
      </c>
      <c r="H37" s="424" t="s">
        <v>784</v>
      </c>
      <c r="I37" s="426">
        <v>19.170000000000002</v>
      </c>
      <c r="J37" s="426">
        <v>100</v>
      </c>
      <c r="K37" s="427">
        <v>1917.26</v>
      </c>
    </row>
    <row r="38" spans="1:11" ht="14.4" customHeight="1" x14ac:dyDescent="0.3">
      <c r="A38" s="422" t="s">
        <v>444</v>
      </c>
      <c r="B38" s="423" t="s">
        <v>445</v>
      </c>
      <c r="C38" s="424" t="s">
        <v>449</v>
      </c>
      <c r="D38" s="425" t="s">
        <v>705</v>
      </c>
      <c r="E38" s="424" t="s">
        <v>1920</v>
      </c>
      <c r="F38" s="425" t="s">
        <v>1921</v>
      </c>
      <c r="G38" s="424" t="s">
        <v>783</v>
      </c>
      <c r="H38" s="424" t="s">
        <v>785</v>
      </c>
      <c r="I38" s="426">
        <v>19.170000000000002</v>
      </c>
      <c r="J38" s="426">
        <v>50</v>
      </c>
      <c r="K38" s="427">
        <v>958.5</v>
      </c>
    </row>
    <row r="39" spans="1:11" ht="14.4" customHeight="1" x14ac:dyDescent="0.3">
      <c r="A39" s="422" t="s">
        <v>444</v>
      </c>
      <c r="B39" s="423" t="s">
        <v>445</v>
      </c>
      <c r="C39" s="424" t="s">
        <v>449</v>
      </c>
      <c r="D39" s="425" t="s">
        <v>705</v>
      </c>
      <c r="E39" s="424" t="s">
        <v>1920</v>
      </c>
      <c r="F39" s="425" t="s">
        <v>1921</v>
      </c>
      <c r="G39" s="424" t="s">
        <v>786</v>
      </c>
      <c r="H39" s="424" t="s">
        <v>787</v>
      </c>
      <c r="I39" s="426">
        <v>0.15</v>
      </c>
      <c r="J39" s="426">
        <v>4320</v>
      </c>
      <c r="K39" s="427">
        <v>628.29999999999995</v>
      </c>
    </row>
    <row r="40" spans="1:11" ht="14.4" customHeight="1" x14ac:dyDescent="0.3">
      <c r="A40" s="422" t="s">
        <v>444</v>
      </c>
      <c r="B40" s="423" t="s">
        <v>445</v>
      </c>
      <c r="C40" s="424" t="s">
        <v>449</v>
      </c>
      <c r="D40" s="425" t="s">
        <v>705</v>
      </c>
      <c r="E40" s="424" t="s">
        <v>1920</v>
      </c>
      <c r="F40" s="425" t="s">
        <v>1921</v>
      </c>
      <c r="G40" s="424" t="s">
        <v>788</v>
      </c>
      <c r="H40" s="424" t="s">
        <v>789</v>
      </c>
      <c r="I40" s="426">
        <v>1437.67</v>
      </c>
      <c r="J40" s="426">
        <v>3</v>
      </c>
      <c r="K40" s="427">
        <v>4313</v>
      </c>
    </row>
    <row r="41" spans="1:11" ht="14.4" customHeight="1" x14ac:dyDescent="0.3">
      <c r="A41" s="422" t="s">
        <v>444</v>
      </c>
      <c r="B41" s="423" t="s">
        <v>445</v>
      </c>
      <c r="C41" s="424" t="s">
        <v>449</v>
      </c>
      <c r="D41" s="425" t="s">
        <v>705</v>
      </c>
      <c r="E41" s="424" t="s">
        <v>1922</v>
      </c>
      <c r="F41" s="425" t="s">
        <v>1923</v>
      </c>
      <c r="G41" s="424" t="s">
        <v>790</v>
      </c>
      <c r="H41" s="424" t="s">
        <v>791</v>
      </c>
      <c r="I41" s="426">
        <v>2.9049999999999998</v>
      </c>
      <c r="J41" s="426">
        <v>100</v>
      </c>
      <c r="K41" s="427">
        <v>290.5</v>
      </c>
    </row>
    <row r="42" spans="1:11" ht="14.4" customHeight="1" x14ac:dyDescent="0.3">
      <c r="A42" s="422" t="s">
        <v>444</v>
      </c>
      <c r="B42" s="423" t="s">
        <v>445</v>
      </c>
      <c r="C42" s="424" t="s">
        <v>449</v>
      </c>
      <c r="D42" s="425" t="s">
        <v>705</v>
      </c>
      <c r="E42" s="424" t="s">
        <v>1922</v>
      </c>
      <c r="F42" s="425" t="s">
        <v>1923</v>
      </c>
      <c r="G42" s="424" t="s">
        <v>792</v>
      </c>
      <c r="H42" s="424" t="s">
        <v>793</v>
      </c>
      <c r="I42" s="426">
        <v>0.25</v>
      </c>
      <c r="J42" s="426">
        <v>100</v>
      </c>
      <c r="K42" s="427">
        <v>25</v>
      </c>
    </row>
    <row r="43" spans="1:11" ht="14.4" customHeight="1" x14ac:dyDescent="0.3">
      <c r="A43" s="422" t="s">
        <v>444</v>
      </c>
      <c r="B43" s="423" t="s">
        <v>445</v>
      </c>
      <c r="C43" s="424" t="s">
        <v>449</v>
      </c>
      <c r="D43" s="425" t="s">
        <v>705</v>
      </c>
      <c r="E43" s="424" t="s">
        <v>1922</v>
      </c>
      <c r="F43" s="425" t="s">
        <v>1923</v>
      </c>
      <c r="G43" s="424" t="s">
        <v>792</v>
      </c>
      <c r="H43" s="424" t="s">
        <v>794</v>
      </c>
      <c r="I43" s="426">
        <v>0.25</v>
      </c>
      <c r="J43" s="426">
        <v>100</v>
      </c>
      <c r="K43" s="427">
        <v>25</v>
      </c>
    </row>
    <row r="44" spans="1:11" ht="14.4" customHeight="1" x14ac:dyDescent="0.3">
      <c r="A44" s="422" t="s">
        <v>444</v>
      </c>
      <c r="B44" s="423" t="s">
        <v>445</v>
      </c>
      <c r="C44" s="424" t="s">
        <v>449</v>
      </c>
      <c r="D44" s="425" t="s">
        <v>705</v>
      </c>
      <c r="E44" s="424" t="s">
        <v>1922</v>
      </c>
      <c r="F44" s="425" t="s">
        <v>1923</v>
      </c>
      <c r="G44" s="424" t="s">
        <v>795</v>
      </c>
      <c r="H44" s="424" t="s">
        <v>796</v>
      </c>
      <c r="I44" s="426">
        <v>6.31</v>
      </c>
      <c r="J44" s="426">
        <v>100</v>
      </c>
      <c r="K44" s="427">
        <v>631.16999999999996</v>
      </c>
    </row>
    <row r="45" spans="1:11" ht="14.4" customHeight="1" x14ac:dyDescent="0.3">
      <c r="A45" s="422" t="s">
        <v>444</v>
      </c>
      <c r="B45" s="423" t="s">
        <v>445</v>
      </c>
      <c r="C45" s="424" t="s">
        <v>449</v>
      </c>
      <c r="D45" s="425" t="s">
        <v>705</v>
      </c>
      <c r="E45" s="424" t="s">
        <v>1922</v>
      </c>
      <c r="F45" s="425" t="s">
        <v>1923</v>
      </c>
      <c r="G45" s="424" t="s">
        <v>795</v>
      </c>
      <c r="H45" s="424" t="s">
        <v>797</v>
      </c>
      <c r="I45" s="426">
        <v>6.31</v>
      </c>
      <c r="J45" s="426">
        <v>200</v>
      </c>
      <c r="K45" s="427">
        <v>1262.3399999999999</v>
      </c>
    </row>
    <row r="46" spans="1:11" ht="14.4" customHeight="1" x14ac:dyDescent="0.3">
      <c r="A46" s="422" t="s">
        <v>444</v>
      </c>
      <c r="B46" s="423" t="s">
        <v>445</v>
      </c>
      <c r="C46" s="424" t="s">
        <v>449</v>
      </c>
      <c r="D46" s="425" t="s">
        <v>705</v>
      </c>
      <c r="E46" s="424" t="s">
        <v>1922</v>
      </c>
      <c r="F46" s="425" t="s">
        <v>1923</v>
      </c>
      <c r="G46" s="424" t="s">
        <v>798</v>
      </c>
      <c r="H46" s="424" t="s">
        <v>799</v>
      </c>
      <c r="I46" s="426">
        <v>0.47899999999999993</v>
      </c>
      <c r="J46" s="426">
        <v>4640</v>
      </c>
      <c r="K46" s="427">
        <v>2225.67</v>
      </c>
    </row>
    <row r="47" spans="1:11" ht="14.4" customHeight="1" x14ac:dyDescent="0.3">
      <c r="A47" s="422" t="s">
        <v>444</v>
      </c>
      <c r="B47" s="423" t="s">
        <v>445</v>
      </c>
      <c r="C47" s="424" t="s">
        <v>449</v>
      </c>
      <c r="D47" s="425" t="s">
        <v>705</v>
      </c>
      <c r="E47" s="424" t="s">
        <v>1922</v>
      </c>
      <c r="F47" s="425" t="s">
        <v>1923</v>
      </c>
      <c r="G47" s="424" t="s">
        <v>800</v>
      </c>
      <c r="H47" s="424" t="s">
        <v>801</v>
      </c>
      <c r="I47" s="426">
        <v>0.67</v>
      </c>
      <c r="J47" s="426">
        <v>9700</v>
      </c>
      <c r="K47" s="427">
        <v>6499</v>
      </c>
    </row>
    <row r="48" spans="1:11" ht="14.4" customHeight="1" x14ac:dyDescent="0.3">
      <c r="A48" s="422" t="s">
        <v>444</v>
      </c>
      <c r="B48" s="423" t="s">
        <v>445</v>
      </c>
      <c r="C48" s="424" t="s">
        <v>449</v>
      </c>
      <c r="D48" s="425" t="s">
        <v>705</v>
      </c>
      <c r="E48" s="424" t="s">
        <v>1922</v>
      </c>
      <c r="F48" s="425" t="s">
        <v>1923</v>
      </c>
      <c r="G48" s="424" t="s">
        <v>802</v>
      </c>
      <c r="H48" s="424" t="s">
        <v>803</v>
      </c>
      <c r="I48" s="426">
        <v>68.536000000000016</v>
      </c>
      <c r="J48" s="426">
        <v>3</v>
      </c>
      <c r="K48" s="427">
        <v>205.61999999999966</v>
      </c>
    </row>
    <row r="49" spans="1:11" ht="14.4" customHeight="1" x14ac:dyDescent="0.3">
      <c r="A49" s="422" t="s">
        <v>444</v>
      </c>
      <c r="B49" s="423" t="s">
        <v>445</v>
      </c>
      <c r="C49" s="424" t="s">
        <v>449</v>
      </c>
      <c r="D49" s="425" t="s">
        <v>705</v>
      </c>
      <c r="E49" s="424" t="s">
        <v>1922</v>
      </c>
      <c r="F49" s="425" t="s">
        <v>1923</v>
      </c>
      <c r="G49" s="424" t="s">
        <v>804</v>
      </c>
      <c r="H49" s="424" t="s">
        <v>805</v>
      </c>
      <c r="I49" s="426">
        <v>38.489999999999995</v>
      </c>
      <c r="J49" s="426">
        <v>120</v>
      </c>
      <c r="K49" s="427">
        <v>4618.8099999999995</v>
      </c>
    </row>
    <row r="50" spans="1:11" ht="14.4" customHeight="1" x14ac:dyDescent="0.3">
      <c r="A50" s="422" t="s">
        <v>444</v>
      </c>
      <c r="B50" s="423" t="s">
        <v>445</v>
      </c>
      <c r="C50" s="424" t="s">
        <v>449</v>
      </c>
      <c r="D50" s="425" t="s">
        <v>705</v>
      </c>
      <c r="E50" s="424" t="s">
        <v>1922</v>
      </c>
      <c r="F50" s="425" t="s">
        <v>1923</v>
      </c>
      <c r="G50" s="424" t="s">
        <v>806</v>
      </c>
      <c r="H50" s="424" t="s">
        <v>807</v>
      </c>
      <c r="I50" s="426">
        <v>33.880000000000003</v>
      </c>
      <c r="J50" s="426">
        <v>4</v>
      </c>
      <c r="K50" s="427">
        <v>135.52000000000004</v>
      </c>
    </row>
    <row r="51" spans="1:11" ht="14.4" customHeight="1" x14ac:dyDescent="0.3">
      <c r="A51" s="422" t="s">
        <v>444</v>
      </c>
      <c r="B51" s="423" t="s">
        <v>445</v>
      </c>
      <c r="C51" s="424" t="s">
        <v>449</v>
      </c>
      <c r="D51" s="425" t="s">
        <v>705</v>
      </c>
      <c r="E51" s="424" t="s">
        <v>1922</v>
      </c>
      <c r="F51" s="425" t="s">
        <v>1923</v>
      </c>
      <c r="G51" s="424" t="s">
        <v>808</v>
      </c>
      <c r="H51" s="424" t="s">
        <v>809</v>
      </c>
      <c r="I51" s="426">
        <v>2.85</v>
      </c>
      <c r="J51" s="426">
        <v>1</v>
      </c>
      <c r="K51" s="427">
        <v>2.85</v>
      </c>
    </row>
    <row r="52" spans="1:11" ht="14.4" customHeight="1" x14ac:dyDescent="0.3">
      <c r="A52" s="422" t="s">
        <v>444</v>
      </c>
      <c r="B52" s="423" t="s">
        <v>445</v>
      </c>
      <c r="C52" s="424" t="s">
        <v>449</v>
      </c>
      <c r="D52" s="425" t="s">
        <v>705</v>
      </c>
      <c r="E52" s="424" t="s">
        <v>1922</v>
      </c>
      <c r="F52" s="425" t="s">
        <v>1923</v>
      </c>
      <c r="G52" s="424" t="s">
        <v>810</v>
      </c>
      <c r="H52" s="424" t="s">
        <v>811</v>
      </c>
      <c r="I52" s="426">
        <v>2.902857142857143</v>
      </c>
      <c r="J52" s="426">
        <v>780</v>
      </c>
      <c r="K52" s="427">
        <v>2265.3000000000002</v>
      </c>
    </row>
    <row r="53" spans="1:11" ht="14.4" customHeight="1" x14ac:dyDescent="0.3">
      <c r="A53" s="422" t="s">
        <v>444</v>
      </c>
      <c r="B53" s="423" t="s">
        <v>445</v>
      </c>
      <c r="C53" s="424" t="s">
        <v>449</v>
      </c>
      <c r="D53" s="425" t="s">
        <v>705</v>
      </c>
      <c r="E53" s="424" t="s">
        <v>1922</v>
      </c>
      <c r="F53" s="425" t="s">
        <v>1923</v>
      </c>
      <c r="G53" s="424" t="s">
        <v>812</v>
      </c>
      <c r="H53" s="424" t="s">
        <v>813</v>
      </c>
      <c r="I53" s="426">
        <v>164.48</v>
      </c>
      <c r="J53" s="426">
        <v>2</v>
      </c>
      <c r="K53" s="427">
        <v>328.96</v>
      </c>
    </row>
    <row r="54" spans="1:11" ht="14.4" customHeight="1" x14ac:dyDescent="0.3">
      <c r="A54" s="422" t="s">
        <v>444</v>
      </c>
      <c r="B54" s="423" t="s">
        <v>445</v>
      </c>
      <c r="C54" s="424" t="s">
        <v>449</v>
      </c>
      <c r="D54" s="425" t="s">
        <v>705</v>
      </c>
      <c r="E54" s="424" t="s">
        <v>1922</v>
      </c>
      <c r="F54" s="425" t="s">
        <v>1923</v>
      </c>
      <c r="G54" s="424" t="s">
        <v>814</v>
      </c>
      <c r="H54" s="424" t="s">
        <v>815</v>
      </c>
      <c r="I54" s="426">
        <v>15.0075</v>
      </c>
      <c r="J54" s="426">
        <v>16</v>
      </c>
      <c r="K54" s="427">
        <v>240.1</v>
      </c>
    </row>
    <row r="55" spans="1:11" ht="14.4" customHeight="1" x14ac:dyDescent="0.3">
      <c r="A55" s="422" t="s">
        <v>444</v>
      </c>
      <c r="B55" s="423" t="s">
        <v>445</v>
      </c>
      <c r="C55" s="424" t="s">
        <v>449</v>
      </c>
      <c r="D55" s="425" t="s">
        <v>705</v>
      </c>
      <c r="E55" s="424" t="s">
        <v>1922</v>
      </c>
      <c r="F55" s="425" t="s">
        <v>1923</v>
      </c>
      <c r="G55" s="424" t="s">
        <v>816</v>
      </c>
      <c r="H55" s="424" t="s">
        <v>817</v>
      </c>
      <c r="I55" s="426">
        <v>12.104285714285712</v>
      </c>
      <c r="J55" s="426">
        <v>74</v>
      </c>
      <c r="K55" s="427">
        <v>895.73</v>
      </c>
    </row>
    <row r="56" spans="1:11" ht="14.4" customHeight="1" x14ac:dyDescent="0.3">
      <c r="A56" s="422" t="s">
        <v>444</v>
      </c>
      <c r="B56" s="423" t="s">
        <v>445</v>
      </c>
      <c r="C56" s="424" t="s">
        <v>449</v>
      </c>
      <c r="D56" s="425" t="s">
        <v>705</v>
      </c>
      <c r="E56" s="424" t="s">
        <v>1922</v>
      </c>
      <c r="F56" s="425" t="s">
        <v>1923</v>
      </c>
      <c r="G56" s="424" t="s">
        <v>818</v>
      </c>
      <c r="H56" s="424" t="s">
        <v>819</v>
      </c>
      <c r="I56" s="426">
        <v>21.237999999999996</v>
      </c>
      <c r="J56" s="426">
        <v>300</v>
      </c>
      <c r="K56" s="427">
        <v>6371.5</v>
      </c>
    </row>
    <row r="57" spans="1:11" ht="14.4" customHeight="1" x14ac:dyDescent="0.3">
      <c r="A57" s="422" t="s">
        <v>444</v>
      </c>
      <c r="B57" s="423" t="s">
        <v>445</v>
      </c>
      <c r="C57" s="424" t="s">
        <v>449</v>
      </c>
      <c r="D57" s="425" t="s">
        <v>705</v>
      </c>
      <c r="E57" s="424" t="s">
        <v>1922</v>
      </c>
      <c r="F57" s="425" t="s">
        <v>1923</v>
      </c>
      <c r="G57" s="424" t="s">
        <v>820</v>
      </c>
      <c r="H57" s="424" t="s">
        <v>821</v>
      </c>
      <c r="I57" s="426">
        <v>4.03</v>
      </c>
      <c r="J57" s="426">
        <v>5</v>
      </c>
      <c r="K57" s="427">
        <v>20.149999999999999</v>
      </c>
    </row>
    <row r="58" spans="1:11" ht="14.4" customHeight="1" x14ac:dyDescent="0.3">
      <c r="A58" s="422" t="s">
        <v>444</v>
      </c>
      <c r="B58" s="423" t="s">
        <v>445</v>
      </c>
      <c r="C58" s="424" t="s">
        <v>449</v>
      </c>
      <c r="D58" s="425" t="s">
        <v>705</v>
      </c>
      <c r="E58" s="424" t="s">
        <v>1922</v>
      </c>
      <c r="F58" s="425" t="s">
        <v>1923</v>
      </c>
      <c r="G58" s="424" t="s">
        <v>822</v>
      </c>
      <c r="H58" s="424" t="s">
        <v>823</v>
      </c>
      <c r="I58" s="426">
        <v>1431.43</v>
      </c>
      <c r="J58" s="426">
        <v>1</v>
      </c>
      <c r="K58" s="427">
        <v>1431.43</v>
      </c>
    </row>
    <row r="59" spans="1:11" ht="14.4" customHeight="1" x14ac:dyDescent="0.3">
      <c r="A59" s="422" t="s">
        <v>444</v>
      </c>
      <c r="B59" s="423" t="s">
        <v>445</v>
      </c>
      <c r="C59" s="424" t="s">
        <v>449</v>
      </c>
      <c r="D59" s="425" t="s">
        <v>705</v>
      </c>
      <c r="E59" s="424" t="s">
        <v>1922</v>
      </c>
      <c r="F59" s="425" t="s">
        <v>1923</v>
      </c>
      <c r="G59" s="424" t="s">
        <v>824</v>
      </c>
      <c r="H59" s="424" t="s">
        <v>825</v>
      </c>
      <c r="I59" s="426">
        <v>2.9</v>
      </c>
      <c r="J59" s="426">
        <v>300</v>
      </c>
      <c r="K59" s="427">
        <v>871.19999999999993</v>
      </c>
    </row>
    <row r="60" spans="1:11" ht="14.4" customHeight="1" x14ac:dyDescent="0.3">
      <c r="A60" s="422" t="s">
        <v>444</v>
      </c>
      <c r="B60" s="423" t="s">
        <v>445</v>
      </c>
      <c r="C60" s="424" t="s">
        <v>449</v>
      </c>
      <c r="D60" s="425" t="s">
        <v>705</v>
      </c>
      <c r="E60" s="424" t="s">
        <v>1922</v>
      </c>
      <c r="F60" s="425" t="s">
        <v>1923</v>
      </c>
      <c r="G60" s="424" t="s">
        <v>826</v>
      </c>
      <c r="H60" s="424" t="s">
        <v>827</v>
      </c>
      <c r="I60" s="426">
        <v>65.026923076923055</v>
      </c>
      <c r="J60" s="426">
        <v>190</v>
      </c>
      <c r="K60" s="427">
        <v>12350.8</v>
      </c>
    </row>
    <row r="61" spans="1:11" ht="14.4" customHeight="1" x14ac:dyDescent="0.3">
      <c r="A61" s="422" t="s">
        <v>444</v>
      </c>
      <c r="B61" s="423" t="s">
        <v>445</v>
      </c>
      <c r="C61" s="424" t="s">
        <v>449</v>
      </c>
      <c r="D61" s="425" t="s">
        <v>705</v>
      </c>
      <c r="E61" s="424" t="s">
        <v>1922</v>
      </c>
      <c r="F61" s="425" t="s">
        <v>1923</v>
      </c>
      <c r="G61" s="424" t="s">
        <v>828</v>
      </c>
      <c r="H61" s="424" t="s">
        <v>829</v>
      </c>
      <c r="I61" s="426">
        <v>75.02</v>
      </c>
      <c r="J61" s="426">
        <v>5</v>
      </c>
      <c r="K61" s="427">
        <v>375.1</v>
      </c>
    </row>
    <row r="62" spans="1:11" ht="14.4" customHeight="1" x14ac:dyDescent="0.3">
      <c r="A62" s="422" t="s">
        <v>444</v>
      </c>
      <c r="B62" s="423" t="s">
        <v>445</v>
      </c>
      <c r="C62" s="424" t="s">
        <v>449</v>
      </c>
      <c r="D62" s="425" t="s">
        <v>705</v>
      </c>
      <c r="E62" s="424" t="s">
        <v>1922</v>
      </c>
      <c r="F62" s="425" t="s">
        <v>1923</v>
      </c>
      <c r="G62" s="424" t="s">
        <v>830</v>
      </c>
      <c r="H62" s="424" t="s">
        <v>831</v>
      </c>
      <c r="I62" s="426">
        <v>141.57</v>
      </c>
      <c r="J62" s="426">
        <v>10</v>
      </c>
      <c r="K62" s="427">
        <v>1415.7</v>
      </c>
    </row>
    <row r="63" spans="1:11" ht="14.4" customHeight="1" x14ac:dyDescent="0.3">
      <c r="A63" s="422" t="s">
        <v>444</v>
      </c>
      <c r="B63" s="423" t="s">
        <v>445</v>
      </c>
      <c r="C63" s="424" t="s">
        <v>449</v>
      </c>
      <c r="D63" s="425" t="s">
        <v>705</v>
      </c>
      <c r="E63" s="424" t="s">
        <v>1922</v>
      </c>
      <c r="F63" s="425" t="s">
        <v>1923</v>
      </c>
      <c r="G63" s="424" t="s">
        <v>832</v>
      </c>
      <c r="H63" s="424" t="s">
        <v>833</v>
      </c>
      <c r="I63" s="426">
        <v>134.55000000000001</v>
      </c>
      <c r="J63" s="426">
        <v>3</v>
      </c>
      <c r="K63" s="427">
        <v>403.66</v>
      </c>
    </row>
    <row r="64" spans="1:11" ht="14.4" customHeight="1" x14ac:dyDescent="0.3">
      <c r="A64" s="422" t="s">
        <v>444</v>
      </c>
      <c r="B64" s="423" t="s">
        <v>445</v>
      </c>
      <c r="C64" s="424" t="s">
        <v>449</v>
      </c>
      <c r="D64" s="425" t="s">
        <v>705</v>
      </c>
      <c r="E64" s="424" t="s">
        <v>1922</v>
      </c>
      <c r="F64" s="425" t="s">
        <v>1923</v>
      </c>
      <c r="G64" s="424" t="s">
        <v>834</v>
      </c>
      <c r="H64" s="424" t="s">
        <v>835</v>
      </c>
      <c r="I64" s="426">
        <v>7.93</v>
      </c>
      <c r="J64" s="426">
        <v>200</v>
      </c>
      <c r="K64" s="427">
        <v>1585.3</v>
      </c>
    </row>
    <row r="65" spans="1:11" ht="14.4" customHeight="1" x14ac:dyDescent="0.3">
      <c r="A65" s="422" t="s">
        <v>444</v>
      </c>
      <c r="B65" s="423" t="s">
        <v>445</v>
      </c>
      <c r="C65" s="424" t="s">
        <v>449</v>
      </c>
      <c r="D65" s="425" t="s">
        <v>705</v>
      </c>
      <c r="E65" s="424" t="s">
        <v>1922</v>
      </c>
      <c r="F65" s="425" t="s">
        <v>1923</v>
      </c>
      <c r="G65" s="424" t="s">
        <v>836</v>
      </c>
      <c r="H65" s="424" t="s">
        <v>837</v>
      </c>
      <c r="I65" s="426">
        <v>141.55000000000001</v>
      </c>
      <c r="J65" s="426">
        <v>20</v>
      </c>
      <c r="K65" s="427">
        <v>2831.04</v>
      </c>
    </row>
    <row r="66" spans="1:11" ht="14.4" customHeight="1" x14ac:dyDescent="0.3">
      <c r="A66" s="422" t="s">
        <v>444</v>
      </c>
      <c r="B66" s="423" t="s">
        <v>445</v>
      </c>
      <c r="C66" s="424" t="s">
        <v>449</v>
      </c>
      <c r="D66" s="425" t="s">
        <v>705</v>
      </c>
      <c r="E66" s="424" t="s">
        <v>1922</v>
      </c>
      <c r="F66" s="425" t="s">
        <v>1923</v>
      </c>
      <c r="G66" s="424" t="s">
        <v>838</v>
      </c>
      <c r="H66" s="424" t="s">
        <v>839</v>
      </c>
      <c r="I66" s="426">
        <v>4.24</v>
      </c>
      <c r="J66" s="426">
        <v>200</v>
      </c>
      <c r="K66" s="427">
        <v>847</v>
      </c>
    </row>
    <row r="67" spans="1:11" ht="14.4" customHeight="1" x14ac:dyDescent="0.3">
      <c r="A67" s="422" t="s">
        <v>444</v>
      </c>
      <c r="B67" s="423" t="s">
        <v>445</v>
      </c>
      <c r="C67" s="424" t="s">
        <v>449</v>
      </c>
      <c r="D67" s="425" t="s">
        <v>705</v>
      </c>
      <c r="E67" s="424" t="s">
        <v>1922</v>
      </c>
      <c r="F67" s="425" t="s">
        <v>1923</v>
      </c>
      <c r="G67" s="424" t="s">
        <v>840</v>
      </c>
      <c r="H67" s="424" t="s">
        <v>841</v>
      </c>
      <c r="I67" s="426">
        <v>141.57</v>
      </c>
      <c r="J67" s="426">
        <v>5</v>
      </c>
      <c r="K67" s="427">
        <v>707.85</v>
      </c>
    </row>
    <row r="68" spans="1:11" ht="14.4" customHeight="1" x14ac:dyDescent="0.3">
      <c r="A68" s="422" t="s">
        <v>444</v>
      </c>
      <c r="B68" s="423" t="s">
        <v>445</v>
      </c>
      <c r="C68" s="424" t="s">
        <v>449</v>
      </c>
      <c r="D68" s="425" t="s">
        <v>705</v>
      </c>
      <c r="E68" s="424" t="s">
        <v>1922</v>
      </c>
      <c r="F68" s="425" t="s">
        <v>1923</v>
      </c>
      <c r="G68" s="424" t="s">
        <v>842</v>
      </c>
      <c r="H68" s="424" t="s">
        <v>843</v>
      </c>
      <c r="I68" s="426">
        <v>827.64</v>
      </c>
      <c r="J68" s="426">
        <v>1</v>
      </c>
      <c r="K68" s="427">
        <v>827.64</v>
      </c>
    </row>
    <row r="69" spans="1:11" ht="14.4" customHeight="1" x14ac:dyDescent="0.3">
      <c r="A69" s="422" t="s">
        <v>444</v>
      </c>
      <c r="B69" s="423" t="s">
        <v>445</v>
      </c>
      <c r="C69" s="424" t="s">
        <v>449</v>
      </c>
      <c r="D69" s="425" t="s">
        <v>705</v>
      </c>
      <c r="E69" s="424" t="s">
        <v>1922</v>
      </c>
      <c r="F69" s="425" t="s">
        <v>1923</v>
      </c>
      <c r="G69" s="424" t="s">
        <v>844</v>
      </c>
      <c r="H69" s="424" t="s">
        <v>845</v>
      </c>
      <c r="I69" s="426">
        <v>565.52</v>
      </c>
      <c r="J69" s="426">
        <v>1</v>
      </c>
      <c r="K69" s="427">
        <v>565.52</v>
      </c>
    </row>
    <row r="70" spans="1:11" ht="14.4" customHeight="1" x14ac:dyDescent="0.3">
      <c r="A70" s="422" t="s">
        <v>444</v>
      </c>
      <c r="B70" s="423" t="s">
        <v>445</v>
      </c>
      <c r="C70" s="424" t="s">
        <v>449</v>
      </c>
      <c r="D70" s="425" t="s">
        <v>705</v>
      </c>
      <c r="E70" s="424" t="s">
        <v>1922</v>
      </c>
      <c r="F70" s="425" t="s">
        <v>1923</v>
      </c>
      <c r="G70" s="424" t="s">
        <v>846</v>
      </c>
      <c r="H70" s="424" t="s">
        <v>847</v>
      </c>
      <c r="I70" s="426">
        <v>106.9</v>
      </c>
      <c r="J70" s="426">
        <v>10</v>
      </c>
      <c r="K70" s="427">
        <v>1069.04</v>
      </c>
    </row>
    <row r="71" spans="1:11" ht="14.4" customHeight="1" x14ac:dyDescent="0.3">
      <c r="A71" s="422" t="s">
        <v>444</v>
      </c>
      <c r="B71" s="423" t="s">
        <v>445</v>
      </c>
      <c r="C71" s="424" t="s">
        <v>449</v>
      </c>
      <c r="D71" s="425" t="s">
        <v>705</v>
      </c>
      <c r="E71" s="424" t="s">
        <v>1922</v>
      </c>
      <c r="F71" s="425" t="s">
        <v>1923</v>
      </c>
      <c r="G71" s="424" t="s">
        <v>848</v>
      </c>
      <c r="H71" s="424" t="s">
        <v>849</v>
      </c>
      <c r="I71" s="426">
        <v>284.23</v>
      </c>
      <c r="J71" s="426">
        <v>10</v>
      </c>
      <c r="K71" s="427">
        <v>2842.29</v>
      </c>
    </row>
    <row r="72" spans="1:11" ht="14.4" customHeight="1" x14ac:dyDescent="0.3">
      <c r="A72" s="422" t="s">
        <v>444</v>
      </c>
      <c r="B72" s="423" t="s">
        <v>445</v>
      </c>
      <c r="C72" s="424" t="s">
        <v>449</v>
      </c>
      <c r="D72" s="425" t="s">
        <v>705</v>
      </c>
      <c r="E72" s="424" t="s">
        <v>1922</v>
      </c>
      <c r="F72" s="425" t="s">
        <v>1923</v>
      </c>
      <c r="G72" s="424" t="s">
        <v>850</v>
      </c>
      <c r="H72" s="424" t="s">
        <v>851</v>
      </c>
      <c r="I72" s="426">
        <v>1136.8599999999999</v>
      </c>
      <c r="J72" s="426">
        <v>1</v>
      </c>
      <c r="K72" s="427">
        <v>1136.8599999999999</v>
      </c>
    </row>
    <row r="73" spans="1:11" ht="14.4" customHeight="1" x14ac:dyDescent="0.3">
      <c r="A73" s="422" t="s">
        <v>444</v>
      </c>
      <c r="B73" s="423" t="s">
        <v>445</v>
      </c>
      <c r="C73" s="424" t="s">
        <v>449</v>
      </c>
      <c r="D73" s="425" t="s">
        <v>705</v>
      </c>
      <c r="E73" s="424" t="s">
        <v>1922</v>
      </c>
      <c r="F73" s="425" t="s">
        <v>1923</v>
      </c>
      <c r="G73" s="424" t="s">
        <v>852</v>
      </c>
      <c r="H73" s="424" t="s">
        <v>853</v>
      </c>
      <c r="I73" s="426">
        <v>790.25</v>
      </c>
      <c r="J73" s="426">
        <v>3</v>
      </c>
      <c r="K73" s="427">
        <v>2370.75</v>
      </c>
    </row>
    <row r="74" spans="1:11" ht="14.4" customHeight="1" x14ac:dyDescent="0.3">
      <c r="A74" s="422" t="s">
        <v>444</v>
      </c>
      <c r="B74" s="423" t="s">
        <v>445</v>
      </c>
      <c r="C74" s="424" t="s">
        <v>449</v>
      </c>
      <c r="D74" s="425" t="s">
        <v>705</v>
      </c>
      <c r="E74" s="424" t="s">
        <v>1924</v>
      </c>
      <c r="F74" s="425" t="s">
        <v>1925</v>
      </c>
      <c r="G74" s="424" t="s">
        <v>854</v>
      </c>
      <c r="H74" s="424" t="s">
        <v>855</v>
      </c>
      <c r="I74" s="426">
        <v>5.01</v>
      </c>
      <c r="J74" s="426">
        <v>250</v>
      </c>
      <c r="K74" s="427">
        <v>1252.3499999999999</v>
      </c>
    </row>
    <row r="75" spans="1:11" ht="14.4" customHeight="1" x14ac:dyDescent="0.3">
      <c r="A75" s="422" t="s">
        <v>444</v>
      </c>
      <c r="B75" s="423" t="s">
        <v>445</v>
      </c>
      <c r="C75" s="424" t="s">
        <v>449</v>
      </c>
      <c r="D75" s="425" t="s">
        <v>705</v>
      </c>
      <c r="E75" s="424" t="s">
        <v>1926</v>
      </c>
      <c r="F75" s="425" t="s">
        <v>1927</v>
      </c>
      <c r="G75" s="424" t="s">
        <v>856</v>
      </c>
      <c r="H75" s="424" t="s">
        <v>857</v>
      </c>
      <c r="I75" s="426">
        <v>2.57</v>
      </c>
      <c r="J75" s="426">
        <v>4400</v>
      </c>
      <c r="K75" s="427">
        <v>11312.820000000003</v>
      </c>
    </row>
    <row r="76" spans="1:11" ht="14.4" customHeight="1" x14ac:dyDescent="0.3">
      <c r="A76" s="422" t="s">
        <v>444</v>
      </c>
      <c r="B76" s="423" t="s">
        <v>445</v>
      </c>
      <c r="C76" s="424" t="s">
        <v>449</v>
      </c>
      <c r="D76" s="425" t="s">
        <v>705</v>
      </c>
      <c r="E76" s="424" t="s">
        <v>1926</v>
      </c>
      <c r="F76" s="425" t="s">
        <v>1927</v>
      </c>
      <c r="G76" s="424" t="s">
        <v>858</v>
      </c>
      <c r="H76" s="424" t="s">
        <v>859</v>
      </c>
      <c r="I76" s="426">
        <v>3943.3471428571429</v>
      </c>
      <c r="J76" s="426">
        <v>19</v>
      </c>
      <c r="K76" s="427">
        <v>74923.599999999991</v>
      </c>
    </row>
    <row r="77" spans="1:11" ht="14.4" customHeight="1" x14ac:dyDescent="0.3">
      <c r="A77" s="422" t="s">
        <v>444</v>
      </c>
      <c r="B77" s="423" t="s">
        <v>445</v>
      </c>
      <c r="C77" s="424" t="s">
        <v>449</v>
      </c>
      <c r="D77" s="425" t="s">
        <v>705</v>
      </c>
      <c r="E77" s="424" t="s">
        <v>1926</v>
      </c>
      <c r="F77" s="425" t="s">
        <v>1927</v>
      </c>
      <c r="G77" s="424" t="s">
        <v>860</v>
      </c>
      <c r="H77" s="424" t="s">
        <v>861</v>
      </c>
      <c r="I77" s="426">
        <v>3943.3599999999997</v>
      </c>
      <c r="J77" s="426">
        <v>23</v>
      </c>
      <c r="K77" s="427">
        <v>90697.299999999988</v>
      </c>
    </row>
    <row r="78" spans="1:11" ht="14.4" customHeight="1" x14ac:dyDescent="0.3">
      <c r="A78" s="422" t="s">
        <v>444</v>
      </c>
      <c r="B78" s="423" t="s">
        <v>445</v>
      </c>
      <c r="C78" s="424" t="s">
        <v>449</v>
      </c>
      <c r="D78" s="425" t="s">
        <v>705</v>
      </c>
      <c r="E78" s="424" t="s">
        <v>1926</v>
      </c>
      <c r="F78" s="425" t="s">
        <v>1927</v>
      </c>
      <c r="G78" s="424" t="s">
        <v>862</v>
      </c>
      <c r="H78" s="424" t="s">
        <v>863</v>
      </c>
      <c r="I78" s="426">
        <v>3943.3557142857139</v>
      </c>
      <c r="J78" s="426">
        <v>19</v>
      </c>
      <c r="K78" s="427">
        <v>74923.799999999988</v>
      </c>
    </row>
    <row r="79" spans="1:11" ht="14.4" customHeight="1" x14ac:dyDescent="0.3">
      <c r="A79" s="422" t="s">
        <v>444</v>
      </c>
      <c r="B79" s="423" t="s">
        <v>445</v>
      </c>
      <c r="C79" s="424" t="s">
        <v>449</v>
      </c>
      <c r="D79" s="425" t="s">
        <v>705</v>
      </c>
      <c r="E79" s="424" t="s">
        <v>1926</v>
      </c>
      <c r="F79" s="425" t="s">
        <v>1927</v>
      </c>
      <c r="G79" s="424" t="s">
        <v>864</v>
      </c>
      <c r="H79" s="424" t="s">
        <v>865</v>
      </c>
      <c r="I79" s="426">
        <v>126.44428571428573</v>
      </c>
      <c r="J79" s="426">
        <v>42</v>
      </c>
      <c r="K79" s="427">
        <v>5310.6999999999989</v>
      </c>
    </row>
    <row r="80" spans="1:11" ht="14.4" customHeight="1" x14ac:dyDescent="0.3">
      <c r="A80" s="422" t="s">
        <v>444</v>
      </c>
      <c r="B80" s="423" t="s">
        <v>445</v>
      </c>
      <c r="C80" s="424" t="s">
        <v>449</v>
      </c>
      <c r="D80" s="425" t="s">
        <v>705</v>
      </c>
      <c r="E80" s="424" t="s">
        <v>1926</v>
      </c>
      <c r="F80" s="425" t="s">
        <v>1927</v>
      </c>
      <c r="G80" s="424" t="s">
        <v>866</v>
      </c>
      <c r="H80" s="424" t="s">
        <v>867</v>
      </c>
      <c r="I80" s="426">
        <v>273.73750000000001</v>
      </c>
      <c r="J80" s="426">
        <v>27</v>
      </c>
      <c r="K80" s="427">
        <v>7262.0999999999995</v>
      </c>
    </row>
    <row r="81" spans="1:11" ht="14.4" customHeight="1" x14ac:dyDescent="0.3">
      <c r="A81" s="422" t="s">
        <v>444</v>
      </c>
      <c r="B81" s="423" t="s">
        <v>445</v>
      </c>
      <c r="C81" s="424" t="s">
        <v>449</v>
      </c>
      <c r="D81" s="425" t="s">
        <v>705</v>
      </c>
      <c r="E81" s="424" t="s">
        <v>1926</v>
      </c>
      <c r="F81" s="425" t="s">
        <v>1927</v>
      </c>
      <c r="G81" s="424" t="s">
        <v>868</v>
      </c>
      <c r="H81" s="424" t="s">
        <v>869</v>
      </c>
      <c r="I81" s="426">
        <v>261.11</v>
      </c>
      <c r="J81" s="426">
        <v>8</v>
      </c>
      <c r="K81" s="427">
        <v>2088.87</v>
      </c>
    </row>
    <row r="82" spans="1:11" ht="14.4" customHeight="1" x14ac:dyDescent="0.3">
      <c r="A82" s="422" t="s">
        <v>444</v>
      </c>
      <c r="B82" s="423" t="s">
        <v>445</v>
      </c>
      <c r="C82" s="424" t="s">
        <v>449</v>
      </c>
      <c r="D82" s="425" t="s">
        <v>705</v>
      </c>
      <c r="E82" s="424" t="s">
        <v>1926</v>
      </c>
      <c r="F82" s="425" t="s">
        <v>1927</v>
      </c>
      <c r="G82" s="424" t="s">
        <v>870</v>
      </c>
      <c r="H82" s="424" t="s">
        <v>871</v>
      </c>
      <c r="I82" s="426">
        <v>350.59749999999997</v>
      </c>
      <c r="J82" s="426">
        <v>10</v>
      </c>
      <c r="K82" s="427">
        <v>3505.9800000000005</v>
      </c>
    </row>
    <row r="83" spans="1:11" ht="14.4" customHeight="1" x14ac:dyDescent="0.3">
      <c r="A83" s="422" t="s">
        <v>444</v>
      </c>
      <c r="B83" s="423" t="s">
        <v>445</v>
      </c>
      <c r="C83" s="424" t="s">
        <v>449</v>
      </c>
      <c r="D83" s="425" t="s">
        <v>705</v>
      </c>
      <c r="E83" s="424" t="s">
        <v>1926</v>
      </c>
      <c r="F83" s="425" t="s">
        <v>1927</v>
      </c>
      <c r="G83" s="424" t="s">
        <v>870</v>
      </c>
      <c r="H83" s="424" t="s">
        <v>872</v>
      </c>
      <c r="I83" s="426">
        <v>350.6</v>
      </c>
      <c r="J83" s="426">
        <v>9</v>
      </c>
      <c r="K83" s="427">
        <v>3155.3900000000003</v>
      </c>
    </row>
    <row r="84" spans="1:11" ht="14.4" customHeight="1" x14ac:dyDescent="0.3">
      <c r="A84" s="422" t="s">
        <v>444</v>
      </c>
      <c r="B84" s="423" t="s">
        <v>445</v>
      </c>
      <c r="C84" s="424" t="s">
        <v>449</v>
      </c>
      <c r="D84" s="425" t="s">
        <v>705</v>
      </c>
      <c r="E84" s="424" t="s">
        <v>1926</v>
      </c>
      <c r="F84" s="425" t="s">
        <v>1927</v>
      </c>
      <c r="G84" s="424" t="s">
        <v>873</v>
      </c>
      <c r="H84" s="424" t="s">
        <v>874</v>
      </c>
      <c r="I84" s="426">
        <v>286.22590909090911</v>
      </c>
      <c r="J84" s="426">
        <v>155</v>
      </c>
      <c r="K84" s="427">
        <v>44364.97</v>
      </c>
    </row>
    <row r="85" spans="1:11" ht="14.4" customHeight="1" x14ac:dyDescent="0.3">
      <c r="A85" s="422" t="s">
        <v>444</v>
      </c>
      <c r="B85" s="423" t="s">
        <v>445</v>
      </c>
      <c r="C85" s="424" t="s">
        <v>449</v>
      </c>
      <c r="D85" s="425" t="s">
        <v>705</v>
      </c>
      <c r="E85" s="424" t="s">
        <v>1926</v>
      </c>
      <c r="F85" s="425" t="s">
        <v>1927</v>
      </c>
      <c r="G85" s="424" t="s">
        <v>875</v>
      </c>
      <c r="H85" s="424" t="s">
        <v>876</v>
      </c>
      <c r="I85" s="426">
        <v>546.0100000000001</v>
      </c>
      <c r="J85" s="426">
        <v>13</v>
      </c>
      <c r="K85" s="427">
        <v>7098.1799999999994</v>
      </c>
    </row>
    <row r="86" spans="1:11" ht="14.4" customHeight="1" x14ac:dyDescent="0.3">
      <c r="A86" s="422" t="s">
        <v>444</v>
      </c>
      <c r="B86" s="423" t="s">
        <v>445</v>
      </c>
      <c r="C86" s="424" t="s">
        <v>449</v>
      </c>
      <c r="D86" s="425" t="s">
        <v>705</v>
      </c>
      <c r="E86" s="424" t="s">
        <v>1926</v>
      </c>
      <c r="F86" s="425" t="s">
        <v>1927</v>
      </c>
      <c r="G86" s="424" t="s">
        <v>877</v>
      </c>
      <c r="H86" s="424" t="s">
        <v>878</v>
      </c>
      <c r="I86" s="426">
        <v>195.08285714285714</v>
      </c>
      <c r="J86" s="426">
        <v>14</v>
      </c>
      <c r="K86" s="427">
        <v>2731.18</v>
      </c>
    </row>
    <row r="87" spans="1:11" ht="14.4" customHeight="1" x14ac:dyDescent="0.3">
      <c r="A87" s="422" t="s">
        <v>444</v>
      </c>
      <c r="B87" s="423" t="s">
        <v>445</v>
      </c>
      <c r="C87" s="424" t="s">
        <v>449</v>
      </c>
      <c r="D87" s="425" t="s">
        <v>705</v>
      </c>
      <c r="E87" s="424" t="s">
        <v>1926</v>
      </c>
      <c r="F87" s="425" t="s">
        <v>1927</v>
      </c>
      <c r="G87" s="424" t="s">
        <v>879</v>
      </c>
      <c r="H87" s="424" t="s">
        <v>880</v>
      </c>
      <c r="I87" s="426">
        <v>175.45000000000002</v>
      </c>
      <c r="J87" s="426">
        <v>101</v>
      </c>
      <c r="K87" s="427">
        <v>17720.45</v>
      </c>
    </row>
    <row r="88" spans="1:11" ht="14.4" customHeight="1" x14ac:dyDescent="0.3">
      <c r="A88" s="422" t="s">
        <v>444</v>
      </c>
      <c r="B88" s="423" t="s">
        <v>445</v>
      </c>
      <c r="C88" s="424" t="s">
        <v>449</v>
      </c>
      <c r="D88" s="425" t="s">
        <v>705</v>
      </c>
      <c r="E88" s="424" t="s">
        <v>1926</v>
      </c>
      <c r="F88" s="425" t="s">
        <v>1927</v>
      </c>
      <c r="G88" s="424" t="s">
        <v>881</v>
      </c>
      <c r="H88" s="424" t="s">
        <v>882</v>
      </c>
      <c r="I88" s="426">
        <v>1474.5</v>
      </c>
      <c r="J88" s="426">
        <v>1</v>
      </c>
      <c r="K88" s="427">
        <v>1474.5</v>
      </c>
    </row>
    <row r="89" spans="1:11" ht="14.4" customHeight="1" x14ac:dyDescent="0.3">
      <c r="A89" s="422" t="s">
        <v>444</v>
      </c>
      <c r="B89" s="423" t="s">
        <v>445</v>
      </c>
      <c r="C89" s="424" t="s">
        <v>449</v>
      </c>
      <c r="D89" s="425" t="s">
        <v>705</v>
      </c>
      <c r="E89" s="424" t="s">
        <v>1926</v>
      </c>
      <c r="F89" s="425" t="s">
        <v>1927</v>
      </c>
      <c r="G89" s="424" t="s">
        <v>883</v>
      </c>
      <c r="H89" s="424" t="s">
        <v>884</v>
      </c>
      <c r="I89" s="426">
        <v>31.756363636363634</v>
      </c>
      <c r="J89" s="426">
        <v>575</v>
      </c>
      <c r="K89" s="427">
        <v>18255.79</v>
      </c>
    </row>
    <row r="90" spans="1:11" ht="14.4" customHeight="1" x14ac:dyDescent="0.3">
      <c r="A90" s="422" t="s">
        <v>444</v>
      </c>
      <c r="B90" s="423" t="s">
        <v>445</v>
      </c>
      <c r="C90" s="424" t="s">
        <v>449</v>
      </c>
      <c r="D90" s="425" t="s">
        <v>705</v>
      </c>
      <c r="E90" s="424" t="s">
        <v>1926</v>
      </c>
      <c r="F90" s="425" t="s">
        <v>1927</v>
      </c>
      <c r="G90" s="424" t="s">
        <v>885</v>
      </c>
      <c r="H90" s="424" t="s">
        <v>886</v>
      </c>
      <c r="I90" s="426">
        <v>33.699999999999996</v>
      </c>
      <c r="J90" s="426">
        <v>325</v>
      </c>
      <c r="K90" s="427">
        <v>10953.58</v>
      </c>
    </row>
    <row r="91" spans="1:11" ht="14.4" customHeight="1" x14ac:dyDescent="0.3">
      <c r="A91" s="422" t="s">
        <v>444</v>
      </c>
      <c r="B91" s="423" t="s">
        <v>445</v>
      </c>
      <c r="C91" s="424" t="s">
        <v>449</v>
      </c>
      <c r="D91" s="425" t="s">
        <v>705</v>
      </c>
      <c r="E91" s="424" t="s">
        <v>1926</v>
      </c>
      <c r="F91" s="425" t="s">
        <v>1927</v>
      </c>
      <c r="G91" s="424" t="s">
        <v>887</v>
      </c>
      <c r="H91" s="424" t="s">
        <v>888</v>
      </c>
      <c r="I91" s="426">
        <v>5232.5</v>
      </c>
      <c r="J91" s="426">
        <v>18</v>
      </c>
      <c r="K91" s="427">
        <v>94185</v>
      </c>
    </row>
    <row r="92" spans="1:11" ht="14.4" customHeight="1" x14ac:dyDescent="0.3">
      <c r="A92" s="422" t="s">
        <v>444</v>
      </c>
      <c r="B92" s="423" t="s">
        <v>445</v>
      </c>
      <c r="C92" s="424" t="s">
        <v>449</v>
      </c>
      <c r="D92" s="425" t="s">
        <v>705</v>
      </c>
      <c r="E92" s="424" t="s">
        <v>1926</v>
      </c>
      <c r="F92" s="425" t="s">
        <v>1927</v>
      </c>
      <c r="G92" s="424" t="s">
        <v>889</v>
      </c>
      <c r="H92" s="424" t="s">
        <v>890</v>
      </c>
      <c r="I92" s="426">
        <v>26.012499999999999</v>
      </c>
      <c r="J92" s="426">
        <v>100</v>
      </c>
      <c r="K92" s="427">
        <v>2601.5099999999998</v>
      </c>
    </row>
    <row r="93" spans="1:11" ht="14.4" customHeight="1" x14ac:dyDescent="0.3">
      <c r="A93" s="422" t="s">
        <v>444</v>
      </c>
      <c r="B93" s="423" t="s">
        <v>445</v>
      </c>
      <c r="C93" s="424" t="s">
        <v>449</v>
      </c>
      <c r="D93" s="425" t="s">
        <v>705</v>
      </c>
      <c r="E93" s="424" t="s">
        <v>1926</v>
      </c>
      <c r="F93" s="425" t="s">
        <v>1927</v>
      </c>
      <c r="G93" s="424" t="s">
        <v>891</v>
      </c>
      <c r="H93" s="424" t="s">
        <v>892</v>
      </c>
      <c r="I93" s="426">
        <v>1.1881818181818182</v>
      </c>
      <c r="J93" s="426">
        <v>20800</v>
      </c>
      <c r="K93" s="427">
        <v>24662.789999999994</v>
      </c>
    </row>
    <row r="94" spans="1:11" ht="14.4" customHeight="1" x14ac:dyDescent="0.3">
      <c r="A94" s="422" t="s">
        <v>444</v>
      </c>
      <c r="B94" s="423" t="s">
        <v>445</v>
      </c>
      <c r="C94" s="424" t="s">
        <v>449</v>
      </c>
      <c r="D94" s="425" t="s">
        <v>705</v>
      </c>
      <c r="E94" s="424" t="s">
        <v>1926</v>
      </c>
      <c r="F94" s="425" t="s">
        <v>1927</v>
      </c>
      <c r="G94" s="424" t="s">
        <v>893</v>
      </c>
      <c r="H94" s="424" t="s">
        <v>894</v>
      </c>
      <c r="I94" s="426">
        <v>107.15999999999998</v>
      </c>
      <c r="J94" s="426">
        <v>98</v>
      </c>
      <c r="K94" s="427">
        <v>10502.02</v>
      </c>
    </row>
    <row r="95" spans="1:11" ht="14.4" customHeight="1" x14ac:dyDescent="0.3">
      <c r="A95" s="422" t="s">
        <v>444</v>
      </c>
      <c r="B95" s="423" t="s">
        <v>445</v>
      </c>
      <c r="C95" s="424" t="s">
        <v>449</v>
      </c>
      <c r="D95" s="425" t="s">
        <v>705</v>
      </c>
      <c r="E95" s="424" t="s">
        <v>1926</v>
      </c>
      <c r="F95" s="425" t="s">
        <v>1927</v>
      </c>
      <c r="G95" s="424" t="s">
        <v>895</v>
      </c>
      <c r="H95" s="424" t="s">
        <v>896</v>
      </c>
      <c r="I95" s="426">
        <v>270.13000000000005</v>
      </c>
      <c r="J95" s="426">
        <v>11</v>
      </c>
      <c r="K95" s="427">
        <v>2971.46</v>
      </c>
    </row>
    <row r="96" spans="1:11" ht="14.4" customHeight="1" x14ac:dyDescent="0.3">
      <c r="A96" s="422" t="s">
        <v>444</v>
      </c>
      <c r="B96" s="423" t="s">
        <v>445</v>
      </c>
      <c r="C96" s="424" t="s">
        <v>449</v>
      </c>
      <c r="D96" s="425" t="s">
        <v>705</v>
      </c>
      <c r="E96" s="424" t="s">
        <v>1926</v>
      </c>
      <c r="F96" s="425" t="s">
        <v>1927</v>
      </c>
      <c r="G96" s="424" t="s">
        <v>897</v>
      </c>
      <c r="H96" s="424" t="s">
        <v>898</v>
      </c>
      <c r="I96" s="426">
        <v>176.755</v>
      </c>
      <c r="J96" s="426">
        <v>122</v>
      </c>
      <c r="K96" s="427">
        <v>21589.29</v>
      </c>
    </row>
    <row r="97" spans="1:11" ht="14.4" customHeight="1" x14ac:dyDescent="0.3">
      <c r="A97" s="422" t="s">
        <v>444</v>
      </c>
      <c r="B97" s="423" t="s">
        <v>445</v>
      </c>
      <c r="C97" s="424" t="s">
        <v>449</v>
      </c>
      <c r="D97" s="425" t="s">
        <v>705</v>
      </c>
      <c r="E97" s="424" t="s">
        <v>1926</v>
      </c>
      <c r="F97" s="425" t="s">
        <v>1927</v>
      </c>
      <c r="G97" s="424" t="s">
        <v>899</v>
      </c>
      <c r="H97" s="424" t="s">
        <v>900</v>
      </c>
      <c r="I97" s="426">
        <v>117.24</v>
      </c>
      <c r="J97" s="426">
        <v>34</v>
      </c>
      <c r="K97" s="427">
        <v>3986.099999999999</v>
      </c>
    </row>
    <row r="98" spans="1:11" ht="14.4" customHeight="1" x14ac:dyDescent="0.3">
      <c r="A98" s="422" t="s">
        <v>444</v>
      </c>
      <c r="B98" s="423" t="s">
        <v>445</v>
      </c>
      <c r="C98" s="424" t="s">
        <v>449</v>
      </c>
      <c r="D98" s="425" t="s">
        <v>705</v>
      </c>
      <c r="E98" s="424" t="s">
        <v>1926</v>
      </c>
      <c r="F98" s="425" t="s">
        <v>1927</v>
      </c>
      <c r="G98" s="424" t="s">
        <v>901</v>
      </c>
      <c r="H98" s="424" t="s">
        <v>902</v>
      </c>
      <c r="I98" s="426">
        <v>21.009999999999998</v>
      </c>
      <c r="J98" s="426">
        <v>525</v>
      </c>
      <c r="K98" s="427">
        <v>11031.71</v>
      </c>
    </row>
    <row r="99" spans="1:11" ht="14.4" customHeight="1" x14ac:dyDescent="0.3">
      <c r="A99" s="422" t="s">
        <v>444</v>
      </c>
      <c r="B99" s="423" t="s">
        <v>445</v>
      </c>
      <c r="C99" s="424" t="s">
        <v>449</v>
      </c>
      <c r="D99" s="425" t="s">
        <v>705</v>
      </c>
      <c r="E99" s="424" t="s">
        <v>1926</v>
      </c>
      <c r="F99" s="425" t="s">
        <v>1927</v>
      </c>
      <c r="G99" s="424" t="s">
        <v>903</v>
      </c>
      <c r="H99" s="424" t="s">
        <v>904</v>
      </c>
      <c r="I99" s="426">
        <v>1080.19</v>
      </c>
      <c r="J99" s="426">
        <v>7</v>
      </c>
      <c r="K99" s="427">
        <v>7547.2</v>
      </c>
    </row>
    <row r="100" spans="1:11" ht="14.4" customHeight="1" x14ac:dyDescent="0.3">
      <c r="A100" s="422" t="s">
        <v>444</v>
      </c>
      <c r="B100" s="423" t="s">
        <v>445</v>
      </c>
      <c r="C100" s="424" t="s">
        <v>449</v>
      </c>
      <c r="D100" s="425" t="s">
        <v>705</v>
      </c>
      <c r="E100" s="424" t="s">
        <v>1926</v>
      </c>
      <c r="F100" s="425" t="s">
        <v>1927</v>
      </c>
      <c r="G100" s="424" t="s">
        <v>905</v>
      </c>
      <c r="H100" s="424" t="s">
        <v>906</v>
      </c>
      <c r="I100" s="426">
        <v>776.82</v>
      </c>
      <c r="J100" s="426">
        <v>5</v>
      </c>
      <c r="K100" s="427">
        <v>3884.1000000000004</v>
      </c>
    </row>
    <row r="101" spans="1:11" ht="14.4" customHeight="1" x14ac:dyDescent="0.3">
      <c r="A101" s="422" t="s">
        <v>444</v>
      </c>
      <c r="B101" s="423" t="s">
        <v>445</v>
      </c>
      <c r="C101" s="424" t="s">
        <v>449</v>
      </c>
      <c r="D101" s="425" t="s">
        <v>705</v>
      </c>
      <c r="E101" s="424" t="s">
        <v>1926</v>
      </c>
      <c r="F101" s="425" t="s">
        <v>1927</v>
      </c>
      <c r="G101" s="424" t="s">
        <v>907</v>
      </c>
      <c r="H101" s="424" t="s">
        <v>908</v>
      </c>
      <c r="I101" s="426">
        <v>20.7</v>
      </c>
      <c r="J101" s="426">
        <v>90</v>
      </c>
      <c r="K101" s="427">
        <v>1863</v>
      </c>
    </row>
    <row r="102" spans="1:11" ht="14.4" customHeight="1" x14ac:dyDescent="0.3">
      <c r="A102" s="422" t="s">
        <v>444</v>
      </c>
      <c r="B102" s="423" t="s">
        <v>445</v>
      </c>
      <c r="C102" s="424" t="s">
        <v>449</v>
      </c>
      <c r="D102" s="425" t="s">
        <v>705</v>
      </c>
      <c r="E102" s="424" t="s">
        <v>1926</v>
      </c>
      <c r="F102" s="425" t="s">
        <v>1927</v>
      </c>
      <c r="G102" s="424" t="s">
        <v>909</v>
      </c>
      <c r="H102" s="424" t="s">
        <v>910</v>
      </c>
      <c r="I102" s="426">
        <v>22.320000000000004</v>
      </c>
      <c r="J102" s="426">
        <v>40</v>
      </c>
      <c r="K102" s="427">
        <v>892.8</v>
      </c>
    </row>
    <row r="103" spans="1:11" ht="14.4" customHeight="1" x14ac:dyDescent="0.3">
      <c r="A103" s="422" t="s">
        <v>444</v>
      </c>
      <c r="B103" s="423" t="s">
        <v>445</v>
      </c>
      <c r="C103" s="424" t="s">
        <v>449</v>
      </c>
      <c r="D103" s="425" t="s">
        <v>705</v>
      </c>
      <c r="E103" s="424" t="s">
        <v>1926</v>
      </c>
      <c r="F103" s="425" t="s">
        <v>1927</v>
      </c>
      <c r="G103" s="424" t="s">
        <v>911</v>
      </c>
      <c r="H103" s="424" t="s">
        <v>912</v>
      </c>
      <c r="I103" s="426">
        <v>138</v>
      </c>
      <c r="J103" s="426">
        <v>425</v>
      </c>
      <c r="K103" s="427">
        <v>58650</v>
      </c>
    </row>
    <row r="104" spans="1:11" ht="14.4" customHeight="1" x14ac:dyDescent="0.3">
      <c r="A104" s="422" t="s">
        <v>444</v>
      </c>
      <c r="B104" s="423" t="s">
        <v>445</v>
      </c>
      <c r="C104" s="424" t="s">
        <v>449</v>
      </c>
      <c r="D104" s="425" t="s">
        <v>705</v>
      </c>
      <c r="E104" s="424" t="s">
        <v>1926</v>
      </c>
      <c r="F104" s="425" t="s">
        <v>1927</v>
      </c>
      <c r="G104" s="424" t="s">
        <v>913</v>
      </c>
      <c r="H104" s="424" t="s">
        <v>914</v>
      </c>
      <c r="I104" s="426">
        <v>2288.5</v>
      </c>
      <c r="J104" s="426">
        <v>13</v>
      </c>
      <c r="K104" s="427">
        <v>29750.5</v>
      </c>
    </row>
    <row r="105" spans="1:11" ht="14.4" customHeight="1" x14ac:dyDescent="0.3">
      <c r="A105" s="422" t="s">
        <v>444</v>
      </c>
      <c r="B105" s="423" t="s">
        <v>445</v>
      </c>
      <c r="C105" s="424" t="s">
        <v>449</v>
      </c>
      <c r="D105" s="425" t="s">
        <v>705</v>
      </c>
      <c r="E105" s="424" t="s">
        <v>1926</v>
      </c>
      <c r="F105" s="425" t="s">
        <v>1927</v>
      </c>
      <c r="G105" s="424" t="s">
        <v>915</v>
      </c>
      <c r="H105" s="424" t="s">
        <v>916</v>
      </c>
      <c r="I105" s="426">
        <v>4162.3999999999996</v>
      </c>
      <c r="J105" s="426">
        <v>6</v>
      </c>
      <c r="K105" s="427">
        <v>25071.200000000001</v>
      </c>
    </row>
    <row r="106" spans="1:11" ht="14.4" customHeight="1" x14ac:dyDescent="0.3">
      <c r="A106" s="422" t="s">
        <v>444</v>
      </c>
      <c r="B106" s="423" t="s">
        <v>445</v>
      </c>
      <c r="C106" s="424" t="s">
        <v>449</v>
      </c>
      <c r="D106" s="425" t="s">
        <v>705</v>
      </c>
      <c r="E106" s="424" t="s">
        <v>1926</v>
      </c>
      <c r="F106" s="425" t="s">
        <v>1927</v>
      </c>
      <c r="G106" s="424" t="s">
        <v>917</v>
      </c>
      <c r="H106" s="424" t="s">
        <v>918</v>
      </c>
      <c r="I106" s="426">
        <v>1474.375</v>
      </c>
      <c r="J106" s="426">
        <v>3</v>
      </c>
      <c r="K106" s="427">
        <v>4380.5</v>
      </c>
    </row>
    <row r="107" spans="1:11" ht="14.4" customHeight="1" x14ac:dyDescent="0.3">
      <c r="A107" s="422" t="s">
        <v>444</v>
      </c>
      <c r="B107" s="423" t="s">
        <v>445</v>
      </c>
      <c r="C107" s="424" t="s">
        <v>449</v>
      </c>
      <c r="D107" s="425" t="s">
        <v>705</v>
      </c>
      <c r="E107" s="424" t="s">
        <v>1926</v>
      </c>
      <c r="F107" s="425" t="s">
        <v>1927</v>
      </c>
      <c r="G107" s="424" t="s">
        <v>919</v>
      </c>
      <c r="H107" s="424" t="s">
        <v>920</v>
      </c>
      <c r="I107" s="426">
        <v>138</v>
      </c>
      <c r="J107" s="426">
        <v>435</v>
      </c>
      <c r="K107" s="427">
        <v>60030</v>
      </c>
    </row>
    <row r="108" spans="1:11" ht="14.4" customHeight="1" x14ac:dyDescent="0.3">
      <c r="A108" s="422" t="s">
        <v>444</v>
      </c>
      <c r="B108" s="423" t="s">
        <v>445</v>
      </c>
      <c r="C108" s="424" t="s">
        <v>449</v>
      </c>
      <c r="D108" s="425" t="s">
        <v>705</v>
      </c>
      <c r="E108" s="424" t="s">
        <v>1926</v>
      </c>
      <c r="F108" s="425" t="s">
        <v>1927</v>
      </c>
      <c r="G108" s="424" t="s">
        <v>921</v>
      </c>
      <c r="H108" s="424" t="s">
        <v>922</v>
      </c>
      <c r="I108" s="426">
        <v>51.62</v>
      </c>
      <c r="J108" s="426">
        <v>50</v>
      </c>
      <c r="K108" s="427">
        <v>2511.39</v>
      </c>
    </row>
    <row r="109" spans="1:11" ht="14.4" customHeight="1" x14ac:dyDescent="0.3">
      <c r="A109" s="422" t="s">
        <v>444</v>
      </c>
      <c r="B109" s="423" t="s">
        <v>445</v>
      </c>
      <c r="C109" s="424" t="s">
        <v>449</v>
      </c>
      <c r="D109" s="425" t="s">
        <v>705</v>
      </c>
      <c r="E109" s="424" t="s">
        <v>1926</v>
      </c>
      <c r="F109" s="425" t="s">
        <v>1927</v>
      </c>
      <c r="G109" s="424" t="s">
        <v>923</v>
      </c>
      <c r="H109" s="424" t="s">
        <v>924</v>
      </c>
      <c r="I109" s="426">
        <v>18.989999999999998</v>
      </c>
      <c r="J109" s="426">
        <v>180</v>
      </c>
      <c r="K109" s="427">
        <v>3481.2</v>
      </c>
    </row>
    <row r="110" spans="1:11" ht="14.4" customHeight="1" x14ac:dyDescent="0.3">
      <c r="A110" s="422" t="s">
        <v>444</v>
      </c>
      <c r="B110" s="423" t="s">
        <v>445</v>
      </c>
      <c r="C110" s="424" t="s">
        <v>449</v>
      </c>
      <c r="D110" s="425" t="s">
        <v>705</v>
      </c>
      <c r="E110" s="424" t="s">
        <v>1926</v>
      </c>
      <c r="F110" s="425" t="s">
        <v>1927</v>
      </c>
      <c r="G110" s="424" t="s">
        <v>925</v>
      </c>
      <c r="H110" s="424" t="s">
        <v>926</v>
      </c>
      <c r="I110" s="426">
        <v>4207.847142857142</v>
      </c>
      <c r="J110" s="426">
        <v>19</v>
      </c>
      <c r="K110" s="427">
        <v>79949.200000000012</v>
      </c>
    </row>
    <row r="111" spans="1:11" ht="14.4" customHeight="1" x14ac:dyDescent="0.3">
      <c r="A111" s="422" t="s">
        <v>444</v>
      </c>
      <c r="B111" s="423" t="s">
        <v>445</v>
      </c>
      <c r="C111" s="424" t="s">
        <v>449</v>
      </c>
      <c r="D111" s="425" t="s">
        <v>705</v>
      </c>
      <c r="E111" s="424" t="s">
        <v>1926</v>
      </c>
      <c r="F111" s="425" t="s">
        <v>1927</v>
      </c>
      <c r="G111" s="424" t="s">
        <v>927</v>
      </c>
      <c r="H111" s="424" t="s">
        <v>928</v>
      </c>
      <c r="I111" s="426">
        <v>232.5</v>
      </c>
      <c r="J111" s="426">
        <v>18</v>
      </c>
      <c r="K111" s="427">
        <v>4185</v>
      </c>
    </row>
    <row r="112" spans="1:11" ht="14.4" customHeight="1" x14ac:dyDescent="0.3">
      <c r="A112" s="422" t="s">
        <v>444</v>
      </c>
      <c r="B112" s="423" t="s">
        <v>445</v>
      </c>
      <c r="C112" s="424" t="s">
        <v>449</v>
      </c>
      <c r="D112" s="425" t="s">
        <v>705</v>
      </c>
      <c r="E112" s="424" t="s">
        <v>1926</v>
      </c>
      <c r="F112" s="425" t="s">
        <v>1927</v>
      </c>
      <c r="G112" s="424" t="s">
        <v>929</v>
      </c>
      <c r="H112" s="424" t="s">
        <v>930</v>
      </c>
      <c r="I112" s="426">
        <v>1499.62</v>
      </c>
      <c r="J112" s="426">
        <v>2</v>
      </c>
      <c r="K112" s="427">
        <v>2999.24</v>
      </c>
    </row>
    <row r="113" spans="1:11" ht="14.4" customHeight="1" x14ac:dyDescent="0.3">
      <c r="A113" s="422" t="s">
        <v>444</v>
      </c>
      <c r="B113" s="423" t="s">
        <v>445</v>
      </c>
      <c r="C113" s="424" t="s">
        <v>449</v>
      </c>
      <c r="D113" s="425" t="s">
        <v>705</v>
      </c>
      <c r="E113" s="424" t="s">
        <v>1926</v>
      </c>
      <c r="F113" s="425" t="s">
        <v>1927</v>
      </c>
      <c r="G113" s="424" t="s">
        <v>931</v>
      </c>
      <c r="H113" s="424" t="s">
        <v>932</v>
      </c>
      <c r="I113" s="426">
        <v>20.981428571428573</v>
      </c>
      <c r="J113" s="426">
        <v>400</v>
      </c>
      <c r="K113" s="427">
        <v>8392.31</v>
      </c>
    </row>
    <row r="114" spans="1:11" ht="14.4" customHeight="1" x14ac:dyDescent="0.3">
      <c r="A114" s="422" t="s">
        <v>444</v>
      </c>
      <c r="B114" s="423" t="s">
        <v>445</v>
      </c>
      <c r="C114" s="424" t="s">
        <v>449</v>
      </c>
      <c r="D114" s="425" t="s">
        <v>705</v>
      </c>
      <c r="E114" s="424" t="s">
        <v>1926</v>
      </c>
      <c r="F114" s="425" t="s">
        <v>1927</v>
      </c>
      <c r="G114" s="424" t="s">
        <v>933</v>
      </c>
      <c r="H114" s="424" t="s">
        <v>934</v>
      </c>
      <c r="I114" s="426">
        <v>53.226666666666667</v>
      </c>
      <c r="J114" s="426">
        <v>320</v>
      </c>
      <c r="K114" s="427">
        <v>17040.21</v>
      </c>
    </row>
    <row r="115" spans="1:11" ht="14.4" customHeight="1" x14ac:dyDescent="0.3">
      <c r="A115" s="422" t="s">
        <v>444</v>
      </c>
      <c r="B115" s="423" t="s">
        <v>445</v>
      </c>
      <c r="C115" s="424" t="s">
        <v>449</v>
      </c>
      <c r="D115" s="425" t="s">
        <v>705</v>
      </c>
      <c r="E115" s="424" t="s">
        <v>1926</v>
      </c>
      <c r="F115" s="425" t="s">
        <v>1927</v>
      </c>
      <c r="G115" s="424" t="s">
        <v>935</v>
      </c>
      <c r="H115" s="424" t="s">
        <v>936</v>
      </c>
      <c r="I115" s="426">
        <v>11.5</v>
      </c>
      <c r="J115" s="426">
        <v>90</v>
      </c>
      <c r="K115" s="427">
        <v>1035</v>
      </c>
    </row>
    <row r="116" spans="1:11" ht="14.4" customHeight="1" x14ac:dyDescent="0.3">
      <c r="A116" s="422" t="s">
        <v>444</v>
      </c>
      <c r="B116" s="423" t="s">
        <v>445</v>
      </c>
      <c r="C116" s="424" t="s">
        <v>449</v>
      </c>
      <c r="D116" s="425" t="s">
        <v>705</v>
      </c>
      <c r="E116" s="424" t="s">
        <v>1926</v>
      </c>
      <c r="F116" s="425" t="s">
        <v>1927</v>
      </c>
      <c r="G116" s="424" t="s">
        <v>935</v>
      </c>
      <c r="H116" s="424" t="s">
        <v>937</v>
      </c>
      <c r="I116" s="426">
        <v>17.670000000000002</v>
      </c>
      <c r="J116" s="426">
        <v>60</v>
      </c>
      <c r="K116" s="427">
        <v>1060.2</v>
      </c>
    </row>
    <row r="117" spans="1:11" ht="14.4" customHeight="1" x14ac:dyDescent="0.3">
      <c r="A117" s="422" t="s">
        <v>444</v>
      </c>
      <c r="B117" s="423" t="s">
        <v>445</v>
      </c>
      <c r="C117" s="424" t="s">
        <v>449</v>
      </c>
      <c r="D117" s="425" t="s">
        <v>705</v>
      </c>
      <c r="E117" s="424" t="s">
        <v>1926</v>
      </c>
      <c r="F117" s="425" t="s">
        <v>1927</v>
      </c>
      <c r="G117" s="424" t="s">
        <v>938</v>
      </c>
      <c r="H117" s="424" t="s">
        <v>939</v>
      </c>
      <c r="I117" s="426">
        <v>4207.8544444444442</v>
      </c>
      <c r="J117" s="426">
        <v>22</v>
      </c>
      <c r="K117" s="427">
        <v>92572.85</v>
      </c>
    </row>
    <row r="118" spans="1:11" ht="14.4" customHeight="1" x14ac:dyDescent="0.3">
      <c r="A118" s="422" t="s">
        <v>444</v>
      </c>
      <c r="B118" s="423" t="s">
        <v>445</v>
      </c>
      <c r="C118" s="424" t="s">
        <v>449</v>
      </c>
      <c r="D118" s="425" t="s">
        <v>705</v>
      </c>
      <c r="E118" s="424" t="s">
        <v>1926</v>
      </c>
      <c r="F118" s="425" t="s">
        <v>1927</v>
      </c>
      <c r="G118" s="424" t="s">
        <v>940</v>
      </c>
      <c r="H118" s="424" t="s">
        <v>941</v>
      </c>
      <c r="I118" s="426">
        <v>562.65</v>
      </c>
      <c r="J118" s="426">
        <v>1</v>
      </c>
      <c r="K118" s="427">
        <v>562.65</v>
      </c>
    </row>
    <row r="119" spans="1:11" ht="14.4" customHeight="1" x14ac:dyDescent="0.3">
      <c r="A119" s="422" t="s">
        <v>444</v>
      </c>
      <c r="B119" s="423" t="s">
        <v>445</v>
      </c>
      <c r="C119" s="424" t="s">
        <v>449</v>
      </c>
      <c r="D119" s="425" t="s">
        <v>705</v>
      </c>
      <c r="E119" s="424" t="s">
        <v>1926</v>
      </c>
      <c r="F119" s="425" t="s">
        <v>1927</v>
      </c>
      <c r="G119" s="424" t="s">
        <v>942</v>
      </c>
      <c r="H119" s="424" t="s">
        <v>943</v>
      </c>
      <c r="I119" s="426">
        <v>5.58</v>
      </c>
      <c r="J119" s="426">
        <v>100</v>
      </c>
      <c r="K119" s="427">
        <v>558</v>
      </c>
    </row>
    <row r="120" spans="1:11" ht="14.4" customHeight="1" x14ac:dyDescent="0.3">
      <c r="A120" s="422" t="s">
        <v>444</v>
      </c>
      <c r="B120" s="423" t="s">
        <v>445</v>
      </c>
      <c r="C120" s="424" t="s">
        <v>449</v>
      </c>
      <c r="D120" s="425" t="s">
        <v>705</v>
      </c>
      <c r="E120" s="424" t="s">
        <v>1926</v>
      </c>
      <c r="F120" s="425" t="s">
        <v>1927</v>
      </c>
      <c r="G120" s="424" t="s">
        <v>944</v>
      </c>
      <c r="H120" s="424" t="s">
        <v>945</v>
      </c>
      <c r="I120" s="426">
        <v>826.14399999999989</v>
      </c>
      <c r="J120" s="426">
        <v>11</v>
      </c>
      <c r="K120" s="427">
        <v>9087.65</v>
      </c>
    </row>
    <row r="121" spans="1:11" ht="14.4" customHeight="1" x14ac:dyDescent="0.3">
      <c r="A121" s="422" t="s">
        <v>444</v>
      </c>
      <c r="B121" s="423" t="s">
        <v>445</v>
      </c>
      <c r="C121" s="424" t="s">
        <v>449</v>
      </c>
      <c r="D121" s="425" t="s">
        <v>705</v>
      </c>
      <c r="E121" s="424" t="s">
        <v>1926</v>
      </c>
      <c r="F121" s="425" t="s">
        <v>1927</v>
      </c>
      <c r="G121" s="424" t="s">
        <v>946</v>
      </c>
      <c r="H121" s="424" t="s">
        <v>947</v>
      </c>
      <c r="I121" s="426">
        <v>1122.8724999999999</v>
      </c>
      <c r="J121" s="426">
        <v>5</v>
      </c>
      <c r="K121" s="427">
        <v>5614.36</v>
      </c>
    </row>
    <row r="122" spans="1:11" ht="14.4" customHeight="1" x14ac:dyDescent="0.3">
      <c r="A122" s="422" t="s">
        <v>444</v>
      </c>
      <c r="B122" s="423" t="s">
        <v>445</v>
      </c>
      <c r="C122" s="424" t="s">
        <v>449</v>
      </c>
      <c r="D122" s="425" t="s">
        <v>705</v>
      </c>
      <c r="E122" s="424" t="s">
        <v>1926</v>
      </c>
      <c r="F122" s="425" t="s">
        <v>1927</v>
      </c>
      <c r="G122" s="424" t="s">
        <v>948</v>
      </c>
      <c r="H122" s="424" t="s">
        <v>949</v>
      </c>
      <c r="I122" s="426">
        <v>1003.095</v>
      </c>
      <c r="J122" s="426">
        <v>2</v>
      </c>
      <c r="K122" s="427">
        <v>2006.19</v>
      </c>
    </row>
    <row r="123" spans="1:11" ht="14.4" customHeight="1" x14ac:dyDescent="0.3">
      <c r="A123" s="422" t="s">
        <v>444</v>
      </c>
      <c r="B123" s="423" t="s">
        <v>445</v>
      </c>
      <c r="C123" s="424" t="s">
        <v>449</v>
      </c>
      <c r="D123" s="425" t="s">
        <v>705</v>
      </c>
      <c r="E123" s="424" t="s">
        <v>1926</v>
      </c>
      <c r="F123" s="425" t="s">
        <v>1927</v>
      </c>
      <c r="G123" s="424" t="s">
        <v>950</v>
      </c>
      <c r="H123" s="424" t="s">
        <v>951</v>
      </c>
      <c r="I123" s="426">
        <v>3156.7666666666664</v>
      </c>
      <c r="J123" s="426">
        <v>5</v>
      </c>
      <c r="K123" s="427">
        <v>15783.8</v>
      </c>
    </row>
    <row r="124" spans="1:11" ht="14.4" customHeight="1" x14ac:dyDescent="0.3">
      <c r="A124" s="422" t="s">
        <v>444</v>
      </c>
      <c r="B124" s="423" t="s">
        <v>445</v>
      </c>
      <c r="C124" s="424" t="s">
        <v>449</v>
      </c>
      <c r="D124" s="425" t="s">
        <v>705</v>
      </c>
      <c r="E124" s="424" t="s">
        <v>1926</v>
      </c>
      <c r="F124" s="425" t="s">
        <v>1927</v>
      </c>
      <c r="G124" s="424" t="s">
        <v>952</v>
      </c>
      <c r="H124" s="424" t="s">
        <v>953</v>
      </c>
      <c r="I124" s="426">
        <v>457.5</v>
      </c>
      <c r="J124" s="426">
        <v>6</v>
      </c>
      <c r="K124" s="427">
        <v>2745</v>
      </c>
    </row>
    <row r="125" spans="1:11" ht="14.4" customHeight="1" x14ac:dyDescent="0.3">
      <c r="A125" s="422" t="s">
        <v>444</v>
      </c>
      <c r="B125" s="423" t="s">
        <v>445</v>
      </c>
      <c r="C125" s="424" t="s">
        <v>449</v>
      </c>
      <c r="D125" s="425" t="s">
        <v>705</v>
      </c>
      <c r="E125" s="424" t="s">
        <v>1926</v>
      </c>
      <c r="F125" s="425" t="s">
        <v>1927</v>
      </c>
      <c r="G125" s="424" t="s">
        <v>954</v>
      </c>
      <c r="H125" s="424" t="s">
        <v>955</v>
      </c>
      <c r="I125" s="426">
        <v>159.69999999999999</v>
      </c>
      <c r="J125" s="426">
        <v>10</v>
      </c>
      <c r="K125" s="427">
        <v>1597</v>
      </c>
    </row>
    <row r="126" spans="1:11" ht="14.4" customHeight="1" x14ac:dyDescent="0.3">
      <c r="A126" s="422" t="s">
        <v>444</v>
      </c>
      <c r="B126" s="423" t="s">
        <v>445</v>
      </c>
      <c r="C126" s="424" t="s">
        <v>449</v>
      </c>
      <c r="D126" s="425" t="s">
        <v>705</v>
      </c>
      <c r="E126" s="424" t="s">
        <v>1926</v>
      </c>
      <c r="F126" s="425" t="s">
        <v>1927</v>
      </c>
      <c r="G126" s="424" t="s">
        <v>956</v>
      </c>
      <c r="H126" s="424" t="s">
        <v>957</v>
      </c>
      <c r="I126" s="426">
        <v>1380.92</v>
      </c>
      <c r="J126" s="426">
        <v>41</v>
      </c>
      <c r="K126" s="427">
        <v>56617.700000000004</v>
      </c>
    </row>
    <row r="127" spans="1:11" ht="14.4" customHeight="1" x14ac:dyDescent="0.3">
      <c r="A127" s="422" t="s">
        <v>444</v>
      </c>
      <c r="B127" s="423" t="s">
        <v>445</v>
      </c>
      <c r="C127" s="424" t="s">
        <v>449</v>
      </c>
      <c r="D127" s="425" t="s">
        <v>705</v>
      </c>
      <c r="E127" s="424" t="s">
        <v>1926</v>
      </c>
      <c r="F127" s="425" t="s">
        <v>1927</v>
      </c>
      <c r="G127" s="424" t="s">
        <v>958</v>
      </c>
      <c r="H127" s="424" t="s">
        <v>959</v>
      </c>
      <c r="I127" s="426">
        <v>1021.408</v>
      </c>
      <c r="J127" s="426">
        <v>73</v>
      </c>
      <c r="K127" s="427">
        <v>75916.51999999999</v>
      </c>
    </row>
    <row r="128" spans="1:11" ht="14.4" customHeight="1" x14ac:dyDescent="0.3">
      <c r="A128" s="422" t="s">
        <v>444</v>
      </c>
      <c r="B128" s="423" t="s">
        <v>445</v>
      </c>
      <c r="C128" s="424" t="s">
        <v>449</v>
      </c>
      <c r="D128" s="425" t="s">
        <v>705</v>
      </c>
      <c r="E128" s="424" t="s">
        <v>1926</v>
      </c>
      <c r="F128" s="425" t="s">
        <v>1927</v>
      </c>
      <c r="G128" s="424" t="s">
        <v>960</v>
      </c>
      <c r="H128" s="424" t="s">
        <v>961</v>
      </c>
      <c r="I128" s="426">
        <v>435.59999999999997</v>
      </c>
      <c r="J128" s="426">
        <v>8</v>
      </c>
      <c r="K128" s="427">
        <v>3484.8</v>
      </c>
    </row>
    <row r="129" spans="1:11" ht="14.4" customHeight="1" x14ac:dyDescent="0.3">
      <c r="A129" s="422" t="s">
        <v>444</v>
      </c>
      <c r="B129" s="423" t="s">
        <v>445</v>
      </c>
      <c r="C129" s="424" t="s">
        <v>449</v>
      </c>
      <c r="D129" s="425" t="s">
        <v>705</v>
      </c>
      <c r="E129" s="424" t="s">
        <v>1926</v>
      </c>
      <c r="F129" s="425" t="s">
        <v>1927</v>
      </c>
      <c r="G129" s="424" t="s">
        <v>962</v>
      </c>
      <c r="H129" s="424" t="s">
        <v>963</v>
      </c>
      <c r="I129" s="426">
        <v>1216.1546153846152</v>
      </c>
      <c r="J129" s="426">
        <v>29</v>
      </c>
      <c r="K129" s="427">
        <v>35200.83</v>
      </c>
    </row>
    <row r="130" spans="1:11" ht="14.4" customHeight="1" x14ac:dyDescent="0.3">
      <c r="A130" s="422" t="s">
        <v>444</v>
      </c>
      <c r="B130" s="423" t="s">
        <v>445</v>
      </c>
      <c r="C130" s="424" t="s">
        <v>449</v>
      </c>
      <c r="D130" s="425" t="s">
        <v>705</v>
      </c>
      <c r="E130" s="424" t="s">
        <v>1926</v>
      </c>
      <c r="F130" s="425" t="s">
        <v>1927</v>
      </c>
      <c r="G130" s="424" t="s">
        <v>964</v>
      </c>
      <c r="H130" s="424" t="s">
        <v>965</v>
      </c>
      <c r="I130" s="426">
        <v>118.58</v>
      </c>
      <c r="J130" s="426">
        <v>20</v>
      </c>
      <c r="K130" s="427">
        <v>2371.6</v>
      </c>
    </row>
    <row r="131" spans="1:11" ht="14.4" customHeight="1" x14ac:dyDescent="0.3">
      <c r="A131" s="422" t="s">
        <v>444</v>
      </c>
      <c r="B131" s="423" t="s">
        <v>445</v>
      </c>
      <c r="C131" s="424" t="s">
        <v>449</v>
      </c>
      <c r="D131" s="425" t="s">
        <v>705</v>
      </c>
      <c r="E131" s="424" t="s">
        <v>1926</v>
      </c>
      <c r="F131" s="425" t="s">
        <v>1927</v>
      </c>
      <c r="G131" s="424" t="s">
        <v>966</v>
      </c>
      <c r="H131" s="424" t="s">
        <v>967</v>
      </c>
      <c r="I131" s="426">
        <v>1011.9274999999999</v>
      </c>
      <c r="J131" s="426">
        <v>5</v>
      </c>
      <c r="K131" s="427">
        <v>5059.6399999999994</v>
      </c>
    </row>
    <row r="132" spans="1:11" ht="14.4" customHeight="1" x14ac:dyDescent="0.3">
      <c r="A132" s="422" t="s">
        <v>444</v>
      </c>
      <c r="B132" s="423" t="s">
        <v>445</v>
      </c>
      <c r="C132" s="424" t="s">
        <v>449</v>
      </c>
      <c r="D132" s="425" t="s">
        <v>705</v>
      </c>
      <c r="E132" s="424" t="s">
        <v>1926</v>
      </c>
      <c r="F132" s="425" t="s">
        <v>1927</v>
      </c>
      <c r="G132" s="424" t="s">
        <v>968</v>
      </c>
      <c r="H132" s="424" t="s">
        <v>969</v>
      </c>
      <c r="I132" s="426">
        <v>1840</v>
      </c>
      <c r="J132" s="426">
        <v>2</v>
      </c>
      <c r="K132" s="427">
        <v>3680</v>
      </c>
    </row>
    <row r="133" spans="1:11" ht="14.4" customHeight="1" x14ac:dyDescent="0.3">
      <c r="A133" s="422" t="s">
        <v>444</v>
      </c>
      <c r="B133" s="423" t="s">
        <v>445</v>
      </c>
      <c r="C133" s="424" t="s">
        <v>449</v>
      </c>
      <c r="D133" s="425" t="s">
        <v>705</v>
      </c>
      <c r="E133" s="424" t="s">
        <v>1926</v>
      </c>
      <c r="F133" s="425" t="s">
        <v>1927</v>
      </c>
      <c r="G133" s="424" t="s">
        <v>970</v>
      </c>
      <c r="H133" s="424" t="s">
        <v>971</v>
      </c>
      <c r="I133" s="426">
        <v>548.30999999999995</v>
      </c>
      <c r="J133" s="426">
        <v>3</v>
      </c>
      <c r="K133" s="427">
        <v>1644.9299999999998</v>
      </c>
    </row>
    <row r="134" spans="1:11" ht="14.4" customHeight="1" x14ac:dyDescent="0.3">
      <c r="A134" s="422" t="s">
        <v>444</v>
      </c>
      <c r="B134" s="423" t="s">
        <v>445</v>
      </c>
      <c r="C134" s="424" t="s">
        <v>449</v>
      </c>
      <c r="D134" s="425" t="s">
        <v>705</v>
      </c>
      <c r="E134" s="424" t="s">
        <v>1926</v>
      </c>
      <c r="F134" s="425" t="s">
        <v>1927</v>
      </c>
      <c r="G134" s="424" t="s">
        <v>972</v>
      </c>
      <c r="H134" s="424" t="s">
        <v>973</v>
      </c>
      <c r="I134" s="426">
        <v>1202.6799999999998</v>
      </c>
      <c r="J134" s="426">
        <v>6</v>
      </c>
      <c r="K134" s="427">
        <v>7186.4</v>
      </c>
    </row>
    <row r="135" spans="1:11" ht="14.4" customHeight="1" x14ac:dyDescent="0.3">
      <c r="A135" s="422" t="s">
        <v>444</v>
      </c>
      <c r="B135" s="423" t="s">
        <v>445</v>
      </c>
      <c r="C135" s="424" t="s">
        <v>449</v>
      </c>
      <c r="D135" s="425" t="s">
        <v>705</v>
      </c>
      <c r="E135" s="424" t="s">
        <v>1926</v>
      </c>
      <c r="F135" s="425" t="s">
        <v>1927</v>
      </c>
      <c r="G135" s="424" t="s">
        <v>974</v>
      </c>
      <c r="H135" s="424" t="s">
        <v>975</v>
      </c>
      <c r="I135" s="426">
        <v>565.91571428571422</v>
      </c>
      <c r="J135" s="426">
        <v>24</v>
      </c>
      <c r="K135" s="427">
        <v>13581.98</v>
      </c>
    </row>
    <row r="136" spans="1:11" ht="14.4" customHeight="1" x14ac:dyDescent="0.3">
      <c r="A136" s="422" t="s">
        <v>444</v>
      </c>
      <c r="B136" s="423" t="s">
        <v>445</v>
      </c>
      <c r="C136" s="424" t="s">
        <v>449</v>
      </c>
      <c r="D136" s="425" t="s">
        <v>705</v>
      </c>
      <c r="E136" s="424" t="s">
        <v>1926</v>
      </c>
      <c r="F136" s="425" t="s">
        <v>1927</v>
      </c>
      <c r="G136" s="424" t="s">
        <v>976</v>
      </c>
      <c r="H136" s="424" t="s">
        <v>977</v>
      </c>
      <c r="I136" s="426">
        <v>51.62</v>
      </c>
      <c r="J136" s="426">
        <v>30</v>
      </c>
      <c r="K136" s="427">
        <v>1525.4</v>
      </c>
    </row>
    <row r="137" spans="1:11" ht="14.4" customHeight="1" x14ac:dyDescent="0.3">
      <c r="A137" s="422" t="s">
        <v>444</v>
      </c>
      <c r="B137" s="423" t="s">
        <v>445</v>
      </c>
      <c r="C137" s="424" t="s">
        <v>449</v>
      </c>
      <c r="D137" s="425" t="s">
        <v>705</v>
      </c>
      <c r="E137" s="424" t="s">
        <v>1926</v>
      </c>
      <c r="F137" s="425" t="s">
        <v>1927</v>
      </c>
      <c r="G137" s="424" t="s">
        <v>978</v>
      </c>
      <c r="H137" s="424" t="s">
        <v>979</v>
      </c>
      <c r="I137" s="426">
        <v>83.7</v>
      </c>
      <c r="J137" s="426">
        <v>10</v>
      </c>
      <c r="K137" s="427">
        <v>837</v>
      </c>
    </row>
    <row r="138" spans="1:11" ht="14.4" customHeight="1" x14ac:dyDescent="0.3">
      <c r="A138" s="422" t="s">
        <v>444</v>
      </c>
      <c r="B138" s="423" t="s">
        <v>445</v>
      </c>
      <c r="C138" s="424" t="s">
        <v>449</v>
      </c>
      <c r="D138" s="425" t="s">
        <v>705</v>
      </c>
      <c r="E138" s="424" t="s">
        <v>1926</v>
      </c>
      <c r="F138" s="425" t="s">
        <v>1927</v>
      </c>
      <c r="G138" s="424" t="s">
        <v>980</v>
      </c>
      <c r="H138" s="424" t="s">
        <v>981</v>
      </c>
      <c r="I138" s="426">
        <v>1349.39</v>
      </c>
      <c r="J138" s="426">
        <v>3</v>
      </c>
      <c r="K138" s="427">
        <v>4048.17</v>
      </c>
    </row>
    <row r="139" spans="1:11" ht="14.4" customHeight="1" x14ac:dyDescent="0.3">
      <c r="A139" s="422" t="s">
        <v>444</v>
      </c>
      <c r="B139" s="423" t="s">
        <v>445</v>
      </c>
      <c r="C139" s="424" t="s">
        <v>449</v>
      </c>
      <c r="D139" s="425" t="s">
        <v>705</v>
      </c>
      <c r="E139" s="424" t="s">
        <v>1926</v>
      </c>
      <c r="F139" s="425" t="s">
        <v>1927</v>
      </c>
      <c r="G139" s="424" t="s">
        <v>982</v>
      </c>
      <c r="H139" s="424" t="s">
        <v>983</v>
      </c>
      <c r="I139" s="426">
        <v>2577.3000000000002</v>
      </c>
      <c r="J139" s="426">
        <v>1</v>
      </c>
      <c r="K139" s="427">
        <v>2577.3000000000002</v>
      </c>
    </row>
    <row r="140" spans="1:11" ht="14.4" customHeight="1" x14ac:dyDescent="0.3">
      <c r="A140" s="422" t="s">
        <v>444</v>
      </c>
      <c r="B140" s="423" t="s">
        <v>445</v>
      </c>
      <c r="C140" s="424" t="s">
        <v>449</v>
      </c>
      <c r="D140" s="425" t="s">
        <v>705</v>
      </c>
      <c r="E140" s="424" t="s">
        <v>1926</v>
      </c>
      <c r="F140" s="425" t="s">
        <v>1927</v>
      </c>
      <c r="G140" s="424" t="s">
        <v>984</v>
      </c>
      <c r="H140" s="424" t="s">
        <v>985</v>
      </c>
      <c r="I140" s="426">
        <v>72.710000000000008</v>
      </c>
      <c r="J140" s="426">
        <v>200</v>
      </c>
      <c r="K140" s="427">
        <v>14541.9</v>
      </c>
    </row>
    <row r="141" spans="1:11" ht="14.4" customHeight="1" x14ac:dyDescent="0.3">
      <c r="A141" s="422" t="s">
        <v>444</v>
      </c>
      <c r="B141" s="423" t="s">
        <v>445</v>
      </c>
      <c r="C141" s="424" t="s">
        <v>449</v>
      </c>
      <c r="D141" s="425" t="s">
        <v>705</v>
      </c>
      <c r="E141" s="424" t="s">
        <v>1926</v>
      </c>
      <c r="F141" s="425" t="s">
        <v>1927</v>
      </c>
      <c r="G141" s="424" t="s">
        <v>986</v>
      </c>
      <c r="H141" s="424" t="s">
        <v>987</v>
      </c>
      <c r="I141" s="426">
        <v>345</v>
      </c>
      <c r="J141" s="426">
        <v>2</v>
      </c>
      <c r="K141" s="427">
        <v>690</v>
      </c>
    </row>
    <row r="142" spans="1:11" ht="14.4" customHeight="1" x14ac:dyDescent="0.3">
      <c r="A142" s="422" t="s">
        <v>444</v>
      </c>
      <c r="B142" s="423" t="s">
        <v>445</v>
      </c>
      <c r="C142" s="424" t="s">
        <v>449</v>
      </c>
      <c r="D142" s="425" t="s">
        <v>705</v>
      </c>
      <c r="E142" s="424" t="s">
        <v>1926</v>
      </c>
      <c r="F142" s="425" t="s">
        <v>1927</v>
      </c>
      <c r="G142" s="424" t="s">
        <v>988</v>
      </c>
      <c r="H142" s="424" t="s">
        <v>989</v>
      </c>
      <c r="I142" s="426">
        <v>902.11999999999989</v>
      </c>
      <c r="J142" s="426">
        <v>18</v>
      </c>
      <c r="K142" s="427">
        <v>16238.2</v>
      </c>
    </row>
    <row r="143" spans="1:11" ht="14.4" customHeight="1" x14ac:dyDescent="0.3">
      <c r="A143" s="422" t="s">
        <v>444</v>
      </c>
      <c r="B143" s="423" t="s">
        <v>445</v>
      </c>
      <c r="C143" s="424" t="s">
        <v>449</v>
      </c>
      <c r="D143" s="425" t="s">
        <v>705</v>
      </c>
      <c r="E143" s="424" t="s">
        <v>1926</v>
      </c>
      <c r="F143" s="425" t="s">
        <v>1927</v>
      </c>
      <c r="G143" s="424" t="s">
        <v>990</v>
      </c>
      <c r="H143" s="424" t="s">
        <v>991</v>
      </c>
      <c r="I143" s="426">
        <v>3943.35</v>
      </c>
      <c r="J143" s="426">
        <v>1</v>
      </c>
      <c r="K143" s="427">
        <v>3943.35</v>
      </c>
    </row>
    <row r="144" spans="1:11" ht="14.4" customHeight="1" x14ac:dyDescent="0.3">
      <c r="A144" s="422" t="s">
        <v>444</v>
      </c>
      <c r="B144" s="423" t="s">
        <v>445</v>
      </c>
      <c r="C144" s="424" t="s">
        <v>449</v>
      </c>
      <c r="D144" s="425" t="s">
        <v>705</v>
      </c>
      <c r="E144" s="424" t="s">
        <v>1926</v>
      </c>
      <c r="F144" s="425" t="s">
        <v>1927</v>
      </c>
      <c r="G144" s="424" t="s">
        <v>992</v>
      </c>
      <c r="H144" s="424" t="s">
        <v>993</v>
      </c>
      <c r="I144" s="426">
        <v>157.16500000000002</v>
      </c>
      <c r="J144" s="426">
        <v>15</v>
      </c>
      <c r="K144" s="427">
        <v>2265.4</v>
      </c>
    </row>
    <row r="145" spans="1:11" ht="14.4" customHeight="1" x14ac:dyDescent="0.3">
      <c r="A145" s="422" t="s">
        <v>444</v>
      </c>
      <c r="B145" s="423" t="s">
        <v>445</v>
      </c>
      <c r="C145" s="424" t="s">
        <v>449</v>
      </c>
      <c r="D145" s="425" t="s">
        <v>705</v>
      </c>
      <c r="E145" s="424" t="s">
        <v>1926</v>
      </c>
      <c r="F145" s="425" t="s">
        <v>1927</v>
      </c>
      <c r="G145" s="424" t="s">
        <v>994</v>
      </c>
      <c r="H145" s="424" t="s">
        <v>995</v>
      </c>
      <c r="I145" s="426">
        <v>5.43</v>
      </c>
      <c r="J145" s="426">
        <v>240</v>
      </c>
      <c r="K145" s="427">
        <v>1310.96</v>
      </c>
    </row>
    <row r="146" spans="1:11" ht="14.4" customHeight="1" x14ac:dyDescent="0.3">
      <c r="A146" s="422" t="s">
        <v>444</v>
      </c>
      <c r="B146" s="423" t="s">
        <v>445</v>
      </c>
      <c r="C146" s="424" t="s">
        <v>449</v>
      </c>
      <c r="D146" s="425" t="s">
        <v>705</v>
      </c>
      <c r="E146" s="424" t="s">
        <v>1926</v>
      </c>
      <c r="F146" s="425" t="s">
        <v>1927</v>
      </c>
      <c r="G146" s="424" t="s">
        <v>996</v>
      </c>
      <c r="H146" s="424" t="s">
        <v>997</v>
      </c>
      <c r="I146" s="426">
        <v>439.63333333333338</v>
      </c>
      <c r="J146" s="426">
        <v>19</v>
      </c>
      <c r="K146" s="427">
        <v>8191.7</v>
      </c>
    </row>
    <row r="147" spans="1:11" ht="14.4" customHeight="1" x14ac:dyDescent="0.3">
      <c r="A147" s="422" t="s">
        <v>444</v>
      </c>
      <c r="B147" s="423" t="s">
        <v>445</v>
      </c>
      <c r="C147" s="424" t="s">
        <v>449</v>
      </c>
      <c r="D147" s="425" t="s">
        <v>705</v>
      </c>
      <c r="E147" s="424" t="s">
        <v>1926</v>
      </c>
      <c r="F147" s="425" t="s">
        <v>1927</v>
      </c>
      <c r="G147" s="424" t="s">
        <v>998</v>
      </c>
      <c r="H147" s="424" t="s">
        <v>999</v>
      </c>
      <c r="I147" s="426">
        <v>3.31</v>
      </c>
      <c r="J147" s="426">
        <v>150</v>
      </c>
      <c r="K147" s="427">
        <v>496.16999999999996</v>
      </c>
    </row>
    <row r="148" spans="1:11" ht="14.4" customHeight="1" x14ac:dyDescent="0.3">
      <c r="A148" s="422" t="s">
        <v>444</v>
      </c>
      <c r="B148" s="423" t="s">
        <v>445</v>
      </c>
      <c r="C148" s="424" t="s">
        <v>449</v>
      </c>
      <c r="D148" s="425" t="s">
        <v>705</v>
      </c>
      <c r="E148" s="424" t="s">
        <v>1926</v>
      </c>
      <c r="F148" s="425" t="s">
        <v>1927</v>
      </c>
      <c r="G148" s="424" t="s">
        <v>1000</v>
      </c>
      <c r="H148" s="424" t="s">
        <v>1001</v>
      </c>
      <c r="I148" s="426">
        <v>59.293333333333329</v>
      </c>
      <c r="J148" s="426">
        <v>90</v>
      </c>
      <c r="K148" s="427">
        <v>5336.4</v>
      </c>
    </row>
    <row r="149" spans="1:11" ht="14.4" customHeight="1" x14ac:dyDescent="0.3">
      <c r="A149" s="422" t="s">
        <v>444</v>
      </c>
      <c r="B149" s="423" t="s">
        <v>445</v>
      </c>
      <c r="C149" s="424" t="s">
        <v>449</v>
      </c>
      <c r="D149" s="425" t="s">
        <v>705</v>
      </c>
      <c r="E149" s="424" t="s">
        <v>1926</v>
      </c>
      <c r="F149" s="425" t="s">
        <v>1927</v>
      </c>
      <c r="G149" s="424" t="s">
        <v>1000</v>
      </c>
      <c r="H149" s="424" t="s">
        <v>1002</v>
      </c>
      <c r="I149" s="426">
        <v>52.03</v>
      </c>
      <c r="J149" s="426">
        <v>60</v>
      </c>
      <c r="K149" s="427">
        <v>3121.8</v>
      </c>
    </row>
    <row r="150" spans="1:11" ht="14.4" customHeight="1" x14ac:dyDescent="0.3">
      <c r="A150" s="422" t="s">
        <v>444</v>
      </c>
      <c r="B150" s="423" t="s">
        <v>445</v>
      </c>
      <c r="C150" s="424" t="s">
        <v>449</v>
      </c>
      <c r="D150" s="425" t="s">
        <v>705</v>
      </c>
      <c r="E150" s="424" t="s">
        <v>1926</v>
      </c>
      <c r="F150" s="425" t="s">
        <v>1927</v>
      </c>
      <c r="G150" s="424" t="s">
        <v>1003</v>
      </c>
      <c r="H150" s="424" t="s">
        <v>1004</v>
      </c>
      <c r="I150" s="426">
        <v>114.38</v>
      </c>
      <c r="J150" s="426">
        <v>8</v>
      </c>
      <c r="K150" s="427">
        <v>902.91</v>
      </c>
    </row>
    <row r="151" spans="1:11" ht="14.4" customHeight="1" x14ac:dyDescent="0.3">
      <c r="A151" s="422" t="s">
        <v>444</v>
      </c>
      <c r="B151" s="423" t="s">
        <v>445</v>
      </c>
      <c r="C151" s="424" t="s">
        <v>449</v>
      </c>
      <c r="D151" s="425" t="s">
        <v>705</v>
      </c>
      <c r="E151" s="424" t="s">
        <v>1926</v>
      </c>
      <c r="F151" s="425" t="s">
        <v>1927</v>
      </c>
      <c r="G151" s="424" t="s">
        <v>1005</v>
      </c>
      <c r="H151" s="424" t="s">
        <v>1006</v>
      </c>
      <c r="I151" s="426">
        <v>3550.4925000000003</v>
      </c>
      <c r="J151" s="426">
        <v>10</v>
      </c>
      <c r="K151" s="427">
        <v>36819.699999999997</v>
      </c>
    </row>
    <row r="152" spans="1:11" ht="14.4" customHeight="1" x14ac:dyDescent="0.3">
      <c r="A152" s="422" t="s">
        <v>444</v>
      </c>
      <c r="B152" s="423" t="s">
        <v>445</v>
      </c>
      <c r="C152" s="424" t="s">
        <v>449</v>
      </c>
      <c r="D152" s="425" t="s">
        <v>705</v>
      </c>
      <c r="E152" s="424" t="s">
        <v>1926</v>
      </c>
      <c r="F152" s="425" t="s">
        <v>1927</v>
      </c>
      <c r="G152" s="424" t="s">
        <v>1007</v>
      </c>
      <c r="H152" s="424" t="s">
        <v>1008</v>
      </c>
      <c r="I152" s="426">
        <v>236.62333333333333</v>
      </c>
      <c r="J152" s="426">
        <v>18</v>
      </c>
      <c r="K152" s="427">
        <v>4252.84</v>
      </c>
    </row>
    <row r="153" spans="1:11" ht="14.4" customHeight="1" x14ac:dyDescent="0.3">
      <c r="A153" s="422" t="s">
        <v>444</v>
      </c>
      <c r="B153" s="423" t="s">
        <v>445</v>
      </c>
      <c r="C153" s="424" t="s">
        <v>449</v>
      </c>
      <c r="D153" s="425" t="s">
        <v>705</v>
      </c>
      <c r="E153" s="424" t="s">
        <v>1926</v>
      </c>
      <c r="F153" s="425" t="s">
        <v>1927</v>
      </c>
      <c r="G153" s="424" t="s">
        <v>1009</v>
      </c>
      <c r="H153" s="424" t="s">
        <v>1010</v>
      </c>
      <c r="I153" s="426">
        <v>145.6</v>
      </c>
      <c r="J153" s="426">
        <v>24</v>
      </c>
      <c r="K153" s="427">
        <v>3494.39</v>
      </c>
    </row>
    <row r="154" spans="1:11" ht="14.4" customHeight="1" x14ac:dyDescent="0.3">
      <c r="A154" s="422" t="s">
        <v>444</v>
      </c>
      <c r="B154" s="423" t="s">
        <v>445</v>
      </c>
      <c r="C154" s="424" t="s">
        <v>449</v>
      </c>
      <c r="D154" s="425" t="s">
        <v>705</v>
      </c>
      <c r="E154" s="424" t="s">
        <v>1926</v>
      </c>
      <c r="F154" s="425" t="s">
        <v>1927</v>
      </c>
      <c r="G154" s="424" t="s">
        <v>1011</v>
      </c>
      <c r="H154" s="424" t="s">
        <v>1012</v>
      </c>
      <c r="I154" s="426">
        <v>164.8</v>
      </c>
      <c r="J154" s="426">
        <v>2</v>
      </c>
      <c r="K154" s="427">
        <v>329.6</v>
      </c>
    </row>
    <row r="155" spans="1:11" ht="14.4" customHeight="1" x14ac:dyDescent="0.3">
      <c r="A155" s="422" t="s">
        <v>444</v>
      </c>
      <c r="B155" s="423" t="s">
        <v>445</v>
      </c>
      <c r="C155" s="424" t="s">
        <v>449</v>
      </c>
      <c r="D155" s="425" t="s">
        <v>705</v>
      </c>
      <c r="E155" s="424" t="s">
        <v>1926</v>
      </c>
      <c r="F155" s="425" t="s">
        <v>1927</v>
      </c>
      <c r="G155" s="424" t="s">
        <v>1013</v>
      </c>
      <c r="H155" s="424" t="s">
        <v>1014</v>
      </c>
      <c r="I155" s="426">
        <v>994.62</v>
      </c>
      <c r="J155" s="426">
        <v>3</v>
      </c>
      <c r="K155" s="427">
        <v>2983.86</v>
      </c>
    </row>
    <row r="156" spans="1:11" ht="14.4" customHeight="1" x14ac:dyDescent="0.3">
      <c r="A156" s="422" t="s">
        <v>444</v>
      </c>
      <c r="B156" s="423" t="s">
        <v>445</v>
      </c>
      <c r="C156" s="424" t="s">
        <v>449</v>
      </c>
      <c r="D156" s="425" t="s">
        <v>705</v>
      </c>
      <c r="E156" s="424" t="s">
        <v>1926</v>
      </c>
      <c r="F156" s="425" t="s">
        <v>1927</v>
      </c>
      <c r="G156" s="424" t="s">
        <v>1015</v>
      </c>
      <c r="H156" s="424" t="s">
        <v>1016</v>
      </c>
      <c r="I156" s="426">
        <v>865.15</v>
      </c>
      <c r="J156" s="426">
        <v>1</v>
      </c>
      <c r="K156" s="427">
        <v>865.15</v>
      </c>
    </row>
    <row r="157" spans="1:11" ht="14.4" customHeight="1" x14ac:dyDescent="0.3">
      <c r="A157" s="422" t="s">
        <v>444</v>
      </c>
      <c r="B157" s="423" t="s">
        <v>445</v>
      </c>
      <c r="C157" s="424" t="s">
        <v>449</v>
      </c>
      <c r="D157" s="425" t="s">
        <v>705</v>
      </c>
      <c r="E157" s="424" t="s">
        <v>1926</v>
      </c>
      <c r="F157" s="425" t="s">
        <v>1927</v>
      </c>
      <c r="G157" s="424" t="s">
        <v>1017</v>
      </c>
      <c r="H157" s="424" t="s">
        <v>1018</v>
      </c>
      <c r="I157" s="426">
        <v>990.08249999999998</v>
      </c>
      <c r="J157" s="426">
        <v>4</v>
      </c>
      <c r="K157" s="427">
        <v>3960.33</v>
      </c>
    </row>
    <row r="158" spans="1:11" ht="14.4" customHeight="1" x14ac:dyDescent="0.3">
      <c r="A158" s="422" t="s">
        <v>444</v>
      </c>
      <c r="B158" s="423" t="s">
        <v>445</v>
      </c>
      <c r="C158" s="424" t="s">
        <v>449</v>
      </c>
      <c r="D158" s="425" t="s">
        <v>705</v>
      </c>
      <c r="E158" s="424" t="s">
        <v>1926</v>
      </c>
      <c r="F158" s="425" t="s">
        <v>1927</v>
      </c>
      <c r="G158" s="424" t="s">
        <v>1019</v>
      </c>
      <c r="H158" s="424" t="s">
        <v>1020</v>
      </c>
      <c r="I158" s="426">
        <v>1268.5</v>
      </c>
      <c r="J158" s="426">
        <v>2</v>
      </c>
      <c r="K158" s="427">
        <v>2537</v>
      </c>
    </row>
    <row r="159" spans="1:11" ht="14.4" customHeight="1" x14ac:dyDescent="0.3">
      <c r="A159" s="422" t="s">
        <v>444</v>
      </c>
      <c r="B159" s="423" t="s">
        <v>445</v>
      </c>
      <c r="C159" s="424" t="s">
        <v>449</v>
      </c>
      <c r="D159" s="425" t="s">
        <v>705</v>
      </c>
      <c r="E159" s="424" t="s">
        <v>1926</v>
      </c>
      <c r="F159" s="425" t="s">
        <v>1927</v>
      </c>
      <c r="G159" s="424" t="s">
        <v>1021</v>
      </c>
      <c r="H159" s="424" t="s">
        <v>1022</v>
      </c>
      <c r="I159" s="426">
        <v>41.68</v>
      </c>
      <c r="J159" s="426">
        <v>70</v>
      </c>
      <c r="K159" s="427">
        <v>2916.1</v>
      </c>
    </row>
    <row r="160" spans="1:11" ht="14.4" customHeight="1" x14ac:dyDescent="0.3">
      <c r="A160" s="422" t="s">
        <v>444</v>
      </c>
      <c r="B160" s="423" t="s">
        <v>445</v>
      </c>
      <c r="C160" s="424" t="s">
        <v>449</v>
      </c>
      <c r="D160" s="425" t="s">
        <v>705</v>
      </c>
      <c r="E160" s="424" t="s">
        <v>1926</v>
      </c>
      <c r="F160" s="425" t="s">
        <v>1927</v>
      </c>
      <c r="G160" s="424" t="s">
        <v>1023</v>
      </c>
      <c r="H160" s="424" t="s">
        <v>1024</v>
      </c>
      <c r="I160" s="426">
        <v>158.62</v>
      </c>
      <c r="J160" s="426">
        <v>6</v>
      </c>
      <c r="K160" s="427">
        <v>951.71</v>
      </c>
    </row>
    <row r="161" spans="1:11" ht="14.4" customHeight="1" x14ac:dyDescent="0.3">
      <c r="A161" s="422" t="s">
        <v>444</v>
      </c>
      <c r="B161" s="423" t="s">
        <v>445</v>
      </c>
      <c r="C161" s="424" t="s">
        <v>449</v>
      </c>
      <c r="D161" s="425" t="s">
        <v>705</v>
      </c>
      <c r="E161" s="424" t="s">
        <v>1926</v>
      </c>
      <c r="F161" s="425" t="s">
        <v>1927</v>
      </c>
      <c r="G161" s="424" t="s">
        <v>1025</v>
      </c>
      <c r="H161" s="424" t="s">
        <v>1026</v>
      </c>
      <c r="I161" s="426">
        <v>1.75</v>
      </c>
      <c r="J161" s="426">
        <v>200</v>
      </c>
      <c r="K161" s="427">
        <v>349.4</v>
      </c>
    </row>
    <row r="162" spans="1:11" ht="14.4" customHeight="1" x14ac:dyDescent="0.3">
      <c r="A162" s="422" t="s">
        <v>444</v>
      </c>
      <c r="B162" s="423" t="s">
        <v>445</v>
      </c>
      <c r="C162" s="424" t="s">
        <v>449</v>
      </c>
      <c r="D162" s="425" t="s">
        <v>705</v>
      </c>
      <c r="E162" s="424" t="s">
        <v>1926</v>
      </c>
      <c r="F162" s="425" t="s">
        <v>1927</v>
      </c>
      <c r="G162" s="424" t="s">
        <v>1027</v>
      </c>
      <c r="H162" s="424" t="s">
        <v>1028</v>
      </c>
      <c r="I162" s="426">
        <v>360.58</v>
      </c>
      <c r="J162" s="426">
        <v>3</v>
      </c>
      <c r="K162" s="427">
        <v>1081.74</v>
      </c>
    </row>
    <row r="163" spans="1:11" ht="14.4" customHeight="1" x14ac:dyDescent="0.3">
      <c r="A163" s="422" t="s">
        <v>444</v>
      </c>
      <c r="B163" s="423" t="s">
        <v>445</v>
      </c>
      <c r="C163" s="424" t="s">
        <v>449</v>
      </c>
      <c r="D163" s="425" t="s">
        <v>705</v>
      </c>
      <c r="E163" s="424" t="s">
        <v>1926</v>
      </c>
      <c r="F163" s="425" t="s">
        <v>1927</v>
      </c>
      <c r="G163" s="424" t="s">
        <v>1029</v>
      </c>
      <c r="H163" s="424" t="s">
        <v>1030</v>
      </c>
      <c r="I163" s="426">
        <v>37.51</v>
      </c>
      <c r="J163" s="426">
        <v>18</v>
      </c>
      <c r="K163" s="427">
        <v>675.18</v>
      </c>
    </row>
    <row r="164" spans="1:11" ht="14.4" customHeight="1" x14ac:dyDescent="0.3">
      <c r="A164" s="422" t="s">
        <v>444</v>
      </c>
      <c r="B164" s="423" t="s">
        <v>445</v>
      </c>
      <c r="C164" s="424" t="s">
        <v>449</v>
      </c>
      <c r="D164" s="425" t="s">
        <v>705</v>
      </c>
      <c r="E164" s="424" t="s">
        <v>1926</v>
      </c>
      <c r="F164" s="425" t="s">
        <v>1927</v>
      </c>
      <c r="G164" s="424" t="s">
        <v>1029</v>
      </c>
      <c r="H164" s="424" t="s">
        <v>1031</v>
      </c>
      <c r="I164" s="426">
        <v>37.51</v>
      </c>
      <c r="J164" s="426">
        <v>18</v>
      </c>
      <c r="K164" s="427">
        <v>675.18</v>
      </c>
    </row>
    <row r="165" spans="1:11" ht="14.4" customHeight="1" x14ac:dyDescent="0.3">
      <c r="A165" s="422" t="s">
        <v>444</v>
      </c>
      <c r="B165" s="423" t="s">
        <v>445</v>
      </c>
      <c r="C165" s="424" t="s">
        <v>449</v>
      </c>
      <c r="D165" s="425" t="s">
        <v>705</v>
      </c>
      <c r="E165" s="424" t="s">
        <v>1926</v>
      </c>
      <c r="F165" s="425" t="s">
        <v>1927</v>
      </c>
      <c r="G165" s="424" t="s">
        <v>1032</v>
      </c>
      <c r="H165" s="424" t="s">
        <v>1033</v>
      </c>
      <c r="I165" s="426">
        <v>1015.6849999999999</v>
      </c>
      <c r="J165" s="426">
        <v>9</v>
      </c>
      <c r="K165" s="427">
        <v>9130.6</v>
      </c>
    </row>
    <row r="166" spans="1:11" ht="14.4" customHeight="1" x14ac:dyDescent="0.3">
      <c r="A166" s="422" t="s">
        <v>444</v>
      </c>
      <c r="B166" s="423" t="s">
        <v>445</v>
      </c>
      <c r="C166" s="424" t="s">
        <v>449</v>
      </c>
      <c r="D166" s="425" t="s">
        <v>705</v>
      </c>
      <c r="E166" s="424" t="s">
        <v>1926</v>
      </c>
      <c r="F166" s="425" t="s">
        <v>1927</v>
      </c>
      <c r="G166" s="424" t="s">
        <v>1032</v>
      </c>
      <c r="H166" s="424" t="s">
        <v>1034</v>
      </c>
      <c r="I166" s="426">
        <v>1005.1</v>
      </c>
      <c r="J166" s="426">
        <v>14</v>
      </c>
      <c r="K166" s="427">
        <v>14071.400000000001</v>
      </c>
    </row>
    <row r="167" spans="1:11" ht="14.4" customHeight="1" x14ac:dyDescent="0.3">
      <c r="A167" s="422" t="s">
        <v>444</v>
      </c>
      <c r="B167" s="423" t="s">
        <v>445</v>
      </c>
      <c r="C167" s="424" t="s">
        <v>449</v>
      </c>
      <c r="D167" s="425" t="s">
        <v>705</v>
      </c>
      <c r="E167" s="424" t="s">
        <v>1926</v>
      </c>
      <c r="F167" s="425" t="s">
        <v>1927</v>
      </c>
      <c r="G167" s="424" t="s">
        <v>1035</v>
      </c>
      <c r="H167" s="424" t="s">
        <v>1036</v>
      </c>
      <c r="I167" s="426">
        <v>690.91</v>
      </c>
      <c r="J167" s="426">
        <v>1</v>
      </c>
      <c r="K167" s="427">
        <v>690.91</v>
      </c>
    </row>
    <row r="168" spans="1:11" ht="14.4" customHeight="1" x14ac:dyDescent="0.3">
      <c r="A168" s="422" t="s">
        <v>444</v>
      </c>
      <c r="B168" s="423" t="s">
        <v>445</v>
      </c>
      <c r="C168" s="424" t="s">
        <v>449</v>
      </c>
      <c r="D168" s="425" t="s">
        <v>705</v>
      </c>
      <c r="E168" s="424" t="s">
        <v>1926</v>
      </c>
      <c r="F168" s="425" t="s">
        <v>1927</v>
      </c>
      <c r="G168" s="424" t="s">
        <v>1037</v>
      </c>
      <c r="H168" s="424" t="s">
        <v>1038</v>
      </c>
      <c r="I168" s="426">
        <v>808.1</v>
      </c>
      <c r="J168" s="426">
        <v>7</v>
      </c>
      <c r="K168" s="427">
        <v>5656.7000000000007</v>
      </c>
    </row>
    <row r="169" spans="1:11" ht="14.4" customHeight="1" x14ac:dyDescent="0.3">
      <c r="A169" s="422" t="s">
        <v>444</v>
      </c>
      <c r="B169" s="423" t="s">
        <v>445</v>
      </c>
      <c r="C169" s="424" t="s">
        <v>449</v>
      </c>
      <c r="D169" s="425" t="s">
        <v>705</v>
      </c>
      <c r="E169" s="424" t="s">
        <v>1926</v>
      </c>
      <c r="F169" s="425" t="s">
        <v>1927</v>
      </c>
      <c r="G169" s="424" t="s">
        <v>1039</v>
      </c>
      <c r="H169" s="424" t="s">
        <v>1040</v>
      </c>
      <c r="I169" s="426">
        <v>1128.6149999999998</v>
      </c>
      <c r="J169" s="426">
        <v>9</v>
      </c>
      <c r="K169" s="427">
        <v>10157.709999999999</v>
      </c>
    </row>
    <row r="170" spans="1:11" ht="14.4" customHeight="1" x14ac:dyDescent="0.3">
      <c r="A170" s="422" t="s">
        <v>444</v>
      </c>
      <c r="B170" s="423" t="s">
        <v>445</v>
      </c>
      <c r="C170" s="424" t="s">
        <v>449</v>
      </c>
      <c r="D170" s="425" t="s">
        <v>705</v>
      </c>
      <c r="E170" s="424" t="s">
        <v>1926</v>
      </c>
      <c r="F170" s="425" t="s">
        <v>1927</v>
      </c>
      <c r="G170" s="424" t="s">
        <v>1041</v>
      </c>
      <c r="H170" s="424" t="s">
        <v>1042</v>
      </c>
      <c r="I170" s="426">
        <v>2194.9</v>
      </c>
      <c r="J170" s="426">
        <v>1</v>
      </c>
      <c r="K170" s="427">
        <v>2194.9</v>
      </c>
    </row>
    <row r="171" spans="1:11" ht="14.4" customHeight="1" x14ac:dyDescent="0.3">
      <c r="A171" s="422" t="s">
        <v>444</v>
      </c>
      <c r="B171" s="423" t="s">
        <v>445</v>
      </c>
      <c r="C171" s="424" t="s">
        <v>449</v>
      </c>
      <c r="D171" s="425" t="s">
        <v>705</v>
      </c>
      <c r="E171" s="424" t="s">
        <v>1926</v>
      </c>
      <c r="F171" s="425" t="s">
        <v>1927</v>
      </c>
      <c r="G171" s="424" t="s">
        <v>1043</v>
      </c>
      <c r="H171" s="424" t="s">
        <v>1044</v>
      </c>
      <c r="I171" s="426">
        <v>402.32500000000005</v>
      </c>
      <c r="J171" s="426">
        <v>2</v>
      </c>
      <c r="K171" s="427">
        <v>804.65000000000009</v>
      </c>
    </row>
    <row r="172" spans="1:11" ht="14.4" customHeight="1" x14ac:dyDescent="0.3">
      <c r="A172" s="422" t="s">
        <v>444</v>
      </c>
      <c r="B172" s="423" t="s">
        <v>445</v>
      </c>
      <c r="C172" s="424" t="s">
        <v>449</v>
      </c>
      <c r="D172" s="425" t="s">
        <v>705</v>
      </c>
      <c r="E172" s="424" t="s">
        <v>1926</v>
      </c>
      <c r="F172" s="425" t="s">
        <v>1927</v>
      </c>
      <c r="G172" s="424" t="s">
        <v>1045</v>
      </c>
      <c r="H172" s="424" t="s">
        <v>1046</v>
      </c>
      <c r="I172" s="426">
        <v>1.39</v>
      </c>
      <c r="J172" s="426">
        <v>1000</v>
      </c>
      <c r="K172" s="427">
        <v>1385.99</v>
      </c>
    </row>
    <row r="173" spans="1:11" ht="14.4" customHeight="1" x14ac:dyDescent="0.3">
      <c r="A173" s="422" t="s">
        <v>444</v>
      </c>
      <c r="B173" s="423" t="s">
        <v>445</v>
      </c>
      <c r="C173" s="424" t="s">
        <v>449</v>
      </c>
      <c r="D173" s="425" t="s">
        <v>705</v>
      </c>
      <c r="E173" s="424" t="s">
        <v>1926</v>
      </c>
      <c r="F173" s="425" t="s">
        <v>1927</v>
      </c>
      <c r="G173" s="424" t="s">
        <v>1047</v>
      </c>
      <c r="H173" s="424" t="s">
        <v>1048</v>
      </c>
      <c r="I173" s="426">
        <v>7.54</v>
      </c>
      <c r="J173" s="426">
        <v>240</v>
      </c>
      <c r="K173" s="427">
        <v>1809.8</v>
      </c>
    </row>
    <row r="174" spans="1:11" ht="14.4" customHeight="1" x14ac:dyDescent="0.3">
      <c r="A174" s="422" t="s">
        <v>444</v>
      </c>
      <c r="B174" s="423" t="s">
        <v>445</v>
      </c>
      <c r="C174" s="424" t="s">
        <v>449</v>
      </c>
      <c r="D174" s="425" t="s">
        <v>705</v>
      </c>
      <c r="E174" s="424" t="s">
        <v>1926</v>
      </c>
      <c r="F174" s="425" t="s">
        <v>1927</v>
      </c>
      <c r="G174" s="424" t="s">
        <v>1049</v>
      </c>
      <c r="H174" s="424" t="s">
        <v>1050</v>
      </c>
      <c r="I174" s="426">
        <v>20.99</v>
      </c>
      <c r="J174" s="426">
        <v>300</v>
      </c>
      <c r="K174" s="427">
        <v>6295.8599999999988</v>
      </c>
    </row>
    <row r="175" spans="1:11" ht="14.4" customHeight="1" x14ac:dyDescent="0.3">
      <c r="A175" s="422" t="s">
        <v>444</v>
      </c>
      <c r="B175" s="423" t="s">
        <v>445</v>
      </c>
      <c r="C175" s="424" t="s">
        <v>449</v>
      </c>
      <c r="D175" s="425" t="s">
        <v>705</v>
      </c>
      <c r="E175" s="424" t="s">
        <v>1926</v>
      </c>
      <c r="F175" s="425" t="s">
        <v>1927</v>
      </c>
      <c r="G175" s="424" t="s">
        <v>1051</v>
      </c>
      <c r="H175" s="424" t="s">
        <v>1052</v>
      </c>
      <c r="I175" s="426">
        <v>2.38</v>
      </c>
      <c r="J175" s="426">
        <v>200</v>
      </c>
      <c r="K175" s="427">
        <v>476.74</v>
      </c>
    </row>
    <row r="176" spans="1:11" ht="14.4" customHeight="1" x14ac:dyDescent="0.3">
      <c r="A176" s="422" t="s">
        <v>444</v>
      </c>
      <c r="B176" s="423" t="s">
        <v>445</v>
      </c>
      <c r="C176" s="424" t="s">
        <v>449</v>
      </c>
      <c r="D176" s="425" t="s">
        <v>705</v>
      </c>
      <c r="E176" s="424" t="s">
        <v>1926</v>
      </c>
      <c r="F176" s="425" t="s">
        <v>1927</v>
      </c>
      <c r="G176" s="424" t="s">
        <v>1053</v>
      </c>
      <c r="H176" s="424" t="s">
        <v>1054</v>
      </c>
      <c r="I176" s="426">
        <v>6785</v>
      </c>
      <c r="J176" s="426">
        <v>1</v>
      </c>
      <c r="K176" s="427">
        <v>6785</v>
      </c>
    </row>
    <row r="177" spans="1:11" ht="14.4" customHeight="1" x14ac:dyDescent="0.3">
      <c r="A177" s="422" t="s">
        <v>444</v>
      </c>
      <c r="B177" s="423" t="s">
        <v>445</v>
      </c>
      <c r="C177" s="424" t="s">
        <v>449</v>
      </c>
      <c r="D177" s="425" t="s">
        <v>705</v>
      </c>
      <c r="E177" s="424" t="s">
        <v>1926</v>
      </c>
      <c r="F177" s="425" t="s">
        <v>1927</v>
      </c>
      <c r="G177" s="424" t="s">
        <v>1055</v>
      </c>
      <c r="H177" s="424" t="s">
        <v>1056</v>
      </c>
      <c r="I177" s="426">
        <v>452.54</v>
      </c>
      <c r="J177" s="426">
        <v>6</v>
      </c>
      <c r="K177" s="427">
        <v>2654.7400000000002</v>
      </c>
    </row>
    <row r="178" spans="1:11" ht="14.4" customHeight="1" x14ac:dyDescent="0.3">
      <c r="A178" s="422" t="s">
        <v>444</v>
      </c>
      <c r="B178" s="423" t="s">
        <v>445</v>
      </c>
      <c r="C178" s="424" t="s">
        <v>449</v>
      </c>
      <c r="D178" s="425" t="s">
        <v>705</v>
      </c>
      <c r="E178" s="424" t="s">
        <v>1926</v>
      </c>
      <c r="F178" s="425" t="s">
        <v>1927</v>
      </c>
      <c r="G178" s="424" t="s">
        <v>1057</v>
      </c>
      <c r="H178" s="424" t="s">
        <v>1058</v>
      </c>
      <c r="I178" s="426">
        <v>1340.6799999999998</v>
      </c>
      <c r="J178" s="426">
        <v>2</v>
      </c>
      <c r="K178" s="427">
        <v>2681.3599999999997</v>
      </c>
    </row>
    <row r="179" spans="1:11" ht="14.4" customHeight="1" x14ac:dyDescent="0.3">
      <c r="A179" s="422" t="s">
        <v>444</v>
      </c>
      <c r="B179" s="423" t="s">
        <v>445</v>
      </c>
      <c r="C179" s="424" t="s">
        <v>449</v>
      </c>
      <c r="D179" s="425" t="s">
        <v>705</v>
      </c>
      <c r="E179" s="424" t="s">
        <v>1926</v>
      </c>
      <c r="F179" s="425" t="s">
        <v>1927</v>
      </c>
      <c r="G179" s="424" t="s">
        <v>1059</v>
      </c>
      <c r="H179" s="424" t="s">
        <v>1060</v>
      </c>
      <c r="I179" s="426">
        <v>83.13</v>
      </c>
      <c r="J179" s="426">
        <v>100</v>
      </c>
      <c r="K179" s="427">
        <v>8313.19</v>
      </c>
    </row>
    <row r="180" spans="1:11" ht="14.4" customHeight="1" x14ac:dyDescent="0.3">
      <c r="A180" s="422" t="s">
        <v>444</v>
      </c>
      <c r="B180" s="423" t="s">
        <v>445</v>
      </c>
      <c r="C180" s="424" t="s">
        <v>449</v>
      </c>
      <c r="D180" s="425" t="s">
        <v>705</v>
      </c>
      <c r="E180" s="424" t="s">
        <v>1926</v>
      </c>
      <c r="F180" s="425" t="s">
        <v>1927</v>
      </c>
      <c r="G180" s="424" t="s">
        <v>1059</v>
      </c>
      <c r="H180" s="424" t="s">
        <v>1061</v>
      </c>
      <c r="I180" s="426">
        <v>83.13</v>
      </c>
      <c r="J180" s="426">
        <v>75</v>
      </c>
      <c r="K180" s="427">
        <v>6234.9000000000005</v>
      </c>
    </row>
    <row r="181" spans="1:11" ht="14.4" customHeight="1" x14ac:dyDescent="0.3">
      <c r="A181" s="422" t="s">
        <v>444</v>
      </c>
      <c r="B181" s="423" t="s">
        <v>445</v>
      </c>
      <c r="C181" s="424" t="s">
        <v>449</v>
      </c>
      <c r="D181" s="425" t="s">
        <v>705</v>
      </c>
      <c r="E181" s="424" t="s">
        <v>1926</v>
      </c>
      <c r="F181" s="425" t="s">
        <v>1927</v>
      </c>
      <c r="G181" s="424" t="s">
        <v>1059</v>
      </c>
      <c r="H181" s="424" t="s">
        <v>1062</v>
      </c>
      <c r="I181" s="426">
        <v>83.13</v>
      </c>
      <c r="J181" s="426">
        <v>75</v>
      </c>
      <c r="K181" s="427">
        <v>6234.89</v>
      </c>
    </row>
    <row r="182" spans="1:11" ht="14.4" customHeight="1" x14ac:dyDescent="0.3">
      <c r="A182" s="422" t="s">
        <v>444</v>
      </c>
      <c r="B182" s="423" t="s">
        <v>445</v>
      </c>
      <c r="C182" s="424" t="s">
        <v>449</v>
      </c>
      <c r="D182" s="425" t="s">
        <v>705</v>
      </c>
      <c r="E182" s="424" t="s">
        <v>1926</v>
      </c>
      <c r="F182" s="425" t="s">
        <v>1927</v>
      </c>
      <c r="G182" s="424" t="s">
        <v>1063</v>
      </c>
      <c r="H182" s="424" t="s">
        <v>1064</v>
      </c>
      <c r="I182" s="426">
        <v>164.8</v>
      </c>
      <c r="J182" s="426">
        <v>1</v>
      </c>
      <c r="K182" s="427">
        <v>164.8</v>
      </c>
    </row>
    <row r="183" spans="1:11" ht="14.4" customHeight="1" x14ac:dyDescent="0.3">
      <c r="A183" s="422" t="s">
        <v>444</v>
      </c>
      <c r="B183" s="423" t="s">
        <v>445</v>
      </c>
      <c r="C183" s="424" t="s">
        <v>449</v>
      </c>
      <c r="D183" s="425" t="s">
        <v>705</v>
      </c>
      <c r="E183" s="424" t="s">
        <v>1926</v>
      </c>
      <c r="F183" s="425" t="s">
        <v>1927</v>
      </c>
      <c r="G183" s="424" t="s">
        <v>1065</v>
      </c>
      <c r="H183" s="424" t="s">
        <v>1066</v>
      </c>
      <c r="I183" s="426">
        <v>520.95000000000005</v>
      </c>
      <c r="J183" s="426">
        <v>20</v>
      </c>
      <c r="K183" s="427">
        <v>10419</v>
      </c>
    </row>
    <row r="184" spans="1:11" ht="14.4" customHeight="1" x14ac:dyDescent="0.3">
      <c r="A184" s="422" t="s">
        <v>444</v>
      </c>
      <c r="B184" s="423" t="s">
        <v>445</v>
      </c>
      <c r="C184" s="424" t="s">
        <v>449</v>
      </c>
      <c r="D184" s="425" t="s">
        <v>705</v>
      </c>
      <c r="E184" s="424" t="s">
        <v>1926</v>
      </c>
      <c r="F184" s="425" t="s">
        <v>1927</v>
      </c>
      <c r="G184" s="424" t="s">
        <v>1067</v>
      </c>
      <c r="H184" s="424" t="s">
        <v>1068</v>
      </c>
      <c r="I184" s="426">
        <v>232.75</v>
      </c>
      <c r="J184" s="426">
        <v>4</v>
      </c>
      <c r="K184" s="427">
        <v>931</v>
      </c>
    </row>
    <row r="185" spans="1:11" ht="14.4" customHeight="1" x14ac:dyDescent="0.3">
      <c r="A185" s="422" t="s">
        <v>444</v>
      </c>
      <c r="B185" s="423" t="s">
        <v>445</v>
      </c>
      <c r="C185" s="424" t="s">
        <v>449</v>
      </c>
      <c r="D185" s="425" t="s">
        <v>705</v>
      </c>
      <c r="E185" s="424" t="s">
        <v>1926</v>
      </c>
      <c r="F185" s="425" t="s">
        <v>1927</v>
      </c>
      <c r="G185" s="424" t="s">
        <v>1069</v>
      </c>
      <c r="H185" s="424" t="s">
        <v>1070</v>
      </c>
      <c r="I185" s="426">
        <v>88.511428571428581</v>
      </c>
      <c r="J185" s="426">
        <v>85</v>
      </c>
      <c r="K185" s="427">
        <v>7523.62</v>
      </c>
    </row>
    <row r="186" spans="1:11" ht="14.4" customHeight="1" x14ac:dyDescent="0.3">
      <c r="A186" s="422" t="s">
        <v>444</v>
      </c>
      <c r="B186" s="423" t="s">
        <v>445</v>
      </c>
      <c r="C186" s="424" t="s">
        <v>449</v>
      </c>
      <c r="D186" s="425" t="s">
        <v>705</v>
      </c>
      <c r="E186" s="424" t="s">
        <v>1926</v>
      </c>
      <c r="F186" s="425" t="s">
        <v>1927</v>
      </c>
      <c r="G186" s="424" t="s">
        <v>1071</v>
      </c>
      <c r="H186" s="424" t="s">
        <v>1072</v>
      </c>
      <c r="I186" s="426">
        <v>1633</v>
      </c>
      <c r="J186" s="426">
        <v>2</v>
      </c>
      <c r="K186" s="427">
        <v>3266</v>
      </c>
    </row>
    <row r="187" spans="1:11" ht="14.4" customHeight="1" x14ac:dyDescent="0.3">
      <c r="A187" s="422" t="s">
        <v>444</v>
      </c>
      <c r="B187" s="423" t="s">
        <v>445</v>
      </c>
      <c r="C187" s="424" t="s">
        <v>449</v>
      </c>
      <c r="D187" s="425" t="s">
        <v>705</v>
      </c>
      <c r="E187" s="424" t="s">
        <v>1926</v>
      </c>
      <c r="F187" s="425" t="s">
        <v>1927</v>
      </c>
      <c r="G187" s="424" t="s">
        <v>1073</v>
      </c>
      <c r="H187" s="424" t="s">
        <v>1074</v>
      </c>
      <c r="I187" s="426">
        <v>3122.25</v>
      </c>
      <c r="J187" s="426">
        <v>1</v>
      </c>
      <c r="K187" s="427">
        <v>3122.25</v>
      </c>
    </row>
    <row r="188" spans="1:11" ht="14.4" customHeight="1" x14ac:dyDescent="0.3">
      <c r="A188" s="422" t="s">
        <v>444</v>
      </c>
      <c r="B188" s="423" t="s">
        <v>445</v>
      </c>
      <c r="C188" s="424" t="s">
        <v>449</v>
      </c>
      <c r="D188" s="425" t="s">
        <v>705</v>
      </c>
      <c r="E188" s="424" t="s">
        <v>1926</v>
      </c>
      <c r="F188" s="425" t="s">
        <v>1927</v>
      </c>
      <c r="G188" s="424" t="s">
        <v>1075</v>
      </c>
      <c r="H188" s="424" t="s">
        <v>1076</v>
      </c>
      <c r="I188" s="426">
        <v>711.47500000000002</v>
      </c>
      <c r="J188" s="426">
        <v>4</v>
      </c>
      <c r="K188" s="427">
        <v>2845.91</v>
      </c>
    </row>
    <row r="189" spans="1:11" ht="14.4" customHeight="1" x14ac:dyDescent="0.3">
      <c r="A189" s="422" t="s">
        <v>444</v>
      </c>
      <c r="B189" s="423" t="s">
        <v>445</v>
      </c>
      <c r="C189" s="424" t="s">
        <v>449</v>
      </c>
      <c r="D189" s="425" t="s">
        <v>705</v>
      </c>
      <c r="E189" s="424" t="s">
        <v>1926</v>
      </c>
      <c r="F189" s="425" t="s">
        <v>1927</v>
      </c>
      <c r="G189" s="424" t="s">
        <v>1077</v>
      </c>
      <c r="H189" s="424" t="s">
        <v>1078</v>
      </c>
      <c r="I189" s="426">
        <v>907.5</v>
      </c>
      <c r="J189" s="426">
        <v>7</v>
      </c>
      <c r="K189" s="427">
        <v>6352.5</v>
      </c>
    </row>
    <row r="190" spans="1:11" ht="14.4" customHeight="1" x14ac:dyDescent="0.3">
      <c r="A190" s="422" t="s">
        <v>444</v>
      </c>
      <c r="B190" s="423" t="s">
        <v>445</v>
      </c>
      <c r="C190" s="424" t="s">
        <v>449</v>
      </c>
      <c r="D190" s="425" t="s">
        <v>705</v>
      </c>
      <c r="E190" s="424" t="s">
        <v>1926</v>
      </c>
      <c r="F190" s="425" t="s">
        <v>1927</v>
      </c>
      <c r="G190" s="424" t="s">
        <v>1079</v>
      </c>
      <c r="H190" s="424" t="s">
        <v>1080</v>
      </c>
      <c r="I190" s="426">
        <v>155.13222222222223</v>
      </c>
      <c r="J190" s="426">
        <v>22</v>
      </c>
      <c r="K190" s="427">
        <v>3412.9799999999996</v>
      </c>
    </row>
    <row r="191" spans="1:11" ht="14.4" customHeight="1" x14ac:dyDescent="0.3">
      <c r="A191" s="422" t="s">
        <v>444</v>
      </c>
      <c r="B191" s="423" t="s">
        <v>445</v>
      </c>
      <c r="C191" s="424" t="s">
        <v>449</v>
      </c>
      <c r="D191" s="425" t="s">
        <v>705</v>
      </c>
      <c r="E191" s="424" t="s">
        <v>1926</v>
      </c>
      <c r="F191" s="425" t="s">
        <v>1927</v>
      </c>
      <c r="G191" s="424" t="s">
        <v>1081</v>
      </c>
      <c r="H191" s="424" t="s">
        <v>1082</v>
      </c>
      <c r="I191" s="426">
        <v>516.02499999999998</v>
      </c>
      <c r="J191" s="426">
        <v>6</v>
      </c>
      <c r="K191" s="427">
        <v>3096.0600000000004</v>
      </c>
    </row>
    <row r="192" spans="1:11" ht="14.4" customHeight="1" x14ac:dyDescent="0.3">
      <c r="A192" s="422" t="s">
        <v>444</v>
      </c>
      <c r="B192" s="423" t="s">
        <v>445</v>
      </c>
      <c r="C192" s="424" t="s">
        <v>449</v>
      </c>
      <c r="D192" s="425" t="s">
        <v>705</v>
      </c>
      <c r="E192" s="424" t="s">
        <v>1926</v>
      </c>
      <c r="F192" s="425" t="s">
        <v>1927</v>
      </c>
      <c r="G192" s="424" t="s">
        <v>1083</v>
      </c>
      <c r="H192" s="424" t="s">
        <v>1084</v>
      </c>
      <c r="I192" s="426">
        <v>798.5</v>
      </c>
      <c r="J192" s="426">
        <v>2</v>
      </c>
      <c r="K192" s="427">
        <v>1596.99</v>
      </c>
    </row>
    <row r="193" spans="1:11" ht="14.4" customHeight="1" x14ac:dyDescent="0.3">
      <c r="A193" s="422" t="s">
        <v>444</v>
      </c>
      <c r="B193" s="423" t="s">
        <v>445</v>
      </c>
      <c r="C193" s="424" t="s">
        <v>449</v>
      </c>
      <c r="D193" s="425" t="s">
        <v>705</v>
      </c>
      <c r="E193" s="424" t="s">
        <v>1926</v>
      </c>
      <c r="F193" s="425" t="s">
        <v>1927</v>
      </c>
      <c r="G193" s="424" t="s">
        <v>1085</v>
      </c>
      <c r="H193" s="424" t="s">
        <v>1086</v>
      </c>
      <c r="I193" s="426">
        <v>577.21600000000001</v>
      </c>
      <c r="J193" s="426">
        <v>13</v>
      </c>
      <c r="K193" s="427">
        <v>7509.7000000000007</v>
      </c>
    </row>
    <row r="194" spans="1:11" ht="14.4" customHeight="1" x14ac:dyDescent="0.3">
      <c r="A194" s="422" t="s">
        <v>444</v>
      </c>
      <c r="B194" s="423" t="s">
        <v>445</v>
      </c>
      <c r="C194" s="424" t="s">
        <v>449</v>
      </c>
      <c r="D194" s="425" t="s">
        <v>705</v>
      </c>
      <c r="E194" s="424" t="s">
        <v>1926</v>
      </c>
      <c r="F194" s="425" t="s">
        <v>1927</v>
      </c>
      <c r="G194" s="424" t="s">
        <v>1087</v>
      </c>
      <c r="H194" s="424" t="s">
        <v>1088</v>
      </c>
      <c r="I194" s="426">
        <v>3402</v>
      </c>
      <c r="J194" s="426">
        <v>1</v>
      </c>
      <c r="K194" s="427">
        <v>3402</v>
      </c>
    </row>
    <row r="195" spans="1:11" ht="14.4" customHeight="1" x14ac:dyDescent="0.3">
      <c r="A195" s="422" t="s">
        <v>444</v>
      </c>
      <c r="B195" s="423" t="s">
        <v>445</v>
      </c>
      <c r="C195" s="424" t="s">
        <v>449</v>
      </c>
      <c r="D195" s="425" t="s">
        <v>705</v>
      </c>
      <c r="E195" s="424" t="s">
        <v>1926</v>
      </c>
      <c r="F195" s="425" t="s">
        <v>1927</v>
      </c>
      <c r="G195" s="424" t="s">
        <v>1089</v>
      </c>
      <c r="H195" s="424" t="s">
        <v>1090</v>
      </c>
      <c r="I195" s="426">
        <v>71.39</v>
      </c>
      <c r="J195" s="426">
        <v>30</v>
      </c>
      <c r="K195" s="427">
        <v>2141.6999999999998</v>
      </c>
    </row>
    <row r="196" spans="1:11" ht="14.4" customHeight="1" x14ac:dyDescent="0.3">
      <c r="A196" s="422" t="s">
        <v>444</v>
      </c>
      <c r="B196" s="423" t="s">
        <v>445</v>
      </c>
      <c r="C196" s="424" t="s">
        <v>449</v>
      </c>
      <c r="D196" s="425" t="s">
        <v>705</v>
      </c>
      <c r="E196" s="424" t="s">
        <v>1926</v>
      </c>
      <c r="F196" s="425" t="s">
        <v>1927</v>
      </c>
      <c r="G196" s="424" t="s">
        <v>1091</v>
      </c>
      <c r="H196" s="424" t="s">
        <v>1092</v>
      </c>
      <c r="I196" s="426">
        <v>1749.8333333333333</v>
      </c>
      <c r="J196" s="426">
        <v>19</v>
      </c>
      <c r="K196" s="427">
        <v>33059</v>
      </c>
    </row>
    <row r="197" spans="1:11" ht="14.4" customHeight="1" x14ac:dyDescent="0.3">
      <c r="A197" s="422" t="s">
        <v>444</v>
      </c>
      <c r="B197" s="423" t="s">
        <v>445</v>
      </c>
      <c r="C197" s="424" t="s">
        <v>449</v>
      </c>
      <c r="D197" s="425" t="s">
        <v>705</v>
      </c>
      <c r="E197" s="424" t="s">
        <v>1926</v>
      </c>
      <c r="F197" s="425" t="s">
        <v>1927</v>
      </c>
      <c r="G197" s="424" t="s">
        <v>1093</v>
      </c>
      <c r="H197" s="424" t="s">
        <v>1094</v>
      </c>
      <c r="I197" s="426">
        <v>62.92</v>
      </c>
      <c r="J197" s="426">
        <v>90</v>
      </c>
      <c r="K197" s="427">
        <v>5662.8</v>
      </c>
    </row>
    <row r="198" spans="1:11" ht="14.4" customHeight="1" x14ac:dyDescent="0.3">
      <c r="A198" s="422" t="s">
        <v>444</v>
      </c>
      <c r="B198" s="423" t="s">
        <v>445</v>
      </c>
      <c r="C198" s="424" t="s">
        <v>449</v>
      </c>
      <c r="D198" s="425" t="s">
        <v>705</v>
      </c>
      <c r="E198" s="424" t="s">
        <v>1926</v>
      </c>
      <c r="F198" s="425" t="s">
        <v>1927</v>
      </c>
      <c r="G198" s="424" t="s">
        <v>1095</v>
      </c>
      <c r="H198" s="424" t="s">
        <v>1096</v>
      </c>
      <c r="I198" s="426">
        <v>589.5</v>
      </c>
      <c r="J198" s="426">
        <v>3</v>
      </c>
      <c r="K198" s="427">
        <v>1800</v>
      </c>
    </row>
    <row r="199" spans="1:11" ht="14.4" customHeight="1" x14ac:dyDescent="0.3">
      <c r="A199" s="422" t="s">
        <v>444</v>
      </c>
      <c r="B199" s="423" t="s">
        <v>445</v>
      </c>
      <c r="C199" s="424" t="s">
        <v>449</v>
      </c>
      <c r="D199" s="425" t="s">
        <v>705</v>
      </c>
      <c r="E199" s="424" t="s">
        <v>1926</v>
      </c>
      <c r="F199" s="425" t="s">
        <v>1927</v>
      </c>
      <c r="G199" s="424" t="s">
        <v>1097</v>
      </c>
      <c r="H199" s="424" t="s">
        <v>1098</v>
      </c>
      <c r="I199" s="426">
        <v>2201</v>
      </c>
      <c r="J199" s="426">
        <v>6</v>
      </c>
      <c r="K199" s="427">
        <v>13206</v>
      </c>
    </row>
    <row r="200" spans="1:11" ht="14.4" customHeight="1" x14ac:dyDescent="0.3">
      <c r="A200" s="422" t="s">
        <v>444</v>
      </c>
      <c r="B200" s="423" t="s">
        <v>445</v>
      </c>
      <c r="C200" s="424" t="s">
        <v>449</v>
      </c>
      <c r="D200" s="425" t="s">
        <v>705</v>
      </c>
      <c r="E200" s="424" t="s">
        <v>1926</v>
      </c>
      <c r="F200" s="425" t="s">
        <v>1927</v>
      </c>
      <c r="G200" s="424" t="s">
        <v>1099</v>
      </c>
      <c r="H200" s="424" t="s">
        <v>1100</v>
      </c>
      <c r="I200" s="426">
        <v>3943.3766666666666</v>
      </c>
      <c r="J200" s="426">
        <v>9</v>
      </c>
      <c r="K200" s="427">
        <v>35490.399999999994</v>
      </c>
    </row>
    <row r="201" spans="1:11" ht="14.4" customHeight="1" x14ac:dyDescent="0.3">
      <c r="A201" s="422" t="s">
        <v>444</v>
      </c>
      <c r="B201" s="423" t="s">
        <v>445</v>
      </c>
      <c r="C201" s="424" t="s">
        <v>449</v>
      </c>
      <c r="D201" s="425" t="s">
        <v>705</v>
      </c>
      <c r="E201" s="424" t="s">
        <v>1926</v>
      </c>
      <c r="F201" s="425" t="s">
        <v>1927</v>
      </c>
      <c r="G201" s="424" t="s">
        <v>1101</v>
      </c>
      <c r="H201" s="424" t="s">
        <v>1102</v>
      </c>
      <c r="I201" s="426">
        <v>45.98</v>
      </c>
      <c r="J201" s="426">
        <v>30</v>
      </c>
      <c r="K201" s="427">
        <v>1379.44</v>
      </c>
    </row>
    <row r="202" spans="1:11" ht="14.4" customHeight="1" x14ac:dyDescent="0.3">
      <c r="A202" s="422" t="s">
        <v>444</v>
      </c>
      <c r="B202" s="423" t="s">
        <v>445</v>
      </c>
      <c r="C202" s="424" t="s">
        <v>449</v>
      </c>
      <c r="D202" s="425" t="s">
        <v>705</v>
      </c>
      <c r="E202" s="424" t="s">
        <v>1926</v>
      </c>
      <c r="F202" s="425" t="s">
        <v>1927</v>
      </c>
      <c r="G202" s="424" t="s">
        <v>1103</v>
      </c>
      <c r="H202" s="424" t="s">
        <v>1104</v>
      </c>
      <c r="I202" s="426">
        <v>580.79999999999995</v>
      </c>
      <c r="J202" s="426">
        <v>16</v>
      </c>
      <c r="K202" s="427">
        <v>9292.7999999999993</v>
      </c>
    </row>
    <row r="203" spans="1:11" ht="14.4" customHeight="1" x14ac:dyDescent="0.3">
      <c r="A203" s="422" t="s">
        <v>444</v>
      </c>
      <c r="B203" s="423" t="s">
        <v>445</v>
      </c>
      <c r="C203" s="424" t="s">
        <v>449</v>
      </c>
      <c r="D203" s="425" t="s">
        <v>705</v>
      </c>
      <c r="E203" s="424" t="s">
        <v>1926</v>
      </c>
      <c r="F203" s="425" t="s">
        <v>1927</v>
      </c>
      <c r="G203" s="424" t="s">
        <v>1105</v>
      </c>
      <c r="H203" s="424" t="s">
        <v>1106</v>
      </c>
      <c r="I203" s="426">
        <v>471.30000000000007</v>
      </c>
      <c r="J203" s="426">
        <v>13</v>
      </c>
      <c r="K203" s="427">
        <v>6126.8700000000008</v>
      </c>
    </row>
    <row r="204" spans="1:11" ht="14.4" customHeight="1" x14ac:dyDescent="0.3">
      <c r="A204" s="422" t="s">
        <v>444</v>
      </c>
      <c r="B204" s="423" t="s">
        <v>445</v>
      </c>
      <c r="C204" s="424" t="s">
        <v>449</v>
      </c>
      <c r="D204" s="425" t="s">
        <v>705</v>
      </c>
      <c r="E204" s="424" t="s">
        <v>1926</v>
      </c>
      <c r="F204" s="425" t="s">
        <v>1927</v>
      </c>
      <c r="G204" s="424" t="s">
        <v>1107</v>
      </c>
      <c r="H204" s="424" t="s">
        <v>1108</v>
      </c>
      <c r="I204" s="426">
        <v>772.85599999999999</v>
      </c>
      <c r="J204" s="426">
        <v>8</v>
      </c>
      <c r="K204" s="427">
        <v>6134.3</v>
      </c>
    </row>
    <row r="205" spans="1:11" ht="14.4" customHeight="1" x14ac:dyDescent="0.3">
      <c r="A205" s="422" t="s">
        <v>444</v>
      </c>
      <c r="B205" s="423" t="s">
        <v>445</v>
      </c>
      <c r="C205" s="424" t="s">
        <v>449</v>
      </c>
      <c r="D205" s="425" t="s">
        <v>705</v>
      </c>
      <c r="E205" s="424" t="s">
        <v>1926</v>
      </c>
      <c r="F205" s="425" t="s">
        <v>1927</v>
      </c>
      <c r="G205" s="424" t="s">
        <v>1109</v>
      </c>
      <c r="H205" s="424" t="s">
        <v>1110</v>
      </c>
      <c r="I205" s="426">
        <v>37.51</v>
      </c>
      <c r="J205" s="426">
        <v>12</v>
      </c>
      <c r="K205" s="427">
        <v>450.12</v>
      </c>
    </row>
    <row r="206" spans="1:11" ht="14.4" customHeight="1" x14ac:dyDescent="0.3">
      <c r="A206" s="422" t="s">
        <v>444</v>
      </c>
      <c r="B206" s="423" t="s">
        <v>445</v>
      </c>
      <c r="C206" s="424" t="s">
        <v>449</v>
      </c>
      <c r="D206" s="425" t="s">
        <v>705</v>
      </c>
      <c r="E206" s="424" t="s">
        <v>1926</v>
      </c>
      <c r="F206" s="425" t="s">
        <v>1927</v>
      </c>
      <c r="G206" s="424" t="s">
        <v>1111</v>
      </c>
      <c r="H206" s="424" t="s">
        <v>1112</v>
      </c>
      <c r="I206" s="426">
        <v>387.19999999999993</v>
      </c>
      <c r="J206" s="426">
        <v>17</v>
      </c>
      <c r="K206" s="427">
        <v>6582.3999999999987</v>
      </c>
    </row>
    <row r="207" spans="1:11" ht="14.4" customHeight="1" x14ac:dyDescent="0.3">
      <c r="A207" s="422" t="s">
        <v>444</v>
      </c>
      <c r="B207" s="423" t="s">
        <v>445</v>
      </c>
      <c r="C207" s="424" t="s">
        <v>449</v>
      </c>
      <c r="D207" s="425" t="s">
        <v>705</v>
      </c>
      <c r="E207" s="424" t="s">
        <v>1926</v>
      </c>
      <c r="F207" s="425" t="s">
        <v>1927</v>
      </c>
      <c r="G207" s="424" t="s">
        <v>1113</v>
      </c>
      <c r="H207" s="424" t="s">
        <v>1114</v>
      </c>
      <c r="I207" s="426">
        <v>59.29</v>
      </c>
      <c r="J207" s="426">
        <v>30</v>
      </c>
      <c r="K207" s="427">
        <v>1778.7</v>
      </c>
    </row>
    <row r="208" spans="1:11" ht="14.4" customHeight="1" x14ac:dyDescent="0.3">
      <c r="A208" s="422" t="s">
        <v>444</v>
      </c>
      <c r="B208" s="423" t="s">
        <v>445</v>
      </c>
      <c r="C208" s="424" t="s">
        <v>449</v>
      </c>
      <c r="D208" s="425" t="s">
        <v>705</v>
      </c>
      <c r="E208" s="424" t="s">
        <v>1926</v>
      </c>
      <c r="F208" s="425" t="s">
        <v>1927</v>
      </c>
      <c r="G208" s="424" t="s">
        <v>1113</v>
      </c>
      <c r="H208" s="424" t="s">
        <v>1115</v>
      </c>
      <c r="I208" s="426">
        <v>53.844999999999999</v>
      </c>
      <c r="J208" s="426">
        <v>60</v>
      </c>
      <c r="K208" s="427">
        <v>3230.7</v>
      </c>
    </row>
    <row r="209" spans="1:11" ht="14.4" customHeight="1" x14ac:dyDescent="0.3">
      <c r="A209" s="422" t="s">
        <v>444</v>
      </c>
      <c r="B209" s="423" t="s">
        <v>445</v>
      </c>
      <c r="C209" s="424" t="s">
        <v>449</v>
      </c>
      <c r="D209" s="425" t="s">
        <v>705</v>
      </c>
      <c r="E209" s="424" t="s">
        <v>1926</v>
      </c>
      <c r="F209" s="425" t="s">
        <v>1927</v>
      </c>
      <c r="G209" s="424" t="s">
        <v>1116</v>
      </c>
      <c r="H209" s="424" t="s">
        <v>1117</v>
      </c>
      <c r="I209" s="426">
        <v>591.64</v>
      </c>
      <c r="J209" s="426">
        <v>3</v>
      </c>
      <c r="K209" s="427">
        <v>1774.92</v>
      </c>
    </row>
    <row r="210" spans="1:11" ht="14.4" customHeight="1" x14ac:dyDescent="0.3">
      <c r="A210" s="422" t="s">
        <v>444</v>
      </c>
      <c r="B210" s="423" t="s">
        <v>445</v>
      </c>
      <c r="C210" s="424" t="s">
        <v>449</v>
      </c>
      <c r="D210" s="425" t="s">
        <v>705</v>
      </c>
      <c r="E210" s="424" t="s">
        <v>1926</v>
      </c>
      <c r="F210" s="425" t="s">
        <v>1927</v>
      </c>
      <c r="G210" s="424" t="s">
        <v>1118</v>
      </c>
      <c r="H210" s="424" t="s">
        <v>1119</v>
      </c>
      <c r="I210" s="426">
        <v>865.15</v>
      </c>
      <c r="J210" s="426">
        <v>1</v>
      </c>
      <c r="K210" s="427">
        <v>865.15</v>
      </c>
    </row>
    <row r="211" spans="1:11" ht="14.4" customHeight="1" x14ac:dyDescent="0.3">
      <c r="A211" s="422" t="s">
        <v>444</v>
      </c>
      <c r="B211" s="423" t="s">
        <v>445</v>
      </c>
      <c r="C211" s="424" t="s">
        <v>449</v>
      </c>
      <c r="D211" s="425" t="s">
        <v>705</v>
      </c>
      <c r="E211" s="424" t="s">
        <v>1926</v>
      </c>
      <c r="F211" s="425" t="s">
        <v>1927</v>
      </c>
      <c r="G211" s="424" t="s">
        <v>1120</v>
      </c>
      <c r="H211" s="424" t="s">
        <v>1121</v>
      </c>
      <c r="I211" s="426">
        <v>385.99</v>
      </c>
      <c r="J211" s="426">
        <v>27</v>
      </c>
      <c r="K211" s="427">
        <v>10421.73</v>
      </c>
    </row>
    <row r="212" spans="1:11" ht="14.4" customHeight="1" x14ac:dyDescent="0.3">
      <c r="A212" s="422" t="s">
        <v>444</v>
      </c>
      <c r="B212" s="423" t="s">
        <v>445</v>
      </c>
      <c r="C212" s="424" t="s">
        <v>449</v>
      </c>
      <c r="D212" s="425" t="s">
        <v>705</v>
      </c>
      <c r="E212" s="424" t="s">
        <v>1926</v>
      </c>
      <c r="F212" s="425" t="s">
        <v>1927</v>
      </c>
      <c r="G212" s="424" t="s">
        <v>1122</v>
      </c>
      <c r="H212" s="424" t="s">
        <v>1123</v>
      </c>
      <c r="I212" s="426">
        <v>3.72</v>
      </c>
      <c r="J212" s="426">
        <v>180</v>
      </c>
      <c r="K212" s="427">
        <v>668.85</v>
      </c>
    </row>
    <row r="213" spans="1:11" ht="14.4" customHeight="1" x14ac:dyDescent="0.3">
      <c r="A213" s="422" t="s">
        <v>444</v>
      </c>
      <c r="B213" s="423" t="s">
        <v>445</v>
      </c>
      <c r="C213" s="424" t="s">
        <v>449</v>
      </c>
      <c r="D213" s="425" t="s">
        <v>705</v>
      </c>
      <c r="E213" s="424" t="s">
        <v>1926</v>
      </c>
      <c r="F213" s="425" t="s">
        <v>1927</v>
      </c>
      <c r="G213" s="424" t="s">
        <v>1124</v>
      </c>
      <c r="H213" s="424" t="s">
        <v>1125</v>
      </c>
      <c r="I213" s="426">
        <v>129.88999999999999</v>
      </c>
      <c r="J213" s="426">
        <v>3</v>
      </c>
      <c r="K213" s="427">
        <v>386.23</v>
      </c>
    </row>
    <row r="214" spans="1:11" ht="14.4" customHeight="1" x14ac:dyDescent="0.3">
      <c r="A214" s="422" t="s">
        <v>444</v>
      </c>
      <c r="B214" s="423" t="s">
        <v>445</v>
      </c>
      <c r="C214" s="424" t="s">
        <v>449</v>
      </c>
      <c r="D214" s="425" t="s">
        <v>705</v>
      </c>
      <c r="E214" s="424" t="s">
        <v>1926</v>
      </c>
      <c r="F214" s="425" t="s">
        <v>1927</v>
      </c>
      <c r="G214" s="424" t="s">
        <v>1126</v>
      </c>
      <c r="H214" s="424" t="s">
        <v>1127</v>
      </c>
      <c r="I214" s="426">
        <v>323.06</v>
      </c>
      <c r="J214" s="426">
        <v>7</v>
      </c>
      <c r="K214" s="427">
        <v>2261.42</v>
      </c>
    </row>
    <row r="215" spans="1:11" ht="14.4" customHeight="1" x14ac:dyDescent="0.3">
      <c r="A215" s="422" t="s">
        <v>444</v>
      </c>
      <c r="B215" s="423" t="s">
        <v>445</v>
      </c>
      <c r="C215" s="424" t="s">
        <v>449</v>
      </c>
      <c r="D215" s="425" t="s">
        <v>705</v>
      </c>
      <c r="E215" s="424" t="s">
        <v>1926</v>
      </c>
      <c r="F215" s="425" t="s">
        <v>1927</v>
      </c>
      <c r="G215" s="424" t="s">
        <v>1128</v>
      </c>
      <c r="H215" s="424" t="s">
        <v>1129</v>
      </c>
      <c r="I215" s="426">
        <v>1.85</v>
      </c>
      <c r="J215" s="426">
        <v>1000</v>
      </c>
      <c r="K215" s="427">
        <v>1820.44</v>
      </c>
    </row>
    <row r="216" spans="1:11" ht="14.4" customHeight="1" x14ac:dyDescent="0.3">
      <c r="A216" s="422" t="s">
        <v>444</v>
      </c>
      <c r="B216" s="423" t="s">
        <v>445</v>
      </c>
      <c r="C216" s="424" t="s">
        <v>449</v>
      </c>
      <c r="D216" s="425" t="s">
        <v>705</v>
      </c>
      <c r="E216" s="424" t="s">
        <v>1926</v>
      </c>
      <c r="F216" s="425" t="s">
        <v>1927</v>
      </c>
      <c r="G216" s="424" t="s">
        <v>1130</v>
      </c>
      <c r="H216" s="424" t="s">
        <v>1131</v>
      </c>
      <c r="I216" s="426">
        <v>3430.7000000000003</v>
      </c>
      <c r="J216" s="426">
        <v>3</v>
      </c>
      <c r="K216" s="427">
        <v>10292.1</v>
      </c>
    </row>
    <row r="217" spans="1:11" ht="14.4" customHeight="1" x14ac:dyDescent="0.3">
      <c r="A217" s="422" t="s">
        <v>444</v>
      </c>
      <c r="B217" s="423" t="s">
        <v>445</v>
      </c>
      <c r="C217" s="424" t="s">
        <v>449</v>
      </c>
      <c r="D217" s="425" t="s">
        <v>705</v>
      </c>
      <c r="E217" s="424" t="s">
        <v>1926</v>
      </c>
      <c r="F217" s="425" t="s">
        <v>1927</v>
      </c>
      <c r="G217" s="424" t="s">
        <v>1132</v>
      </c>
      <c r="H217" s="424" t="s">
        <v>1133</v>
      </c>
      <c r="I217" s="426">
        <v>514.25</v>
      </c>
      <c r="J217" s="426">
        <v>3</v>
      </c>
      <c r="K217" s="427">
        <v>1542.75</v>
      </c>
    </row>
    <row r="218" spans="1:11" ht="14.4" customHeight="1" x14ac:dyDescent="0.3">
      <c r="A218" s="422" t="s">
        <v>444</v>
      </c>
      <c r="B218" s="423" t="s">
        <v>445</v>
      </c>
      <c r="C218" s="424" t="s">
        <v>449</v>
      </c>
      <c r="D218" s="425" t="s">
        <v>705</v>
      </c>
      <c r="E218" s="424" t="s">
        <v>1926</v>
      </c>
      <c r="F218" s="425" t="s">
        <v>1927</v>
      </c>
      <c r="G218" s="424" t="s">
        <v>1134</v>
      </c>
      <c r="H218" s="424" t="s">
        <v>1135</v>
      </c>
      <c r="I218" s="426">
        <v>1.9333333333333333</v>
      </c>
      <c r="J218" s="426">
        <v>700</v>
      </c>
      <c r="K218" s="427">
        <v>1352</v>
      </c>
    </row>
    <row r="219" spans="1:11" ht="14.4" customHeight="1" x14ac:dyDescent="0.3">
      <c r="A219" s="422" t="s">
        <v>444</v>
      </c>
      <c r="B219" s="423" t="s">
        <v>445</v>
      </c>
      <c r="C219" s="424" t="s">
        <v>449</v>
      </c>
      <c r="D219" s="425" t="s">
        <v>705</v>
      </c>
      <c r="E219" s="424" t="s">
        <v>1926</v>
      </c>
      <c r="F219" s="425" t="s">
        <v>1927</v>
      </c>
      <c r="G219" s="424" t="s">
        <v>1136</v>
      </c>
      <c r="H219" s="424" t="s">
        <v>1137</v>
      </c>
      <c r="I219" s="426">
        <v>1.7949999999999999</v>
      </c>
      <c r="J219" s="426">
        <v>400</v>
      </c>
      <c r="K219" s="427">
        <v>718.09</v>
      </c>
    </row>
    <row r="220" spans="1:11" ht="14.4" customHeight="1" x14ac:dyDescent="0.3">
      <c r="A220" s="422" t="s">
        <v>444</v>
      </c>
      <c r="B220" s="423" t="s">
        <v>445</v>
      </c>
      <c r="C220" s="424" t="s">
        <v>449</v>
      </c>
      <c r="D220" s="425" t="s">
        <v>705</v>
      </c>
      <c r="E220" s="424" t="s">
        <v>1926</v>
      </c>
      <c r="F220" s="425" t="s">
        <v>1927</v>
      </c>
      <c r="G220" s="424" t="s">
        <v>1138</v>
      </c>
      <c r="H220" s="424" t="s">
        <v>1139</v>
      </c>
      <c r="I220" s="426">
        <v>2466</v>
      </c>
      <c r="J220" s="426">
        <v>2</v>
      </c>
      <c r="K220" s="427">
        <v>4932</v>
      </c>
    </row>
    <row r="221" spans="1:11" ht="14.4" customHeight="1" x14ac:dyDescent="0.3">
      <c r="A221" s="422" t="s">
        <v>444</v>
      </c>
      <c r="B221" s="423" t="s">
        <v>445</v>
      </c>
      <c r="C221" s="424" t="s">
        <v>449</v>
      </c>
      <c r="D221" s="425" t="s">
        <v>705</v>
      </c>
      <c r="E221" s="424" t="s">
        <v>1926</v>
      </c>
      <c r="F221" s="425" t="s">
        <v>1927</v>
      </c>
      <c r="G221" s="424" t="s">
        <v>1140</v>
      </c>
      <c r="H221" s="424" t="s">
        <v>1141</v>
      </c>
      <c r="I221" s="426">
        <v>967.37333333333333</v>
      </c>
      <c r="J221" s="426">
        <v>11</v>
      </c>
      <c r="K221" s="427">
        <v>10636.119999999999</v>
      </c>
    </row>
    <row r="222" spans="1:11" ht="14.4" customHeight="1" x14ac:dyDescent="0.3">
      <c r="A222" s="422" t="s">
        <v>444</v>
      </c>
      <c r="B222" s="423" t="s">
        <v>445</v>
      </c>
      <c r="C222" s="424" t="s">
        <v>449</v>
      </c>
      <c r="D222" s="425" t="s">
        <v>705</v>
      </c>
      <c r="E222" s="424" t="s">
        <v>1926</v>
      </c>
      <c r="F222" s="425" t="s">
        <v>1927</v>
      </c>
      <c r="G222" s="424" t="s">
        <v>1142</v>
      </c>
      <c r="H222" s="424" t="s">
        <v>1143</v>
      </c>
      <c r="I222" s="426">
        <v>145.60500000000002</v>
      </c>
      <c r="J222" s="426">
        <v>29</v>
      </c>
      <c r="K222" s="427">
        <v>4222.75</v>
      </c>
    </row>
    <row r="223" spans="1:11" ht="14.4" customHeight="1" x14ac:dyDescent="0.3">
      <c r="A223" s="422" t="s">
        <v>444</v>
      </c>
      <c r="B223" s="423" t="s">
        <v>445</v>
      </c>
      <c r="C223" s="424" t="s">
        <v>449</v>
      </c>
      <c r="D223" s="425" t="s">
        <v>705</v>
      </c>
      <c r="E223" s="424" t="s">
        <v>1926</v>
      </c>
      <c r="F223" s="425" t="s">
        <v>1927</v>
      </c>
      <c r="G223" s="424" t="s">
        <v>1144</v>
      </c>
      <c r="H223" s="424" t="s">
        <v>1145</v>
      </c>
      <c r="I223" s="426">
        <v>865.15</v>
      </c>
      <c r="J223" s="426">
        <v>1</v>
      </c>
      <c r="K223" s="427">
        <v>865.15</v>
      </c>
    </row>
    <row r="224" spans="1:11" ht="14.4" customHeight="1" x14ac:dyDescent="0.3">
      <c r="A224" s="422" t="s">
        <v>444</v>
      </c>
      <c r="B224" s="423" t="s">
        <v>445</v>
      </c>
      <c r="C224" s="424" t="s">
        <v>449</v>
      </c>
      <c r="D224" s="425" t="s">
        <v>705</v>
      </c>
      <c r="E224" s="424" t="s">
        <v>1926</v>
      </c>
      <c r="F224" s="425" t="s">
        <v>1927</v>
      </c>
      <c r="G224" s="424" t="s">
        <v>1146</v>
      </c>
      <c r="H224" s="424" t="s">
        <v>1147</v>
      </c>
      <c r="I224" s="426">
        <v>37.51</v>
      </c>
      <c r="J224" s="426">
        <v>18</v>
      </c>
      <c r="K224" s="427">
        <v>675.18</v>
      </c>
    </row>
    <row r="225" spans="1:11" ht="14.4" customHeight="1" x14ac:dyDescent="0.3">
      <c r="A225" s="422" t="s">
        <v>444</v>
      </c>
      <c r="B225" s="423" t="s">
        <v>445</v>
      </c>
      <c r="C225" s="424" t="s">
        <v>449</v>
      </c>
      <c r="D225" s="425" t="s">
        <v>705</v>
      </c>
      <c r="E225" s="424" t="s">
        <v>1926</v>
      </c>
      <c r="F225" s="425" t="s">
        <v>1927</v>
      </c>
      <c r="G225" s="424" t="s">
        <v>1148</v>
      </c>
      <c r="H225" s="424" t="s">
        <v>1149</v>
      </c>
      <c r="I225" s="426">
        <v>71.39</v>
      </c>
      <c r="J225" s="426">
        <v>30</v>
      </c>
      <c r="K225" s="427">
        <v>2141.6999999999998</v>
      </c>
    </row>
    <row r="226" spans="1:11" ht="14.4" customHeight="1" x14ac:dyDescent="0.3">
      <c r="A226" s="422" t="s">
        <v>444</v>
      </c>
      <c r="B226" s="423" t="s">
        <v>445</v>
      </c>
      <c r="C226" s="424" t="s">
        <v>449</v>
      </c>
      <c r="D226" s="425" t="s">
        <v>705</v>
      </c>
      <c r="E226" s="424" t="s">
        <v>1926</v>
      </c>
      <c r="F226" s="425" t="s">
        <v>1927</v>
      </c>
      <c r="G226" s="424" t="s">
        <v>1148</v>
      </c>
      <c r="H226" s="424" t="s">
        <v>1150</v>
      </c>
      <c r="I226" s="426">
        <v>73.81</v>
      </c>
      <c r="J226" s="426">
        <v>90</v>
      </c>
      <c r="K226" s="427">
        <v>6570.2999999999993</v>
      </c>
    </row>
    <row r="227" spans="1:11" ht="14.4" customHeight="1" x14ac:dyDescent="0.3">
      <c r="A227" s="422" t="s">
        <v>444</v>
      </c>
      <c r="B227" s="423" t="s">
        <v>445</v>
      </c>
      <c r="C227" s="424" t="s">
        <v>449</v>
      </c>
      <c r="D227" s="425" t="s">
        <v>705</v>
      </c>
      <c r="E227" s="424" t="s">
        <v>1926</v>
      </c>
      <c r="F227" s="425" t="s">
        <v>1927</v>
      </c>
      <c r="G227" s="424" t="s">
        <v>1151</v>
      </c>
      <c r="H227" s="424" t="s">
        <v>1152</v>
      </c>
      <c r="I227" s="426">
        <v>383.57</v>
      </c>
      <c r="J227" s="426">
        <v>2</v>
      </c>
      <c r="K227" s="427">
        <v>767.14</v>
      </c>
    </row>
    <row r="228" spans="1:11" ht="14.4" customHeight="1" x14ac:dyDescent="0.3">
      <c r="A228" s="422" t="s">
        <v>444</v>
      </c>
      <c r="B228" s="423" t="s">
        <v>445</v>
      </c>
      <c r="C228" s="424" t="s">
        <v>449</v>
      </c>
      <c r="D228" s="425" t="s">
        <v>705</v>
      </c>
      <c r="E228" s="424" t="s">
        <v>1926</v>
      </c>
      <c r="F228" s="425" t="s">
        <v>1927</v>
      </c>
      <c r="G228" s="424" t="s">
        <v>1153</v>
      </c>
      <c r="H228" s="424" t="s">
        <v>1154</v>
      </c>
      <c r="I228" s="426">
        <v>2928.2</v>
      </c>
      <c r="J228" s="426">
        <v>1</v>
      </c>
      <c r="K228" s="427">
        <v>2928.2</v>
      </c>
    </row>
    <row r="229" spans="1:11" ht="14.4" customHeight="1" x14ac:dyDescent="0.3">
      <c r="A229" s="422" t="s">
        <v>444</v>
      </c>
      <c r="B229" s="423" t="s">
        <v>445</v>
      </c>
      <c r="C229" s="424" t="s">
        <v>449</v>
      </c>
      <c r="D229" s="425" t="s">
        <v>705</v>
      </c>
      <c r="E229" s="424" t="s">
        <v>1926</v>
      </c>
      <c r="F229" s="425" t="s">
        <v>1927</v>
      </c>
      <c r="G229" s="424" t="s">
        <v>1155</v>
      </c>
      <c r="H229" s="424" t="s">
        <v>1156</v>
      </c>
      <c r="I229" s="426">
        <v>1004.0099999999999</v>
      </c>
      <c r="J229" s="426">
        <v>4</v>
      </c>
      <c r="K229" s="427">
        <v>4016.04</v>
      </c>
    </row>
    <row r="230" spans="1:11" ht="14.4" customHeight="1" x14ac:dyDescent="0.3">
      <c r="A230" s="422" t="s">
        <v>444</v>
      </c>
      <c r="B230" s="423" t="s">
        <v>445</v>
      </c>
      <c r="C230" s="424" t="s">
        <v>449</v>
      </c>
      <c r="D230" s="425" t="s">
        <v>705</v>
      </c>
      <c r="E230" s="424" t="s">
        <v>1926</v>
      </c>
      <c r="F230" s="425" t="s">
        <v>1927</v>
      </c>
      <c r="G230" s="424" t="s">
        <v>1157</v>
      </c>
      <c r="H230" s="424" t="s">
        <v>1158</v>
      </c>
      <c r="I230" s="426">
        <v>145.59</v>
      </c>
      <c r="J230" s="426">
        <v>41</v>
      </c>
      <c r="K230" s="427">
        <v>5969.19</v>
      </c>
    </row>
    <row r="231" spans="1:11" ht="14.4" customHeight="1" x14ac:dyDescent="0.3">
      <c r="A231" s="422" t="s">
        <v>444</v>
      </c>
      <c r="B231" s="423" t="s">
        <v>445</v>
      </c>
      <c r="C231" s="424" t="s">
        <v>449</v>
      </c>
      <c r="D231" s="425" t="s">
        <v>705</v>
      </c>
      <c r="E231" s="424" t="s">
        <v>1926</v>
      </c>
      <c r="F231" s="425" t="s">
        <v>1927</v>
      </c>
      <c r="G231" s="424" t="s">
        <v>1159</v>
      </c>
      <c r="H231" s="424" t="s">
        <v>1160</v>
      </c>
      <c r="I231" s="426">
        <v>172.99</v>
      </c>
      <c r="J231" s="426">
        <v>1</v>
      </c>
      <c r="K231" s="427">
        <v>172.99</v>
      </c>
    </row>
    <row r="232" spans="1:11" ht="14.4" customHeight="1" x14ac:dyDescent="0.3">
      <c r="A232" s="422" t="s">
        <v>444</v>
      </c>
      <c r="B232" s="423" t="s">
        <v>445</v>
      </c>
      <c r="C232" s="424" t="s">
        <v>449</v>
      </c>
      <c r="D232" s="425" t="s">
        <v>705</v>
      </c>
      <c r="E232" s="424" t="s">
        <v>1926</v>
      </c>
      <c r="F232" s="425" t="s">
        <v>1927</v>
      </c>
      <c r="G232" s="424" t="s">
        <v>1161</v>
      </c>
      <c r="H232" s="424" t="s">
        <v>1162</v>
      </c>
      <c r="I232" s="426">
        <v>320.85000000000002</v>
      </c>
      <c r="J232" s="426">
        <v>24</v>
      </c>
      <c r="K232" s="427">
        <v>7700.4</v>
      </c>
    </row>
    <row r="233" spans="1:11" ht="14.4" customHeight="1" x14ac:dyDescent="0.3">
      <c r="A233" s="422" t="s">
        <v>444</v>
      </c>
      <c r="B233" s="423" t="s">
        <v>445</v>
      </c>
      <c r="C233" s="424" t="s">
        <v>449</v>
      </c>
      <c r="D233" s="425" t="s">
        <v>705</v>
      </c>
      <c r="E233" s="424" t="s">
        <v>1926</v>
      </c>
      <c r="F233" s="425" t="s">
        <v>1927</v>
      </c>
      <c r="G233" s="424" t="s">
        <v>1163</v>
      </c>
      <c r="H233" s="424" t="s">
        <v>1164</v>
      </c>
      <c r="I233" s="426">
        <v>1122.8800000000001</v>
      </c>
      <c r="J233" s="426">
        <v>2</v>
      </c>
      <c r="K233" s="427">
        <v>2245.75</v>
      </c>
    </row>
    <row r="234" spans="1:11" ht="14.4" customHeight="1" x14ac:dyDescent="0.3">
      <c r="A234" s="422" t="s">
        <v>444</v>
      </c>
      <c r="B234" s="423" t="s">
        <v>445</v>
      </c>
      <c r="C234" s="424" t="s">
        <v>449</v>
      </c>
      <c r="D234" s="425" t="s">
        <v>705</v>
      </c>
      <c r="E234" s="424" t="s">
        <v>1926</v>
      </c>
      <c r="F234" s="425" t="s">
        <v>1927</v>
      </c>
      <c r="G234" s="424" t="s">
        <v>1165</v>
      </c>
      <c r="H234" s="424" t="s">
        <v>1166</v>
      </c>
      <c r="I234" s="426">
        <v>163.22999999999999</v>
      </c>
      <c r="J234" s="426">
        <v>2</v>
      </c>
      <c r="K234" s="427">
        <v>326.45999999999998</v>
      </c>
    </row>
    <row r="235" spans="1:11" ht="14.4" customHeight="1" x14ac:dyDescent="0.3">
      <c r="A235" s="422" t="s">
        <v>444</v>
      </c>
      <c r="B235" s="423" t="s">
        <v>445</v>
      </c>
      <c r="C235" s="424" t="s">
        <v>449</v>
      </c>
      <c r="D235" s="425" t="s">
        <v>705</v>
      </c>
      <c r="E235" s="424" t="s">
        <v>1926</v>
      </c>
      <c r="F235" s="425" t="s">
        <v>1927</v>
      </c>
      <c r="G235" s="424" t="s">
        <v>1167</v>
      </c>
      <c r="H235" s="424" t="s">
        <v>1168</v>
      </c>
      <c r="I235" s="426">
        <v>160.93</v>
      </c>
      <c r="J235" s="426">
        <v>1</v>
      </c>
      <c r="K235" s="427">
        <v>160.93</v>
      </c>
    </row>
    <row r="236" spans="1:11" ht="14.4" customHeight="1" x14ac:dyDescent="0.3">
      <c r="A236" s="422" t="s">
        <v>444</v>
      </c>
      <c r="B236" s="423" t="s">
        <v>445</v>
      </c>
      <c r="C236" s="424" t="s">
        <v>449</v>
      </c>
      <c r="D236" s="425" t="s">
        <v>705</v>
      </c>
      <c r="E236" s="424" t="s">
        <v>1926</v>
      </c>
      <c r="F236" s="425" t="s">
        <v>1927</v>
      </c>
      <c r="G236" s="424" t="s">
        <v>1169</v>
      </c>
      <c r="H236" s="424" t="s">
        <v>1170</v>
      </c>
      <c r="I236" s="426">
        <v>700.04499999999996</v>
      </c>
      <c r="J236" s="426">
        <v>5</v>
      </c>
      <c r="K236" s="427">
        <v>3500.2299999999996</v>
      </c>
    </row>
    <row r="237" spans="1:11" ht="14.4" customHeight="1" x14ac:dyDescent="0.3">
      <c r="A237" s="422" t="s">
        <v>444</v>
      </c>
      <c r="B237" s="423" t="s">
        <v>445</v>
      </c>
      <c r="C237" s="424" t="s">
        <v>449</v>
      </c>
      <c r="D237" s="425" t="s">
        <v>705</v>
      </c>
      <c r="E237" s="424" t="s">
        <v>1926</v>
      </c>
      <c r="F237" s="425" t="s">
        <v>1927</v>
      </c>
      <c r="G237" s="424" t="s">
        <v>1171</v>
      </c>
      <c r="H237" s="424" t="s">
        <v>1172</v>
      </c>
      <c r="I237" s="426">
        <v>1057.42</v>
      </c>
      <c r="J237" s="426">
        <v>2</v>
      </c>
      <c r="K237" s="427">
        <v>2114.84</v>
      </c>
    </row>
    <row r="238" spans="1:11" ht="14.4" customHeight="1" x14ac:dyDescent="0.3">
      <c r="A238" s="422" t="s">
        <v>444</v>
      </c>
      <c r="B238" s="423" t="s">
        <v>445</v>
      </c>
      <c r="C238" s="424" t="s">
        <v>449</v>
      </c>
      <c r="D238" s="425" t="s">
        <v>705</v>
      </c>
      <c r="E238" s="424" t="s">
        <v>1926</v>
      </c>
      <c r="F238" s="425" t="s">
        <v>1927</v>
      </c>
      <c r="G238" s="424" t="s">
        <v>1173</v>
      </c>
      <c r="H238" s="424" t="s">
        <v>1174</v>
      </c>
      <c r="I238" s="426">
        <v>261.11</v>
      </c>
      <c r="J238" s="426">
        <v>1</v>
      </c>
      <c r="K238" s="427">
        <v>261.11</v>
      </c>
    </row>
    <row r="239" spans="1:11" ht="14.4" customHeight="1" x14ac:dyDescent="0.3">
      <c r="A239" s="422" t="s">
        <v>444</v>
      </c>
      <c r="B239" s="423" t="s">
        <v>445</v>
      </c>
      <c r="C239" s="424" t="s">
        <v>449</v>
      </c>
      <c r="D239" s="425" t="s">
        <v>705</v>
      </c>
      <c r="E239" s="424" t="s">
        <v>1926</v>
      </c>
      <c r="F239" s="425" t="s">
        <v>1927</v>
      </c>
      <c r="G239" s="424" t="s">
        <v>1175</v>
      </c>
      <c r="H239" s="424" t="s">
        <v>1176</v>
      </c>
      <c r="I239" s="426">
        <v>370</v>
      </c>
      <c r="J239" s="426">
        <v>3</v>
      </c>
      <c r="K239" s="427">
        <v>1110</v>
      </c>
    </row>
    <row r="240" spans="1:11" ht="14.4" customHeight="1" x14ac:dyDescent="0.3">
      <c r="A240" s="422" t="s">
        <v>444</v>
      </c>
      <c r="B240" s="423" t="s">
        <v>445</v>
      </c>
      <c r="C240" s="424" t="s">
        <v>449</v>
      </c>
      <c r="D240" s="425" t="s">
        <v>705</v>
      </c>
      <c r="E240" s="424" t="s">
        <v>1926</v>
      </c>
      <c r="F240" s="425" t="s">
        <v>1927</v>
      </c>
      <c r="G240" s="424" t="s">
        <v>1177</v>
      </c>
      <c r="H240" s="424" t="s">
        <v>1178</v>
      </c>
      <c r="I240" s="426">
        <v>41.74</v>
      </c>
      <c r="J240" s="426">
        <v>40</v>
      </c>
      <c r="K240" s="427">
        <v>1669.8</v>
      </c>
    </row>
    <row r="241" spans="1:11" ht="14.4" customHeight="1" x14ac:dyDescent="0.3">
      <c r="A241" s="422" t="s">
        <v>444</v>
      </c>
      <c r="B241" s="423" t="s">
        <v>445</v>
      </c>
      <c r="C241" s="424" t="s">
        <v>449</v>
      </c>
      <c r="D241" s="425" t="s">
        <v>705</v>
      </c>
      <c r="E241" s="424" t="s">
        <v>1926</v>
      </c>
      <c r="F241" s="425" t="s">
        <v>1927</v>
      </c>
      <c r="G241" s="424" t="s">
        <v>1179</v>
      </c>
      <c r="H241" s="424" t="s">
        <v>1180</v>
      </c>
      <c r="I241" s="426">
        <v>129.85499999999999</v>
      </c>
      <c r="J241" s="426">
        <v>7</v>
      </c>
      <c r="K241" s="427">
        <v>879.11999999999989</v>
      </c>
    </row>
    <row r="242" spans="1:11" ht="14.4" customHeight="1" x14ac:dyDescent="0.3">
      <c r="A242" s="422" t="s">
        <v>444</v>
      </c>
      <c r="B242" s="423" t="s">
        <v>445</v>
      </c>
      <c r="C242" s="424" t="s">
        <v>449</v>
      </c>
      <c r="D242" s="425" t="s">
        <v>705</v>
      </c>
      <c r="E242" s="424" t="s">
        <v>1926</v>
      </c>
      <c r="F242" s="425" t="s">
        <v>1927</v>
      </c>
      <c r="G242" s="424" t="s">
        <v>1181</v>
      </c>
      <c r="H242" s="424" t="s">
        <v>1182</v>
      </c>
      <c r="I242" s="426">
        <v>1300.75</v>
      </c>
      <c r="J242" s="426">
        <v>1</v>
      </c>
      <c r="K242" s="427">
        <v>1300.75</v>
      </c>
    </row>
    <row r="243" spans="1:11" ht="14.4" customHeight="1" x14ac:dyDescent="0.3">
      <c r="A243" s="422" t="s">
        <v>444</v>
      </c>
      <c r="B243" s="423" t="s">
        <v>445</v>
      </c>
      <c r="C243" s="424" t="s">
        <v>449</v>
      </c>
      <c r="D243" s="425" t="s">
        <v>705</v>
      </c>
      <c r="E243" s="424" t="s">
        <v>1926</v>
      </c>
      <c r="F243" s="425" t="s">
        <v>1927</v>
      </c>
      <c r="G243" s="424" t="s">
        <v>1183</v>
      </c>
      <c r="H243" s="424" t="s">
        <v>1184</v>
      </c>
      <c r="I243" s="426">
        <v>2036.77</v>
      </c>
      <c r="J243" s="426">
        <v>1</v>
      </c>
      <c r="K243" s="427">
        <v>2036.77</v>
      </c>
    </row>
    <row r="244" spans="1:11" ht="14.4" customHeight="1" x14ac:dyDescent="0.3">
      <c r="A244" s="422" t="s">
        <v>444</v>
      </c>
      <c r="B244" s="423" t="s">
        <v>445</v>
      </c>
      <c r="C244" s="424" t="s">
        <v>449</v>
      </c>
      <c r="D244" s="425" t="s">
        <v>705</v>
      </c>
      <c r="E244" s="424" t="s">
        <v>1926</v>
      </c>
      <c r="F244" s="425" t="s">
        <v>1927</v>
      </c>
      <c r="G244" s="424" t="s">
        <v>1185</v>
      </c>
      <c r="H244" s="424" t="s">
        <v>1186</v>
      </c>
      <c r="I244" s="426">
        <v>3.4499999999999997</v>
      </c>
      <c r="J244" s="426">
        <v>1400</v>
      </c>
      <c r="K244" s="427">
        <v>4225.32</v>
      </c>
    </row>
    <row r="245" spans="1:11" ht="14.4" customHeight="1" x14ac:dyDescent="0.3">
      <c r="A245" s="422" t="s">
        <v>444</v>
      </c>
      <c r="B245" s="423" t="s">
        <v>445</v>
      </c>
      <c r="C245" s="424" t="s">
        <v>449</v>
      </c>
      <c r="D245" s="425" t="s">
        <v>705</v>
      </c>
      <c r="E245" s="424" t="s">
        <v>1926</v>
      </c>
      <c r="F245" s="425" t="s">
        <v>1927</v>
      </c>
      <c r="G245" s="424" t="s">
        <v>1187</v>
      </c>
      <c r="H245" s="424" t="s">
        <v>1188</v>
      </c>
      <c r="I245" s="426">
        <v>1.88</v>
      </c>
      <c r="J245" s="426">
        <v>400</v>
      </c>
      <c r="K245" s="427">
        <v>752.66000000000008</v>
      </c>
    </row>
    <row r="246" spans="1:11" ht="14.4" customHeight="1" x14ac:dyDescent="0.3">
      <c r="A246" s="422" t="s">
        <v>444</v>
      </c>
      <c r="B246" s="423" t="s">
        <v>445</v>
      </c>
      <c r="C246" s="424" t="s">
        <v>449</v>
      </c>
      <c r="D246" s="425" t="s">
        <v>705</v>
      </c>
      <c r="E246" s="424" t="s">
        <v>1926</v>
      </c>
      <c r="F246" s="425" t="s">
        <v>1927</v>
      </c>
      <c r="G246" s="424" t="s">
        <v>1189</v>
      </c>
      <c r="H246" s="424" t="s">
        <v>1190</v>
      </c>
      <c r="I246" s="426">
        <v>865.15</v>
      </c>
      <c r="J246" s="426">
        <v>2</v>
      </c>
      <c r="K246" s="427">
        <v>1730.3</v>
      </c>
    </row>
    <row r="247" spans="1:11" ht="14.4" customHeight="1" x14ac:dyDescent="0.3">
      <c r="A247" s="422" t="s">
        <v>444</v>
      </c>
      <c r="B247" s="423" t="s">
        <v>445</v>
      </c>
      <c r="C247" s="424" t="s">
        <v>449</v>
      </c>
      <c r="D247" s="425" t="s">
        <v>705</v>
      </c>
      <c r="E247" s="424" t="s">
        <v>1926</v>
      </c>
      <c r="F247" s="425" t="s">
        <v>1927</v>
      </c>
      <c r="G247" s="424" t="s">
        <v>1191</v>
      </c>
      <c r="H247" s="424" t="s">
        <v>1192</v>
      </c>
      <c r="I247" s="426">
        <v>2665.3333333333335</v>
      </c>
      <c r="J247" s="426">
        <v>6</v>
      </c>
      <c r="K247" s="427">
        <v>16188.99</v>
      </c>
    </row>
    <row r="248" spans="1:11" ht="14.4" customHeight="1" x14ac:dyDescent="0.3">
      <c r="A248" s="422" t="s">
        <v>444</v>
      </c>
      <c r="B248" s="423" t="s">
        <v>445</v>
      </c>
      <c r="C248" s="424" t="s">
        <v>449</v>
      </c>
      <c r="D248" s="425" t="s">
        <v>705</v>
      </c>
      <c r="E248" s="424" t="s">
        <v>1926</v>
      </c>
      <c r="F248" s="425" t="s">
        <v>1927</v>
      </c>
      <c r="G248" s="424" t="s">
        <v>1193</v>
      </c>
      <c r="H248" s="424" t="s">
        <v>1194</v>
      </c>
      <c r="I248" s="426">
        <v>11.5</v>
      </c>
      <c r="J248" s="426">
        <v>90</v>
      </c>
      <c r="K248" s="427">
        <v>1035</v>
      </c>
    </row>
    <row r="249" spans="1:11" ht="14.4" customHeight="1" x14ac:dyDescent="0.3">
      <c r="A249" s="422" t="s">
        <v>444</v>
      </c>
      <c r="B249" s="423" t="s">
        <v>445</v>
      </c>
      <c r="C249" s="424" t="s">
        <v>449</v>
      </c>
      <c r="D249" s="425" t="s">
        <v>705</v>
      </c>
      <c r="E249" s="424" t="s">
        <v>1926</v>
      </c>
      <c r="F249" s="425" t="s">
        <v>1927</v>
      </c>
      <c r="G249" s="424" t="s">
        <v>1195</v>
      </c>
      <c r="H249" s="424" t="s">
        <v>1196</v>
      </c>
      <c r="I249" s="426">
        <v>145.6</v>
      </c>
      <c r="J249" s="426">
        <v>29</v>
      </c>
      <c r="K249" s="427">
        <v>4222.3599999999997</v>
      </c>
    </row>
    <row r="250" spans="1:11" ht="14.4" customHeight="1" x14ac:dyDescent="0.3">
      <c r="A250" s="422" t="s">
        <v>444</v>
      </c>
      <c r="B250" s="423" t="s">
        <v>445</v>
      </c>
      <c r="C250" s="424" t="s">
        <v>449</v>
      </c>
      <c r="D250" s="425" t="s">
        <v>705</v>
      </c>
      <c r="E250" s="424" t="s">
        <v>1926</v>
      </c>
      <c r="F250" s="425" t="s">
        <v>1927</v>
      </c>
      <c r="G250" s="424" t="s">
        <v>1197</v>
      </c>
      <c r="H250" s="424" t="s">
        <v>1198</v>
      </c>
      <c r="I250" s="426">
        <v>1.8766666666666667</v>
      </c>
      <c r="J250" s="426">
        <v>600</v>
      </c>
      <c r="K250" s="427">
        <v>1125.4099999999999</v>
      </c>
    </row>
    <row r="251" spans="1:11" ht="14.4" customHeight="1" x14ac:dyDescent="0.3">
      <c r="A251" s="422" t="s">
        <v>444</v>
      </c>
      <c r="B251" s="423" t="s">
        <v>445</v>
      </c>
      <c r="C251" s="424" t="s">
        <v>449</v>
      </c>
      <c r="D251" s="425" t="s">
        <v>705</v>
      </c>
      <c r="E251" s="424" t="s">
        <v>1926</v>
      </c>
      <c r="F251" s="425" t="s">
        <v>1927</v>
      </c>
      <c r="G251" s="424" t="s">
        <v>1199</v>
      </c>
      <c r="H251" s="424" t="s">
        <v>1200</v>
      </c>
      <c r="I251" s="426">
        <v>473.11</v>
      </c>
      <c r="J251" s="426">
        <v>2</v>
      </c>
      <c r="K251" s="427">
        <v>946.22</v>
      </c>
    </row>
    <row r="252" spans="1:11" ht="14.4" customHeight="1" x14ac:dyDescent="0.3">
      <c r="A252" s="422" t="s">
        <v>444</v>
      </c>
      <c r="B252" s="423" t="s">
        <v>445</v>
      </c>
      <c r="C252" s="424" t="s">
        <v>449</v>
      </c>
      <c r="D252" s="425" t="s">
        <v>705</v>
      </c>
      <c r="E252" s="424" t="s">
        <v>1926</v>
      </c>
      <c r="F252" s="425" t="s">
        <v>1927</v>
      </c>
      <c r="G252" s="424" t="s">
        <v>1201</v>
      </c>
      <c r="H252" s="424" t="s">
        <v>1202</v>
      </c>
      <c r="I252" s="426">
        <v>2432.1</v>
      </c>
      <c r="J252" s="426">
        <v>1</v>
      </c>
      <c r="K252" s="427">
        <v>2432.1</v>
      </c>
    </row>
    <row r="253" spans="1:11" ht="14.4" customHeight="1" x14ac:dyDescent="0.3">
      <c r="A253" s="422" t="s">
        <v>444</v>
      </c>
      <c r="B253" s="423" t="s">
        <v>445</v>
      </c>
      <c r="C253" s="424" t="s">
        <v>449</v>
      </c>
      <c r="D253" s="425" t="s">
        <v>705</v>
      </c>
      <c r="E253" s="424" t="s">
        <v>1926</v>
      </c>
      <c r="F253" s="425" t="s">
        <v>1927</v>
      </c>
      <c r="G253" s="424" t="s">
        <v>1203</v>
      </c>
      <c r="H253" s="424" t="s">
        <v>1204</v>
      </c>
      <c r="I253" s="426">
        <v>98.31</v>
      </c>
      <c r="J253" s="426">
        <v>12</v>
      </c>
      <c r="K253" s="427">
        <v>1179.75</v>
      </c>
    </row>
    <row r="254" spans="1:11" ht="14.4" customHeight="1" x14ac:dyDescent="0.3">
      <c r="A254" s="422" t="s">
        <v>444</v>
      </c>
      <c r="B254" s="423" t="s">
        <v>445</v>
      </c>
      <c r="C254" s="424" t="s">
        <v>449</v>
      </c>
      <c r="D254" s="425" t="s">
        <v>705</v>
      </c>
      <c r="E254" s="424" t="s">
        <v>1926</v>
      </c>
      <c r="F254" s="425" t="s">
        <v>1927</v>
      </c>
      <c r="G254" s="424" t="s">
        <v>1205</v>
      </c>
      <c r="H254" s="424" t="s">
        <v>1206</v>
      </c>
      <c r="I254" s="426">
        <v>73.81</v>
      </c>
      <c r="J254" s="426">
        <v>6</v>
      </c>
      <c r="K254" s="427">
        <v>442.86</v>
      </c>
    </row>
    <row r="255" spans="1:11" ht="14.4" customHeight="1" x14ac:dyDescent="0.3">
      <c r="A255" s="422" t="s">
        <v>444</v>
      </c>
      <c r="B255" s="423" t="s">
        <v>445</v>
      </c>
      <c r="C255" s="424" t="s">
        <v>449</v>
      </c>
      <c r="D255" s="425" t="s">
        <v>705</v>
      </c>
      <c r="E255" s="424" t="s">
        <v>1926</v>
      </c>
      <c r="F255" s="425" t="s">
        <v>1927</v>
      </c>
      <c r="G255" s="424" t="s">
        <v>1207</v>
      </c>
      <c r="H255" s="424" t="s">
        <v>1208</v>
      </c>
      <c r="I255" s="426">
        <v>1115</v>
      </c>
      <c r="J255" s="426">
        <v>3</v>
      </c>
      <c r="K255" s="427">
        <v>3345</v>
      </c>
    </row>
    <row r="256" spans="1:11" ht="14.4" customHeight="1" x14ac:dyDescent="0.3">
      <c r="A256" s="422" t="s">
        <v>444</v>
      </c>
      <c r="B256" s="423" t="s">
        <v>445</v>
      </c>
      <c r="C256" s="424" t="s">
        <v>449</v>
      </c>
      <c r="D256" s="425" t="s">
        <v>705</v>
      </c>
      <c r="E256" s="424" t="s">
        <v>1926</v>
      </c>
      <c r="F256" s="425" t="s">
        <v>1927</v>
      </c>
      <c r="G256" s="424" t="s">
        <v>1209</v>
      </c>
      <c r="H256" s="424" t="s">
        <v>1210</v>
      </c>
      <c r="I256" s="426">
        <v>913.49</v>
      </c>
      <c r="J256" s="426">
        <v>1</v>
      </c>
      <c r="K256" s="427">
        <v>913.49</v>
      </c>
    </row>
    <row r="257" spans="1:11" ht="14.4" customHeight="1" x14ac:dyDescent="0.3">
      <c r="A257" s="422" t="s">
        <v>444</v>
      </c>
      <c r="B257" s="423" t="s">
        <v>445</v>
      </c>
      <c r="C257" s="424" t="s">
        <v>449</v>
      </c>
      <c r="D257" s="425" t="s">
        <v>705</v>
      </c>
      <c r="E257" s="424" t="s">
        <v>1926</v>
      </c>
      <c r="F257" s="425" t="s">
        <v>1927</v>
      </c>
      <c r="G257" s="424" t="s">
        <v>1211</v>
      </c>
      <c r="H257" s="424" t="s">
        <v>1212</v>
      </c>
      <c r="I257" s="426">
        <v>124.63</v>
      </c>
      <c r="J257" s="426">
        <v>20</v>
      </c>
      <c r="K257" s="427">
        <v>2492.6</v>
      </c>
    </row>
    <row r="258" spans="1:11" ht="14.4" customHeight="1" x14ac:dyDescent="0.3">
      <c r="A258" s="422" t="s">
        <v>444</v>
      </c>
      <c r="B258" s="423" t="s">
        <v>445</v>
      </c>
      <c r="C258" s="424" t="s">
        <v>449</v>
      </c>
      <c r="D258" s="425" t="s">
        <v>705</v>
      </c>
      <c r="E258" s="424" t="s">
        <v>1926</v>
      </c>
      <c r="F258" s="425" t="s">
        <v>1927</v>
      </c>
      <c r="G258" s="424" t="s">
        <v>1213</v>
      </c>
      <c r="H258" s="424" t="s">
        <v>1214</v>
      </c>
      <c r="I258" s="426">
        <v>379.94</v>
      </c>
      <c r="J258" s="426">
        <v>3</v>
      </c>
      <c r="K258" s="427">
        <v>1139.82</v>
      </c>
    </row>
    <row r="259" spans="1:11" ht="14.4" customHeight="1" x14ac:dyDescent="0.3">
      <c r="A259" s="422" t="s">
        <v>444</v>
      </c>
      <c r="B259" s="423" t="s">
        <v>445</v>
      </c>
      <c r="C259" s="424" t="s">
        <v>449</v>
      </c>
      <c r="D259" s="425" t="s">
        <v>705</v>
      </c>
      <c r="E259" s="424" t="s">
        <v>1926</v>
      </c>
      <c r="F259" s="425" t="s">
        <v>1927</v>
      </c>
      <c r="G259" s="424" t="s">
        <v>1215</v>
      </c>
      <c r="H259" s="424" t="s">
        <v>1216</v>
      </c>
      <c r="I259" s="426">
        <v>19.96</v>
      </c>
      <c r="J259" s="426">
        <v>10</v>
      </c>
      <c r="K259" s="427">
        <v>199.65</v>
      </c>
    </row>
    <row r="260" spans="1:11" ht="14.4" customHeight="1" x14ac:dyDescent="0.3">
      <c r="A260" s="422" t="s">
        <v>444</v>
      </c>
      <c r="B260" s="423" t="s">
        <v>445</v>
      </c>
      <c r="C260" s="424" t="s">
        <v>449</v>
      </c>
      <c r="D260" s="425" t="s">
        <v>705</v>
      </c>
      <c r="E260" s="424" t="s">
        <v>1926</v>
      </c>
      <c r="F260" s="425" t="s">
        <v>1927</v>
      </c>
      <c r="G260" s="424" t="s">
        <v>1217</v>
      </c>
      <c r="H260" s="424" t="s">
        <v>1218</v>
      </c>
      <c r="I260" s="426">
        <v>140.33333333333334</v>
      </c>
      <c r="J260" s="426">
        <v>18</v>
      </c>
      <c r="K260" s="427">
        <v>2525.9899999999998</v>
      </c>
    </row>
    <row r="261" spans="1:11" ht="14.4" customHeight="1" x14ac:dyDescent="0.3">
      <c r="A261" s="422" t="s">
        <v>444</v>
      </c>
      <c r="B261" s="423" t="s">
        <v>445</v>
      </c>
      <c r="C261" s="424" t="s">
        <v>449</v>
      </c>
      <c r="D261" s="425" t="s">
        <v>705</v>
      </c>
      <c r="E261" s="424" t="s">
        <v>1926</v>
      </c>
      <c r="F261" s="425" t="s">
        <v>1927</v>
      </c>
      <c r="G261" s="424" t="s">
        <v>1219</v>
      </c>
      <c r="H261" s="424" t="s">
        <v>1220</v>
      </c>
      <c r="I261" s="426">
        <v>3.31</v>
      </c>
      <c r="J261" s="426">
        <v>500</v>
      </c>
      <c r="K261" s="427">
        <v>1623.28</v>
      </c>
    </row>
    <row r="262" spans="1:11" ht="14.4" customHeight="1" x14ac:dyDescent="0.3">
      <c r="A262" s="422" t="s">
        <v>444</v>
      </c>
      <c r="B262" s="423" t="s">
        <v>445</v>
      </c>
      <c r="C262" s="424" t="s">
        <v>449</v>
      </c>
      <c r="D262" s="425" t="s">
        <v>705</v>
      </c>
      <c r="E262" s="424" t="s">
        <v>1926</v>
      </c>
      <c r="F262" s="425" t="s">
        <v>1927</v>
      </c>
      <c r="G262" s="424" t="s">
        <v>1221</v>
      </c>
      <c r="H262" s="424" t="s">
        <v>1222</v>
      </c>
      <c r="I262" s="426">
        <v>98.82</v>
      </c>
      <c r="J262" s="426">
        <v>12</v>
      </c>
      <c r="K262" s="427">
        <v>1185.8</v>
      </c>
    </row>
    <row r="263" spans="1:11" ht="14.4" customHeight="1" x14ac:dyDescent="0.3">
      <c r="A263" s="422" t="s">
        <v>444</v>
      </c>
      <c r="B263" s="423" t="s">
        <v>445</v>
      </c>
      <c r="C263" s="424" t="s">
        <v>449</v>
      </c>
      <c r="D263" s="425" t="s">
        <v>705</v>
      </c>
      <c r="E263" s="424" t="s">
        <v>1926</v>
      </c>
      <c r="F263" s="425" t="s">
        <v>1927</v>
      </c>
      <c r="G263" s="424" t="s">
        <v>1223</v>
      </c>
      <c r="H263" s="424" t="s">
        <v>1224</v>
      </c>
      <c r="I263" s="426">
        <v>69.37</v>
      </c>
      <c r="J263" s="426">
        <v>12</v>
      </c>
      <c r="K263" s="427">
        <v>832.48</v>
      </c>
    </row>
    <row r="264" spans="1:11" ht="14.4" customHeight="1" x14ac:dyDescent="0.3">
      <c r="A264" s="422" t="s">
        <v>444</v>
      </c>
      <c r="B264" s="423" t="s">
        <v>445</v>
      </c>
      <c r="C264" s="424" t="s">
        <v>449</v>
      </c>
      <c r="D264" s="425" t="s">
        <v>705</v>
      </c>
      <c r="E264" s="424" t="s">
        <v>1926</v>
      </c>
      <c r="F264" s="425" t="s">
        <v>1927</v>
      </c>
      <c r="G264" s="424" t="s">
        <v>1225</v>
      </c>
      <c r="H264" s="424" t="s">
        <v>1226</v>
      </c>
      <c r="I264" s="426">
        <v>363</v>
      </c>
      <c r="J264" s="426">
        <v>4</v>
      </c>
      <c r="K264" s="427">
        <v>1452</v>
      </c>
    </row>
    <row r="265" spans="1:11" ht="14.4" customHeight="1" x14ac:dyDescent="0.3">
      <c r="A265" s="422" t="s">
        <v>444</v>
      </c>
      <c r="B265" s="423" t="s">
        <v>445</v>
      </c>
      <c r="C265" s="424" t="s">
        <v>449</v>
      </c>
      <c r="D265" s="425" t="s">
        <v>705</v>
      </c>
      <c r="E265" s="424" t="s">
        <v>1926</v>
      </c>
      <c r="F265" s="425" t="s">
        <v>1927</v>
      </c>
      <c r="G265" s="424" t="s">
        <v>1227</v>
      </c>
      <c r="H265" s="424" t="s">
        <v>1228</v>
      </c>
      <c r="I265" s="426">
        <v>402.93</v>
      </c>
      <c r="J265" s="426">
        <v>4</v>
      </c>
      <c r="K265" s="427">
        <v>1611.72</v>
      </c>
    </row>
    <row r="266" spans="1:11" ht="14.4" customHeight="1" x14ac:dyDescent="0.3">
      <c r="A266" s="422" t="s">
        <v>444</v>
      </c>
      <c r="B266" s="423" t="s">
        <v>445</v>
      </c>
      <c r="C266" s="424" t="s">
        <v>449</v>
      </c>
      <c r="D266" s="425" t="s">
        <v>705</v>
      </c>
      <c r="E266" s="424" t="s">
        <v>1926</v>
      </c>
      <c r="F266" s="425" t="s">
        <v>1927</v>
      </c>
      <c r="G266" s="424" t="s">
        <v>1229</v>
      </c>
      <c r="H266" s="424" t="s">
        <v>1230</v>
      </c>
      <c r="I266" s="426">
        <v>3.72</v>
      </c>
      <c r="J266" s="426">
        <v>120</v>
      </c>
      <c r="K266" s="427">
        <v>445.9</v>
      </c>
    </row>
    <row r="267" spans="1:11" ht="14.4" customHeight="1" x14ac:dyDescent="0.3">
      <c r="A267" s="422" t="s">
        <v>444</v>
      </c>
      <c r="B267" s="423" t="s">
        <v>445</v>
      </c>
      <c r="C267" s="424" t="s">
        <v>449</v>
      </c>
      <c r="D267" s="425" t="s">
        <v>705</v>
      </c>
      <c r="E267" s="424" t="s">
        <v>1926</v>
      </c>
      <c r="F267" s="425" t="s">
        <v>1927</v>
      </c>
      <c r="G267" s="424" t="s">
        <v>1231</v>
      </c>
      <c r="H267" s="424" t="s">
        <v>1232</v>
      </c>
      <c r="I267" s="426">
        <v>3.72</v>
      </c>
      <c r="J267" s="426">
        <v>120</v>
      </c>
      <c r="K267" s="427">
        <v>445.9</v>
      </c>
    </row>
    <row r="268" spans="1:11" ht="14.4" customHeight="1" x14ac:dyDescent="0.3">
      <c r="A268" s="422" t="s">
        <v>444</v>
      </c>
      <c r="B268" s="423" t="s">
        <v>445</v>
      </c>
      <c r="C268" s="424" t="s">
        <v>449</v>
      </c>
      <c r="D268" s="425" t="s">
        <v>705</v>
      </c>
      <c r="E268" s="424" t="s">
        <v>1926</v>
      </c>
      <c r="F268" s="425" t="s">
        <v>1927</v>
      </c>
      <c r="G268" s="424" t="s">
        <v>1233</v>
      </c>
      <c r="H268" s="424" t="s">
        <v>1234</v>
      </c>
      <c r="I268" s="426">
        <v>5.31</v>
      </c>
      <c r="J268" s="426">
        <v>180</v>
      </c>
      <c r="K268" s="427">
        <v>955.70999999999992</v>
      </c>
    </row>
    <row r="269" spans="1:11" ht="14.4" customHeight="1" x14ac:dyDescent="0.3">
      <c r="A269" s="422" t="s">
        <v>444</v>
      </c>
      <c r="B269" s="423" t="s">
        <v>445</v>
      </c>
      <c r="C269" s="424" t="s">
        <v>449</v>
      </c>
      <c r="D269" s="425" t="s">
        <v>705</v>
      </c>
      <c r="E269" s="424" t="s">
        <v>1926</v>
      </c>
      <c r="F269" s="425" t="s">
        <v>1927</v>
      </c>
      <c r="G269" s="424" t="s">
        <v>1235</v>
      </c>
      <c r="H269" s="424" t="s">
        <v>1236</v>
      </c>
      <c r="I269" s="426">
        <v>142.755</v>
      </c>
      <c r="J269" s="426">
        <v>6</v>
      </c>
      <c r="K269" s="427">
        <v>793.08</v>
      </c>
    </row>
    <row r="270" spans="1:11" ht="14.4" customHeight="1" x14ac:dyDescent="0.3">
      <c r="A270" s="422" t="s">
        <v>444</v>
      </c>
      <c r="B270" s="423" t="s">
        <v>445</v>
      </c>
      <c r="C270" s="424" t="s">
        <v>449</v>
      </c>
      <c r="D270" s="425" t="s">
        <v>705</v>
      </c>
      <c r="E270" s="424" t="s">
        <v>1926</v>
      </c>
      <c r="F270" s="425" t="s">
        <v>1927</v>
      </c>
      <c r="G270" s="424" t="s">
        <v>1237</v>
      </c>
      <c r="H270" s="424" t="s">
        <v>1238</v>
      </c>
      <c r="I270" s="426">
        <v>1681.01</v>
      </c>
      <c r="J270" s="426">
        <v>2</v>
      </c>
      <c r="K270" s="427">
        <v>3362.01</v>
      </c>
    </row>
    <row r="271" spans="1:11" ht="14.4" customHeight="1" x14ac:dyDescent="0.3">
      <c r="A271" s="422" t="s">
        <v>444</v>
      </c>
      <c r="B271" s="423" t="s">
        <v>445</v>
      </c>
      <c r="C271" s="424" t="s">
        <v>449</v>
      </c>
      <c r="D271" s="425" t="s">
        <v>705</v>
      </c>
      <c r="E271" s="424" t="s">
        <v>1926</v>
      </c>
      <c r="F271" s="425" t="s">
        <v>1927</v>
      </c>
      <c r="G271" s="424" t="s">
        <v>1239</v>
      </c>
      <c r="H271" s="424" t="s">
        <v>1240</v>
      </c>
      <c r="I271" s="426">
        <v>645.84</v>
      </c>
      <c r="J271" s="426">
        <v>7</v>
      </c>
      <c r="K271" s="427">
        <v>2214.3000000000002</v>
      </c>
    </row>
    <row r="272" spans="1:11" ht="14.4" customHeight="1" x14ac:dyDescent="0.3">
      <c r="A272" s="422" t="s">
        <v>444</v>
      </c>
      <c r="B272" s="423" t="s">
        <v>445</v>
      </c>
      <c r="C272" s="424" t="s">
        <v>449</v>
      </c>
      <c r="D272" s="425" t="s">
        <v>705</v>
      </c>
      <c r="E272" s="424" t="s">
        <v>1926</v>
      </c>
      <c r="F272" s="425" t="s">
        <v>1927</v>
      </c>
      <c r="G272" s="424" t="s">
        <v>1241</v>
      </c>
      <c r="H272" s="424" t="s">
        <v>1242</v>
      </c>
      <c r="I272" s="426">
        <v>59.29</v>
      </c>
      <c r="J272" s="426">
        <v>30</v>
      </c>
      <c r="K272" s="427">
        <v>1778.7</v>
      </c>
    </row>
    <row r="273" spans="1:11" ht="14.4" customHeight="1" x14ac:dyDescent="0.3">
      <c r="A273" s="422" t="s">
        <v>444</v>
      </c>
      <c r="B273" s="423" t="s">
        <v>445</v>
      </c>
      <c r="C273" s="424" t="s">
        <v>449</v>
      </c>
      <c r="D273" s="425" t="s">
        <v>705</v>
      </c>
      <c r="E273" s="424" t="s">
        <v>1926</v>
      </c>
      <c r="F273" s="425" t="s">
        <v>1927</v>
      </c>
      <c r="G273" s="424" t="s">
        <v>1243</v>
      </c>
      <c r="H273" s="424" t="s">
        <v>1244</v>
      </c>
      <c r="I273" s="426">
        <v>2.0166666666666671</v>
      </c>
      <c r="J273" s="426">
        <v>600</v>
      </c>
      <c r="K273" s="427">
        <v>1211.67</v>
      </c>
    </row>
    <row r="274" spans="1:11" ht="14.4" customHeight="1" x14ac:dyDescent="0.3">
      <c r="A274" s="422" t="s">
        <v>444</v>
      </c>
      <c r="B274" s="423" t="s">
        <v>445</v>
      </c>
      <c r="C274" s="424" t="s">
        <v>449</v>
      </c>
      <c r="D274" s="425" t="s">
        <v>705</v>
      </c>
      <c r="E274" s="424" t="s">
        <v>1926</v>
      </c>
      <c r="F274" s="425" t="s">
        <v>1927</v>
      </c>
      <c r="G274" s="424" t="s">
        <v>1245</v>
      </c>
      <c r="H274" s="424" t="s">
        <v>1246</v>
      </c>
      <c r="I274" s="426">
        <v>665</v>
      </c>
      <c r="J274" s="426">
        <v>2</v>
      </c>
      <c r="K274" s="427">
        <v>1330</v>
      </c>
    </row>
    <row r="275" spans="1:11" ht="14.4" customHeight="1" x14ac:dyDescent="0.3">
      <c r="A275" s="422" t="s">
        <v>444</v>
      </c>
      <c r="B275" s="423" t="s">
        <v>445</v>
      </c>
      <c r="C275" s="424" t="s">
        <v>449</v>
      </c>
      <c r="D275" s="425" t="s">
        <v>705</v>
      </c>
      <c r="E275" s="424" t="s">
        <v>1926</v>
      </c>
      <c r="F275" s="425" t="s">
        <v>1927</v>
      </c>
      <c r="G275" s="424" t="s">
        <v>1247</v>
      </c>
      <c r="H275" s="424" t="s">
        <v>1248</v>
      </c>
      <c r="I275" s="426">
        <v>61.105000000000004</v>
      </c>
      <c r="J275" s="426">
        <v>120</v>
      </c>
      <c r="K275" s="427">
        <v>7332.6</v>
      </c>
    </row>
    <row r="276" spans="1:11" ht="14.4" customHeight="1" x14ac:dyDescent="0.3">
      <c r="A276" s="422" t="s">
        <v>444</v>
      </c>
      <c r="B276" s="423" t="s">
        <v>445</v>
      </c>
      <c r="C276" s="424" t="s">
        <v>449</v>
      </c>
      <c r="D276" s="425" t="s">
        <v>705</v>
      </c>
      <c r="E276" s="424" t="s">
        <v>1926</v>
      </c>
      <c r="F276" s="425" t="s">
        <v>1927</v>
      </c>
      <c r="G276" s="424" t="s">
        <v>1249</v>
      </c>
      <c r="H276" s="424" t="s">
        <v>1250</v>
      </c>
      <c r="I276" s="426">
        <v>309.35000000000002</v>
      </c>
      <c r="J276" s="426">
        <v>6</v>
      </c>
      <c r="K276" s="427">
        <v>1856.1</v>
      </c>
    </row>
    <row r="277" spans="1:11" ht="14.4" customHeight="1" x14ac:dyDescent="0.3">
      <c r="A277" s="422" t="s">
        <v>444</v>
      </c>
      <c r="B277" s="423" t="s">
        <v>445</v>
      </c>
      <c r="C277" s="424" t="s">
        <v>449</v>
      </c>
      <c r="D277" s="425" t="s">
        <v>705</v>
      </c>
      <c r="E277" s="424" t="s">
        <v>1926</v>
      </c>
      <c r="F277" s="425" t="s">
        <v>1927</v>
      </c>
      <c r="G277" s="424" t="s">
        <v>1251</v>
      </c>
      <c r="H277" s="424" t="s">
        <v>1252</v>
      </c>
      <c r="I277" s="426">
        <v>1924</v>
      </c>
      <c r="J277" s="426">
        <v>1</v>
      </c>
      <c r="K277" s="427">
        <v>1924</v>
      </c>
    </row>
    <row r="278" spans="1:11" ht="14.4" customHeight="1" x14ac:dyDescent="0.3">
      <c r="A278" s="422" t="s">
        <v>444</v>
      </c>
      <c r="B278" s="423" t="s">
        <v>445</v>
      </c>
      <c r="C278" s="424" t="s">
        <v>449</v>
      </c>
      <c r="D278" s="425" t="s">
        <v>705</v>
      </c>
      <c r="E278" s="424" t="s">
        <v>1926</v>
      </c>
      <c r="F278" s="425" t="s">
        <v>1927</v>
      </c>
      <c r="G278" s="424" t="s">
        <v>1253</v>
      </c>
      <c r="H278" s="424" t="s">
        <v>1254</v>
      </c>
      <c r="I278" s="426">
        <v>665</v>
      </c>
      <c r="J278" s="426">
        <v>2</v>
      </c>
      <c r="K278" s="427">
        <v>1330</v>
      </c>
    </row>
    <row r="279" spans="1:11" ht="14.4" customHeight="1" x14ac:dyDescent="0.3">
      <c r="A279" s="422" t="s">
        <v>444</v>
      </c>
      <c r="B279" s="423" t="s">
        <v>445</v>
      </c>
      <c r="C279" s="424" t="s">
        <v>449</v>
      </c>
      <c r="D279" s="425" t="s">
        <v>705</v>
      </c>
      <c r="E279" s="424" t="s">
        <v>1926</v>
      </c>
      <c r="F279" s="425" t="s">
        <v>1927</v>
      </c>
      <c r="G279" s="424" t="s">
        <v>1253</v>
      </c>
      <c r="H279" s="424" t="s">
        <v>1255</v>
      </c>
      <c r="I279" s="426">
        <v>595.20000000000005</v>
      </c>
      <c r="J279" s="426">
        <v>1</v>
      </c>
      <c r="K279" s="427">
        <v>595.20000000000005</v>
      </c>
    </row>
    <row r="280" spans="1:11" ht="14.4" customHeight="1" x14ac:dyDescent="0.3">
      <c r="A280" s="422" t="s">
        <v>444</v>
      </c>
      <c r="B280" s="423" t="s">
        <v>445</v>
      </c>
      <c r="C280" s="424" t="s">
        <v>449</v>
      </c>
      <c r="D280" s="425" t="s">
        <v>705</v>
      </c>
      <c r="E280" s="424" t="s">
        <v>1926</v>
      </c>
      <c r="F280" s="425" t="s">
        <v>1927</v>
      </c>
      <c r="G280" s="424" t="s">
        <v>1256</v>
      </c>
      <c r="H280" s="424" t="s">
        <v>1257</v>
      </c>
      <c r="I280" s="426">
        <v>101.60499999999999</v>
      </c>
      <c r="J280" s="426">
        <v>15</v>
      </c>
      <c r="K280" s="427">
        <v>1524.0800000000002</v>
      </c>
    </row>
    <row r="281" spans="1:11" ht="14.4" customHeight="1" x14ac:dyDescent="0.3">
      <c r="A281" s="422" t="s">
        <v>444</v>
      </c>
      <c r="B281" s="423" t="s">
        <v>445</v>
      </c>
      <c r="C281" s="424" t="s">
        <v>449</v>
      </c>
      <c r="D281" s="425" t="s">
        <v>705</v>
      </c>
      <c r="E281" s="424" t="s">
        <v>1926</v>
      </c>
      <c r="F281" s="425" t="s">
        <v>1927</v>
      </c>
      <c r="G281" s="424" t="s">
        <v>1258</v>
      </c>
      <c r="H281" s="424" t="s">
        <v>1259</v>
      </c>
      <c r="I281" s="426">
        <v>274.85000000000002</v>
      </c>
      <c r="J281" s="426">
        <v>10</v>
      </c>
      <c r="K281" s="427">
        <v>2817.5</v>
      </c>
    </row>
    <row r="282" spans="1:11" ht="14.4" customHeight="1" x14ac:dyDescent="0.3">
      <c r="A282" s="422" t="s">
        <v>444</v>
      </c>
      <c r="B282" s="423" t="s">
        <v>445</v>
      </c>
      <c r="C282" s="424" t="s">
        <v>449</v>
      </c>
      <c r="D282" s="425" t="s">
        <v>705</v>
      </c>
      <c r="E282" s="424" t="s">
        <v>1926</v>
      </c>
      <c r="F282" s="425" t="s">
        <v>1927</v>
      </c>
      <c r="G282" s="424" t="s">
        <v>1260</v>
      </c>
      <c r="H282" s="424" t="s">
        <v>1261</v>
      </c>
      <c r="I282" s="426">
        <v>344.84999999999997</v>
      </c>
      <c r="J282" s="426">
        <v>5</v>
      </c>
      <c r="K282" s="427">
        <v>1736.35</v>
      </c>
    </row>
    <row r="283" spans="1:11" ht="14.4" customHeight="1" x14ac:dyDescent="0.3">
      <c r="A283" s="422" t="s">
        <v>444</v>
      </c>
      <c r="B283" s="423" t="s">
        <v>445</v>
      </c>
      <c r="C283" s="424" t="s">
        <v>449</v>
      </c>
      <c r="D283" s="425" t="s">
        <v>705</v>
      </c>
      <c r="E283" s="424" t="s">
        <v>1926</v>
      </c>
      <c r="F283" s="425" t="s">
        <v>1927</v>
      </c>
      <c r="G283" s="424" t="s">
        <v>1262</v>
      </c>
      <c r="H283" s="424" t="s">
        <v>1263</v>
      </c>
      <c r="I283" s="426">
        <v>1393.92</v>
      </c>
      <c r="J283" s="426">
        <v>6</v>
      </c>
      <c r="K283" s="427">
        <v>8363.52</v>
      </c>
    </row>
    <row r="284" spans="1:11" ht="14.4" customHeight="1" x14ac:dyDescent="0.3">
      <c r="A284" s="422" t="s">
        <v>444</v>
      </c>
      <c r="B284" s="423" t="s">
        <v>445</v>
      </c>
      <c r="C284" s="424" t="s">
        <v>449</v>
      </c>
      <c r="D284" s="425" t="s">
        <v>705</v>
      </c>
      <c r="E284" s="424" t="s">
        <v>1926</v>
      </c>
      <c r="F284" s="425" t="s">
        <v>1927</v>
      </c>
      <c r="G284" s="424" t="s">
        <v>1264</v>
      </c>
      <c r="H284" s="424" t="s">
        <v>1265</v>
      </c>
      <c r="I284" s="426">
        <v>893</v>
      </c>
      <c r="J284" s="426">
        <v>9</v>
      </c>
      <c r="K284" s="427">
        <v>8037</v>
      </c>
    </row>
    <row r="285" spans="1:11" ht="14.4" customHeight="1" x14ac:dyDescent="0.3">
      <c r="A285" s="422" t="s">
        <v>444</v>
      </c>
      <c r="B285" s="423" t="s">
        <v>445</v>
      </c>
      <c r="C285" s="424" t="s">
        <v>449</v>
      </c>
      <c r="D285" s="425" t="s">
        <v>705</v>
      </c>
      <c r="E285" s="424" t="s">
        <v>1926</v>
      </c>
      <c r="F285" s="425" t="s">
        <v>1927</v>
      </c>
      <c r="G285" s="424" t="s">
        <v>1266</v>
      </c>
      <c r="H285" s="424" t="s">
        <v>1267</v>
      </c>
      <c r="I285" s="426">
        <v>121.2</v>
      </c>
      <c r="J285" s="426">
        <v>10</v>
      </c>
      <c r="K285" s="427">
        <v>1211.99</v>
      </c>
    </row>
    <row r="286" spans="1:11" ht="14.4" customHeight="1" x14ac:dyDescent="0.3">
      <c r="A286" s="422" t="s">
        <v>444</v>
      </c>
      <c r="B286" s="423" t="s">
        <v>445</v>
      </c>
      <c r="C286" s="424" t="s">
        <v>449</v>
      </c>
      <c r="D286" s="425" t="s">
        <v>705</v>
      </c>
      <c r="E286" s="424" t="s">
        <v>1926</v>
      </c>
      <c r="F286" s="425" t="s">
        <v>1927</v>
      </c>
      <c r="G286" s="424" t="s">
        <v>1268</v>
      </c>
      <c r="H286" s="424" t="s">
        <v>1269</v>
      </c>
      <c r="I286" s="426">
        <v>6648.95</v>
      </c>
      <c r="J286" s="426">
        <v>1</v>
      </c>
      <c r="K286" s="427">
        <v>6648.95</v>
      </c>
    </row>
    <row r="287" spans="1:11" ht="14.4" customHeight="1" x14ac:dyDescent="0.3">
      <c r="A287" s="422" t="s">
        <v>444</v>
      </c>
      <c r="B287" s="423" t="s">
        <v>445</v>
      </c>
      <c r="C287" s="424" t="s">
        <v>449</v>
      </c>
      <c r="D287" s="425" t="s">
        <v>705</v>
      </c>
      <c r="E287" s="424" t="s">
        <v>1926</v>
      </c>
      <c r="F287" s="425" t="s">
        <v>1927</v>
      </c>
      <c r="G287" s="424" t="s">
        <v>1270</v>
      </c>
      <c r="H287" s="424" t="s">
        <v>1271</v>
      </c>
      <c r="I287" s="426">
        <v>685.5</v>
      </c>
      <c r="J287" s="426">
        <v>2</v>
      </c>
      <c r="K287" s="427">
        <v>1371</v>
      </c>
    </row>
    <row r="288" spans="1:11" ht="14.4" customHeight="1" x14ac:dyDescent="0.3">
      <c r="A288" s="422" t="s">
        <v>444</v>
      </c>
      <c r="B288" s="423" t="s">
        <v>445</v>
      </c>
      <c r="C288" s="424" t="s">
        <v>449</v>
      </c>
      <c r="D288" s="425" t="s">
        <v>705</v>
      </c>
      <c r="E288" s="424" t="s">
        <v>1926</v>
      </c>
      <c r="F288" s="425" t="s">
        <v>1927</v>
      </c>
      <c r="G288" s="424" t="s">
        <v>1270</v>
      </c>
      <c r="H288" s="424" t="s">
        <v>1272</v>
      </c>
      <c r="I288" s="426">
        <v>25.72</v>
      </c>
      <c r="J288" s="426">
        <v>50</v>
      </c>
      <c r="K288" s="427">
        <v>1286</v>
      </c>
    </row>
    <row r="289" spans="1:11" ht="14.4" customHeight="1" x14ac:dyDescent="0.3">
      <c r="A289" s="422" t="s">
        <v>444</v>
      </c>
      <c r="B289" s="423" t="s">
        <v>445</v>
      </c>
      <c r="C289" s="424" t="s">
        <v>449</v>
      </c>
      <c r="D289" s="425" t="s">
        <v>705</v>
      </c>
      <c r="E289" s="424" t="s">
        <v>1926</v>
      </c>
      <c r="F289" s="425" t="s">
        <v>1927</v>
      </c>
      <c r="G289" s="424" t="s">
        <v>1273</v>
      </c>
      <c r="H289" s="424" t="s">
        <v>1274</v>
      </c>
      <c r="I289" s="426">
        <v>1038.875</v>
      </c>
      <c r="J289" s="426">
        <v>4</v>
      </c>
      <c r="K289" s="427">
        <v>4185.75</v>
      </c>
    </row>
    <row r="290" spans="1:11" ht="14.4" customHeight="1" x14ac:dyDescent="0.3">
      <c r="A290" s="422" t="s">
        <v>444</v>
      </c>
      <c r="B290" s="423" t="s">
        <v>445</v>
      </c>
      <c r="C290" s="424" t="s">
        <v>449</v>
      </c>
      <c r="D290" s="425" t="s">
        <v>705</v>
      </c>
      <c r="E290" s="424" t="s">
        <v>1926</v>
      </c>
      <c r="F290" s="425" t="s">
        <v>1927</v>
      </c>
      <c r="G290" s="424" t="s">
        <v>1275</v>
      </c>
      <c r="H290" s="424" t="s">
        <v>1276</v>
      </c>
      <c r="I290" s="426">
        <v>1355.2</v>
      </c>
      <c r="J290" s="426">
        <v>2</v>
      </c>
      <c r="K290" s="427">
        <v>2710.4</v>
      </c>
    </row>
    <row r="291" spans="1:11" ht="14.4" customHeight="1" x14ac:dyDescent="0.3">
      <c r="A291" s="422" t="s">
        <v>444</v>
      </c>
      <c r="B291" s="423" t="s">
        <v>445</v>
      </c>
      <c r="C291" s="424" t="s">
        <v>449</v>
      </c>
      <c r="D291" s="425" t="s">
        <v>705</v>
      </c>
      <c r="E291" s="424" t="s">
        <v>1926</v>
      </c>
      <c r="F291" s="425" t="s">
        <v>1927</v>
      </c>
      <c r="G291" s="424" t="s">
        <v>1277</v>
      </c>
      <c r="H291" s="424" t="s">
        <v>1278</v>
      </c>
      <c r="I291" s="426">
        <v>3974.85</v>
      </c>
      <c r="J291" s="426">
        <v>1</v>
      </c>
      <c r="K291" s="427">
        <v>3974.85</v>
      </c>
    </row>
    <row r="292" spans="1:11" ht="14.4" customHeight="1" x14ac:dyDescent="0.3">
      <c r="A292" s="422" t="s">
        <v>444</v>
      </c>
      <c r="B292" s="423" t="s">
        <v>445</v>
      </c>
      <c r="C292" s="424" t="s">
        <v>449</v>
      </c>
      <c r="D292" s="425" t="s">
        <v>705</v>
      </c>
      <c r="E292" s="424" t="s">
        <v>1926</v>
      </c>
      <c r="F292" s="425" t="s">
        <v>1927</v>
      </c>
      <c r="G292" s="424" t="s">
        <v>1277</v>
      </c>
      <c r="H292" s="424" t="s">
        <v>1279</v>
      </c>
      <c r="I292" s="426">
        <v>3974.85</v>
      </c>
      <c r="J292" s="426">
        <v>1</v>
      </c>
      <c r="K292" s="427">
        <v>3974.85</v>
      </c>
    </row>
    <row r="293" spans="1:11" ht="14.4" customHeight="1" x14ac:dyDescent="0.3">
      <c r="A293" s="422" t="s">
        <v>444</v>
      </c>
      <c r="B293" s="423" t="s">
        <v>445</v>
      </c>
      <c r="C293" s="424" t="s">
        <v>449</v>
      </c>
      <c r="D293" s="425" t="s">
        <v>705</v>
      </c>
      <c r="E293" s="424" t="s">
        <v>1926</v>
      </c>
      <c r="F293" s="425" t="s">
        <v>1927</v>
      </c>
      <c r="G293" s="424" t="s">
        <v>1280</v>
      </c>
      <c r="H293" s="424" t="s">
        <v>1281</v>
      </c>
      <c r="I293" s="426">
        <v>121.2</v>
      </c>
      <c r="J293" s="426">
        <v>10</v>
      </c>
      <c r="K293" s="427">
        <v>1211.98</v>
      </c>
    </row>
    <row r="294" spans="1:11" ht="14.4" customHeight="1" x14ac:dyDescent="0.3">
      <c r="A294" s="422" t="s">
        <v>444</v>
      </c>
      <c r="B294" s="423" t="s">
        <v>445</v>
      </c>
      <c r="C294" s="424" t="s">
        <v>449</v>
      </c>
      <c r="D294" s="425" t="s">
        <v>705</v>
      </c>
      <c r="E294" s="424" t="s">
        <v>1926</v>
      </c>
      <c r="F294" s="425" t="s">
        <v>1927</v>
      </c>
      <c r="G294" s="424" t="s">
        <v>1282</v>
      </c>
      <c r="H294" s="424" t="s">
        <v>1283</v>
      </c>
      <c r="I294" s="426">
        <v>2916.1</v>
      </c>
      <c r="J294" s="426">
        <v>1</v>
      </c>
      <c r="K294" s="427">
        <v>2916.1</v>
      </c>
    </row>
    <row r="295" spans="1:11" ht="14.4" customHeight="1" x14ac:dyDescent="0.3">
      <c r="A295" s="422" t="s">
        <v>444</v>
      </c>
      <c r="B295" s="423" t="s">
        <v>445</v>
      </c>
      <c r="C295" s="424" t="s">
        <v>449</v>
      </c>
      <c r="D295" s="425" t="s">
        <v>705</v>
      </c>
      <c r="E295" s="424" t="s">
        <v>1926</v>
      </c>
      <c r="F295" s="425" t="s">
        <v>1927</v>
      </c>
      <c r="G295" s="424" t="s">
        <v>1284</v>
      </c>
      <c r="H295" s="424" t="s">
        <v>1285</v>
      </c>
      <c r="I295" s="426">
        <v>610</v>
      </c>
      <c r="J295" s="426">
        <v>2</v>
      </c>
      <c r="K295" s="427">
        <v>1220.01</v>
      </c>
    </row>
    <row r="296" spans="1:11" ht="14.4" customHeight="1" x14ac:dyDescent="0.3">
      <c r="A296" s="422" t="s">
        <v>444</v>
      </c>
      <c r="B296" s="423" t="s">
        <v>445</v>
      </c>
      <c r="C296" s="424" t="s">
        <v>449</v>
      </c>
      <c r="D296" s="425" t="s">
        <v>705</v>
      </c>
      <c r="E296" s="424" t="s">
        <v>1926</v>
      </c>
      <c r="F296" s="425" t="s">
        <v>1927</v>
      </c>
      <c r="G296" s="424" t="s">
        <v>1286</v>
      </c>
      <c r="H296" s="424" t="s">
        <v>1287</v>
      </c>
      <c r="I296" s="426">
        <v>682.44</v>
      </c>
      <c r="J296" s="426">
        <v>2</v>
      </c>
      <c r="K296" s="427">
        <v>1364.88</v>
      </c>
    </row>
    <row r="297" spans="1:11" ht="14.4" customHeight="1" x14ac:dyDescent="0.3">
      <c r="A297" s="422" t="s">
        <v>444</v>
      </c>
      <c r="B297" s="423" t="s">
        <v>445</v>
      </c>
      <c r="C297" s="424" t="s">
        <v>449</v>
      </c>
      <c r="D297" s="425" t="s">
        <v>705</v>
      </c>
      <c r="E297" s="424" t="s">
        <v>1926</v>
      </c>
      <c r="F297" s="425" t="s">
        <v>1927</v>
      </c>
      <c r="G297" s="424" t="s">
        <v>1288</v>
      </c>
      <c r="H297" s="424" t="s">
        <v>1289</v>
      </c>
      <c r="I297" s="426">
        <v>196.72666666666669</v>
      </c>
      <c r="J297" s="426">
        <v>26</v>
      </c>
      <c r="K297" s="427">
        <v>5267.13</v>
      </c>
    </row>
    <row r="298" spans="1:11" ht="14.4" customHeight="1" x14ac:dyDescent="0.3">
      <c r="A298" s="422" t="s">
        <v>444</v>
      </c>
      <c r="B298" s="423" t="s">
        <v>445</v>
      </c>
      <c r="C298" s="424" t="s">
        <v>449</v>
      </c>
      <c r="D298" s="425" t="s">
        <v>705</v>
      </c>
      <c r="E298" s="424" t="s">
        <v>1926</v>
      </c>
      <c r="F298" s="425" t="s">
        <v>1927</v>
      </c>
      <c r="G298" s="424" t="s">
        <v>1290</v>
      </c>
      <c r="H298" s="424" t="s">
        <v>1291</v>
      </c>
      <c r="I298" s="426">
        <v>35.760000000000005</v>
      </c>
      <c r="J298" s="426">
        <v>6</v>
      </c>
      <c r="K298" s="427">
        <v>214.56</v>
      </c>
    </row>
    <row r="299" spans="1:11" ht="14.4" customHeight="1" x14ac:dyDescent="0.3">
      <c r="A299" s="422" t="s">
        <v>444</v>
      </c>
      <c r="B299" s="423" t="s">
        <v>445</v>
      </c>
      <c r="C299" s="424" t="s">
        <v>449</v>
      </c>
      <c r="D299" s="425" t="s">
        <v>705</v>
      </c>
      <c r="E299" s="424" t="s">
        <v>1926</v>
      </c>
      <c r="F299" s="425" t="s">
        <v>1927</v>
      </c>
      <c r="G299" s="424" t="s">
        <v>1292</v>
      </c>
      <c r="H299" s="424" t="s">
        <v>1293</v>
      </c>
      <c r="I299" s="426">
        <v>533</v>
      </c>
      <c r="J299" s="426">
        <v>1</v>
      </c>
      <c r="K299" s="427">
        <v>533</v>
      </c>
    </row>
    <row r="300" spans="1:11" ht="14.4" customHeight="1" x14ac:dyDescent="0.3">
      <c r="A300" s="422" t="s">
        <v>444</v>
      </c>
      <c r="B300" s="423" t="s">
        <v>445</v>
      </c>
      <c r="C300" s="424" t="s">
        <v>449</v>
      </c>
      <c r="D300" s="425" t="s">
        <v>705</v>
      </c>
      <c r="E300" s="424" t="s">
        <v>1926</v>
      </c>
      <c r="F300" s="425" t="s">
        <v>1927</v>
      </c>
      <c r="G300" s="424" t="s">
        <v>1294</v>
      </c>
      <c r="H300" s="424" t="s">
        <v>1295</v>
      </c>
      <c r="I300" s="426">
        <v>86.15</v>
      </c>
      <c r="J300" s="426">
        <v>140</v>
      </c>
      <c r="K300" s="427">
        <v>12061.28</v>
      </c>
    </row>
    <row r="301" spans="1:11" ht="14.4" customHeight="1" x14ac:dyDescent="0.3">
      <c r="A301" s="422" t="s">
        <v>444</v>
      </c>
      <c r="B301" s="423" t="s">
        <v>445</v>
      </c>
      <c r="C301" s="424" t="s">
        <v>449</v>
      </c>
      <c r="D301" s="425" t="s">
        <v>705</v>
      </c>
      <c r="E301" s="424" t="s">
        <v>1926</v>
      </c>
      <c r="F301" s="425" t="s">
        <v>1927</v>
      </c>
      <c r="G301" s="424" t="s">
        <v>1296</v>
      </c>
      <c r="H301" s="424" t="s">
        <v>1297</v>
      </c>
      <c r="I301" s="426">
        <v>86.15</v>
      </c>
      <c r="J301" s="426">
        <v>70</v>
      </c>
      <c r="K301" s="427">
        <v>6030.64</v>
      </c>
    </row>
    <row r="302" spans="1:11" ht="14.4" customHeight="1" x14ac:dyDescent="0.3">
      <c r="A302" s="422" t="s">
        <v>444</v>
      </c>
      <c r="B302" s="423" t="s">
        <v>445</v>
      </c>
      <c r="C302" s="424" t="s">
        <v>449</v>
      </c>
      <c r="D302" s="425" t="s">
        <v>705</v>
      </c>
      <c r="E302" s="424" t="s">
        <v>1926</v>
      </c>
      <c r="F302" s="425" t="s">
        <v>1927</v>
      </c>
      <c r="G302" s="424" t="s">
        <v>1298</v>
      </c>
      <c r="H302" s="424" t="s">
        <v>1299</v>
      </c>
      <c r="I302" s="426">
        <v>1012</v>
      </c>
      <c r="J302" s="426">
        <v>9</v>
      </c>
      <c r="K302" s="427">
        <v>9108</v>
      </c>
    </row>
    <row r="303" spans="1:11" ht="14.4" customHeight="1" x14ac:dyDescent="0.3">
      <c r="A303" s="422" t="s">
        <v>444</v>
      </c>
      <c r="B303" s="423" t="s">
        <v>445</v>
      </c>
      <c r="C303" s="424" t="s">
        <v>449</v>
      </c>
      <c r="D303" s="425" t="s">
        <v>705</v>
      </c>
      <c r="E303" s="424" t="s">
        <v>1926</v>
      </c>
      <c r="F303" s="425" t="s">
        <v>1927</v>
      </c>
      <c r="G303" s="424" t="s">
        <v>1300</v>
      </c>
      <c r="H303" s="424" t="s">
        <v>1301</v>
      </c>
      <c r="I303" s="426">
        <v>562.65</v>
      </c>
      <c r="J303" s="426">
        <v>5</v>
      </c>
      <c r="K303" s="427">
        <v>2813.25</v>
      </c>
    </row>
    <row r="304" spans="1:11" ht="14.4" customHeight="1" x14ac:dyDescent="0.3">
      <c r="A304" s="422" t="s">
        <v>444</v>
      </c>
      <c r="B304" s="423" t="s">
        <v>445</v>
      </c>
      <c r="C304" s="424" t="s">
        <v>449</v>
      </c>
      <c r="D304" s="425" t="s">
        <v>705</v>
      </c>
      <c r="E304" s="424" t="s">
        <v>1926</v>
      </c>
      <c r="F304" s="425" t="s">
        <v>1927</v>
      </c>
      <c r="G304" s="424" t="s">
        <v>1302</v>
      </c>
      <c r="H304" s="424" t="s">
        <v>1303</v>
      </c>
      <c r="I304" s="426">
        <v>422.29</v>
      </c>
      <c r="J304" s="426">
        <v>10</v>
      </c>
      <c r="K304" s="427">
        <v>4222.8999999999996</v>
      </c>
    </row>
    <row r="305" spans="1:11" ht="14.4" customHeight="1" x14ac:dyDescent="0.3">
      <c r="A305" s="422" t="s">
        <v>444</v>
      </c>
      <c r="B305" s="423" t="s">
        <v>445</v>
      </c>
      <c r="C305" s="424" t="s">
        <v>449</v>
      </c>
      <c r="D305" s="425" t="s">
        <v>705</v>
      </c>
      <c r="E305" s="424" t="s">
        <v>1926</v>
      </c>
      <c r="F305" s="425" t="s">
        <v>1927</v>
      </c>
      <c r="G305" s="424" t="s">
        <v>1304</v>
      </c>
      <c r="H305" s="424" t="s">
        <v>1305</v>
      </c>
      <c r="I305" s="426">
        <v>1731.5</v>
      </c>
      <c r="J305" s="426">
        <v>3</v>
      </c>
      <c r="K305" s="427">
        <v>5335</v>
      </c>
    </row>
    <row r="306" spans="1:11" ht="14.4" customHeight="1" x14ac:dyDescent="0.3">
      <c r="A306" s="422" t="s">
        <v>444</v>
      </c>
      <c r="B306" s="423" t="s">
        <v>445</v>
      </c>
      <c r="C306" s="424" t="s">
        <v>449</v>
      </c>
      <c r="D306" s="425" t="s">
        <v>705</v>
      </c>
      <c r="E306" s="424" t="s">
        <v>1926</v>
      </c>
      <c r="F306" s="425" t="s">
        <v>1927</v>
      </c>
      <c r="G306" s="424" t="s">
        <v>1306</v>
      </c>
      <c r="H306" s="424" t="s">
        <v>1307</v>
      </c>
      <c r="I306" s="426">
        <v>548.4</v>
      </c>
      <c r="J306" s="426">
        <v>12</v>
      </c>
      <c r="K306" s="427">
        <v>6580.7999999999993</v>
      </c>
    </row>
    <row r="307" spans="1:11" ht="14.4" customHeight="1" x14ac:dyDescent="0.3">
      <c r="A307" s="422" t="s">
        <v>444</v>
      </c>
      <c r="B307" s="423" t="s">
        <v>445</v>
      </c>
      <c r="C307" s="424" t="s">
        <v>449</v>
      </c>
      <c r="D307" s="425" t="s">
        <v>705</v>
      </c>
      <c r="E307" s="424" t="s">
        <v>1926</v>
      </c>
      <c r="F307" s="425" t="s">
        <v>1927</v>
      </c>
      <c r="G307" s="424" t="s">
        <v>1308</v>
      </c>
      <c r="H307" s="424" t="s">
        <v>1309</v>
      </c>
      <c r="I307" s="426">
        <v>3943.35</v>
      </c>
      <c r="J307" s="426">
        <v>1</v>
      </c>
      <c r="K307" s="427">
        <v>3943.35</v>
      </c>
    </row>
    <row r="308" spans="1:11" ht="14.4" customHeight="1" x14ac:dyDescent="0.3">
      <c r="A308" s="422" t="s">
        <v>444</v>
      </c>
      <c r="B308" s="423" t="s">
        <v>445</v>
      </c>
      <c r="C308" s="424" t="s">
        <v>449</v>
      </c>
      <c r="D308" s="425" t="s">
        <v>705</v>
      </c>
      <c r="E308" s="424" t="s">
        <v>1926</v>
      </c>
      <c r="F308" s="425" t="s">
        <v>1927</v>
      </c>
      <c r="G308" s="424" t="s">
        <v>1310</v>
      </c>
      <c r="H308" s="424" t="s">
        <v>1311</v>
      </c>
      <c r="I308" s="426">
        <v>2928.2</v>
      </c>
      <c r="J308" s="426">
        <v>1</v>
      </c>
      <c r="K308" s="427">
        <v>2928.2</v>
      </c>
    </row>
    <row r="309" spans="1:11" ht="14.4" customHeight="1" x14ac:dyDescent="0.3">
      <c r="A309" s="422" t="s">
        <v>444</v>
      </c>
      <c r="B309" s="423" t="s">
        <v>445</v>
      </c>
      <c r="C309" s="424" t="s">
        <v>449</v>
      </c>
      <c r="D309" s="425" t="s">
        <v>705</v>
      </c>
      <c r="E309" s="424" t="s">
        <v>1926</v>
      </c>
      <c r="F309" s="425" t="s">
        <v>1927</v>
      </c>
      <c r="G309" s="424" t="s">
        <v>1312</v>
      </c>
      <c r="H309" s="424" t="s">
        <v>1313</v>
      </c>
      <c r="I309" s="426">
        <v>213.81000000000003</v>
      </c>
      <c r="J309" s="426">
        <v>9</v>
      </c>
      <c r="K309" s="427">
        <v>1924.2600000000002</v>
      </c>
    </row>
    <row r="310" spans="1:11" ht="14.4" customHeight="1" x14ac:dyDescent="0.3">
      <c r="A310" s="422" t="s">
        <v>444</v>
      </c>
      <c r="B310" s="423" t="s">
        <v>445</v>
      </c>
      <c r="C310" s="424" t="s">
        <v>449</v>
      </c>
      <c r="D310" s="425" t="s">
        <v>705</v>
      </c>
      <c r="E310" s="424" t="s">
        <v>1926</v>
      </c>
      <c r="F310" s="425" t="s">
        <v>1927</v>
      </c>
      <c r="G310" s="424" t="s">
        <v>1314</v>
      </c>
      <c r="H310" s="424" t="s">
        <v>1315</v>
      </c>
      <c r="I310" s="426">
        <v>617.1</v>
      </c>
      <c r="J310" s="426">
        <v>4</v>
      </c>
      <c r="K310" s="427">
        <v>2468.4</v>
      </c>
    </row>
    <row r="311" spans="1:11" ht="14.4" customHeight="1" x14ac:dyDescent="0.3">
      <c r="A311" s="422" t="s">
        <v>444</v>
      </c>
      <c r="B311" s="423" t="s">
        <v>445</v>
      </c>
      <c r="C311" s="424" t="s">
        <v>449</v>
      </c>
      <c r="D311" s="425" t="s">
        <v>705</v>
      </c>
      <c r="E311" s="424" t="s">
        <v>1926</v>
      </c>
      <c r="F311" s="425" t="s">
        <v>1927</v>
      </c>
      <c r="G311" s="424" t="s">
        <v>1316</v>
      </c>
      <c r="H311" s="424" t="s">
        <v>1317</v>
      </c>
      <c r="I311" s="426">
        <v>1271</v>
      </c>
      <c r="J311" s="426">
        <v>1</v>
      </c>
      <c r="K311" s="427">
        <v>1271</v>
      </c>
    </row>
    <row r="312" spans="1:11" ht="14.4" customHeight="1" x14ac:dyDescent="0.3">
      <c r="A312" s="422" t="s">
        <v>444</v>
      </c>
      <c r="B312" s="423" t="s">
        <v>445</v>
      </c>
      <c r="C312" s="424" t="s">
        <v>449</v>
      </c>
      <c r="D312" s="425" t="s">
        <v>705</v>
      </c>
      <c r="E312" s="424" t="s">
        <v>1926</v>
      </c>
      <c r="F312" s="425" t="s">
        <v>1927</v>
      </c>
      <c r="G312" s="424" t="s">
        <v>1318</v>
      </c>
      <c r="H312" s="424" t="s">
        <v>1319</v>
      </c>
      <c r="I312" s="426">
        <v>59.29</v>
      </c>
      <c r="J312" s="426">
        <v>30</v>
      </c>
      <c r="K312" s="427">
        <v>1778.7</v>
      </c>
    </row>
    <row r="313" spans="1:11" ht="14.4" customHeight="1" x14ac:dyDescent="0.3">
      <c r="A313" s="422" t="s">
        <v>444</v>
      </c>
      <c r="B313" s="423" t="s">
        <v>445</v>
      </c>
      <c r="C313" s="424" t="s">
        <v>449</v>
      </c>
      <c r="D313" s="425" t="s">
        <v>705</v>
      </c>
      <c r="E313" s="424" t="s">
        <v>1926</v>
      </c>
      <c r="F313" s="425" t="s">
        <v>1927</v>
      </c>
      <c r="G313" s="424" t="s">
        <v>1318</v>
      </c>
      <c r="H313" s="424" t="s">
        <v>1320</v>
      </c>
      <c r="I313" s="426">
        <v>61.105000000000004</v>
      </c>
      <c r="J313" s="426">
        <v>90</v>
      </c>
      <c r="K313" s="427">
        <v>5553.9</v>
      </c>
    </row>
    <row r="314" spans="1:11" ht="14.4" customHeight="1" x14ac:dyDescent="0.3">
      <c r="A314" s="422" t="s">
        <v>444</v>
      </c>
      <c r="B314" s="423" t="s">
        <v>445</v>
      </c>
      <c r="C314" s="424" t="s">
        <v>449</v>
      </c>
      <c r="D314" s="425" t="s">
        <v>705</v>
      </c>
      <c r="E314" s="424" t="s">
        <v>1926</v>
      </c>
      <c r="F314" s="425" t="s">
        <v>1927</v>
      </c>
      <c r="G314" s="424" t="s">
        <v>1321</v>
      </c>
      <c r="H314" s="424" t="s">
        <v>1322</v>
      </c>
      <c r="I314" s="426">
        <v>849.37</v>
      </c>
      <c r="J314" s="426">
        <v>2</v>
      </c>
      <c r="K314" s="427">
        <v>1698.73</v>
      </c>
    </row>
    <row r="315" spans="1:11" ht="14.4" customHeight="1" x14ac:dyDescent="0.3">
      <c r="A315" s="422" t="s">
        <v>444</v>
      </c>
      <c r="B315" s="423" t="s">
        <v>445</v>
      </c>
      <c r="C315" s="424" t="s">
        <v>449</v>
      </c>
      <c r="D315" s="425" t="s">
        <v>705</v>
      </c>
      <c r="E315" s="424" t="s">
        <v>1926</v>
      </c>
      <c r="F315" s="425" t="s">
        <v>1927</v>
      </c>
      <c r="G315" s="424" t="s">
        <v>1323</v>
      </c>
      <c r="H315" s="424" t="s">
        <v>1324</v>
      </c>
      <c r="I315" s="426">
        <v>3811.5</v>
      </c>
      <c r="J315" s="426">
        <v>1</v>
      </c>
      <c r="K315" s="427">
        <v>3811.5</v>
      </c>
    </row>
    <row r="316" spans="1:11" ht="14.4" customHeight="1" x14ac:dyDescent="0.3">
      <c r="A316" s="422" t="s">
        <v>444</v>
      </c>
      <c r="B316" s="423" t="s">
        <v>445</v>
      </c>
      <c r="C316" s="424" t="s">
        <v>449</v>
      </c>
      <c r="D316" s="425" t="s">
        <v>705</v>
      </c>
      <c r="E316" s="424" t="s">
        <v>1926</v>
      </c>
      <c r="F316" s="425" t="s">
        <v>1927</v>
      </c>
      <c r="G316" s="424" t="s">
        <v>1325</v>
      </c>
      <c r="H316" s="424" t="s">
        <v>1326</v>
      </c>
      <c r="I316" s="426">
        <v>6785</v>
      </c>
      <c r="J316" s="426">
        <v>3</v>
      </c>
      <c r="K316" s="427">
        <v>20355</v>
      </c>
    </row>
    <row r="317" spans="1:11" ht="14.4" customHeight="1" x14ac:dyDescent="0.3">
      <c r="A317" s="422" t="s">
        <v>444</v>
      </c>
      <c r="B317" s="423" t="s">
        <v>445</v>
      </c>
      <c r="C317" s="424" t="s">
        <v>449</v>
      </c>
      <c r="D317" s="425" t="s">
        <v>705</v>
      </c>
      <c r="E317" s="424" t="s">
        <v>1926</v>
      </c>
      <c r="F317" s="425" t="s">
        <v>1927</v>
      </c>
      <c r="G317" s="424" t="s">
        <v>1327</v>
      </c>
      <c r="H317" s="424" t="s">
        <v>1328</v>
      </c>
      <c r="I317" s="426">
        <v>3156.7833333333333</v>
      </c>
      <c r="J317" s="426">
        <v>4</v>
      </c>
      <c r="K317" s="427">
        <v>12627.099999999999</v>
      </c>
    </row>
    <row r="318" spans="1:11" ht="14.4" customHeight="1" x14ac:dyDescent="0.3">
      <c r="A318" s="422" t="s">
        <v>444</v>
      </c>
      <c r="B318" s="423" t="s">
        <v>445</v>
      </c>
      <c r="C318" s="424" t="s">
        <v>449</v>
      </c>
      <c r="D318" s="425" t="s">
        <v>705</v>
      </c>
      <c r="E318" s="424" t="s">
        <v>1926</v>
      </c>
      <c r="F318" s="425" t="s">
        <v>1927</v>
      </c>
      <c r="G318" s="424" t="s">
        <v>1329</v>
      </c>
      <c r="H318" s="424" t="s">
        <v>1330</v>
      </c>
      <c r="I318" s="426">
        <v>71.39</v>
      </c>
      <c r="J318" s="426">
        <v>30</v>
      </c>
      <c r="K318" s="427">
        <v>2141.6999999999998</v>
      </c>
    </row>
    <row r="319" spans="1:11" ht="14.4" customHeight="1" x14ac:dyDescent="0.3">
      <c r="A319" s="422" t="s">
        <v>444</v>
      </c>
      <c r="B319" s="423" t="s">
        <v>445</v>
      </c>
      <c r="C319" s="424" t="s">
        <v>449</v>
      </c>
      <c r="D319" s="425" t="s">
        <v>705</v>
      </c>
      <c r="E319" s="424" t="s">
        <v>1926</v>
      </c>
      <c r="F319" s="425" t="s">
        <v>1927</v>
      </c>
      <c r="G319" s="424" t="s">
        <v>1329</v>
      </c>
      <c r="H319" s="424" t="s">
        <v>1331</v>
      </c>
      <c r="I319" s="426">
        <v>73.81</v>
      </c>
      <c r="J319" s="426">
        <v>60</v>
      </c>
      <c r="K319" s="427">
        <v>4428.6000000000004</v>
      </c>
    </row>
    <row r="320" spans="1:11" ht="14.4" customHeight="1" x14ac:dyDescent="0.3">
      <c r="A320" s="422" t="s">
        <v>444</v>
      </c>
      <c r="B320" s="423" t="s">
        <v>445</v>
      </c>
      <c r="C320" s="424" t="s">
        <v>449</v>
      </c>
      <c r="D320" s="425" t="s">
        <v>705</v>
      </c>
      <c r="E320" s="424" t="s">
        <v>1926</v>
      </c>
      <c r="F320" s="425" t="s">
        <v>1927</v>
      </c>
      <c r="G320" s="424" t="s">
        <v>1332</v>
      </c>
      <c r="H320" s="424" t="s">
        <v>1333</v>
      </c>
      <c r="I320" s="426">
        <v>6785</v>
      </c>
      <c r="J320" s="426">
        <v>1</v>
      </c>
      <c r="K320" s="427">
        <v>6785</v>
      </c>
    </row>
    <row r="321" spans="1:11" ht="14.4" customHeight="1" x14ac:dyDescent="0.3">
      <c r="A321" s="422" t="s">
        <v>444</v>
      </c>
      <c r="B321" s="423" t="s">
        <v>445</v>
      </c>
      <c r="C321" s="424" t="s">
        <v>449</v>
      </c>
      <c r="D321" s="425" t="s">
        <v>705</v>
      </c>
      <c r="E321" s="424" t="s">
        <v>1926</v>
      </c>
      <c r="F321" s="425" t="s">
        <v>1927</v>
      </c>
      <c r="G321" s="424" t="s">
        <v>1334</v>
      </c>
      <c r="H321" s="424" t="s">
        <v>1335</v>
      </c>
      <c r="I321" s="426">
        <v>689.65</v>
      </c>
      <c r="J321" s="426">
        <v>1</v>
      </c>
      <c r="K321" s="427">
        <v>689.65</v>
      </c>
    </row>
    <row r="322" spans="1:11" ht="14.4" customHeight="1" x14ac:dyDescent="0.3">
      <c r="A322" s="422" t="s">
        <v>444</v>
      </c>
      <c r="B322" s="423" t="s">
        <v>445</v>
      </c>
      <c r="C322" s="424" t="s">
        <v>449</v>
      </c>
      <c r="D322" s="425" t="s">
        <v>705</v>
      </c>
      <c r="E322" s="424" t="s">
        <v>1926</v>
      </c>
      <c r="F322" s="425" t="s">
        <v>1927</v>
      </c>
      <c r="G322" s="424" t="s">
        <v>1336</v>
      </c>
      <c r="H322" s="424" t="s">
        <v>1337</v>
      </c>
      <c r="I322" s="426">
        <v>157.47999999999999</v>
      </c>
      <c r="J322" s="426">
        <v>1</v>
      </c>
      <c r="K322" s="427">
        <v>157.47999999999999</v>
      </c>
    </row>
    <row r="323" spans="1:11" ht="14.4" customHeight="1" x14ac:dyDescent="0.3">
      <c r="A323" s="422" t="s">
        <v>444</v>
      </c>
      <c r="B323" s="423" t="s">
        <v>445</v>
      </c>
      <c r="C323" s="424" t="s">
        <v>449</v>
      </c>
      <c r="D323" s="425" t="s">
        <v>705</v>
      </c>
      <c r="E323" s="424" t="s">
        <v>1926</v>
      </c>
      <c r="F323" s="425" t="s">
        <v>1927</v>
      </c>
      <c r="G323" s="424" t="s">
        <v>1336</v>
      </c>
      <c r="H323" s="424" t="s">
        <v>1338</v>
      </c>
      <c r="I323" s="426">
        <v>152.30799999999999</v>
      </c>
      <c r="J323" s="426">
        <v>11</v>
      </c>
      <c r="K323" s="427">
        <v>1680.5600000000002</v>
      </c>
    </row>
    <row r="324" spans="1:11" ht="14.4" customHeight="1" x14ac:dyDescent="0.3">
      <c r="A324" s="422" t="s">
        <v>444</v>
      </c>
      <c r="B324" s="423" t="s">
        <v>445</v>
      </c>
      <c r="C324" s="424" t="s">
        <v>449</v>
      </c>
      <c r="D324" s="425" t="s">
        <v>705</v>
      </c>
      <c r="E324" s="424" t="s">
        <v>1926</v>
      </c>
      <c r="F324" s="425" t="s">
        <v>1927</v>
      </c>
      <c r="G324" s="424" t="s">
        <v>1339</v>
      </c>
      <c r="H324" s="424" t="s">
        <v>1340</v>
      </c>
      <c r="I324" s="426">
        <v>70.11</v>
      </c>
      <c r="J324" s="426">
        <v>3</v>
      </c>
      <c r="K324" s="427">
        <v>210.33</v>
      </c>
    </row>
    <row r="325" spans="1:11" ht="14.4" customHeight="1" x14ac:dyDescent="0.3">
      <c r="A325" s="422" t="s">
        <v>444</v>
      </c>
      <c r="B325" s="423" t="s">
        <v>445</v>
      </c>
      <c r="C325" s="424" t="s">
        <v>449</v>
      </c>
      <c r="D325" s="425" t="s">
        <v>705</v>
      </c>
      <c r="E325" s="424" t="s">
        <v>1926</v>
      </c>
      <c r="F325" s="425" t="s">
        <v>1927</v>
      </c>
      <c r="G325" s="424" t="s">
        <v>1341</v>
      </c>
      <c r="H325" s="424" t="s">
        <v>1342</v>
      </c>
      <c r="I325" s="426">
        <v>1443.25</v>
      </c>
      <c r="J325" s="426">
        <v>4</v>
      </c>
      <c r="K325" s="427">
        <v>5773</v>
      </c>
    </row>
    <row r="326" spans="1:11" ht="14.4" customHeight="1" x14ac:dyDescent="0.3">
      <c r="A326" s="422" t="s">
        <v>444</v>
      </c>
      <c r="B326" s="423" t="s">
        <v>445</v>
      </c>
      <c r="C326" s="424" t="s">
        <v>449</v>
      </c>
      <c r="D326" s="425" t="s">
        <v>705</v>
      </c>
      <c r="E326" s="424" t="s">
        <v>1926</v>
      </c>
      <c r="F326" s="425" t="s">
        <v>1927</v>
      </c>
      <c r="G326" s="424" t="s">
        <v>1343</v>
      </c>
      <c r="H326" s="424" t="s">
        <v>1344</v>
      </c>
      <c r="I326" s="426">
        <v>516.01</v>
      </c>
      <c r="J326" s="426">
        <v>3</v>
      </c>
      <c r="K326" s="427">
        <v>1548.03</v>
      </c>
    </row>
    <row r="327" spans="1:11" ht="14.4" customHeight="1" x14ac:dyDescent="0.3">
      <c r="A327" s="422" t="s">
        <v>444</v>
      </c>
      <c r="B327" s="423" t="s">
        <v>445</v>
      </c>
      <c r="C327" s="424" t="s">
        <v>449</v>
      </c>
      <c r="D327" s="425" t="s">
        <v>705</v>
      </c>
      <c r="E327" s="424" t="s">
        <v>1926</v>
      </c>
      <c r="F327" s="425" t="s">
        <v>1927</v>
      </c>
      <c r="G327" s="424" t="s">
        <v>1345</v>
      </c>
      <c r="H327" s="424" t="s">
        <v>1346</v>
      </c>
      <c r="I327" s="426">
        <v>390.83</v>
      </c>
      <c r="J327" s="426">
        <v>4</v>
      </c>
      <c r="K327" s="427">
        <v>1563.32</v>
      </c>
    </row>
    <row r="328" spans="1:11" ht="14.4" customHeight="1" x14ac:dyDescent="0.3">
      <c r="A328" s="422" t="s">
        <v>444</v>
      </c>
      <c r="B328" s="423" t="s">
        <v>445</v>
      </c>
      <c r="C328" s="424" t="s">
        <v>449</v>
      </c>
      <c r="D328" s="425" t="s">
        <v>705</v>
      </c>
      <c r="E328" s="424" t="s">
        <v>1926</v>
      </c>
      <c r="F328" s="425" t="s">
        <v>1927</v>
      </c>
      <c r="G328" s="424" t="s">
        <v>1347</v>
      </c>
      <c r="H328" s="424" t="s">
        <v>1348</v>
      </c>
      <c r="I328" s="426">
        <v>141.55000000000001</v>
      </c>
      <c r="J328" s="426">
        <v>40</v>
      </c>
      <c r="K328" s="427">
        <v>5662.16</v>
      </c>
    </row>
    <row r="329" spans="1:11" ht="14.4" customHeight="1" x14ac:dyDescent="0.3">
      <c r="A329" s="422" t="s">
        <v>444</v>
      </c>
      <c r="B329" s="423" t="s">
        <v>445</v>
      </c>
      <c r="C329" s="424" t="s">
        <v>449</v>
      </c>
      <c r="D329" s="425" t="s">
        <v>705</v>
      </c>
      <c r="E329" s="424" t="s">
        <v>1926</v>
      </c>
      <c r="F329" s="425" t="s">
        <v>1927</v>
      </c>
      <c r="G329" s="424" t="s">
        <v>1349</v>
      </c>
      <c r="H329" s="424" t="s">
        <v>1350</v>
      </c>
      <c r="I329" s="426">
        <v>2336.8125</v>
      </c>
      <c r="J329" s="426">
        <v>8</v>
      </c>
      <c r="K329" s="427">
        <v>11597.849999999999</v>
      </c>
    </row>
    <row r="330" spans="1:11" ht="14.4" customHeight="1" x14ac:dyDescent="0.3">
      <c r="A330" s="422" t="s">
        <v>444</v>
      </c>
      <c r="B330" s="423" t="s">
        <v>445</v>
      </c>
      <c r="C330" s="424" t="s">
        <v>449</v>
      </c>
      <c r="D330" s="425" t="s">
        <v>705</v>
      </c>
      <c r="E330" s="424" t="s">
        <v>1926</v>
      </c>
      <c r="F330" s="425" t="s">
        <v>1927</v>
      </c>
      <c r="G330" s="424" t="s">
        <v>1351</v>
      </c>
      <c r="H330" s="424" t="s">
        <v>1352</v>
      </c>
      <c r="I330" s="426">
        <v>163.22999999999999</v>
      </c>
      <c r="J330" s="426">
        <v>8</v>
      </c>
      <c r="K330" s="427">
        <v>1305.8399999999999</v>
      </c>
    </row>
    <row r="331" spans="1:11" ht="14.4" customHeight="1" x14ac:dyDescent="0.3">
      <c r="A331" s="422" t="s">
        <v>444</v>
      </c>
      <c r="B331" s="423" t="s">
        <v>445</v>
      </c>
      <c r="C331" s="424" t="s">
        <v>449</v>
      </c>
      <c r="D331" s="425" t="s">
        <v>705</v>
      </c>
      <c r="E331" s="424" t="s">
        <v>1926</v>
      </c>
      <c r="F331" s="425" t="s">
        <v>1927</v>
      </c>
      <c r="G331" s="424" t="s">
        <v>1353</v>
      </c>
      <c r="H331" s="424" t="s">
        <v>1354</v>
      </c>
      <c r="I331" s="426">
        <v>676</v>
      </c>
      <c r="J331" s="426">
        <v>8</v>
      </c>
      <c r="K331" s="427">
        <v>5408.03</v>
      </c>
    </row>
    <row r="332" spans="1:11" ht="14.4" customHeight="1" x14ac:dyDescent="0.3">
      <c r="A332" s="422" t="s">
        <v>444</v>
      </c>
      <c r="B332" s="423" t="s">
        <v>445</v>
      </c>
      <c r="C332" s="424" t="s">
        <v>449</v>
      </c>
      <c r="D332" s="425" t="s">
        <v>705</v>
      </c>
      <c r="E332" s="424" t="s">
        <v>1926</v>
      </c>
      <c r="F332" s="425" t="s">
        <v>1927</v>
      </c>
      <c r="G332" s="424" t="s">
        <v>1355</v>
      </c>
      <c r="H332" s="424" t="s">
        <v>1356</v>
      </c>
      <c r="I332" s="426">
        <v>2051.5150000000003</v>
      </c>
      <c r="J332" s="426">
        <v>2</v>
      </c>
      <c r="K332" s="427">
        <v>4103.0300000000007</v>
      </c>
    </row>
    <row r="333" spans="1:11" ht="14.4" customHeight="1" x14ac:dyDescent="0.3">
      <c r="A333" s="422" t="s">
        <v>444</v>
      </c>
      <c r="B333" s="423" t="s">
        <v>445</v>
      </c>
      <c r="C333" s="424" t="s">
        <v>449</v>
      </c>
      <c r="D333" s="425" t="s">
        <v>705</v>
      </c>
      <c r="E333" s="424" t="s">
        <v>1926</v>
      </c>
      <c r="F333" s="425" t="s">
        <v>1927</v>
      </c>
      <c r="G333" s="424" t="s">
        <v>1357</v>
      </c>
      <c r="H333" s="424" t="s">
        <v>1358</v>
      </c>
      <c r="I333" s="426">
        <v>863.88</v>
      </c>
      <c r="J333" s="426">
        <v>1</v>
      </c>
      <c r="K333" s="427">
        <v>863.88</v>
      </c>
    </row>
    <row r="334" spans="1:11" ht="14.4" customHeight="1" x14ac:dyDescent="0.3">
      <c r="A334" s="422" t="s">
        <v>444</v>
      </c>
      <c r="B334" s="423" t="s">
        <v>445</v>
      </c>
      <c r="C334" s="424" t="s">
        <v>449</v>
      </c>
      <c r="D334" s="425" t="s">
        <v>705</v>
      </c>
      <c r="E334" s="424" t="s">
        <v>1926</v>
      </c>
      <c r="F334" s="425" t="s">
        <v>1927</v>
      </c>
      <c r="G334" s="424" t="s">
        <v>1359</v>
      </c>
      <c r="H334" s="424" t="s">
        <v>1360</v>
      </c>
      <c r="I334" s="426">
        <v>2078.3000000000002</v>
      </c>
      <c r="J334" s="426">
        <v>3</v>
      </c>
      <c r="K334" s="427">
        <v>6234.9000000000005</v>
      </c>
    </row>
    <row r="335" spans="1:11" ht="14.4" customHeight="1" x14ac:dyDescent="0.3">
      <c r="A335" s="422" t="s">
        <v>444</v>
      </c>
      <c r="B335" s="423" t="s">
        <v>445</v>
      </c>
      <c r="C335" s="424" t="s">
        <v>449</v>
      </c>
      <c r="D335" s="425" t="s">
        <v>705</v>
      </c>
      <c r="E335" s="424" t="s">
        <v>1926</v>
      </c>
      <c r="F335" s="425" t="s">
        <v>1927</v>
      </c>
      <c r="G335" s="424" t="s">
        <v>1359</v>
      </c>
      <c r="H335" s="424" t="s">
        <v>1361</v>
      </c>
      <c r="I335" s="426">
        <v>2078.3000000000002</v>
      </c>
      <c r="J335" s="426">
        <v>1</v>
      </c>
      <c r="K335" s="427">
        <v>2078.3000000000002</v>
      </c>
    </row>
    <row r="336" spans="1:11" ht="14.4" customHeight="1" x14ac:dyDescent="0.3">
      <c r="A336" s="422" t="s">
        <v>444</v>
      </c>
      <c r="B336" s="423" t="s">
        <v>445</v>
      </c>
      <c r="C336" s="424" t="s">
        <v>449</v>
      </c>
      <c r="D336" s="425" t="s">
        <v>705</v>
      </c>
      <c r="E336" s="424" t="s">
        <v>1926</v>
      </c>
      <c r="F336" s="425" t="s">
        <v>1927</v>
      </c>
      <c r="G336" s="424" t="s">
        <v>1362</v>
      </c>
      <c r="H336" s="424" t="s">
        <v>1363</v>
      </c>
      <c r="I336" s="426">
        <v>516</v>
      </c>
      <c r="J336" s="426">
        <v>1</v>
      </c>
      <c r="K336" s="427">
        <v>516</v>
      </c>
    </row>
    <row r="337" spans="1:11" ht="14.4" customHeight="1" x14ac:dyDescent="0.3">
      <c r="A337" s="422" t="s">
        <v>444</v>
      </c>
      <c r="B337" s="423" t="s">
        <v>445</v>
      </c>
      <c r="C337" s="424" t="s">
        <v>449</v>
      </c>
      <c r="D337" s="425" t="s">
        <v>705</v>
      </c>
      <c r="E337" s="424" t="s">
        <v>1926</v>
      </c>
      <c r="F337" s="425" t="s">
        <v>1927</v>
      </c>
      <c r="G337" s="424" t="s">
        <v>1364</v>
      </c>
      <c r="H337" s="424" t="s">
        <v>1365</v>
      </c>
      <c r="I337" s="426">
        <v>5786.2250000000004</v>
      </c>
      <c r="J337" s="426">
        <v>2</v>
      </c>
      <c r="K337" s="427">
        <v>11572.45</v>
      </c>
    </row>
    <row r="338" spans="1:11" ht="14.4" customHeight="1" x14ac:dyDescent="0.3">
      <c r="A338" s="422" t="s">
        <v>444</v>
      </c>
      <c r="B338" s="423" t="s">
        <v>445</v>
      </c>
      <c r="C338" s="424" t="s">
        <v>449</v>
      </c>
      <c r="D338" s="425" t="s">
        <v>705</v>
      </c>
      <c r="E338" s="424" t="s">
        <v>1926</v>
      </c>
      <c r="F338" s="425" t="s">
        <v>1927</v>
      </c>
      <c r="G338" s="424" t="s">
        <v>1366</v>
      </c>
      <c r="H338" s="424" t="s">
        <v>1367</v>
      </c>
      <c r="I338" s="426">
        <v>64.13</v>
      </c>
      <c r="J338" s="426">
        <v>30</v>
      </c>
      <c r="K338" s="427">
        <v>1924</v>
      </c>
    </row>
    <row r="339" spans="1:11" ht="14.4" customHeight="1" x14ac:dyDescent="0.3">
      <c r="A339" s="422" t="s">
        <v>444</v>
      </c>
      <c r="B339" s="423" t="s">
        <v>445</v>
      </c>
      <c r="C339" s="424" t="s">
        <v>449</v>
      </c>
      <c r="D339" s="425" t="s">
        <v>705</v>
      </c>
      <c r="E339" s="424" t="s">
        <v>1926</v>
      </c>
      <c r="F339" s="425" t="s">
        <v>1927</v>
      </c>
      <c r="G339" s="424" t="s">
        <v>1368</v>
      </c>
      <c r="H339" s="424" t="s">
        <v>1369</v>
      </c>
      <c r="I339" s="426">
        <v>19816</v>
      </c>
      <c r="J339" s="426">
        <v>1</v>
      </c>
      <c r="K339" s="427">
        <v>19816</v>
      </c>
    </row>
    <row r="340" spans="1:11" ht="14.4" customHeight="1" x14ac:dyDescent="0.3">
      <c r="A340" s="422" t="s">
        <v>444</v>
      </c>
      <c r="B340" s="423" t="s">
        <v>445</v>
      </c>
      <c r="C340" s="424" t="s">
        <v>449</v>
      </c>
      <c r="D340" s="425" t="s">
        <v>705</v>
      </c>
      <c r="E340" s="424" t="s">
        <v>1926</v>
      </c>
      <c r="F340" s="425" t="s">
        <v>1927</v>
      </c>
      <c r="G340" s="424" t="s">
        <v>1368</v>
      </c>
      <c r="H340" s="424" t="s">
        <v>1370</v>
      </c>
      <c r="I340" s="426">
        <v>19816</v>
      </c>
      <c r="J340" s="426">
        <v>3</v>
      </c>
      <c r="K340" s="427">
        <v>59448</v>
      </c>
    </row>
    <row r="341" spans="1:11" ht="14.4" customHeight="1" x14ac:dyDescent="0.3">
      <c r="A341" s="422" t="s">
        <v>444</v>
      </c>
      <c r="B341" s="423" t="s">
        <v>445</v>
      </c>
      <c r="C341" s="424" t="s">
        <v>449</v>
      </c>
      <c r="D341" s="425" t="s">
        <v>705</v>
      </c>
      <c r="E341" s="424" t="s">
        <v>1926</v>
      </c>
      <c r="F341" s="425" t="s">
        <v>1927</v>
      </c>
      <c r="G341" s="424" t="s">
        <v>1371</v>
      </c>
      <c r="H341" s="424" t="s">
        <v>1372</v>
      </c>
      <c r="I341" s="426">
        <v>979</v>
      </c>
      <c r="J341" s="426">
        <v>3</v>
      </c>
      <c r="K341" s="427">
        <v>2937.01</v>
      </c>
    </row>
    <row r="342" spans="1:11" ht="14.4" customHeight="1" x14ac:dyDescent="0.3">
      <c r="A342" s="422" t="s">
        <v>444</v>
      </c>
      <c r="B342" s="423" t="s">
        <v>445</v>
      </c>
      <c r="C342" s="424" t="s">
        <v>449</v>
      </c>
      <c r="D342" s="425" t="s">
        <v>705</v>
      </c>
      <c r="E342" s="424" t="s">
        <v>1926</v>
      </c>
      <c r="F342" s="425" t="s">
        <v>1927</v>
      </c>
      <c r="G342" s="424" t="s">
        <v>1373</v>
      </c>
      <c r="H342" s="424" t="s">
        <v>1374</v>
      </c>
      <c r="I342" s="426">
        <v>3943.35</v>
      </c>
      <c r="J342" s="426">
        <v>17</v>
      </c>
      <c r="K342" s="427">
        <v>67036.95</v>
      </c>
    </row>
    <row r="343" spans="1:11" ht="14.4" customHeight="1" x14ac:dyDescent="0.3">
      <c r="A343" s="422" t="s">
        <v>444</v>
      </c>
      <c r="B343" s="423" t="s">
        <v>445</v>
      </c>
      <c r="C343" s="424" t="s">
        <v>449</v>
      </c>
      <c r="D343" s="425" t="s">
        <v>705</v>
      </c>
      <c r="E343" s="424" t="s">
        <v>1926</v>
      </c>
      <c r="F343" s="425" t="s">
        <v>1927</v>
      </c>
      <c r="G343" s="424" t="s">
        <v>1375</v>
      </c>
      <c r="H343" s="424" t="s">
        <v>1376</v>
      </c>
      <c r="I343" s="426">
        <v>51.62</v>
      </c>
      <c r="J343" s="426">
        <v>30</v>
      </c>
      <c r="K343" s="427">
        <v>1525.3899999999999</v>
      </c>
    </row>
    <row r="344" spans="1:11" ht="14.4" customHeight="1" x14ac:dyDescent="0.3">
      <c r="A344" s="422" t="s">
        <v>444</v>
      </c>
      <c r="B344" s="423" t="s">
        <v>445</v>
      </c>
      <c r="C344" s="424" t="s">
        <v>449</v>
      </c>
      <c r="D344" s="425" t="s">
        <v>705</v>
      </c>
      <c r="E344" s="424" t="s">
        <v>1926</v>
      </c>
      <c r="F344" s="425" t="s">
        <v>1927</v>
      </c>
      <c r="G344" s="424" t="s">
        <v>1377</v>
      </c>
      <c r="H344" s="424" t="s">
        <v>1378</v>
      </c>
      <c r="I344" s="426">
        <v>1088</v>
      </c>
      <c r="J344" s="426">
        <v>1</v>
      </c>
      <c r="K344" s="427">
        <v>1088</v>
      </c>
    </row>
    <row r="345" spans="1:11" ht="14.4" customHeight="1" x14ac:dyDescent="0.3">
      <c r="A345" s="422" t="s">
        <v>444</v>
      </c>
      <c r="B345" s="423" t="s">
        <v>445</v>
      </c>
      <c r="C345" s="424" t="s">
        <v>449</v>
      </c>
      <c r="D345" s="425" t="s">
        <v>705</v>
      </c>
      <c r="E345" s="424" t="s">
        <v>1926</v>
      </c>
      <c r="F345" s="425" t="s">
        <v>1927</v>
      </c>
      <c r="G345" s="424" t="s">
        <v>1379</v>
      </c>
      <c r="H345" s="424" t="s">
        <v>1380</v>
      </c>
      <c r="I345" s="426">
        <v>76.835000000000008</v>
      </c>
      <c r="J345" s="426">
        <v>120</v>
      </c>
      <c r="K345" s="427">
        <v>9546.9</v>
      </c>
    </row>
    <row r="346" spans="1:11" ht="14.4" customHeight="1" x14ac:dyDescent="0.3">
      <c r="A346" s="422" t="s">
        <v>444</v>
      </c>
      <c r="B346" s="423" t="s">
        <v>445</v>
      </c>
      <c r="C346" s="424" t="s">
        <v>449</v>
      </c>
      <c r="D346" s="425" t="s">
        <v>705</v>
      </c>
      <c r="E346" s="424" t="s">
        <v>1926</v>
      </c>
      <c r="F346" s="425" t="s">
        <v>1927</v>
      </c>
      <c r="G346" s="424" t="s">
        <v>1381</v>
      </c>
      <c r="H346" s="424" t="s">
        <v>1382</v>
      </c>
      <c r="I346" s="426">
        <v>348.45</v>
      </c>
      <c r="J346" s="426">
        <v>2</v>
      </c>
      <c r="K346" s="427">
        <v>696.91</v>
      </c>
    </row>
    <row r="347" spans="1:11" ht="14.4" customHeight="1" x14ac:dyDescent="0.3">
      <c r="A347" s="422" t="s">
        <v>444</v>
      </c>
      <c r="B347" s="423" t="s">
        <v>445</v>
      </c>
      <c r="C347" s="424" t="s">
        <v>449</v>
      </c>
      <c r="D347" s="425" t="s">
        <v>705</v>
      </c>
      <c r="E347" s="424" t="s">
        <v>1926</v>
      </c>
      <c r="F347" s="425" t="s">
        <v>1927</v>
      </c>
      <c r="G347" s="424" t="s">
        <v>1383</v>
      </c>
      <c r="H347" s="424" t="s">
        <v>1384</v>
      </c>
      <c r="I347" s="426">
        <v>166.98</v>
      </c>
      <c r="J347" s="426">
        <v>5</v>
      </c>
      <c r="K347" s="427">
        <v>834.9</v>
      </c>
    </row>
    <row r="348" spans="1:11" ht="14.4" customHeight="1" x14ac:dyDescent="0.3">
      <c r="A348" s="422" t="s">
        <v>444</v>
      </c>
      <c r="B348" s="423" t="s">
        <v>445</v>
      </c>
      <c r="C348" s="424" t="s">
        <v>449</v>
      </c>
      <c r="D348" s="425" t="s">
        <v>705</v>
      </c>
      <c r="E348" s="424" t="s">
        <v>1926</v>
      </c>
      <c r="F348" s="425" t="s">
        <v>1927</v>
      </c>
      <c r="G348" s="424" t="s">
        <v>1385</v>
      </c>
      <c r="H348" s="424" t="s">
        <v>1386</v>
      </c>
      <c r="I348" s="426">
        <v>863.88</v>
      </c>
      <c r="J348" s="426">
        <v>1</v>
      </c>
      <c r="K348" s="427">
        <v>863.88</v>
      </c>
    </row>
    <row r="349" spans="1:11" ht="14.4" customHeight="1" x14ac:dyDescent="0.3">
      <c r="A349" s="422" t="s">
        <v>444</v>
      </c>
      <c r="B349" s="423" t="s">
        <v>445</v>
      </c>
      <c r="C349" s="424" t="s">
        <v>449</v>
      </c>
      <c r="D349" s="425" t="s">
        <v>705</v>
      </c>
      <c r="E349" s="424" t="s">
        <v>1926</v>
      </c>
      <c r="F349" s="425" t="s">
        <v>1927</v>
      </c>
      <c r="G349" s="424" t="s">
        <v>1387</v>
      </c>
      <c r="H349" s="424" t="s">
        <v>1388</v>
      </c>
      <c r="I349" s="426">
        <v>2402</v>
      </c>
      <c r="J349" s="426">
        <v>3</v>
      </c>
      <c r="K349" s="427">
        <v>7206</v>
      </c>
    </row>
    <row r="350" spans="1:11" ht="14.4" customHeight="1" x14ac:dyDescent="0.3">
      <c r="A350" s="422" t="s">
        <v>444</v>
      </c>
      <c r="B350" s="423" t="s">
        <v>445</v>
      </c>
      <c r="C350" s="424" t="s">
        <v>449</v>
      </c>
      <c r="D350" s="425" t="s">
        <v>705</v>
      </c>
      <c r="E350" s="424" t="s">
        <v>1926</v>
      </c>
      <c r="F350" s="425" t="s">
        <v>1927</v>
      </c>
      <c r="G350" s="424" t="s">
        <v>1389</v>
      </c>
      <c r="H350" s="424" t="s">
        <v>1390</v>
      </c>
      <c r="I350" s="426">
        <v>0.93</v>
      </c>
      <c r="J350" s="426">
        <v>500</v>
      </c>
      <c r="K350" s="427">
        <v>463.43</v>
      </c>
    </row>
    <row r="351" spans="1:11" ht="14.4" customHeight="1" x14ac:dyDescent="0.3">
      <c r="A351" s="422" t="s">
        <v>444</v>
      </c>
      <c r="B351" s="423" t="s">
        <v>445</v>
      </c>
      <c r="C351" s="424" t="s">
        <v>449</v>
      </c>
      <c r="D351" s="425" t="s">
        <v>705</v>
      </c>
      <c r="E351" s="424" t="s">
        <v>1926</v>
      </c>
      <c r="F351" s="425" t="s">
        <v>1927</v>
      </c>
      <c r="G351" s="424" t="s">
        <v>1391</v>
      </c>
      <c r="H351" s="424" t="s">
        <v>1392</v>
      </c>
      <c r="I351" s="426">
        <v>2042.48</v>
      </c>
      <c r="J351" s="426">
        <v>1</v>
      </c>
      <c r="K351" s="427">
        <v>2042.48</v>
      </c>
    </row>
    <row r="352" spans="1:11" ht="14.4" customHeight="1" x14ac:dyDescent="0.3">
      <c r="A352" s="422" t="s">
        <v>444</v>
      </c>
      <c r="B352" s="423" t="s">
        <v>445</v>
      </c>
      <c r="C352" s="424" t="s">
        <v>449</v>
      </c>
      <c r="D352" s="425" t="s">
        <v>705</v>
      </c>
      <c r="E352" s="424" t="s">
        <v>1926</v>
      </c>
      <c r="F352" s="425" t="s">
        <v>1927</v>
      </c>
      <c r="G352" s="424" t="s">
        <v>1393</v>
      </c>
      <c r="H352" s="424" t="s">
        <v>1394</v>
      </c>
      <c r="I352" s="426">
        <v>2916.1</v>
      </c>
      <c r="J352" s="426">
        <v>1</v>
      </c>
      <c r="K352" s="427">
        <v>2916.1</v>
      </c>
    </row>
    <row r="353" spans="1:11" ht="14.4" customHeight="1" x14ac:dyDescent="0.3">
      <c r="A353" s="422" t="s">
        <v>444</v>
      </c>
      <c r="B353" s="423" t="s">
        <v>445</v>
      </c>
      <c r="C353" s="424" t="s">
        <v>449</v>
      </c>
      <c r="D353" s="425" t="s">
        <v>705</v>
      </c>
      <c r="E353" s="424" t="s">
        <v>1926</v>
      </c>
      <c r="F353" s="425" t="s">
        <v>1927</v>
      </c>
      <c r="G353" s="424" t="s">
        <v>1395</v>
      </c>
      <c r="H353" s="424" t="s">
        <v>1396</v>
      </c>
      <c r="I353" s="426">
        <v>379.44</v>
      </c>
      <c r="J353" s="426">
        <v>8</v>
      </c>
      <c r="K353" s="427">
        <v>3035.51</v>
      </c>
    </row>
    <row r="354" spans="1:11" ht="14.4" customHeight="1" x14ac:dyDescent="0.3">
      <c r="A354" s="422" t="s">
        <v>444</v>
      </c>
      <c r="B354" s="423" t="s">
        <v>445</v>
      </c>
      <c r="C354" s="424" t="s">
        <v>449</v>
      </c>
      <c r="D354" s="425" t="s">
        <v>705</v>
      </c>
      <c r="E354" s="424" t="s">
        <v>1926</v>
      </c>
      <c r="F354" s="425" t="s">
        <v>1927</v>
      </c>
      <c r="G354" s="424" t="s">
        <v>1397</v>
      </c>
      <c r="H354" s="424" t="s">
        <v>1398</v>
      </c>
      <c r="I354" s="426">
        <v>272.85500000000002</v>
      </c>
      <c r="J354" s="426">
        <v>8</v>
      </c>
      <c r="K354" s="427">
        <v>2222.77</v>
      </c>
    </row>
    <row r="355" spans="1:11" ht="14.4" customHeight="1" x14ac:dyDescent="0.3">
      <c r="A355" s="422" t="s">
        <v>444</v>
      </c>
      <c r="B355" s="423" t="s">
        <v>445</v>
      </c>
      <c r="C355" s="424" t="s">
        <v>449</v>
      </c>
      <c r="D355" s="425" t="s">
        <v>705</v>
      </c>
      <c r="E355" s="424" t="s">
        <v>1926</v>
      </c>
      <c r="F355" s="425" t="s">
        <v>1927</v>
      </c>
      <c r="G355" s="424" t="s">
        <v>1399</v>
      </c>
      <c r="H355" s="424" t="s">
        <v>1400</v>
      </c>
      <c r="I355" s="426">
        <v>465.85</v>
      </c>
      <c r="J355" s="426">
        <v>2</v>
      </c>
      <c r="K355" s="427">
        <v>931.7</v>
      </c>
    </row>
    <row r="356" spans="1:11" ht="14.4" customHeight="1" x14ac:dyDescent="0.3">
      <c r="A356" s="422" t="s">
        <v>444</v>
      </c>
      <c r="B356" s="423" t="s">
        <v>445</v>
      </c>
      <c r="C356" s="424" t="s">
        <v>449</v>
      </c>
      <c r="D356" s="425" t="s">
        <v>705</v>
      </c>
      <c r="E356" s="424" t="s">
        <v>1926</v>
      </c>
      <c r="F356" s="425" t="s">
        <v>1927</v>
      </c>
      <c r="G356" s="424" t="s">
        <v>1401</v>
      </c>
      <c r="H356" s="424" t="s">
        <v>1402</v>
      </c>
      <c r="I356" s="426">
        <v>3943.35</v>
      </c>
      <c r="J356" s="426">
        <v>2</v>
      </c>
      <c r="K356" s="427">
        <v>7886.7</v>
      </c>
    </row>
    <row r="357" spans="1:11" ht="14.4" customHeight="1" x14ac:dyDescent="0.3">
      <c r="A357" s="422" t="s">
        <v>444</v>
      </c>
      <c r="B357" s="423" t="s">
        <v>445</v>
      </c>
      <c r="C357" s="424" t="s">
        <v>449</v>
      </c>
      <c r="D357" s="425" t="s">
        <v>705</v>
      </c>
      <c r="E357" s="424" t="s">
        <v>1926</v>
      </c>
      <c r="F357" s="425" t="s">
        <v>1927</v>
      </c>
      <c r="G357" s="424" t="s">
        <v>1403</v>
      </c>
      <c r="H357" s="424" t="s">
        <v>1404</v>
      </c>
      <c r="I357" s="426">
        <v>256.01666666666665</v>
      </c>
      <c r="J357" s="426">
        <v>10</v>
      </c>
      <c r="K357" s="427">
        <v>2572.15</v>
      </c>
    </row>
    <row r="358" spans="1:11" ht="14.4" customHeight="1" x14ac:dyDescent="0.3">
      <c r="A358" s="422" t="s">
        <v>444</v>
      </c>
      <c r="B358" s="423" t="s">
        <v>445</v>
      </c>
      <c r="C358" s="424" t="s">
        <v>449</v>
      </c>
      <c r="D358" s="425" t="s">
        <v>705</v>
      </c>
      <c r="E358" s="424" t="s">
        <v>1926</v>
      </c>
      <c r="F358" s="425" t="s">
        <v>1927</v>
      </c>
      <c r="G358" s="424" t="s">
        <v>1405</v>
      </c>
      <c r="H358" s="424" t="s">
        <v>1406</v>
      </c>
      <c r="I358" s="426">
        <v>3049.2</v>
      </c>
      <c r="J358" s="426">
        <v>1</v>
      </c>
      <c r="K358" s="427">
        <v>3049.2</v>
      </c>
    </row>
    <row r="359" spans="1:11" ht="14.4" customHeight="1" x14ac:dyDescent="0.3">
      <c r="A359" s="422" t="s">
        <v>444</v>
      </c>
      <c r="B359" s="423" t="s">
        <v>445</v>
      </c>
      <c r="C359" s="424" t="s">
        <v>449</v>
      </c>
      <c r="D359" s="425" t="s">
        <v>705</v>
      </c>
      <c r="E359" s="424" t="s">
        <v>1926</v>
      </c>
      <c r="F359" s="425" t="s">
        <v>1927</v>
      </c>
      <c r="G359" s="424" t="s">
        <v>1407</v>
      </c>
      <c r="H359" s="424" t="s">
        <v>1408</v>
      </c>
      <c r="I359" s="426">
        <v>51.62</v>
      </c>
      <c r="J359" s="426">
        <v>40</v>
      </c>
      <c r="K359" s="427">
        <v>2018.3899999999999</v>
      </c>
    </row>
    <row r="360" spans="1:11" ht="14.4" customHeight="1" x14ac:dyDescent="0.3">
      <c r="A360" s="422" t="s">
        <v>444</v>
      </c>
      <c r="B360" s="423" t="s">
        <v>445</v>
      </c>
      <c r="C360" s="424" t="s">
        <v>449</v>
      </c>
      <c r="D360" s="425" t="s">
        <v>705</v>
      </c>
      <c r="E360" s="424" t="s">
        <v>1926</v>
      </c>
      <c r="F360" s="425" t="s">
        <v>1927</v>
      </c>
      <c r="G360" s="424" t="s">
        <v>1409</v>
      </c>
      <c r="H360" s="424" t="s">
        <v>1410</v>
      </c>
      <c r="I360" s="426">
        <v>131.66</v>
      </c>
      <c r="J360" s="426">
        <v>6</v>
      </c>
      <c r="K360" s="427">
        <v>789.99</v>
      </c>
    </row>
    <row r="361" spans="1:11" ht="14.4" customHeight="1" x14ac:dyDescent="0.3">
      <c r="A361" s="422" t="s">
        <v>444</v>
      </c>
      <c r="B361" s="423" t="s">
        <v>445</v>
      </c>
      <c r="C361" s="424" t="s">
        <v>449</v>
      </c>
      <c r="D361" s="425" t="s">
        <v>705</v>
      </c>
      <c r="E361" s="424" t="s">
        <v>1926</v>
      </c>
      <c r="F361" s="425" t="s">
        <v>1927</v>
      </c>
      <c r="G361" s="424" t="s">
        <v>1411</v>
      </c>
      <c r="H361" s="424" t="s">
        <v>1412</v>
      </c>
      <c r="I361" s="426">
        <v>2435</v>
      </c>
      <c r="J361" s="426">
        <v>1</v>
      </c>
      <c r="K361" s="427">
        <v>2435</v>
      </c>
    </row>
    <row r="362" spans="1:11" ht="14.4" customHeight="1" x14ac:dyDescent="0.3">
      <c r="A362" s="422" t="s">
        <v>444</v>
      </c>
      <c r="B362" s="423" t="s">
        <v>445</v>
      </c>
      <c r="C362" s="424" t="s">
        <v>449</v>
      </c>
      <c r="D362" s="425" t="s">
        <v>705</v>
      </c>
      <c r="E362" s="424" t="s">
        <v>1926</v>
      </c>
      <c r="F362" s="425" t="s">
        <v>1927</v>
      </c>
      <c r="G362" s="424" t="s">
        <v>1413</v>
      </c>
      <c r="H362" s="424" t="s">
        <v>1414</v>
      </c>
      <c r="I362" s="426">
        <v>865.15</v>
      </c>
      <c r="J362" s="426">
        <v>1</v>
      </c>
      <c r="K362" s="427">
        <v>865.15</v>
      </c>
    </row>
    <row r="363" spans="1:11" ht="14.4" customHeight="1" x14ac:dyDescent="0.3">
      <c r="A363" s="422" t="s">
        <v>444</v>
      </c>
      <c r="B363" s="423" t="s">
        <v>445</v>
      </c>
      <c r="C363" s="424" t="s">
        <v>449</v>
      </c>
      <c r="D363" s="425" t="s">
        <v>705</v>
      </c>
      <c r="E363" s="424" t="s">
        <v>1926</v>
      </c>
      <c r="F363" s="425" t="s">
        <v>1927</v>
      </c>
      <c r="G363" s="424" t="s">
        <v>1415</v>
      </c>
      <c r="H363" s="424" t="s">
        <v>1416</v>
      </c>
      <c r="I363" s="426">
        <v>511.5</v>
      </c>
      <c r="J363" s="426">
        <v>7</v>
      </c>
      <c r="K363" s="427">
        <v>3580.5</v>
      </c>
    </row>
    <row r="364" spans="1:11" ht="14.4" customHeight="1" x14ac:dyDescent="0.3">
      <c r="A364" s="422" t="s">
        <v>444</v>
      </c>
      <c r="B364" s="423" t="s">
        <v>445</v>
      </c>
      <c r="C364" s="424" t="s">
        <v>449</v>
      </c>
      <c r="D364" s="425" t="s">
        <v>705</v>
      </c>
      <c r="E364" s="424" t="s">
        <v>1926</v>
      </c>
      <c r="F364" s="425" t="s">
        <v>1927</v>
      </c>
      <c r="G364" s="424" t="s">
        <v>1417</v>
      </c>
      <c r="H364" s="424" t="s">
        <v>1418</v>
      </c>
      <c r="I364" s="426">
        <v>59.52</v>
      </c>
      <c r="J364" s="426">
        <v>10</v>
      </c>
      <c r="K364" s="427">
        <v>595.21</v>
      </c>
    </row>
    <row r="365" spans="1:11" ht="14.4" customHeight="1" x14ac:dyDescent="0.3">
      <c r="A365" s="422" t="s">
        <v>444</v>
      </c>
      <c r="B365" s="423" t="s">
        <v>445</v>
      </c>
      <c r="C365" s="424" t="s">
        <v>449</v>
      </c>
      <c r="D365" s="425" t="s">
        <v>705</v>
      </c>
      <c r="E365" s="424" t="s">
        <v>1926</v>
      </c>
      <c r="F365" s="425" t="s">
        <v>1927</v>
      </c>
      <c r="G365" s="424" t="s">
        <v>1419</v>
      </c>
      <c r="H365" s="424" t="s">
        <v>1420</v>
      </c>
      <c r="I365" s="426">
        <v>7469</v>
      </c>
      <c r="J365" s="426">
        <v>1</v>
      </c>
      <c r="K365" s="427">
        <v>7469</v>
      </c>
    </row>
    <row r="366" spans="1:11" ht="14.4" customHeight="1" x14ac:dyDescent="0.3">
      <c r="A366" s="422" t="s">
        <v>444</v>
      </c>
      <c r="B366" s="423" t="s">
        <v>445</v>
      </c>
      <c r="C366" s="424" t="s">
        <v>449</v>
      </c>
      <c r="D366" s="425" t="s">
        <v>705</v>
      </c>
      <c r="E366" s="424" t="s">
        <v>1926</v>
      </c>
      <c r="F366" s="425" t="s">
        <v>1927</v>
      </c>
      <c r="G366" s="424" t="s">
        <v>1421</v>
      </c>
      <c r="H366" s="424" t="s">
        <v>1422</v>
      </c>
      <c r="I366" s="426">
        <v>8.11</v>
      </c>
      <c r="J366" s="426">
        <v>100</v>
      </c>
      <c r="K366" s="427">
        <v>811</v>
      </c>
    </row>
    <row r="367" spans="1:11" ht="14.4" customHeight="1" x14ac:dyDescent="0.3">
      <c r="A367" s="422" t="s">
        <v>444</v>
      </c>
      <c r="B367" s="423" t="s">
        <v>445</v>
      </c>
      <c r="C367" s="424" t="s">
        <v>449</v>
      </c>
      <c r="D367" s="425" t="s">
        <v>705</v>
      </c>
      <c r="E367" s="424" t="s">
        <v>1926</v>
      </c>
      <c r="F367" s="425" t="s">
        <v>1927</v>
      </c>
      <c r="G367" s="424" t="s">
        <v>1423</v>
      </c>
      <c r="H367" s="424" t="s">
        <v>1424</v>
      </c>
      <c r="I367" s="426">
        <v>4160</v>
      </c>
      <c r="J367" s="426">
        <v>2</v>
      </c>
      <c r="K367" s="427">
        <v>8320</v>
      </c>
    </row>
    <row r="368" spans="1:11" ht="14.4" customHeight="1" x14ac:dyDescent="0.3">
      <c r="A368" s="422" t="s">
        <v>444</v>
      </c>
      <c r="B368" s="423" t="s">
        <v>445</v>
      </c>
      <c r="C368" s="424" t="s">
        <v>449</v>
      </c>
      <c r="D368" s="425" t="s">
        <v>705</v>
      </c>
      <c r="E368" s="424" t="s">
        <v>1926</v>
      </c>
      <c r="F368" s="425" t="s">
        <v>1927</v>
      </c>
      <c r="G368" s="424" t="s">
        <v>1425</v>
      </c>
      <c r="H368" s="424" t="s">
        <v>1426</v>
      </c>
      <c r="I368" s="426">
        <v>1385.45</v>
      </c>
      <c r="J368" s="426">
        <v>1</v>
      </c>
      <c r="K368" s="427">
        <v>1385.45</v>
      </c>
    </row>
    <row r="369" spans="1:11" ht="14.4" customHeight="1" x14ac:dyDescent="0.3">
      <c r="A369" s="422" t="s">
        <v>444</v>
      </c>
      <c r="B369" s="423" t="s">
        <v>445</v>
      </c>
      <c r="C369" s="424" t="s">
        <v>449</v>
      </c>
      <c r="D369" s="425" t="s">
        <v>705</v>
      </c>
      <c r="E369" s="424" t="s">
        <v>1926</v>
      </c>
      <c r="F369" s="425" t="s">
        <v>1927</v>
      </c>
      <c r="G369" s="424" t="s">
        <v>1427</v>
      </c>
      <c r="H369" s="424" t="s">
        <v>1428</v>
      </c>
      <c r="I369" s="426">
        <v>79.86</v>
      </c>
      <c r="J369" s="426">
        <v>20</v>
      </c>
      <c r="K369" s="427">
        <v>1597.2</v>
      </c>
    </row>
    <row r="370" spans="1:11" ht="14.4" customHeight="1" x14ac:dyDescent="0.3">
      <c r="A370" s="422" t="s">
        <v>444</v>
      </c>
      <c r="B370" s="423" t="s">
        <v>445</v>
      </c>
      <c r="C370" s="424" t="s">
        <v>449</v>
      </c>
      <c r="D370" s="425" t="s">
        <v>705</v>
      </c>
      <c r="E370" s="424" t="s">
        <v>1926</v>
      </c>
      <c r="F370" s="425" t="s">
        <v>1927</v>
      </c>
      <c r="G370" s="424" t="s">
        <v>1429</v>
      </c>
      <c r="H370" s="424" t="s">
        <v>1430</v>
      </c>
      <c r="I370" s="426">
        <v>471.89999999999992</v>
      </c>
      <c r="J370" s="426">
        <v>15</v>
      </c>
      <c r="K370" s="427">
        <v>7078.5000000000009</v>
      </c>
    </row>
    <row r="371" spans="1:11" ht="14.4" customHeight="1" x14ac:dyDescent="0.3">
      <c r="A371" s="422" t="s">
        <v>444</v>
      </c>
      <c r="B371" s="423" t="s">
        <v>445</v>
      </c>
      <c r="C371" s="424" t="s">
        <v>449</v>
      </c>
      <c r="D371" s="425" t="s">
        <v>705</v>
      </c>
      <c r="E371" s="424" t="s">
        <v>1926</v>
      </c>
      <c r="F371" s="425" t="s">
        <v>1927</v>
      </c>
      <c r="G371" s="424" t="s">
        <v>1431</v>
      </c>
      <c r="H371" s="424" t="s">
        <v>1432</v>
      </c>
      <c r="I371" s="426">
        <v>2003.25</v>
      </c>
      <c r="J371" s="426">
        <v>2</v>
      </c>
      <c r="K371" s="427">
        <v>4006.5</v>
      </c>
    </row>
    <row r="372" spans="1:11" ht="14.4" customHeight="1" x14ac:dyDescent="0.3">
      <c r="A372" s="422" t="s">
        <v>444</v>
      </c>
      <c r="B372" s="423" t="s">
        <v>445</v>
      </c>
      <c r="C372" s="424" t="s">
        <v>449</v>
      </c>
      <c r="D372" s="425" t="s">
        <v>705</v>
      </c>
      <c r="E372" s="424" t="s">
        <v>1926</v>
      </c>
      <c r="F372" s="425" t="s">
        <v>1927</v>
      </c>
      <c r="G372" s="424" t="s">
        <v>1433</v>
      </c>
      <c r="H372" s="424" t="s">
        <v>1434</v>
      </c>
      <c r="I372" s="426">
        <v>137</v>
      </c>
      <c r="J372" s="426">
        <v>5</v>
      </c>
      <c r="K372" s="427">
        <v>685</v>
      </c>
    </row>
    <row r="373" spans="1:11" ht="14.4" customHeight="1" x14ac:dyDescent="0.3">
      <c r="A373" s="422" t="s">
        <v>444</v>
      </c>
      <c r="B373" s="423" t="s">
        <v>445</v>
      </c>
      <c r="C373" s="424" t="s">
        <v>449</v>
      </c>
      <c r="D373" s="425" t="s">
        <v>705</v>
      </c>
      <c r="E373" s="424" t="s">
        <v>1926</v>
      </c>
      <c r="F373" s="425" t="s">
        <v>1927</v>
      </c>
      <c r="G373" s="424" t="s">
        <v>1435</v>
      </c>
      <c r="H373" s="424" t="s">
        <v>1436</v>
      </c>
      <c r="I373" s="426">
        <v>474.05</v>
      </c>
      <c r="J373" s="426">
        <v>1</v>
      </c>
      <c r="K373" s="427">
        <v>474.05</v>
      </c>
    </row>
    <row r="374" spans="1:11" ht="14.4" customHeight="1" x14ac:dyDescent="0.3">
      <c r="A374" s="422" t="s">
        <v>444</v>
      </c>
      <c r="B374" s="423" t="s">
        <v>445</v>
      </c>
      <c r="C374" s="424" t="s">
        <v>449</v>
      </c>
      <c r="D374" s="425" t="s">
        <v>705</v>
      </c>
      <c r="E374" s="424" t="s">
        <v>1926</v>
      </c>
      <c r="F374" s="425" t="s">
        <v>1927</v>
      </c>
      <c r="G374" s="424" t="s">
        <v>1437</v>
      </c>
      <c r="H374" s="424" t="s">
        <v>1438</v>
      </c>
      <c r="I374" s="426">
        <v>59.29</v>
      </c>
      <c r="J374" s="426">
        <v>90</v>
      </c>
      <c r="K374" s="427">
        <v>5336.1</v>
      </c>
    </row>
    <row r="375" spans="1:11" ht="14.4" customHeight="1" x14ac:dyDescent="0.3">
      <c r="A375" s="422" t="s">
        <v>444</v>
      </c>
      <c r="B375" s="423" t="s">
        <v>445</v>
      </c>
      <c r="C375" s="424" t="s">
        <v>449</v>
      </c>
      <c r="D375" s="425" t="s">
        <v>705</v>
      </c>
      <c r="E375" s="424" t="s">
        <v>1926</v>
      </c>
      <c r="F375" s="425" t="s">
        <v>1927</v>
      </c>
      <c r="G375" s="424" t="s">
        <v>1439</v>
      </c>
      <c r="H375" s="424" t="s">
        <v>1440</v>
      </c>
      <c r="I375" s="426">
        <v>877.25</v>
      </c>
      <c r="J375" s="426">
        <v>1</v>
      </c>
      <c r="K375" s="427">
        <v>877.25</v>
      </c>
    </row>
    <row r="376" spans="1:11" ht="14.4" customHeight="1" x14ac:dyDescent="0.3">
      <c r="A376" s="422" t="s">
        <v>444</v>
      </c>
      <c r="B376" s="423" t="s">
        <v>445</v>
      </c>
      <c r="C376" s="424" t="s">
        <v>449</v>
      </c>
      <c r="D376" s="425" t="s">
        <v>705</v>
      </c>
      <c r="E376" s="424" t="s">
        <v>1926</v>
      </c>
      <c r="F376" s="425" t="s">
        <v>1927</v>
      </c>
      <c r="G376" s="424" t="s">
        <v>1441</v>
      </c>
      <c r="H376" s="424" t="s">
        <v>1442</v>
      </c>
      <c r="I376" s="426">
        <v>4593</v>
      </c>
      <c r="J376" s="426">
        <v>4</v>
      </c>
      <c r="K376" s="427">
        <v>18372</v>
      </c>
    </row>
    <row r="377" spans="1:11" ht="14.4" customHeight="1" x14ac:dyDescent="0.3">
      <c r="A377" s="422" t="s">
        <v>444</v>
      </c>
      <c r="B377" s="423" t="s">
        <v>445</v>
      </c>
      <c r="C377" s="424" t="s">
        <v>449</v>
      </c>
      <c r="D377" s="425" t="s">
        <v>705</v>
      </c>
      <c r="E377" s="424" t="s">
        <v>1926</v>
      </c>
      <c r="F377" s="425" t="s">
        <v>1927</v>
      </c>
      <c r="G377" s="424" t="s">
        <v>1443</v>
      </c>
      <c r="H377" s="424" t="s">
        <v>1444</v>
      </c>
      <c r="I377" s="426">
        <v>2250.6</v>
      </c>
      <c r="J377" s="426">
        <v>2</v>
      </c>
      <c r="K377" s="427">
        <v>4501.2</v>
      </c>
    </row>
    <row r="378" spans="1:11" ht="14.4" customHeight="1" x14ac:dyDescent="0.3">
      <c r="A378" s="422" t="s">
        <v>444</v>
      </c>
      <c r="B378" s="423" t="s">
        <v>445</v>
      </c>
      <c r="C378" s="424" t="s">
        <v>449</v>
      </c>
      <c r="D378" s="425" t="s">
        <v>705</v>
      </c>
      <c r="E378" s="424" t="s">
        <v>1926</v>
      </c>
      <c r="F378" s="425" t="s">
        <v>1927</v>
      </c>
      <c r="G378" s="424" t="s">
        <v>1445</v>
      </c>
      <c r="H378" s="424" t="s">
        <v>1446</v>
      </c>
      <c r="I378" s="426">
        <v>520.96500000000003</v>
      </c>
      <c r="J378" s="426">
        <v>30</v>
      </c>
      <c r="K378" s="427">
        <v>15628.76</v>
      </c>
    </row>
    <row r="379" spans="1:11" ht="14.4" customHeight="1" x14ac:dyDescent="0.3">
      <c r="A379" s="422" t="s">
        <v>444</v>
      </c>
      <c r="B379" s="423" t="s">
        <v>445</v>
      </c>
      <c r="C379" s="424" t="s">
        <v>449</v>
      </c>
      <c r="D379" s="425" t="s">
        <v>705</v>
      </c>
      <c r="E379" s="424" t="s">
        <v>1926</v>
      </c>
      <c r="F379" s="425" t="s">
        <v>1927</v>
      </c>
      <c r="G379" s="424" t="s">
        <v>1447</v>
      </c>
      <c r="H379" s="424" t="s">
        <v>1448</v>
      </c>
      <c r="I379" s="426">
        <v>18.135000000000002</v>
      </c>
      <c r="J379" s="426">
        <v>90</v>
      </c>
      <c r="K379" s="427">
        <v>1618.2</v>
      </c>
    </row>
    <row r="380" spans="1:11" ht="14.4" customHeight="1" x14ac:dyDescent="0.3">
      <c r="A380" s="422" t="s">
        <v>444</v>
      </c>
      <c r="B380" s="423" t="s">
        <v>445</v>
      </c>
      <c r="C380" s="424" t="s">
        <v>449</v>
      </c>
      <c r="D380" s="425" t="s">
        <v>705</v>
      </c>
      <c r="E380" s="424" t="s">
        <v>1926</v>
      </c>
      <c r="F380" s="425" t="s">
        <v>1927</v>
      </c>
      <c r="G380" s="424" t="s">
        <v>1449</v>
      </c>
      <c r="H380" s="424" t="s">
        <v>1450</v>
      </c>
      <c r="I380" s="426">
        <v>18.8</v>
      </c>
      <c r="J380" s="426">
        <v>60</v>
      </c>
      <c r="K380" s="427">
        <v>1128</v>
      </c>
    </row>
    <row r="381" spans="1:11" ht="14.4" customHeight="1" x14ac:dyDescent="0.3">
      <c r="A381" s="422" t="s">
        <v>444</v>
      </c>
      <c r="B381" s="423" t="s">
        <v>445</v>
      </c>
      <c r="C381" s="424" t="s">
        <v>449</v>
      </c>
      <c r="D381" s="425" t="s">
        <v>705</v>
      </c>
      <c r="E381" s="424" t="s">
        <v>1926</v>
      </c>
      <c r="F381" s="425" t="s">
        <v>1927</v>
      </c>
      <c r="G381" s="424" t="s">
        <v>1451</v>
      </c>
      <c r="H381" s="424" t="s">
        <v>1452</v>
      </c>
      <c r="I381" s="426">
        <v>18.600000000000001</v>
      </c>
      <c r="J381" s="426">
        <v>30</v>
      </c>
      <c r="K381" s="427">
        <v>558</v>
      </c>
    </row>
    <row r="382" spans="1:11" ht="14.4" customHeight="1" x14ac:dyDescent="0.3">
      <c r="A382" s="422" t="s">
        <v>444</v>
      </c>
      <c r="B382" s="423" t="s">
        <v>445</v>
      </c>
      <c r="C382" s="424" t="s">
        <v>449</v>
      </c>
      <c r="D382" s="425" t="s">
        <v>705</v>
      </c>
      <c r="E382" s="424" t="s">
        <v>1926</v>
      </c>
      <c r="F382" s="425" t="s">
        <v>1927</v>
      </c>
      <c r="G382" s="424" t="s">
        <v>1453</v>
      </c>
      <c r="H382" s="424" t="s">
        <v>1454</v>
      </c>
      <c r="I382" s="426">
        <v>18.135000000000002</v>
      </c>
      <c r="J382" s="426">
        <v>90</v>
      </c>
      <c r="K382" s="427">
        <v>1618.2</v>
      </c>
    </row>
    <row r="383" spans="1:11" ht="14.4" customHeight="1" x14ac:dyDescent="0.3">
      <c r="A383" s="422" t="s">
        <v>444</v>
      </c>
      <c r="B383" s="423" t="s">
        <v>445</v>
      </c>
      <c r="C383" s="424" t="s">
        <v>449</v>
      </c>
      <c r="D383" s="425" t="s">
        <v>705</v>
      </c>
      <c r="E383" s="424" t="s">
        <v>1926</v>
      </c>
      <c r="F383" s="425" t="s">
        <v>1927</v>
      </c>
      <c r="G383" s="424" t="s">
        <v>1455</v>
      </c>
      <c r="H383" s="424" t="s">
        <v>1456</v>
      </c>
      <c r="I383" s="426">
        <v>1709.87</v>
      </c>
      <c r="J383" s="426">
        <v>6</v>
      </c>
      <c r="K383" s="427">
        <v>10203.48</v>
      </c>
    </row>
    <row r="384" spans="1:11" ht="14.4" customHeight="1" x14ac:dyDescent="0.3">
      <c r="A384" s="422" t="s">
        <v>444</v>
      </c>
      <c r="B384" s="423" t="s">
        <v>445</v>
      </c>
      <c r="C384" s="424" t="s">
        <v>449</v>
      </c>
      <c r="D384" s="425" t="s">
        <v>705</v>
      </c>
      <c r="E384" s="424" t="s">
        <v>1926</v>
      </c>
      <c r="F384" s="425" t="s">
        <v>1927</v>
      </c>
      <c r="G384" s="424" t="s">
        <v>1457</v>
      </c>
      <c r="H384" s="424" t="s">
        <v>1458</v>
      </c>
      <c r="I384" s="426">
        <v>18.600000000000001</v>
      </c>
      <c r="J384" s="426">
        <v>30</v>
      </c>
      <c r="K384" s="427">
        <v>558</v>
      </c>
    </row>
    <row r="385" spans="1:11" ht="14.4" customHeight="1" x14ac:dyDescent="0.3">
      <c r="A385" s="422" t="s">
        <v>444</v>
      </c>
      <c r="B385" s="423" t="s">
        <v>445</v>
      </c>
      <c r="C385" s="424" t="s">
        <v>449</v>
      </c>
      <c r="D385" s="425" t="s">
        <v>705</v>
      </c>
      <c r="E385" s="424" t="s">
        <v>1926</v>
      </c>
      <c r="F385" s="425" t="s">
        <v>1927</v>
      </c>
      <c r="G385" s="424" t="s">
        <v>1459</v>
      </c>
      <c r="H385" s="424" t="s">
        <v>1460</v>
      </c>
      <c r="I385" s="426">
        <v>1452</v>
      </c>
      <c r="J385" s="426">
        <v>2</v>
      </c>
      <c r="K385" s="427">
        <v>2904</v>
      </c>
    </row>
    <row r="386" spans="1:11" ht="14.4" customHeight="1" x14ac:dyDescent="0.3">
      <c r="A386" s="422" t="s">
        <v>444</v>
      </c>
      <c r="B386" s="423" t="s">
        <v>445</v>
      </c>
      <c r="C386" s="424" t="s">
        <v>449</v>
      </c>
      <c r="D386" s="425" t="s">
        <v>705</v>
      </c>
      <c r="E386" s="424" t="s">
        <v>1926</v>
      </c>
      <c r="F386" s="425" t="s">
        <v>1927</v>
      </c>
      <c r="G386" s="424" t="s">
        <v>1461</v>
      </c>
      <c r="H386" s="424" t="s">
        <v>1462</v>
      </c>
      <c r="I386" s="426">
        <v>2371.5</v>
      </c>
      <c r="J386" s="426">
        <v>1</v>
      </c>
      <c r="K386" s="427">
        <v>2371.5</v>
      </c>
    </row>
    <row r="387" spans="1:11" ht="14.4" customHeight="1" x14ac:dyDescent="0.3">
      <c r="A387" s="422" t="s">
        <v>444</v>
      </c>
      <c r="B387" s="423" t="s">
        <v>445</v>
      </c>
      <c r="C387" s="424" t="s">
        <v>449</v>
      </c>
      <c r="D387" s="425" t="s">
        <v>705</v>
      </c>
      <c r="E387" s="424" t="s">
        <v>1926</v>
      </c>
      <c r="F387" s="425" t="s">
        <v>1927</v>
      </c>
      <c r="G387" s="424" t="s">
        <v>1463</v>
      </c>
      <c r="H387" s="424" t="s">
        <v>1464</v>
      </c>
      <c r="I387" s="426">
        <v>1033</v>
      </c>
      <c r="J387" s="426">
        <v>1</v>
      </c>
      <c r="K387" s="427">
        <v>1033</v>
      </c>
    </row>
    <row r="388" spans="1:11" ht="14.4" customHeight="1" x14ac:dyDescent="0.3">
      <c r="A388" s="422" t="s">
        <v>444</v>
      </c>
      <c r="B388" s="423" t="s">
        <v>445</v>
      </c>
      <c r="C388" s="424" t="s">
        <v>449</v>
      </c>
      <c r="D388" s="425" t="s">
        <v>705</v>
      </c>
      <c r="E388" s="424" t="s">
        <v>1926</v>
      </c>
      <c r="F388" s="425" t="s">
        <v>1927</v>
      </c>
      <c r="G388" s="424" t="s">
        <v>1465</v>
      </c>
      <c r="H388" s="424" t="s">
        <v>1466</v>
      </c>
      <c r="I388" s="426">
        <v>2133.8500000000004</v>
      </c>
      <c r="J388" s="426">
        <v>2</v>
      </c>
      <c r="K388" s="427">
        <v>4267.7000000000007</v>
      </c>
    </row>
    <row r="389" spans="1:11" ht="14.4" customHeight="1" x14ac:dyDescent="0.3">
      <c r="A389" s="422" t="s">
        <v>444</v>
      </c>
      <c r="B389" s="423" t="s">
        <v>445</v>
      </c>
      <c r="C389" s="424" t="s">
        <v>449</v>
      </c>
      <c r="D389" s="425" t="s">
        <v>705</v>
      </c>
      <c r="E389" s="424" t="s">
        <v>1926</v>
      </c>
      <c r="F389" s="425" t="s">
        <v>1927</v>
      </c>
      <c r="G389" s="424" t="s">
        <v>1467</v>
      </c>
      <c r="H389" s="424" t="s">
        <v>1468</v>
      </c>
      <c r="I389" s="426">
        <v>1238.0550000000001</v>
      </c>
      <c r="J389" s="426">
        <v>3</v>
      </c>
      <c r="K389" s="427">
        <v>3709.3100000000004</v>
      </c>
    </row>
    <row r="390" spans="1:11" ht="14.4" customHeight="1" x14ac:dyDescent="0.3">
      <c r="A390" s="422" t="s">
        <v>444</v>
      </c>
      <c r="B390" s="423" t="s">
        <v>445</v>
      </c>
      <c r="C390" s="424" t="s">
        <v>449</v>
      </c>
      <c r="D390" s="425" t="s">
        <v>705</v>
      </c>
      <c r="E390" s="424" t="s">
        <v>1926</v>
      </c>
      <c r="F390" s="425" t="s">
        <v>1927</v>
      </c>
      <c r="G390" s="424" t="s">
        <v>1469</v>
      </c>
      <c r="H390" s="424" t="s">
        <v>1470</v>
      </c>
      <c r="I390" s="426">
        <v>1716.95</v>
      </c>
      <c r="J390" s="426">
        <v>6</v>
      </c>
      <c r="K390" s="427">
        <v>10301.700000000001</v>
      </c>
    </row>
    <row r="391" spans="1:11" ht="14.4" customHeight="1" x14ac:dyDescent="0.3">
      <c r="A391" s="422" t="s">
        <v>444</v>
      </c>
      <c r="B391" s="423" t="s">
        <v>445</v>
      </c>
      <c r="C391" s="424" t="s">
        <v>449</v>
      </c>
      <c r="D391" s="425" t="s">
        <v>705</v>
      </c>
      <c r="E391" s="424" t="s">
        <v>1926</v>
      </c>
      <c r="F391" s="425" t="s">
        <v>1927</v>
      </c>
      <c r="G391" s="424" t="s">
        <v>1471</v>
      </c>
      <c r="H391" s="424" t="s">
        <v>1472</v>
      </c>
      <c r="I391" s="426">
        <v>539</v>
      </c>
      <c r="J391" s="426">
        <v>2</v>
      </c>
      <c r="K391" s="427">
        <v>1078.01</v>
      </c>
    </row>
    <row r="392" spans="1:11" ht="14.4" customHeight="1" x14ac:dyDescent="0.3">
      <c r="A392" s="422" t="s">
        <v>444</v>
      </c>
      <c r="B392" s="423" t="s">
        <v>445</v>
      </c>
      <c r="C392" s="424" t="s">
        <v>449</v>
      </c>
      <c r="D392" s="425" t="s">
        <v>705</v>
      </c>
      <c r="E392" s="424" t="s">
        <v>1926</v>
      </c>
      <c r="F392" s="425" t="s">
        <v>1927</v>
      </c>
      <c r="G392" s="424" t="s">
        <v>1473</v>
      </c>
      <c r="H392" s="424" t="s">
        <v>1474</v>
      </c>
      <c r="I392" s="426">
        <v>1453.125</v>
      </c>
      <c r="J392" s="426">
        <v>2</v>
      </c>
      <c r="K392" s="427">
        <v>2906.25</v>
      </c>
    </row>
    <row r="393" spans="1:11" ht="14.4" customHeight="1" x14ac:dyDescent="0.3">
      <c r="A393" s="422" t="s">
        <v>444</v>
      </c>
      <c r="B393" s="423" t="s">
        <v>445</v>
      </c>
      <c r="C393" s="424" t="s">
        <v>449</v>
      </c>
      <c r="D393" s="425" t="s">
        <v>705</v>
      </c>
      <c r="E393" s="424" t="s">
        <v>1926</v>
      </c>
      <c r="F393" s="425" t="s">
        <v>1927</v>
      </c>
      <c r="G393" s="424" t="s">
        <v>1475</v>
      </c>
      <c r="H393" s="424" t="s">
        <v>1476</v>
      </c>
      <c r="I393" s="426">
        <v>92.8</v>
      </c>
      <c r="J393" s="426">
        <v>50</v>
      </c>
      <c r="K393" s="427">
        <v>4640</v>
      </c>
    </row>
    <row r="394" spans="1:11" ht="14.4" customHeight="1" x14ac:dyDescent="0.3">
      <c r="A394" s="422" t="s">
        <v>444</v>
      </c>
      <c r="B394" s="423" t="s">
        <v>445</v>
      </c>
      <c r="C394" s="424" t="s">
        <v>449</v>
      </c>
      <c r="D394" s="425" t="s">
        <v>705</v>
      </c>
      <c r="E394" s="424" t="s">
        <v>1926</v>
      </c>
      <c r="F394" s="425" t="s">
        <v>1927</v>
      </c>
      <c r="G394" s="424" t="s">
        <v>1477</v>
      </c>
      <c r="H394" s="424" t="s">
        <v>1478</v>
      </c>
      <c r="I394" s="426">
        <v>834.85</v>
      </c>
      <c r="J394" s="426">
        <v>1</v>
      </c>
      <c r="K394" s="427">
        <v>834.85</v>
      </c>
    </row>
    <row r="395" spans="1:11" ht="14.4" customHeight="1" x14ac:dyDescent="0.3">
      <c r="A395" s="422" t="s">
        <v>444</v>
      </c>
      <c r="B395" s="423" t="s">
        <v>445</v>
      </c>
      <c r="C395" s="424" t="s">
        <v>449</v>
      </c>
      <c r="D395" s="425" t="s">
        <v>705</v>
      </c>
      <c r="E395" s="424" t="s">
        <v>1926</v>
      </c>
      <c r="F395" s="425" t="s">
        <v>1927</v>
      </c>
      <c r="G395" s="424" t="s">
        <v>1479</v>
      </c>
      <c r="H395" s="424" t="s">
        <v>1480</v>
      </c>
      <c r="I395" s="426">
        <v>544.04999999999995</v>
      </c>
      <c r="J395" s="426">
        <v>3</v>
      </c>
      <c r="K395" s="427">
        <v>1618.2</v>
      </c>
    </row>
    <row r="396" spans="1:11" ht="14.4" customHeight="1" x14ac:dyDescent="0.3">
      <c r="A396" s="422" t="s">
        <v>444</v>
      </c>
      <c r="B396" s="423" t="s">
        <v>445</v>
      </c>
      <c r="C396" s="424" t="s">
        <v>449</v>
      </c>
      <c r="D396" s="425" t="s">
        <v>705</v>
      </c>
      <c r="E396" s="424" t="s">
        <v>1926</v>
      </c>
      <c r="F396" s="425" t="s">
        <v>1927</v>
      </c>
      <c r="G396" s="424" t="s">
        <v>1481</v>
      </c>
      <c r="H396" s="424" t="s">
        <v>1482</v>
      </c>
      <c r="I396" s="426">
        <v>157.17000000000002</v>
      </c>
      <c r="J396" s="426">
        <v>8</v>
      </c>
      <c r="K396" s="427">
        <v>1236.9000000000001</v>
      </c>
    </row>
    <row r="397" spans="1:11" ht="14.4" customHeight="1" x14ac:dyDescent="0.3">
      <c r="A397" s="422" t="s">
        <v>444</v>
      </c>
      <c r="B397" s="423" t="s">
        <v>445</v>
      </c>
      <c r="C397" s="424" t="s">
        <v>449</v>
      </c>
      <c r="D397" s="425" t="s">
        <v>705</v>
      </c>
      <c r="E397" s="424" t="s">
        <v>1926</v>
      </c>
      <c r="F397" s="425" t="s">
        <v>1927</v>
      </c>
      <c r="G397" s="424" t="s">
        <v>1483</v>
      </c>
      <c r="H397" s="424" t="s">
        <v>1484</v>
      </c>
      <c r="I397" s="426">
        <v>157.17000000000002</v>
      </c>
      <c r="J397" s="426">
        <v>5</v>
      </c>
      <c r="K397" s="427">
        <v>796.07999999999993</v>
      </c>
    </row>
    <row r="398" spans="1:11" ht="14.4" customHeight="1" x14ac:dyDescent="0.3">
      <c r="A398" s="422" t="s">
        <v>444</v>
      </c>
      <c r="B398" s="423" t="s">
        <v>445</v>
      </c>
      <c r="C398" s="424" t="s">
        <v>449</v>
      </c>
      <c r="D398" s="425" t="s">
        <v>705</v>
      </c>
      <c r="E398" s="424" t="s">
        <v>1926</v>
      </c>
      <c r="F398" s="425" t="s">
        <v>1927</v>
      </c>
      <c r="G398" s="424" t="s">
        <v>1485</v>
      </c>
      <c r="H398" s="424" t="s">
        <v>1486</v>
      </c>
      <c r="I398" s="426">
        <v>5.29</v>
      </c>
      <c r="J398" s="426">
        <v>120</v>
      </c>
      <c r="K398" s="427">
        <v>634.61</v>
      </c>
    </row>
    <row r="399" spans="1:11" ht="14.4" customHeight="1" x14ac:dyDescent="0.3">
      <c r="A399" s="422" t="s">
        <v>444</v>
      </c>
      <c r="B399" s="423" t="s">
        <v>445</v>
      </c>
      <c r="C399" s="424" t="s">
        <v>449</v>
      </c>
      <c r="D399" s="425" t="s">
        <v>705</v>
      </c>
      <c r="E399" s="424" t="s">
        <v>1926</v>
      </c>
      <c r="F399" s="425" t="s">
        <v>1927</v>
      </c>
      <c r="G399" s="424" t="s">
        <v>1487</v>
      </c>
      <c r="H399" s="424" t="s">
        <v>1488</v>
      </c>
      <c r="I399" s="426">
        <v>390.6</v>
      </c>
      <c r="J399" s="426">
        <v>5</v>
      </c>
      <c r="K399" s="427">
        <v>1953</v>
      </c>
    </row>
    <row r="400" spans="1:11" ht="14.4" customHeight="1" x14ac:dyDescent="0.3">
      <c r="A400" s="422" t="s">
        <v>444</v>
      </c>
      <c r="B400" s="423" t="s">
        <v>445</v>
      </c>
      <c r="C400" s="424" t="s">
        <v>449</v>
      </c>
      <c r="D400" s="425" t="s">
        <v>705</v>
      </c>
      <c r="E400" s="424" t="s">
        <v>1926</v>
      </c>
      <c r="F400" s="425" t="s">
        <v>1927</v>
      </c>
      <c r="G400" s="424" t="s">
        <v>1489</v>
      </c>
      <c r="H400" s="424" t="s">
        <v>1490</v>
      </c>
      <c r="I400" s="426">
        <v>118.06333333333333</v>
      </c>
      <c r="J400" s="426">
        <v>5</v>
      </c>
      <c r="K400" s="427">
        <v>589.37</v>
      </c>
    </row>
    <row r="401" spans="1:11" ht="14.4" customHeight="1" x14ac:dyDescent="0.3">
      <c r="A401" s="422" t="s">
        <v>444</v>
      </c>
      <c r="B401" s="423" t="s">
        <v>445</v>
      </c>
      <c r="C401" s="424" t="s">
        <v>449</v>
      </c>
      <c r="D401" s="425" t="s">
        <v>705</v>
      </c>
      <c r="E401" s="424" t="s">
        <v>1926</v>
      </c>
      <c r="F401" s="425" t="s">
        <v>1927</v>
      </c>
      <c r="G401" s="424" t="s">
        <v>1491</v>
      </c>
      <c r="H401" s="424" t="s">
        <v>1492</v>
      </c>
      <c r="I401" s="426">
        <v>938.96</v>
      </c>
      <c r="J401" s="426">
        <v>2</v>
      </c>
      <c r="K401" s="427">
        <v>1877.92</v>
      </c>
    </row>
    <row r="402" spans="1:11" ht="14.4" customHeight="1" x14ac:dyDescent="0.3">
      <c r="A402" s="422" t="s">
        <v>444</v>
      </c>
      <c r="B402" s="423" t="s">
        <v>445</v>
      </c>
      <c r="C402" s="424" t="s">
        <v>449</v>
      </c>
      <c r="D402" s="425" t="s">
        <v>705</v>
      </c>
      <c r="E402" s="424" t="s">
        <v>1926</v>
      </c>
      <c r="F402" s="425" t="s">
        <v>1927</v>
      </c>
      <c r="G402" s="424" t="s">
        <v>1493</v>
      </c>
      <c r="H402" s="424" t="s">
        <v>1494</v>
      </c>
      <c r="I402" s="426">
        <v>88.35</v>
      </c>
      <c r="J402" s="426">
        <v>30</v>
      </c>
      <c r="K402" s="427">
        <v>2650.5</v>
      </c>
    </row>
    <row r="403" spans="1:11" ht="14.4" customHeight="1" x14ac:dyDescent="0.3">
      <c r="A403" s="422" t="s">
        <v>444</v>
      </c>
      <c r="B403" s="423" t="s">
        <v>445</v>
      </c>
      <c r="C403" s="424" t="s">
        <v>449</v>
      </c>
      <c r="D403" s="425" t="s">
        <v>705</v>
      </c>
      <c r="E403" s="424" t="s">
        <v>1926</v>
      </c>
      <c r="F403" s="425" t="s">
        <v>1927</v>
      </c>
      <c r="G403" s="424" t="s">
        <v>1495</v>
      </c>
      <c r="H403" s="424" t="s">
        <v>1496</v>
      </c>
      <c r="I403" s="426">
        <v>342.70000000000005</v>
      </c>
      <c r="J403" s="426">
        <v>2</v>
      </c>
      <c r="K403" s="427">
        <v>685.40000000000009</v>
      </c>
    </row>
    <row r="404" spans="1:11" ht="14.4" customHeight="1" x14ac:dyDescent="0.3">
      <c r="A404" s="422" t="s">
        <v>444</v>
      </c>
      <c r="B404" s="423" t="s">
        <v>445</v>
      </c>
      <c r="C404" s="424" t="s">
        <v>449</v>
      </c>
      <c r="D404" s="425" t="s">
        <v>705</v>
      </c>
      <c r="E404" s="424" t="s">
        <v>1926</v>
      </c>
      <c r="F404" s="425" t="s">
        <v>1927</v>
      </c>
      <c r="G404" s="424" t="s">
        <v>1497</v>
      </c>
      <c r="H404" s="424" t="s">
        <v>1498</v>
      </c>
      <c r="I404" s="426">
        <v>141.16</v>
      </c>
      <c r="J404" s="426">
        <v>5</v>
      </c>
      <c r="K404" s="427">
        <v>701.65</v>
      </c>
    </row>
    <row r="405" spans="1:11" ht="14.4" customHeight="1" x14ac:dyDescent="0.3">
      <c r="A405" s="422" t="s">
        <v>444</v>
      </c>
      <c r="B405" s="423" t="s">
        <v>445</v>
      </c>
      <c r="C405" s="424" t="s">
        <v>449</v>
      </c>
      <c r="D405" s="425" t="s">
        <v>705</v>
      </c>
      <c r="E405" s="424" t="s">
        <v>1926</v>
      </c>
      <c r="F405" s="425" t="s">
        <v>1927</v>
      </c>
      <c r="G405" s="424" t="s">
        <v>1499</v>
      </c>
      <c r="H405" s="424" t="s">
        <v>1500</v>
      </c>
      <c r="I405" s="426">
        <v>2133.8450000000003</v>
      </c>
      <c r="J405" s="426">
        <v>3</v>
      </c>
      <c r="K405" s="427">
        <v>6393.34</v>
      </c>
    </row>
    <row r="406" spans="1:11" ht="14.4" customHeight="1" x14ac:dyDescent="0.3">
      <c r="A406" s="422" t="s">
        <v>444</v>
      </c>
      <c r="B406" s="423" t="s">
        <v>445</v>
      </c>
      <c r="C406" s="424" t="s">
        <v>449</v>
      </c>
      <c r="D406" s="425" t="s">
        <v>705</v>
      </c>
      <c r="E406" s="424" t="s">
        <v>1926</v>
      </c>
      <c r="F406" s="425" t="s">
        <v>1927</v>
      </c>
      <c r="G406" s="424" t="s">
        <v>1501</v>
      </c>
      <c r="H406" s="424" t="s">
        <v>1502</v>
      </c>
      <c r="I406" s="426">
        <v>4210.8</v>
      </c>
      <c r="J406" s="426">
        <v>2</v>
      </c>
      <c r="K406" s="427">
        <v>8421.6</v>
      </c>
    </row>
    <row r="407" spans="1:11" ht="14.4" customHeight="1" x14ac:dyDescent="0.3">
      <c r="A407" s="422" t="s">
        <v>444</v>
      </c>
      <c r="B407" s="423" t="s">
        <v>445</v>
      </c>
      <c r="C407" s="424" t="s">
        <v>449</v>
      </c>
      <c r="D407" s="425" t="s">
        <v>705</v>
      </c>
      <c r="E407" s="424" t="s">
        <v>1926</v>
      </c>
      <c r="F407" s="425" t="s">
        <v>1927</v>
      </c>
      <c r="G407" s="424" t="s">
        <v>1503</v>
      </c>
      <c r="H407" s="424" t="s">
        <v>1504</v>
      </c>
      <c r="I407" s="426">
        <v>331.03</v>
      </c>
      <c r="J407" s="426">
        <v>1</v>
      </c>
      <c r="K407" s="427">
        <v>331.03</v>
      </c>
    </row>
    <row r="408" spans="1:11" ht="14.4" customHeight="1" x14ac:dyDescent="0.3">
      <c r="A408" s="422" t="s">
        <v>444</v>
      </c>
      <c r="B408" s="423" t="s">
        <v>445</v>
      </c>
      <c r="C408" s="424" t="s">
        <v>449</v>
      </c>
      <c r="D408" s="425" t="s">
        <v>705</v>
      </c>
      <c r="E408" s="424" t="s">
        <v>1926</v>
      </c>
      <c r="F408" s="425" t="s">
        <v>1927</v>
      </c>
      <c r="G408" s="424" t="s">
        <v>1505</v>
      </c>
      <c r="H408" s="424" t="s">
        <v>1506</v>
      </c>
      <c r="I408" s="426">
        <v>482.79</v>
      </c>
      <c r="J408" s="426">
        <v>2</v>
      </c>
      <c r="K408" s="427">
        <v>965.58</v>
      </c>
    </row>
    <row r="409" spans="1:11" ht="14.4" customHeight="1" x14ac:dyDescent="0.3">
      <c r="A409" s="422" t="s">
        <v>444</v>
      </c>
      <c r="B409" s="423" t="s">
        <v>445</v>
      </c>
      <c r="C409" s="424" t="s">
        <v>449</v>
      </c>
      <c r="D409" s="425" t="s">
        <v>705</v>
      </c>
      <c r="E409" s="424" t="s">
        <v>1926</v>
      </c>
      <c r="F409" s="425" t="s">
        <v>1927</v>
      </c>
      <c r="G409" s="424" t="s">
        <v>1507</v>
      </c>
      <c r="H409" s="424" t="s">
        <v>1508</v>
      </c>
      <c r="I409" s="426">
        <v>586.85</v>
      </c>
      <c r="J409" s="426">
        <v>3</v>
      </c>
      <c r="K409" s="427">
        <v>1760.5500000000002</v>
      </c>
    </row>
    <row r="410" spans="1:11" ht="14.4" customHeight="1" x14ac:dyDescent="0.3">
      <c r="A410" s="422" t="s">
        <v>444</v>
      </c>
      <c r="B410" s="423" t="s">
        <v>445</v>
      </c>
      <c r="C410" s="424" t="s">
        <v>449</v>
      </c>
      <c r="D410" s="425" t="s">
        <v>705</v>
      </c>
      <c r="E410" s="424" t="s">
        <v>1926</v>
      </c>
      <c r="F410" s="425" t="s">
        <v>1927</v>
      </c>
      <c r="G410" s="424" t="s">
        <v>1509</v>
      </c>
      <c r="H410" s="424" t="s">
        <v>1510</v>
      </c>
      <c r="I410" s="426">
        <v>53.24</v>
      </c>
      <c r="J410" s="426">
        <v>10</v>
      </c>
      <c r="K410" s="427">
        <v>532.4</v>
      </c>
    </row>
    <row r="411" spans="1:11" ht="14.4" customHeight="1" x14ac:dyDescent="0.3">
      <c r="A411" s="422" t="s">
        <v>444</v>
      </c>
      <c r="B411" s="423" t="s">
        <v>445</v>
      </c>
      <c r="C411" s="424" t="s">
        <v>449</v>
      </c>
      <c r="D411" s="425" t="s">
        <v>705</v>
      </c>
      <c r="E411" s="424" t="s">
        <v>1926</v>
      </c>
      <c r="F411" s="425" t="s">
        <v>1927</v>
      </c>
      <c r="G411" s="424" t="s">
        <v>1511</v>
      </c>
      <c r="H411" s="424" t="s">
        <v>1512</v>
      </c>
      <c r="I411" s="426">
        <v>350.9</v>
      </c>
      <c r="J411" s="426">
        <v>2</v>
      </c>
      <c r="K411" s="427">
        <v>701.8</v>
      </c>
    </row>
    <row r="412" spans="1:11" ht="14.4" customHeight="1" x14ac:dyDescent="0.3">
      <c r="A412" s="422" t="s">
        <v>444</v>
      </c>
      <c r="B412" s="423" t="s">
        <v>445</v>
      </c>
      <c r="C412" s="424" t="s">
        <v>449</v>
      </c>
      <c r="D412" s="425" t="s">
        <v>705</v>
      </c>
      <c r="E412" s="424" t="s">
        <v>1926</v>
      </c>
      <c r="F412" s="425" t="s">
        <v>1927</v>
      </c>
      <c r="G412" s="424" t="s">
        <v>1513</v>
      </c>
      <c r="H412" s="424" t="s">
        <v>1514</v>
      </c>
      <c r="I412" s="426">
        <v>859.1</v>
      </c>
      <c r="J412" s="426">
        <v>2</v>
      </c>
      <c r="K412" s="427">
        <v>1718.2</v>
      </c>
    </row>
    <row r="413" spans="1:11" ht="14.4" customHeight="1" x14ac:dyDescent="0.3">
      <c r="A413" s="422" t="s">
        <v>444</v>
      </c>
      <c r="B413" s="423" t="s">
        <v>445</v>
      </c>
      <c r="C413" s="424" t="s">
        <v>449</v>
      </c>
      <c r="D413" s="425" t="s">
        <v>705</v>
      </c>
      <c r="E413" s="424" t="s">
        <v>1926</v>
      </c>
      <c r="F413" s="425" t="s">
        <v>1927</v>
      </c>
      <c r="G413" s="424" t="s">
        <v>1515</v>
      </c>
      <c r="H413" s="424" t="s">
        <v>1516</v>
      </c>
      <c r="I413" s="426">
        <v>2081.1999999999998</v>
      </c>
      <c r="J413" s="426">
        <v>1</v>
      </c>
      <c r="K413" s="427">
        <v>2081.1999999999998</v>
      </c>
    </row>
    <row r="414" spans="1:11" ht="14.4" customHeight="1" x14ac:dyDescent="0.3">
      <c r="A414" s="422" t="s">
        <v>444</v>
      </c>
      <c r="B414" s="423" t="s">
        <v>445</v>
      </c>
      <c r="C414" s="424" t="s">
        <v>449</v>
      </c>
      <c r="D414" s="425" t="s">
        <v>705</v>
      </c>
      <c r="E414" s="424" t="s">
        <v>1926</v>
      </c>
      <c r="F414" s="425" t="s">
        <v>1927</v>
      </c>
      <c r="G414" s="424" t="s">
        <v>1517</v>
      </c>
      <c r="H414" s="424" t="s">
        <v>1518</v>
      </c>
      <c r="I414" s="426">
        <v>3254.9</v>
      </c>
      <c r="J414" s="426">
        <v>1</v>
      </c>
      <c r="K414" s="427">
        <v>3254.9</v>
      </c>
    </row>
    <row r="415" spans="1:11" ht="14.4" customHeight="1" x14ac:dyDescent="0.3">
      <c r="A415" s="422" t="s">
        <v>444</v>
      </c>
      <c r="B415" s="423" t="s">
        <v>445</v>
      </c>
      <c r="C415" s="424" t="s">
        <v>449</v>
      </c>
      <c r="D415" s="425" t="s">
        <v>705</v>
      </c>
      <c r="E415" s="424" t="s">
        <v>1926</v>
      </c>
      <c r="F415" s="425" t="s">
        <v>1927</v>
      </c>
      <c r="G415" s="424" t="s">
        <v>1519</v>
      </c>
      <c r="H415" s="424" t="s">
        <v>1520</v>
      </c>
      <c r="I415" s="426">
        <v>753.83</v>
      </c>
      <c r="J415" s="426">
        <v>1</v>
      </c>
      <c r="K415" s="427">
        <v>753.83</v>
      </c>
    </row>
    <row r="416" spans="1:11" ht="14.4" customHeight="1" x14ac:dyDescent="0.3">
      <c r="A416" s="422" t="s">
        <v>444</v>
      </c>
      <c r="B416" s="423" t="s">
        <v>445</v>
      </c>
      <c r="C416" s="424" t="s">
        <v>449</v>
      </c>
      <c r="D416" s="425" t="s">
        <v>705</v>
      </c>
      <c r="E416" s="424" t="s">
        <v>1926</v>
      </c>
      <c r="F416" s="425" t="s">
        <v>1927</v>
      </c>
      <c r="G416" s="424" t="s">
        <v>1521</v>
      </c>
      <c r="H416" s="424" t="s">
        <v>1522</v>
      </c>
      <c r="I416" s="426">
        <v>58.08</v>
      </c>
      <c r="J416" s="426">
        <v>2</v>
      </c>
      <c r="K416" s="427">
        <v>116.16</v>
      </c>
    </row>
    <row r="417" spans="1:11" ht="14.4" customHeight="1" x14ac:dyDescent="0.3">
      <c r="A417" s="422" t="s">
        <v>444</v>
      </c>
      <c r="B417" s="423" t="s">
        <v>445</v>
      </c>
      <c r="C417" s="424" t="s">
        <v>449</v>
      </c>
      <c r="D417" s="425" t="s">
        <v>705</v>
      </c>
      <c r="E417" s="424" t="s">
        <v>1926</v>
      </c>
      <c r="F417" s="425" t="s">
        <v>1927</v>
      </c>
      <c r="G417" s="424" t="s">
        <v>1523</v>
      </c>
      <c r="H417" s="424" t="s">
        <v>1524</v>
      </c>
      <c r="I417" s="426">
        <v>531.6</v>
      </c>
      <c r="J417" s="426">
        <v>1</v>
      </c>
      <c r="K417" s="427">
        <v>531.6</v>
      </c>
    </row>
    <row r="418" spans="1:11" ht="14.4" customHeight="1" x14ac:dyDescent="0.3">
      <c r="A418" s="422" t="s">
        <v>444</v>
      </c>
      <c r="B418" s="423" t="s">
        <v>445</v>
      </c>
      <c r="C418" s="424" t="s">
        <v>449</v>
      </c>
      <c r="D418" s="425" t="s">
        <v>705</v>
      </c>
      <c r="E418" s="424" t="s">
        <v>1926</v>
      </c>
      <c r="F418" s="425" t="s">
        <v>1927</v>
      </c>
      <c r="G418" s="424" t="s">
        <v>1525</v>
      </c>
      <c r="H418" s="424" t="s">
        <v>1526</v>
      </c>
      <c r="I418" s="426">
        <v>17.670000000000002</v>
      </c>
      <c r="J418" s="426">
        <v>60</v>
      </c>
      <c r="K418" s="427">
        <v>1060.2</v>
      </c>
    </row>
    <row r="419" spans="1:11" ht="14.4" customHeight="1" x14ac:dyDescent="0.3">
      <c r="A419" s="422" t="s">
        <v>444</v>
      </c>
      <c r="B419" s="423" t="s">
        <v>445</v>
      </c>
      <c r="C419" s="424" t="s">
        <v>449</v>
      </c>
      <c r="D419" s="425" t="s">
        <v>705</v>
      </c>
      <c r="E419" s="424" t="s">
        <v>1926</v>
      </c>
      <c r="F419" s="425" t="s">
        <v>1927</v>
      </c>
      <c r="G419" s="424" t="s">
        <v>1527</v>
      </c>
      <c r="H419" s="424" t="s">
        <v>1528</v>
      </c>
      <c r="I419" s="426">
        <v>17.670000000000002</v>
      </c>
      <c r="J419" s="426">
        <v>60</v>
      </c>
      <c r="K419" s="427">
        <v>1060.2</v>
      </c>
    </row>
    <row r="420" spans="1:11" ht="14.4" customHeight="1" x14ac:dyDescent="0.3">
      <c r="A420" s="422" t="s">
        <v>444</v>
      </c>
      <c r="B420" s="423" t="s">
        <v>445</v>
      </c>
      <c r="C420" s="424" t="s">
        <v>449</v>
      </c>
      <c r="D420" s="425" t="s">
        <v>705</v>
      </c>
      <c r="E420" s="424" t="s">
        <v>1926</v>
      </c>
      <c r="F420" s="425" t="s">
        <v>1927</v>
      </c>
      <c r="G420" s="424" t="s">
        <v>1529</v>
      </c>
      <c r="H420" s="424" t="s">
        <v>1530</v>
      </c>
      <c r="I420" s="426">
        <v>2624.49</v>
      </c>
      <c r="J420" s="426">
        <v>1</v>
      </c>
      <c r="K420" s="427">
        <v>2624.49</v>
      </c>
    </row>
    <row r="421" spans="1:11" ht="14.4" customHeight="1" x14ac:dyDescent="0.3">
      <c r="A421" s="422" t="s">
        <v>444</v>
      </c>
      <c r="B421" s="423" t="s">
        <v>445</v>
      </c>
      <c r="C421" s="424" t="s">
        <v>449</v>
      </c>
      <c r="D421" s="425" t="s">
        <v>705</v>
      </c>
      <c r="E421" s="424" t="s">
        <v>1926</v>
      </c>
      <c r="F421" s="425" t="s">
        <v>1927</v>
      </c>
      <c r="G421" s="424" t="s">
        <v>1531</v>
      </c>
      <c r="H421" s="424" t="s">
        <v>1532</v>
      </c>
      <c r="I421" s="426">
        <v>1840.41</v>
      </c>
      <c r="J421" s="426">
        <v>2</v>
      </c>
      <c r="K421" s="427">
        <v>3680.82</v>
      </c>
    </row>
    <row r="422" spans="1:11" ht="14.4" customHeight="1" x14ac:dyDescent="0.3">
      <c r="A422" s="422" t="s">
        <v>444</v>
      </c>
      <c r="B422" s="423" t="s">
        <v>445</v>
      </c>
      <c r="C422" s="424" t="s">
        <v>449</v>
      </c>
      <c r="D422" s="425" t="s">
        <v>705</v>
      </c>
      <c r="E422" s="424" t="s">
        <v>1926</v>
      </c>
      <c r="F422" s="425" t="s">
        <v>1927</v>
      </c>
      <c r="G422" s="424" t="s">
        <v>1533</v>
      </c>
      <c r="H422" s="424" t="s">
        <v>1534</v>
      </c>
      <c r="I422" s="426">
        <v>85.91</v>
      </c>
      <c r="J422" s="426">
        <v>10</v>
      </c>
      <c r="K422" s="427">
        <v>859.1</v>
      </c>
    </row>
    <row r="423" spans="1:11" ht="14.4" customHeight="1" x14ac:dyDescent="0.3">
      <c r="A423" s="422" t="s">
        <v>444</v>
      </c>
      <c r="B423" s="423" t="s">
        <v>445</v>
      </c>
      <c r="C423" s="424" t="s">
        <v>449</v>
      </c>
      <c r="D423" s="425" t="s">
        <v>705</v>
      </c>
      <c r="E423" s="424" t="s">
        <v>1926</v>
      </c>
      <c r="F423" s="425" t="s">
        <v>1927</v>
      </c>
      <c r="G423" s="424" t="s">
        <v>1535</v>
      </c>
      <c r="H423" s="424" t="s">
        <v>1536</v>
      </c>
      <c r="I423" s="426">
        <v>865.15</v>
      </c>
      <c r="J423" s="426">
        <v>1</v>
      </c>
      <c r="K423" s="427">
        <v>865.15</v>
      </c>
    </row>
    <row r="424" spans="1:11" ht="14.4" customHeight="1" x14ac:dyDescent="0.3">
      <c r="A424" s="422" t="s">
        <v>444</v>
      </c>
      <c r="B424" s="423" t="s">
        <v>445</v>
      </c>
      <c r="C424" s="424" t="s">
        <v>449</v>
      </c>
      <c r="D424" s="425" t="s">
        <v>705</v>
      </c>
      <c r="E424" s="424" t="s">
        <v>1926</v>
      </c>
      <c r="F424" s="425" t="s">
        <v>1927</v>
      </c>
      <c r="G424" s="424" t="s">
        <v>1537</v>
      </c>
      <c r="H424" s="424" t="s">
        <v>1538</v>
      </c>
      <c r="I424" s="426">
        <v>955.9</v>
      </c>
      <c r="J424" s="426">
        <v>1</v>
      </c>
      <c r="K424" s="427">
        <v>955.9</v>
      </c>
    </row>
    <row r="425" spans="1:11" ht="14.4" customHeight="1" x14ac:dyDescent="0.3">
      <c r="A425" s="422" t="s">
        <v>444</v>
      </c>
      <c r="B425" s="423" t="s">
        <v>445</v>
      </c>
      <c r="C425" s="424" t="s">
        <v>449</v>
      </c>
      <c r="D425" s="425" t="s">
        <v>705</v>
      </c>
      <c r="E425" s="424" t="s">
        <v>1926</v>
      </c>
      <c r="F425" s="425" t="s">
        <v>1927</v>
      </c>
      <c r="G425" s="424" t="s">
        <v>1539</v>
      </c>
      <c r="H425" s="424" t="s">
        <v>1540</v>
      </c>
      <c r="I425" s="426">
        <v>53.24</v>
      </c>
      <c r="J425" s="426">
        <v>10</v>
      </c>
      <c r="K425" s="427">
        <v>532.4</v>
      </c>
    </row>
    <row r="426" spans="1:11" ht="14.4" customHeight="1" x14ac:dyDescent="0.3">
      <c r="A426" s="422" t="s">
        <v>444</v>
      </c>
      <c r="B426" s="423" t="s">
        <v>445</v>
      </c>
      <c r="C426" s="424" t="s">
        <v>449</v>
      </c>
      <c r="D426" s="425" t="s">
        <v>705</v>
      </c>
      <c r="E426" s="424" t="s">
        <v>1926</v>
      </c>
      <c r="F426" s="425" t="s">
        <v>1927</v>
      </c>
      <c r="G426" s="424" t="s">
        <v>1541</v>
      </c>
      <c r="H426" s="424" t="s">
        <v>1542</v>
      </c>
      <c r="I426" s="426">
        <v>350.9</v>
      </c>
      <c r="J426" s="426">
        <v>1</v>
      </c>
      <c r="K426" s="427">
        <v>350.9</v>
      </c>
    </row>
    <row r="427" spans="1:11" ht="14.4" customHeight="1" x14ac:dyDescent="0.3">
      <c r="A427" s="422" t="s">
        <v>444</v>
      </c>
      <c r="B427" s="423" t="s">
        <v>445</v>
      </c>
      <c r="C427" s="424" t="s">
        <v>449</v>
      </c>
      <c r="D427" s="425" t="s">
        <v>705</v>
      </c>
      <c r="E427" s="424" t="s">
        <v>1926</v>
      </c>
      <c r="F427" s="425" t="s">
        <v>1927</v>
      </c>
      <c r="G427" s="424" t="s">
        <v>1543</v>
      </c>
      <c r="H427" s="424" t="s">
        <v>1544</v>
      </c>
      <c r="I427" s="426">
        <v>1715</v>
      </c>
      <c r="J427" s="426">
        <v>1</v>
      </c>
      <c r="K427" s="427">
        <v>1715</v>
      </c>
    </row>
    <row r="428" spans="1:11" ht="14.4" customHeight="1" x14ac:dyDescent="0.3">
      <c r="A428" s="422" t="s">
        <v>444</v>
      </c>
      <c r="B428" s="423" t="s">
        <v>445</v>
      </c>
      <c r="C428" s="424" t="s">
        <v>449</v>
      </c>
      <c r="D428" s="425" t="s">
        <v>705</v>
      </c>
      <c r="E428" s="424" t="s">
        <v>1926</v>
      </c>
      <c r="F428" s="425" t="s">
        <v>1927</v>
      </c>
      <c r="G428" s="424" t="s">
        <v>1545</v>
      </c>
      <c r="H428" s="424" t="s">
        <v>1546</v>
      </c>
      <c r="I428" s="426">
        <v>187.28</v>
      </c>
      <c r="J428" s="426">
        <v>2</v>
      </c>
      <c r="K428" s="427">
        <v>374.55</v>
      </c>
    </row>
    <row r="429" spans="1:11" ht="14.4" customHeight="1" x14ac:dyDescent="0.3">
      <c r="A429" s="422" t="s">
        <v>444</v>
      </c>
      <c r="B429" s="423" t="s">
        <v>445</v>
      </c>
      <c r="C429" s="424" t="s">
        <v>449</v>
      </c>
      <c r="D429" s="425" t="s">
        <v>705</v>
      </c>
      <c r="E429" s="424" t="s">
        <v>1926</v>
      </c>
      <c r="F429" s="425" t="s">
        <v>1927</v>
      </c>
      <c r="G429" s="424" t="s">
        <v>1547</v>
      </c>
      <c r="H429" s="424" t="s">
        <v>1548</v>
      </c>
      <c r="I429" s="426">
        <v>8.07</v>
      </c>
      <c r="J429" s="426">
        <v>120</v>
      </c>
      <c r="K429" s="427">
        <v>969</v>
      </c>
    </row>
    <row r="430" spans="1:11" ht="14.4" customHeight="1" x14ac:dyDescent="0.3">
      <c r="A430" s="422" t="s">
        <v>444</v>
      </c>
      <c r="B430" s="423" t="s">
        <v>445</v>
      </c>
      <c r="C430" s="424" t="s">
        <v>449</v>
      </c>
      <c r="D430" s="425" t="s">
        <v>705</v>
      </c>
      <c r="E430" s="424" t="s">
        <v>1926</v>
      </c>
      <c r="F430" s="425" t="s">
        <v>1927</v>
      </c>
      <c r="G430" s="424" t="s">
        <v>1549</v>
      </c>
      <c r="H430" s="424" t="s">
        <v>1550</v>
      </c>
      <c r="I430" s="426">
        <v>8.07</v>
      </c>
      <c r="J430" s="426">
        <v>120</v>
      </c>
      <c r="K430" s="427">
        <v>969</v>
      </c>
    </row>
    <row r="431" spans="1:11" ht="14.4" customHeight="1" x14ac:dyDescent="0.3">
      <c r="A431" s="422" t="s">
        <v>444</v>
      </c>
      <c r="B431" s="423" t="s">
        <v>445</v>
      </c>
      <c r="C431" s="424" t="s">
        <v>449</v>
      </c>
      <c r="D431" s="425" t="s">
        <v>705</v>
      </c>
      <c r="E431" s="424" t="s">
        <v>1926</v>
      </c>
      <c r="F431" s="425" t="s">
        <v>1927</v>
      </c>
      <c r="G431" s="424" t="s">
        <v>1551</v>
      </c>
      <c r="H431" s="424" t="s">
        <v>1552</v>
      </c>
      <c r="I431" s="426">
        <v>211.5</v>
      </c>
      <c r="J431" s="426">
        <v>6</v>
      </c>
      <c r="K431" s="427">
        <v>1269</v>
      </c>
    </row>
    <row r="432" spans="1:11" ht="14.4" customHeight="1" x14ac:dyDescent="0.3">
      <c r="A432" s="422" t="s">
        <v>444</v>
      </c>
      <c r="B432" s="423" t="s">
        <v>445</v>
      </c>
      <c r="C432" s="424" t="s">
        <v>449</v>
      </c>
      <c r="D432" s="425" t="s">
        <v>705</v>
      </c>
      <c r="E432" s="424" t="s">
        <v>1926</v>
      </c>
      <c r="F432" s="425" t="s">
        <v>1927</v>
      </c>
      <c r="G432" s="424" t="s">
        <v>1553</v>
      </c>
      <c r="H432" s="424" t="s">
        <v>1554</v>
      </c>
      <c r="I432" s="426">
        <v>3.32</v>
      </c>
      <c r="J432" s="426">
        <v>120</v>
      </c>
      <c r="K432" s="427">
        <v>398</v>
      </c>
    </row>
    <row r="433" spans="1:11" ht="14.4" customHeight="1" x14ac:dyDescent="0.3">
      <c r="A433" s="422" t="s">
        <v>444</v>
      </c>
      <c r="B433" s="423" t="s">
        <v>445</v>
      </c>
      <c r="C433" s="424" t="s">
        <v>449</v>
      </c>
      <c r="D433" s="425" t="s">
        <v>705</v>
      </c>
      <c r="E433" s="424" t="s">
        <v>1926</v>
      </c>
      <c r="F433" s="425" t="s">
        <v>1927</v>
      </c>
      <c r="G433" s="424" t="s">
        <v>1555</v>
      </c>
      <c r="H433" s="424" t="s">
        <v>1556</v>
      </c>
      <c r="I433" s="426">
        <v>931.47</v>
      </c>
      <c r="J433" s="426">
        <v>1</v>
      </c>
      <c r="K433" s="427">
        <v>931.47</v>
      </c>
    </row>
    <row r="434" spans="1:11" ht="14.4" customHeight="1" x14ac:dyDescent="0.3">
      <c r="A434" s="422" t="s">
        <v>444</v>
      </c>
      <c r="B434" s="423" t="s">
        <v>445</v>
      </c>
      <c r="C434" s="424" t="s">
        <v>449</v>
      </c>
      <c r="D434" s="425" t="s">
        <v>705</v>
      </c>
      <c r="E434" s="424" t="s">
        <v>1926</v>
      </c>
      <c r="F434" s="425" t="s">
        <v>1927</v>
      </c>
      <c r="G434" s="424" t="s">
        <v>1557</v>
      </c>
      <c r="H434" s="424" t="s">
        <v>1558</v>
      </c>
      <c r="I434" s="426">
        <v>3.65</v>
      </c>
      <c r="J434" s="426">
        <v>120</v>
      </c>
      <c r="K434" s="427">
        <v>438.45</v>
      </c>
    </row>
    <row r="435" spans="1:11" ht="14.4" customHeight="1" x14ac:dyDescent="0.3">
      <c r="A435" s="422" t="s">
        <v>444</v>
      </c>
      <c r="B435" s="423" t="s">
        <v>445</v>
      </c>
      <c r="C435" s="424" t="s">
        <v>449</v>
      </c>
      <c r="D435" s="425" t="s">
        <v>705</v>
      </c>
      <c r="E435" s="424" t="s">
        <v>1926</v>
      </c>
      <c r="F435" s="425" t="s">
        <v>1927</v>
      </c>
      <c r="G435" s="424" t="s">
        <v>1559</v>
      </c>
      <c r="H435" s="424" t="s">
        <v>1560</v>
      </c>
      <c r="I435" s="426">
        <v>816.5</v>
      </c>
      <c r="J435" s="426">
        <v>1</v>
      </c>
      <c r="K435" s="427">
        <v>816.5</v>
      </c>
    </row>
    <row r="436" spans="1:11" ht="14.4" customHeight="1" x14ac:dyDescent="0.3">
      <c r="A436" s="422" t="s">
        <v>444</v>
      </c>
      <c r="B436" s="423" t="s">
        <v>445</v>
      </c>
      <c r="C436" s="424" t="s">
        <v>449</v>
      </c>
      <c r="D436" s="425" t="s">
        <v>705</v>
      </c>
      <c r="E436" s="424" t="s">
        <v>1926</v>
      </c>
      <c r="F436" s="425" t="s">
        <v>1927</v>
      </c>
      <c r="G436" s="424" t="s">
        <v>1561</v>
      </c>
      <c r="H436" s="424" t="s">
        <v>1562</v>
      </c>
      <c r="I436" s="426">
        <v>87.12</v>
      </c>
      <c r="J436" s="426">
        <v>1</v>
      </c>
      <c r="K436" s="427">
        <v>87.12</v>
      </c>
    </row>
    <row r="437" spans="1:11" ht="14.4" customHeight="1" x14ac:dyDescent="0.3">
      <c r="A437" s="422" t="s">
        <v>444</v>
      </c>
      <c r="B437" s="423" t="s">
        <v>445</v>
      </c>
      <c r="C437" s="424" t="s">
        <v>449</v>
      </c>
      <c r="D437" s="425" t="s">
        <v>705</v>
      </c>
      <c r="E437" s="424" t="s">
        <v>1926</v>
      </c>
      <c r="F437" s="425" t="s">
        <v>1927</v>
      </c>
      <c r="G437" s="424" t="s">
        <v>1563</v>
      </c>
      <c r="H437" s="424" t="s">
        <v>1564</v>
      </c>
      <c r="I437" s="426">
        <v>3070.5</v>
      </c>
      <c r="J437" s="426">
        <v>1</v>
      </c>
      <c r="K437" s="427">
        <v>3070.5</v>
      </c>
    </row>
    <row r="438" spans="1:11" ht="14.4" customHeight="1" x14ac:dyDescent="0.3">
      <c r="A438" s="422" t="s">
        <v>444</v>
      </c>
      <c r="B438" s="423" t="s">
        <v>445</v>
      </c>
      <c r="C438" s="424" t="s">
        <v>449</v>
      </c>
      <c r="D438" s="425" t="s">
        <v>705</v>
      </c>
      <c r="E438" s="424" t="s">
        <v>1926</v>
      </c>
      <c r="F438" s="425" t="s">
        <v>1927</v>
      </c>
      <c r="G438" s="424" t="s">
        <v>1565</v>
      </c>
      <c r="H438" s="424" t="s">
        <v>1566</v>
      </c>
      <c r="I438" s="426">
        <v>902.05500000000006</v>
      </c>
      <c r="J438" s="426">
        <v>2</v>
      </c>
      <c r="K438" s="427">
        <v>1804.1100000000001</v>
      </c>
    </row>
    <row r="439" spans="1:11" ht="14.4" customHeight="1" x14ac:dyDescent="0.3">
      <c r="A439" s="422" t="s">
        <v>444</v>
      </c>
      <c r="B439" s="423" t="s">
        <v>445</v>
      </c>
      <c r="C439" s="424" t="s">
        <v>449</v>
      </c>
      <c r="D439" s="425" t="s">
        <v>705</v>
      </c>
      <c r="E439" s="424" t="s">
        <v>1926</v>
      </c>
      <c r="F439" s="425" t="s">
        <v>1927</v>
      </c>
      <c r="G439" s="424" t="s">
        <v>1567</v>
      </c>
      <c r="H439" s="424" t="s">
        <v>1568</v>
      </c>
      <c r="I439" s="426">
        <v>880</v>
      </c>
      <c r="J439" s="426">
        <v>2</v>
      </c>
      <c r="K439" s="427">
        <v>1760.01</v>
      </c>
    </row>
    <row r="440" spans="1:11" ht="14.4" customHeight="1" x14ac:dyDescent="0.3">
      <c r="A440" s="422" t="s">
        <v>444</v>
      </c>
      <c r="B440" s="423" t="s">
        <v>445</v>
      </c>
      <c r="C440" s="424" t="s">
        <v>449</v>
      </c>
      <c r="D440" s="425" t="s">
        <v>705</v>
      </c>
      <c r="E440" s="424" t="s">
        <v>1926</v>
      </c>
      <c r="F440" s="425" t="s">
        <v>1927</v>
      </c>
      <c r="G440" s="424" t="s">
        <v>1569</v>
      </c>
      <c r="H440" s="424" t="s">
        <v>1570</v>
      </c>
      <c r="I440" s="426">
        <v>809</v>
      </c>
      <c r="J440" s="426">
        <v>1</v>
      </c>
      <c r="K440" s="427">
        <v>809</v>
      </c>
    </row>
    <row r="441" spans="1:11" ht="14.4" customHeight="1" x14ac:dyDescent="0.3">
      <c r="A441" s="422" t="s">
        <v>444</v>
      </c>
      <c r="B441" s="423" t="s">
        <v>445</v>
      </c>
      <c r="C441" s="424" t="s">
        <v>449</v>
      </c>
      <c r="D441" s="425" t="s">
        <v>705</v>
      </c>
      <c r="E441" s="424" t="s">
        <v>1926</v>
      </c>
      <c r="F441" s="425" t="s">
        <v>1927</v>
      </c>
      <c r="G441" s="424" t="s">
        <v>1571</v>
      </c>
      <c r="H441" s="424" t="s">
        <v>1572</v>
      </c>
      <c r="I441" s="426">
        <v>6869.83</v>
      </c>
      <c r="J441" s="426">
        <v>1</v>
      </c>
      <c r="K441" s="427">
        <v>6869.83</v>
      </c>
    </row>
    <row r="442" spans="1:11" ht="14.4" customHeight="1" x14ac:dyDescent="0.3">
      <c r="A442" s="422" t="s">
        <v>444</v>
      </c>
      <c r="B442" s="423" t="s">
        <v>445</v>
      </c>
      <c r="C442" s="424" t="s">
        <v>449</v>
      </c>
      <c r="D442" s="425" t="s">
        <v>705</v>
      </c>
      <c r="E442" s="424" t="s">
        <v>1926</v>
      </c>
      <c r="F442" s="425" t="s">
        <v>1927</v>
      </c>
      <c r="G442" s="424" t="s">
        <v>1573</v>
      </c>
      <c r="H442" s="424" t="s">
        <v>1574</v>
      </c>
      <c r="I442" s="426">
        <v>125</v>
      </c>
      <c r="J442" s="426">
        <v>30</v>
      </c>
      <c r="K442" s="427">
        <v>3750.01</v>
      </c>
    </row>
    <row r="443" spans="1:11" ht="14.4" customHeight="1" x14ac:dyDescent="0.3">
      <c r="A443" s="422" t="s">
        <v>444</v>
      </c>
      <c r="B443" s="423" t="s">
        <v>445</v>
      </c>
      <c r="C443" s="424" t="s">
        <v>449</v>
      </c>
      <c r="D443" s="425" t="s">
        <v>705</v>
      </c>
      <c r="E443" s="424" t="s">
        <v>1926</v>
      </c>
      <c r="F443" s="425" t="s">
        <v>1927</v>
      </c>
      <c r="G443" s="424" t="s">
        <v>1575</v>
      </c>
      <c r="H443" s="424" t="s">
        <v>1576</v>
      </c>
      <c r="I443" s="426">
        <v>301</v>
      </c>
      <c r="J443" s="426">
        <v>1</v>
      </c>
      <c r="K443" s="427">
        <v>301</v>
      </c>
    </row>
    <row r="444" spans="1:11" ht="14.4" customHeight="1" x14ac:dyDescent="0.3">
      <c r="A444" s="422" t="s">
        <v>444</v>
      </c>
      <c r="B444" s="423" t="s">
        <v>445</v>
      </c>
      <c r="C444" s="424" t="s">
        <v>449</v>
      </c>
      <c r="D444" s="425" t="s">
        <v>705</v>
      </c>
      <c r="E444" s="424" t="s">
        <v>1926</v>
      </c>
      <c r="F444" s="425" t="s">
        <v>1927</v>
      </c>
      <c r="G444" s="424" t="s">
        <v>1577</v>
      </c>
      <c r="H444" s="424" t="s">
        <v>1578</v>
      </c>
      <c r="I444" s="426">
        <v>54.87</v>
      </c>
      <c r="J444" s="426">
        <v>10</v>
      </c>
      <c r="K444" s="427">
        <v>548.70000000000005</v>
      </c>
    </row>
    <row r="445" spans="1:11" ht="14.4" customHeight="1" x14ac:dyDescent="0.3">
      <c r="A445" s="422" t="s">
        <v>444</v>
      </c>
      <c r="B445" s="423" t="s">
        <v>445</v>
      </c>
      <c r="C445" s="424" t="s">
        <v>449</v>
      </c>
      <c r="D445" s="425" t="s">
        <v>705</v>
      </c>
      <c r="E445" s="424" t="s">
        <v>1926</v>
      </c>
      <c r="F445" s="425" t="s">
        <v>1927</v>
      </c>
      <c r="G445" s="424" t="s">
        <v>1579</v>
      </c>
      <c r="H445" s="424" t="s">
        <v>1580</v>
      </c>
      <c r="I445" s="426">
        <v>180.29</v>
      </c>
      <c r="J445" s="426">
        <v>1</v>
      </c>
      <c r="K445" s="427">
        <v>180.29</v>
      </c>
    </row>
    <row r="446" spans="1:11" ht="14.4" customHeight="1" x14ac:dyDescent="0.3">
      <c r="A446" s="422" t="s">
        <v>444</v>
      </c>
      <c r="B446" s="423" t="s">
        <v>445</v>
      </c>
      <c r="C446" s="424" t="s">
        <v>449</v>
      </c>
      <c r="D446" s="425" t="s">
        <v>705</v>
      </c>
      <c r="E446" s="424" t="s">
        <v>1926</v>
      </c>
      <c r="F446" s="425" t="s">
        <v>1927</v>
      </c>
      <c r="G446" s="424" t="s">
        <v>1581</v>
      </c>
      <c r="H446" s="424" t="s">
        <v>1582</v>
      </c>
      <c r="I446" s="426">
        <v>942.59</v>
      </c>
      <c r="J446" s="426">
        <v>3</v>
      </c>
      <c r="K446" s="427">
        <v>2827.77</v>
      </c>
    </row>
    <row r="447" spans="1:11" ht="14.4" customHeight="1" x14ac:dyDescent="0.3">
      <c r="A447" s="422" t="s">
        <v>444</v>
      </c>
      <c r="B447" s="423" t="s">
        <v>445</v>
      </c>
      <c r="C447" s="424" t="s">
        <v>449</v>
      </c>
      <c r="D447" s="425" t="s">
        <v>705</v>
      </c>
      <c r="E447" s="424" t="s">
        <v>1926</v>
      </c>
      <c r="F447" s="425" t="s">
        <v>1927</v>
      </c>
      <c r="G447" s="424" t="s">
        <v>1583</v>
      </c>
      <c r="H447" s="424" t="s">
        <v>1584</v>
      </c>
      <c r="I447" s="426">
        <v>17.39</v>
      </c>
      <c r="J447" s="426">
        <v>120</v>
      </c>
      <c r="K447" s="427">
        <v>2086.92</v>
      </c>
    </row>
    <row r="448" spans="1:11" ht="14.4" customHeight="1" x14ac:dyDescent="0.3">
      <c r="A448" s="422" t="s">
        <v>444</v>
      </c>
      <c r="B448" s="423" t="s">
        <v>445</v>
      </c>
      <c r="C448" s="424" t="s">
        <v>449</v>
      </c>
      <c r="D448" s="425" t="s">
        <v>705</v>
      </c>
      <c r="E448" s="424" t="s">
        <v>1926</v>
      </c>
      <c r="F448" s="425" t="s">
        <v>1927</v>
      </c>
      <c r="G448" s="424" t="s">
        <v>1585</v>
      </c>
      <c r="H448" s="424" t="s">
        <v>1586</v>
      </c>
      <c r="I448" s="426">
        <v>1411.27</v>
      </c>
      <c r="J448" s="426">
        <v>2</v>
      </c>
      <c r="K448" s="427">
        <v>2822.54</v>
      </c>
    </row>
    <row r="449" spans="1:11" ht="14.4" customHeight="1" x14ac:dyDescent="0.3">
      <c r="A449" s="422" t="s">
        <v>444</v>
      </c>
      <c r="B449" s="423" t="s">
        <v>445</v>
      </c>
      <c r="C449" s="424" t="s">
        <v>449</v>
      </c>
      <c r="D449" s="425" t="s">
        <v>705</v>
      </c>
      <c r="E449" s="424" t="s">
        <v>1926</v>
      </c>
      <c r="F449" s="425" t="s">
        <v>1927</v>
      </c>
      <c r="G449" s="424" t="s">
        <v>1587</v>
      </c>
      <c r="H449" s="424" t="s">
        <v>1588</v>
      </c>
      <c r="I449" s="426">
        <v>372.44</v>
      </c>
      <c r="J449" s="426">
        <v>2</v>
      </c>
      <c r="K449" s="427">
        <v>744.88</v>
      </c>
    </row>
    <row r="450" spans="1:11" ht="14.4" customHeight="1" x14ac:dyDescent="0.3">
      <c r="A450" s="422" t="s">
        <v>444</v>
      </c>
      <c r="B450" s="423" t="s">
        <v>445</v>
      </c>
      <c r="C450" s="424" t="s">
        <v>449</v>
      </c>
      <c r="D450" s="425" t="s">
        <v>705</v>
      </c>
      <c r="E450" s="424" t="s">
        <v>1926</v>
      </c>
      <c r="F450" s="425" t="s">
        <v>1927</v>
      </c>
      <c r="G450" s="424" t="s">
        <v>1589</v>
      </c>
      <c r="H450" s="424" t="s">
        <v>1590</v>
      </c>
      <c r="I450" s="426">
        <v>249.44</v>
      </c>
      <c r="J450" s="426">
        <v>1</v>
      </c>
      <c r="K450" s="427">
        <v>249.44</v>
      </c>
    </row>
    <row r="451" spans="1:11" ht="14.4" customHeight="1" x14ac:dyDescent="0.3">
      <c r="A451" s="422" t="s">
        <v>444</v>
      </c>
      <c r="B451" s="423" t="s">
        <v>445</v>
      </c>
      <c r="C451" s="424" t="s">
        <v>449</v>
      </c>
      <c r="D451" s="425" t="s">
        <v>705</v>
      </c>
      <c r="E451" s="424" t="s">
        <v>1926</v>
      </c>
      <c r="F451" s="425" t="s">
        <v>1927</v>
      </c>
      <c r="G451" s="424" t="s">
        <v>1591</v>
      </c>
      <c r="H451" s="424" t="s">
        <v>1592</v>
      </c>
      <c r="I451" s="426">
        <v>1936</v>
      </c>
      <c r="J451" s="426">
        <v>1</v>
      </c>
      <c r="K451" s="427">
        <v>1936</v>
      </c>
    </row>
    <row r="452" spans="1:11" ht="14.4" customHeight="1" x14ac:dyDescent="0.3">
      <c r="A452" s="422" t="s">
        <v>444</v>
      </c>
      <c r="B452" s="423" t="s">
        <v>445</v>
      </c>
      <c r="C452" s="424" t="s">
        <v>449</v>
      </c>
      <c r="D452" s="425" t="s">
        <v>705</v>
      </c>
      <c r="E452" s="424" t="s">
        <v>1926</v>
      </c>
      <c r="F452" s="425" t="s">
        <v>1927</v>
      </c>
      <c r="G452" s="424" t="s">
        <v>1593</v>
      </c>
      <c r="H452" s="424" t="s">
        <v>1594</v>
      </c>
      <c r="I452" s="426">
        <v>22.32</v>
      </c>
      <c r="J452" s="426">
        <v>10</v>
      </c>
      <c r="K452" s="427">
        <v>223.2</v>
      </c>
    </row>
    <row r="453" spans="1:11" ht="14.4" customHeight="1" x14ac:dyDescent="0.3">
      <c r="A453" s="422" t="s">
        <v>444</v>
      </c>
      <c r="B453" s="423" t="s">
        <v>445</v>
      </c>
      <c r="C453" s="424" t="s">
        <v>449</v>
      </c>
      <c r="D453" s="425" t="s">
        <v>705</v>
      </c>
      <c r="E453" s="424" t="s">
        <v>1926</v>
      </c>
      <c r="F453" s="425" t="s">
        <v>1927</v>
      </c>
      <c r="G453" s="424" t="s">
        <v>1595</v>
      </c>
      <c r="H453" s="424" t="s">
        <v>1596</v>
      </c>
      <c r="I453" s="426">
        <v>635.25</v>
      </c>
      <c r="J453" s="426">
        <v>4</v>
      </c>
      <c r="K453" s="427">
        <v>2541</v>
      </c>
    </row>
    <row r="454" spans="1:11" ht="14.4" customHeight="1" x14ac:dyDescent="0.3">
      <c r="A454" s="422" t="s">
        <v>444</v>
      </c>
      <c r="B454" s="423" t="s">
        <v>445</v>
      </c>
      <c r="C454" s="424" t="s">
        <v>449</v>
      </c>
      <c r="D454" s="425" t="s">
        <v>705</v>
      </c>
      <c r="E454" s="424" t="s">
        <v>1926</v>
      </c>
      <c r="F454" s="425" t="s">
        <v>1927</v>
      </c>
      <c r="G454" s="424" t="s">
        <v>1597</v>
      </c>
      <c r="H454" s="424" t="s">
        <v>1598</v>
      </c>
      <c r="I454" s="426">
        <v>530.1</v>
      </c>
      <c r="J454" s="426">
        <v>2</v>
      </c>
      <c r="K454" s="427">
        <v>1060.2</v>
      </c>
    </row>
    <row r="455" spans="1:11" ht="14.4" customHeight="1" x14ac:dyDescent="0.3">
      <c r="A455" s="422" t="s">
        <v>444</v>
      </c>
      <c r="B455" s="423" t="s">
        <v>445</v>
      </c>
      <c r="C455" s="424" t="s">
        <v>449</v>
      </c>
      <c r="D455" s="425" t="s">
        <v>705</v>
      </c>
      <c r="E455" s="424" t="s">
        <v>1926</v>
      </c>
      <c r="F455" s="425" t="s">
        <v>1927</v>
      </c>
      <c r="G455" s="424" t="s">
        <v>1599</v>
      </c>
      <c r="H455" s="424" t="s">
        <v>1600</v>
      </c>
      <c r="I455" s="426">
        <v>14.88</v>
      </c>
      <c r="J455" s="426">
        <v>100</v>
      </c>
      <c r="K455" s="427">
        <v>1488.3</v>
      </c>
    </row>
    <row r="456" spans="1:11" ht="14.4" customHeight="1" x14ac:dyDescent="0.3">
      <c r="A456" s="422" t="s">
        <v>444</v>
      </c>
      <c r="B456" s="423" t="s">
        <v>445</v>
      </c>
      <c r="C456" s="424" t="s">
        <v>449</v>
      </c>
      <c r="D456" s="425" t="s">
        <v>705</v>
      </c>
      <c r="E456" s="424" t="s">
        <v>1926</v>
      </c>
      <c r="F456" s="425" t="s">
        <v>1927</v>
      </c>
      <c r="G456" s="424" t="s">
        <v>1601</v>
      </c>
      <c r="H456" s="424" t="s">
        <v>1602</v>
      </c>
      <c r="I456" s="426">
        <v>1800.27</v>
      </c>
      <c r="J456" s="426">
        <v>1</v>
      </c>
      <c r="K456" s="427">
        <v>1800.27</v>
      </c>
    </row>
    <row r="457" spans="1:11" ht="14.4" customHeight="1" x14ac:dyDescent="0.3">
      <c r="A457" s="422" t="s">
        <v>444</v>
      </c>
      <c r="B457" s="423" t="s">
        <v>445</v>
      </c>
      <c r="C457" s="424" t="s">
        <v>449</v>
      </c>
      <c r="D457" s="425" t="s">
        <v>705</v>
      </c>
      <c r="E457" s="424" t="s">
        <v>1926</v>
      </c>
      <c r="F457" s="425" t="s">
        <v>1927</v>
      </c>
      <c r="G457" s="424" t="s">
        <v>1603</v>
      </c>
      <c r="H457" s="424" t="s">
        <v>1604</v>
      </c>
      <c r="I457" s="426">
        <v>12039.5</v>
      </c>
      <c r="J457" s="426">
        <v>2</v>
      </c>
      <c r="K457" s="427">
        <v>24079</v>
      </c>
    </row>
    <row r="458" spans="1:11" ht="14.4" customHeight="1" x14ac:dyDescent="0.3">
      <c r="A458" s="422" t="s">
        <v>444</v>
      </c>
      <c r="B458" s="423" t="s">
        <v>445</v>
      </c>
      <c r="C458" s="424" t="s">
        <v>449</v>
      </c>
      <c r="D458" s="425" t="s">
        <v>705</v>
      </c>
      <c r="E458" s="424" t="s">
        <v>1926</v>
      </c>
      <c r="F458" s="425" t="s">
        <v>1927</v>
      </c>
      <c r="G458" s="424" t="s">
        <v>1605</v>
      </c>
      <c r="H458" s="424" t="s">
        <v>1606</v>
      </c>
      <c r="I458" s="426">
        <v>1265.6600000000001</v>
      </c>
      <c r="J458" s="426">
        <v>1</v>
      </c>
      <c r="K458" s="427">
        <v>1265.6600000000001</v>
      </c>
    </row>
    <row r="459" spans="1:11" ht="14.4" customHeight="1" x14ac:dyDescent="0.3">
      <c r="A459" s="422" t="s">
        <v>444</v>
      </c>
      <c r="B459" s="423" t="s">
        <v>445</v>
      </c>
      <c r="C459" s="424" t="s">
        <v>449</v>
      </c>
      <c r="D459" s="425" t="s">
        <v>705</v>
      </c>
      <c r="E459" s="424" t="s">
        <v>1926</v>
      </c>
      <c r="F459" s="425" t="s">
        <v>1927</v>
      </c>
      <c r="G459" s="424" t="s">
        <v>1607</v>
      </c>
      <c r="H459" s="424" t="s">
        <v>1608</v>
      </c>
      <c r="I459" s="426">
        <v>167.4</v>
      </c>
      <c r="J459" s="426">
        <v>3</v>
      </c>
      <c r="K459" s="427">
        <v>502.2</v>
      </c>
    </row>
    <row r="460" spans="1:11" ht="14.4" customHeight="1" x14ac:dyDescent="0.3">
      <c r="A460" s="422" t="s">
        <v>444</v>
      </c>
      <c r="B460" s="423" t="s">
        <v>445</v>
      </c>
      <c r="C460" s="424" t="s">
        <v>449</v>
      </c>
      <c r="D460" s="425" t="s">
        <v>705</v>
      </c>
      <c r="E460" s="424" t="s">
        <v>1926</v>
      </c>
      <c r="F460" s="425" t="s">
        <v>1927</v>
      </c>
      <c r="G460" s="424" t="s">
        <v>1609</v>
      </c>
      <c r="H460" s="424" t="s">
        <v>1610</v>
      </c>
      <c r="I460" s="426">
        <v>6931.48</v>
      </c>
      <c r="J460" s="426">
        <v>1</v>
      </c>
      <c r="K460" s="427">
        <v>6931.48</v>
      </c>
    </row>
    <row r="461" spans="1:11" ht="14.4" customHeight="1" x14ac:dyDescent="0.3">
      <c r="A461" s="422" t="s">
        <v>444</v>
      </c>
      <c r="B461" s="423" t="s">
        <v>445</v>
      </c>
      <c r="C461" s="424" t="s">
        <v>449</v>
      </c>
      <c r="D461" s="425" t="s">
        <v>705</v>
      </c>
      <c r="E461" s="424" t="s">
        <v>1926</v>
      </c>
      <c r="F461" s="425" t="s">
        <v>1927</v>
      </c>
      <c r="G461" s="424" t="s">
        <v>1611</v>
      </c>
      <c r="H461" s="424" t="s">
        <v>1612</v>
      </c>
      <c r="I461" s="426">
        <v>88.35</v>
      </c>
      <c r="J461" s="426">
        <v>10</v>
      </c>
      <c r="K461" s="427">
        <v>883.5</v>
      </c>
    </row>
    <row r="462" spans="1:11" ht="14.4" customHeight="1" x14ac:dyDescent="0.3">
      <c r="A462" s="422" t="s">
        <v>444</v>
      </c>
      <c r="B462" s="423" t="s">
        <v>445</v>
      </c>
      <c r="C462" s="424" t="s">
        <v>449</v>
      </c>
      <c r="D462" s="425" t="s">
        <v>705</v>
      </c>
      <c r="E462" s="424" t="s">
        <v>1926</v>
      </c>
      <c r="F462" s="425" t="s">
        <v>1927</v>
      </c>
      <c r="G462" s="424" t="s">
        <v>1613</v>
      </c>
      <c r="H462" s="424" t="s">
        <v>1614</v>
      </c>
      <c r="I462" s="426">
        <v>25.72</v>
      </c>
      <c r="J462" s="426">
        <v>50</v>
      </c>
      <c r="K462" s="427">
        <v>1286</v>
      </c>
    </row>
    <row r="463" spans="1:11" ht="14.4" customHeight="1" x14ac:dyDescent="0.3">
      <c r="A463" s="422" t="s">
        <v>444</v>
      </c>
      <c r="B463" s="423" t="s">
        <v>445</v>
      </c>
      <c r="C463" s="424" t="s">
        <v>449</v>
      </c>
      <c r="D463" s="425" t="s">
        <v>705</v>
      </c>
      <c r="E463" s="424" t="s">
        <v>1926</v>
      </c>
      <c r="F463" s="425" t="s">
        <v>1927</v>
      </c>
      <c r="G463" s="424" t="s">
        <v>1615</v>
      </c>
      <c r="H463" s="424" t="s">
        <v>1616</v>
      </c>
      <c r="I463" s="426">
        <v>6.9</v>
      </c>
      <c r="J463" s="426">
        <v>100</v>
      </c>
      <c r="K463" s="427">
        <v>690</v>
      </c>
    </row>
    <row r="464" spans="1:11" ht="14.4" customHeight="1" x14ac:dyDescent="0.3">
      <c r="A464" s="422" t="s">
        <v>444</v>
      </c>
      <c r="B464" s="423" t="s">
        <v>445</v>
      </c>
      <c r="C464" s="424" t="s">
        <v>449</v>
      </c>
      <c r="D464" s="425" t="s">
        <v>705</v>
      </c>
      <c r="E464" s="424" t="s">
        <v>1926</v>
      </c>
      <c r="F464" s="425" t="s">
        <v>1927</v>
      </c>
      <c r="G464" s="424" t="s">
        <v>1617</v>
      </c>
      <c r="H464" s="424" t="s">
        <v>1618</v>
      </c>
      <c r="I464" s="426">
        <v>300</v>
      </c>
      <c r="J464" s="426">
        <v>1</v>
      </c>
      <c r="K464" s="427">
        <v>300</v>
      </c>
    </row>
    <row r="465" spans="1:11" ht="14.4" customHeight="1" x14ac:dyDescent="0.3">
      <c r="A465" s="422" t="s">
        <v>444</v>
      </c>
      <c r="B465" s="423" t="s">
        <v>445</v>
      </c>
      <c r="C465" s="424" t="s">
        <v>449</v>
      </c>
      <c r="D465" s="425" t="s">
        <v>705</v>
      </c>
      <c r="E465" s="424" t="s">
        <v>1926</v>
      </c>
      <c r="F465" s="425" t="s">
        <v>1927</v>
      </c>
      <c r="G465" s="424" t="s">
        <v>1619</v>
      </c>
      <c r="H465" s="424" t="s">
        <v>1620</v>
      </c>
      <c r="I465" s="426">
        <v>443.4</v>
      </c>
      <c r="J465" s="426">
        <v>3</v>
      </c>
      <c r="K465" s="427">
        <v>1330.21</v>
      </c>
    </row>
    <row r="466" spans="1:11" ht="14.4" customHeight="1" x14ac:dyDescent="0.3">
      <c r="A466" s="422" t="s">
        <v>444</v>
      </c>
      <c r="B466" s="423" t="s">
        <v>445</v>
      </c>
      <c r="C466" s="424" t="s">
        <v>449</v>
      </c>
      <c r="D466" s="425" t="s">
        <v>705</v>
      </c>
      <c r="E466" s="424" t="s">
        <v>1926</v>
      </c>
      <c r="F466" s="425" t="s">
        <v>1927</v>
      </c>
      <c r="G466" s="424" t="s">
        <v>1621</v>
      </c>
      <c r="H466" s="424" t="s">
        <v>1622</v>
      </c>
      <c r="I466" s="426">
        <v>533.36</v>
      </c>
      <c r="J466" s="426">
        <v>3</v>
      </c>
      <c r="K466" s="427">
        <v>1600.09</v>
      </c>
    </row>
    <row r="467" spans="1:11" ht="14.4" customHeight="1" x14ac:dyDescent="0.3">
      <c r="A467" s="422" t="s">
        <v>444</v>
      </c>
      <c r="B467" s="423" t="s">
        <v>445</v>
      </c>
      <c r="C467" s="424" t="s">
        <v>449</v>
      </c>
      <c r="D467" s="425" t="s">
        <v>705</v>
      </c>
      <c r="E467" s="424" t="s">
        <v>1926</v>
      </c>
      <c r="F467" s="425" t="s">
        <v>1927</v>
      </c>
      <c r="G467" s="424" t="s">
        <v>1623</v>
      </c>
      <c r="H467" s="424" t="s">
        <v>1624</v>
      </c>
      <c r="I467" s="426">
        <v>2374.0550000000003</v>
      </c>
      <c r="J467" s="426">
        <v>2</v>
      </c>
      <c r="K467" s="427">
        <v>4748.1100000000006</v>
      </c>
    </row>
    <row r="468" spans="1:11" ht="14.4" customHeight="1" x14ac:dyDescent="0.3">
      <c r="A468" s="422" t="s">
        <v>444</v>
      </c>
      <c r="B468" s="423" t="s">
        <v>445</v>
      </c>
      <c r="C468" s="424" t="s">
        <v>449</v>
      </c>
      <c r="D468" s="425" t="s">
        <v>705</v>
      </c>
      <c r="E468" s="424" t="s">
        <v>1926</v>
      </c>
      <c r="F468" s="425" t="s">
        <v>1927</v>
      </c>
      <c r="G468" s="424" t="s">
        <v>1625</v>
      </c>
      <c r="H468" s="424" t="s">
        <v>1626</v>
      </c>
      <c r="I468" s="426">
        <v>145.99</v>
      </c>
      <c r="J468" s="426">
        <v>10</v>
      </c>
      <c r="K468" s="427">
        <v>1459.87</v>
      </c>
    </row>
    <row r="469" spans="1:11" ht="14.4" customHeight="1" x14ac:dyDescent="0.3">
      <c r="A469" s="422" t="s">
        <v>444</v>
      </c>
      <c r="B469" s="423" t="s">
        <v>445</v>
      </c>
      <c r="C469" s="424" t="s">
        <v>449</v>
      </c>
      <c r="D469" s="425" t="s">
        <v>705</v>
      </c>
      <c r="E469" s="424" t="s">
        <v>1926</v>
      </c>
      <c r="F469" s="425" t="s">
        <v>1927</v>
      </c>
      <c r="G469" s="424" t="s">
        <v>1627</v>
      </c>
      <c r="H469" s="424" t="s">
        <v>1628</v>
      </c>
      <c r="I469" s="426">
        <v>551.76</v>
      </c>
      <c r="J469" s="426">
        <v>1</v>
      </c>
      <c r="K469" s="427">
        <v>551.76</v>
      </c>
    </row>
    <row r="470" spans="1:11" ht="14.4" customHeight="1" x14ac:dyDescent="0.3">
      <c r="A470" s="422" t="s">
        <v>444</v>
      </c>
      <c r="B470" s="423" t="s">
        <v>445</v>
      </c>
      <c r="C470" s="424" t="s">
        <v>449</v>
      </c>
      <c r="D470" s="425" t="s">
        <v>705</v>
      </c>
      <c r="E470" s="424" t="s">
        <v>1926</v>
      </c>
      <c r="F470" s="425" t="s">
        <v>1927</v>
      </c>
      <c r="G470" s="424" t="s">
        <v>1629</v>
      </c>
      <c r="H470" s="424" t="s">
        <v>1630</v>
      </c>
      <c r="I470" s="426">
        <v>59.29</v>
      </c>
      <c r="J470" s="426">
        <v>60</v>
      </c>
      <c r="K470" s="427">
        <v>3557.4</v>
      </c>
    </row>
    <row r="471" spans="1:11" ht="14.4" customHeight="1" x14ac:dyDescent="0.3">
      <c r="A471" s="422" t="s">
        <v>444</v>
      </c>
      <c r="B471" s="423" t="s">
        <v>445</v>
      </c>
      <c r="C471" s="424" t="s">
        <v>449</v>
      </c>
      <c r="D471" s="425" t="s">
        <v>705</v>
      </c>
      <c r="E471" s="424" t="s">
        <v>1926</v>
      </c>
      <c r="F471" s="425" t="s">
        <v>1927</v>
      </c>
      <c r="G471" s="424" t="s">
        <v>1631</v>
      </c>
      <c r="H471" s="424" t="s">
        <v>1632</v>
      </c>
      <c r="I471" s="426">
        <v>1899.58</v>
      </c>
      <c r="J471" s="426">
        <v>1</v>
      </c>
      <c r="K471" s="427">
        <v>1899.58</v>
      </c>
    </row>
    <row r="472" spans="1:11" ht="14.4" customHeight="1" x14ac:dyDescent="0.3">
      <c r="A472" s="422" t="s">
        <v>444</v>
      </c>
      <c r="B472" s="423" t="s">
        <v>445</v>
      </c>
      <c r="C472" s="424" t="s">
        <v>449</v>
      </c>
      <c r="D472" s="425" t="s">
        <v>705</v>
      </c>
      <c r="E472" s="424" t="s">
        <v>1926</v>
      </c>
      <c r="F472" s="425" t="s">
        <v>1927</v>
      </c>
      <c r="G472" s="424" t="s">
        <v>1633</v>
      </c>
      <c r="H472" s="424" t="s">
        <v>1634</v>
      </c>
      <c r="I472" s="426">
        <v>1074.31</v>
      </c>
      <c r="J472" s="426">
        <v>2</v>
      </c>
      <c r="K472" s="427">
        <v>2148.61</v>
      </c>
    </row>
    <row r="473" spans="1:11" ht="14.4" customHeight="1" x14ac:dyDescent="0.3">
      <c r="A473" s="422" t="s">
        <v>444</v>
      </c>
      <c r="B473" s="423" t="s">
        <v>445</v>
      </c>
      <c r="C473" s="424" t="s">
        <v>449</v>
      </c>
      <c r="D473" s="425" t="s">
        <v>705</v>
      </c>
      <c r="E473" s="424" t="s">
        <v>1926</v>
      </c>
      <c r="F473" s="425" t="s">
        <v>1927</v>
      </c>
      <c r="G473" s="424" t="s">
        <v>1635</v>
      </c>
      <c r="H473" s="424" t="s">
        <v>1636</v>
      </c>
      <c r="I473" s="426">
        <v>1026.95</v>
      </c>
      <c r="J473" s="426">
        <v>1</v>
      </c>
      <c r="K473" s="427">
        <v>1026.95</v>
      </c>
    </row>
    <row r="474" spans="1:11" ht="14.4" customHeight="1" x14ac:dyDescent="0.3">
      <c r="A474" s="422" t="s">
        <v>444</v>
      </c>
      <c r="B474" s="423" t="s">
        <v>445</v>
      </c>
      <c r="C474" s="424" t="s">
        <v>449</v>
      </c>
      <c r="D474" s="425" t="s">
        <v>705</v>
      </c>
      <c r="E474" s="424" t="s">
        <v>1926</v>
      </c>
      <c r="F474" s="425" t="s">
        <v>1927</v>
      </c>
      <c r="G474" s="424" t="s">
        <v>1637</v>
      </c>
      <c r="H474" s="424" t="s">
        <v>1638</v>
      </c>
      <c r="I474" s="426">
        <v>38.479999999999997</v>
      </c>
      <c r="J474" s="426">
        <v>10</v>
      </c>
      <c r="K474" s="427">
        <v>384.78</v>
      </c>
    </row>
    <row r="475" spans="1:11" ht="14.4" customHeight="1" x14ac:dyDescent="0.3">
      <c r="A475" s="422" t="s">
        <v>444</v>
      </c>
      <c r="B475" s="423" t="s">
        <v>445</v>
      </c>
      <c r="C475" s="424" t="s">
        <v>449</v>
      </c>
      <c r="D475" s="425" t="s">
        <v>705</v>
      </c>
      <c r="E475" s="424" t="s">
        <v>1926</v>
      </c>
      <c r="F475" s="425" t="s">
        <v>1927</v>
      </c>
      <c r="G475" s="424" t="s">
        <v>1639</v>
      </c>
      <c r="H475" s="424" t="s">
        <v>1640</v>
      </c>
      <c r="I475" s="426">
        <v>1575.24</v>
      </c>
      <c r="J475" s="426">
        <v>1</v>
      </c>
      <c r="K475" s="427">
        <v>1575.24</v>
      </c>
    </row>
    <row r="476" spans="1:11" ht="14.4" customHeight="1" x14ac:dyDescent="0.3">
      <c r="A476" s="422" t="s">
        <v>444</v>
      </c>
      <c r="B476" s="423" t="s">
        <v>445</v>
      </c>
      <c r="C476" s="424" t="s">
        <v>449</v>
      </c>
      <c r="D476" s="425" t="s">
        <v>705</v>
      </c>
      <c r="E476" s="424" t="s">
        <v>1926</v>
      </c>
      <c r="F476" s="425" t="s">
        <v>1927</v>
      </c>
      <c r="G476" s="424" t="s">
        <v>1641</v>
      </c>
      <c r="H476" s="424" t="s">
        <v>1642</v>
      </c>
      <c r="I476" s="426">
        <v>2394</v>
      </c>
      <c r="J476" s="426">
        <v>1</v>
      </c>
      <c r="K476" s="427">
        <v>2394</v>
      </c>
    </row>
    <row r="477" spans="1:11" ht="14.4" customHeight="1" x14ac:dyDescent="0.3">
      <c r="A477" s="422" t="s">
        <v>444</v>
      </c>
      <c r="B477" s="423" t="s">
        <v>445</v>
      </c>
      <c r="C477" s="424" t="s">
        <v>449</v>
      </c>
      <c r="D477" s="425" t="s">
        <v>705</v>
      </c>
      <c r="E477" s="424" t="s">
        <v>1926</v>
      </c>
      <c r="F477" s="425" t="s">
        <v>1927</v>
      </c>
      <c r="G477" s="424" t="s">
        <v>1643</v>
      </c>
      <c r="H477" s="424" t="s">
        <v>1644</v>
      </c>
      <c r="I477" s="426">
        <v>575</v>
      </c>
      <c r="J477" s="426">
        <v>2</v>
      </c>
      <c r="K477" s="427">
        <v>1150</v>
      </c>
    </row>
    <row r="478" spans="1:11" ht="14.4" customHeight="1" x14ac:dyDescent="0.3">
      <c r="A478" s="422" t="s">
        <v>444</v>
      </c>
      <c r="B478" s="423" t="s">
        <v>445</v>
      </c>
      <c r="C478" s="424" t="s">
        <v>449</v>
      </c>
      <c r="D478" s="425" t="s">
        <v>705</v>
      </c>
      <c r="E478" s="424" t="s">
        <v>1926</v>
      </c>
      <c r="F478" s="425" t="s">
        <v>1927</v>
      </c>
      <c r="G478" s="424" t="s">
        <v>1645</v>
      </c>
      <c r="H478" s="424" t="s">
        <v>1646</v>
      </c>
      <c r="I478" s="426">
        <v>1026.96</v>
      </c>
      <c r="J478" s="426">
        <v>1</v>
      </c>
      <c r="K478" s="427">
        <v>1026.96</v>
      </c>
    </row>
    <row r="479" spans="1:11" ht="14.4" customHeight="1" x14ac:dyDescent="0.3">
      <c r="A479" s="422" t="s">
        <v>444</v>
      </c>
      <c r="B479" s="423" t="s">
        <v>445</v>
      </c>
      <c r="C479" s="424" t="s">
        <v>449</v>
      </c>
      <c r="D479" s="425" t="s">
        <v>705</v>
      </c>
      <c r="E479" s="424" t="s">
        <v>1926</v>
      </c>
      <c r="F479" s="425" t="s">
        <v>1927</v>
      </c>
      <c r="G479" s="424" t="s">
        <v>1647</v>
      </c>
      <c r="H479" s="424" t="s">
        <v>1648</v>
      </c>
      <c r="I479" s="426">
        <v>83.49</v>
      </c>
      <c r="J479" s="426">
        <v>40</v>
      </c>
      <c r="K479" s="427">
        <v>3339.6</v>
      </c>
    </row>
    <row r="480" spans="1:11" ht="14.4" customHeight="1" x14ac:dyDescent="0.3">
      <c r="A480" s="422" t="s">
        <v>444</v>
      </c>
      <c r="B480" s="423" t="s">
        <v>445</v>
      </c>
      <c r="C480" s="424" t="s">
        <v>449</v>
      </c>
      <c r="D480" s="425" t="s">
        <v>705</v>
      </c>
      <c r="E480" s="424" t="s">
        <v>1926</v>
      </c>
      <c r="F480" s="425" t="s">
        <v>1927</v>
      </c>
      <c r="G480" s="424" t="s">
        <v>1649</v>
      </c>
      <c r="H480" s="424" t="s">
        <v>1650</v>
      </c>
      <c r="I480" s="426">
        <v>1855</v>
      </c>
      <c r="J480" s="426">
        <v>1</v>
      </c>
      <c r="K480" s="427">
        <v>1855</v>
      </c>
    </row>
    <row r="481" spans="1:11" ht="14.4" customHeight="1" x14ac:dyDescent="0.3">
      <c r="A481" s="422" t="s">
        <v>444</v>
      </c>
      <c r="B481" s="423" t="s">
        <v>445</v>
      </c>
      <c r="C481" s="424" t="s">
        <v>449</v>
      </c>
      <c r="D481" s="425" t="s">
        <v>705</v>
      </c>
      <c r="E481" s="424" t="s">
        <v>1926</v>
      </c>
      <c r="F481" s="425" t="s">
        <v>1927</v>
      </c>
      <c r="G481" s="424" t="s">
        <v>1651</v>
      </c>
      <c r="H481" s="424" t="s">
        <v>1652</v>
      </c>
      <c r="I481" s="426">
        <v>1258</v>
      </c>
      <c r="J481" s="426">
        <v>1</v>
      </c>
      <c r="K481" s="427">
        <v>1258</v>
      </c>
    </row>
    <row r="482" spans="1:11" ht="14.4" customHeight="1" x14ac:dyDescent="0.3">
      <c r="A482" s="422" t="s">
        <v>444</v>
      </c>
      <c r="B482" s="423" t="s">
        <v>445</v>
      </c>
      <c r="C482" s="424" t="s">
        <v>449</v>
      </c>
      <c r="D482" s="425" t="s">
        <v>705</v>
      </c>
      <c r="E482" s="424" t="s">
        <v>1926</v>
      </c>
      <c r="F482" s="425" t="s">
        <v>1927</v>
      </c>
      <c r="G482" s="424" t="s">
        <v>1653</v>
      </c>
      <c r="H482" s="424" t="s">
        <v>1654</v>
      </c>
      <c r="I482" s="426">
        <v>118.58</v>
      </c>
      <c r="J482" s="426">
        <v>5</v>
      </c>
      <c r="K482" s="427">
        <v>592.9</v>
      </c>
    </row>
    <row r="483" spans="1:11" ht="14.4" customHeight="1" x14ac:dyDescent="0.3">
      <c r="A483" s="422" t="s">
        <v>444</v>
      </c>
      <c r="B483" s="423" t="s">
        <v>445</v>
      </c>
      <c r="C483" s="424" t="s">
        <v>449</v>
      </c>
      <c r="D483" s="425" t="s">
        <v>705</v>
      </c>
      <c r="E483" s="424" t="s">
        <v>1926</v>
      </c>
      <c r="F483" s="425" t="s">
        <v>1927</v>
      </c>
      <c r="G483" s="424" t="s">
        <v>1655</v>
      </c>
      <c r="H483" s="424" t="s">
        <v>1656</v>
      </c>
      <c r="I483" s="426">
        <v>62.92</v>
      </c>
      <c r="J483" s="426">
        <v>30</v>
      </c>
      <c r="K483" s="427">
        <v>1887.6</v>
      </c>
    </row>
    <row r="484" spans="1:11" ht="14.4" customHeight="1" x14ac:dyDescent="0.3">
      <c r="A484" s="422" t="s">
        <v>444</v>
      </c>
      <c r="B484" s="423" t="s">
        <v>445</v>
      </c>
      <c r="C484" s="424" t="s">
        <v>449</v>
      </c>
      <c r="D484" s="425" t="s">
        <v>705</v>
      </c>
      <c r="E484" s="424" t="s">
        <v>1926</v>
      </c>
      <c r="F484" s="425" t="s">
        <v>1927</v>
      </c>
      <c r="G484" s="424" t="s">
        <v>1657</v>
      </c>
      <c r="H484" s="424" t="s">
        <v>1658</v>
      </c>
      <c r="I484" s="426">
        <v>2909.5</v>
      </c>
      <c r="J484" s="426">
        <v>1</v>
      </c>
      <c r="K484" s="427">
        <v>2909.5</v>
      </c>
    </row>
    <row r="485" spans="1:11" ht="14.4" customHeight="1" x14ac:dyDescent="0.3">
      <c r="A485" s="422" t="s">
        <v>444</v>
      </c>
      <c r="B485" s="423" t="s">
        <v>445</v>
      </c>
      <c r="C485" s="424" t="s">
        <v>449</v>
      </c>
      <c r="D485" s="425" t="s">
        <v>705</v>
      </c>
      <c r="E485" s="424" t="s">
        <v>1926</v>
      </c>
      <c r="F485" s="425" t="s">
        <v>1927</v>
      </c>
      <c r="G485" s="424" t="s">
        <v>1659</v>
      </c>
      <c r="H485" s="424" t="s">
        <v>1660</v>
      </c>
      <c r="I485" s="426">
        <v>2153.8000000000002</v>
      </c>
      <c r="J485" s="426">
        <v>1</v>
      </c>
      <c r="K485" s="427">
        <v>2153.8000000000002</v>
      </c>
    </row>
    <row r="486" spans="1:11" ht="14.4" customHeight="1" x14ac:dyDescent="0.3">
      <c r="A486" s="422" t="s">
        <v>444</v>
      </c>
      <c r="B486" s="423" t="s">
        <v>445</v>
      </c>
      <c r="C486" s="424" t="s">
        <v>449</v>
      </c>
      <c r="D486" s="425" t="s">
        <v>705</v>
      </c>
      <c r="E486" s="424" t="s">
        <v>1926</v>
      </c>
      <c r="F486" s="425" t="s">
        <v>1927</v>
      </c>
      <c r="G486" s="424" t="s">
        <v>1661</v>
      </c>
      <c r="H486" s="424" t="s">
        <v>1662</v>
      </c>
      <c r="I486" s="426">
        <v>1058</v>
      </c>
      <c r="J486" s="426">
        <v>1</v>
      </c>
      <c r="K486" s="427">
        <v>1058</v>
      </c>
    </row>
    <row r="487" spans="1:11" ht="14.4" customHeight="1" x14ac:dyDescent="0.3">
      <c r="A487" s="422" t="s">
        <v>444</v>
      </c>
      <c r="B487" s="423" t="s">
        <v>445</v>
      </c>
      <c r="C487" s="424" t="s">
        <v>449</v>
      </c>
      <c r="D487" s="425" t="s">
        <v>705</v>
      </c>
      <c r="E487" s="424" t="s">
        <v>1926</v>
      </c>
      <c r="F487" s="425" t="s">
        <v>1927</v>
      </c>
      <c r="G487" s="424" t="s">
        <v>1663</v>
      </c>
      <c r="H487" s="424" t="s">
        <v>1664</v>
      </c>
      <c r="I487" s="426">
        <v>37.51</v>
      </c>
      <c r="J487" s="426">
        <v>18</v>
      </c>
      <c r="K487" s="427">
        <v>675.18</v>
      </c>
    </row>
    <row r="488" spans="1:11" ht="14.4" customHeight="1" x14ac:dyDescent="0.3">
      <c r="A488" s="422" t="s">
        <v>444</v>
      </c>
      <c r="B488" s="423" t="s">
        <v>445</v>
      </c>
      <c r="C488" s="424" t="s">
        <v>449</v>
      </c>
      <c r="D488" s="425" t="s">
        <v>705</v>
      </c>
      <c r="E488" s="424" t="s">
        <v>1926</v>
      </c>
      <c r="F488" s="425" t="s">
        <v>1927</v>
      </c>
      <c r="G488" s="424" t="s">
        <v>1665</v>
      </c>
      <c r="H488" s="424" t="s">
        <v>1666</v>
      </c>
      <c r="I488" s="426">
        <v>377.52</v>
      </c>
      <c r="J488" s="426">
        <v>10</v>
      </c>
      <c r="K488" s="427">
        <v>3869.58</v>
      </c>
    </row>
    <row r="489" spans="1:11" ht="14.4" customHeight="1" x14ac:dyDescent="0.3">
      <c r="A489" s="422" t="s">
        <v>444</v>
      </c>
      <c r="B489" s="423" t="s">
        <v>445</v>
      </c>
      <c r="C489" s="424" t="s">
        <v>449</v>
      </c>
      <c r="D489" s="425" t="s">
        <v>705</v>
      </c>
      <c r="E489" s="424" t="s">
        <v>1926</v>
      </c>
      <c r="F489" s="425" t="s">
        <v>1927</v>
      </c>
      <c r="G489" s="424" t="s">
        <v>1667</v>
      </c>
      <c r="H489" s="424" t="s">
        <v>1668</v>
      </c>
      <c r="I489" s="426">
        <v>557.20500000000004</v>
      </c>
      <c r="J489" s="426">
        <v>5</v>
      </c>
      <c r="K489" s="427">
        <v>2827.77</v>
      </c>
    </row>
    <row r="490" spans="1:11" ht="14.4" customHeight="1" x14ac:dyDescent="0.3">
      <c r="A490" s="422" t="s">
        <v>444</v>
      </c>
      <c r="B490" s="423" t="s">
        <v>445</v>
      </c>
      <c r="C490" s="424" t="s">
        <v>449</v>
      </c>
      <c r="D490" s="425" t="s">
        <v>705</v>
      </c>
      <c r="E490" s="424" t="s">
        <v>1926</v>
      </c>
      <c r="F490" s="425" t="s">
        <v>1927</v>
      </c>
      <c r="G490" s="424" t="s">
        <v>1669</v>
      </c>
      <c r="H490" s="424" t="s">
        <v>1670</v>
      </c>
      <c r="I490" s="426">
        <v>82.28</v>
      </c>
      <c r="J490" s="426">
        <v>30</v>
      </c>
      <c r="K490" s="427">
        <v>2468.4</v>
      </c>
    </row>
    <row r="491" spans="1:11" ht="14.4" customHeight="1" x14ac:dyDescent="0.3">
      <c r="A491" s="422" t="s">
        <v>444</v>
      </c>
      <c r="B491" s="423" t="s">
        <v>445</v>
      </c>
      <c r="C491" s="424" t="s">
        <v>449</v>
      </c>
      <c r="D491" s="425" t="s">
        <v>705</v>
      </c>
      <c r="E491" s="424" t="s">
        <v>1926</v>
      </c>
      <c r="F491" s="425" t="s">
        <v>1927</v>
      </c>
      <c r="G491" s="424" t="s">
        <v>1671</v>
      </c>
      <c r="H491" s="424" t="s">
        <v>1672</v>
      </c>
      <c r="I491" s="426">
        <v>583.96</v>
      </c>
      <c r="J491" s="426">
        <v>2</v>
      </c>
      <c r="K491" s="427">
        <v>1167.92</v>
      </c>
    </row>
    <row r="492" spans="1:11" ht="14.4" customHeight="1" x14ac:dyDescent="0.3">
      <c r="A492" s="422" t="s">
        <v>444</v>
      </c>
      <c r="B492" s="423" t="s">
        <v>445</v>
      </c>
      <c r="C492" s="424" t="s">
        <v>449</v>
      </c>
      <c r="D492" s="425" t="s">
        <v>705</v>
      </c>
      <c r="E492" s="424" t="s">
        <v>1926</v>
      </c>
      <c r="F492" s="425" t="s">
        <v>1927</v>
      </c>
      <c r="G492" s="424" t="s">
        <v>1673</v>
      </c>
      <c r="H492" s="424" t="s">
        <v>1674</v>
      </c>
      <c r="I492" s="426">
        <v>1330.99</v>
      </c>
      <c r="J492" s="426">
        <v>2</v>
      </c>
      <c r="K492" s="427">
        <v>2661.98</v>
      </c>
    </row>
    <row r="493" spans="1:11" ht="14.4" customHeight="1" x14ac:dyDescent="0.3">
      <c r="A493" s="422" t="s">
        <v>444</v>
      </c>
      <c r="B493" s="423" t="s">
        <v>445</v>
      </c>
      <c r="C493" s="424" t="s">
        <v>449</v>
      </c>
      <c r="D493" s="425" t="s">
        <v>705</v>
      </c>
      <c r="E493" s="424" t="s">
        <v>1926</v>
      </c>
      <c r="F493" s="425" t="s">
        <v>1927</v>
      </c>
      <c r="G493" s="424" t="s">
        <v>1675</v>
      </c>
      <c r="H493" s="424" t="s">
        <v>1676</v>
      </c>
      <c r="I493" s="426">
        <v>17.11</v>
      </c>
      <c r="J493" s="426">
        <v>60</v>
      </c>
      <c r="K493" s="427">
        <v>1026.72</v>
      </c>
    </row>
    <row r="494" spans="1:11" ht="14.4" customHeight="1" x14ac:dyDescent="0.3">
      <c r="A494" s="422" t="s">
        <v>444</v>
      </c>
      <c r="B494" s="423" t="s">
        <v>445</v>
      </c>
      <c r="C494" s="424" t="s">
        <v>449</v>
      </c>
      <c r="D494" s="425" t="s">
        <v>705</v>
      </c>
      <c r="E494" s="424" t="s">
        <v>1926</v>
      </c>
      <c r="F494" s="425" t="s">
        <v>1927</v>
      </c>
      <c r="G494" s="424" t="s">
        <v>1677</v>
      </c>
      <c r="H494" s="424" t="s">
        <v>1678</v>
      </c>
      <c r="I494" s="426">
        <v>29</v>
      </c>
      <c r="J494" s="426">
        <v>120</v>
      </c>
      <c r="K494" s="427">
        <v>3480</v>
      </c>
    </row>
    <row r="495" spans="1:11" ht="14.4" customHeight="1" x14ac:dyDescent="0.3">
      <c r="A495" s="422" t="s">
        <v>444</v>
      </c>
      <c r="B495" s="423" t="s">
        <v>445</v>
      </c>
      <c r="C495" s="424" t="s">
        <v>449</v>
      </c>
      <c r="D495" s="425" t="s">
        <v>705</v>
      </c>
      <c r="E495" s="424" t="s">
        <v>1926</v>
      </c>
      <c r="F495" s="425" t="s">
        <v>1927</v>
      </c>
      <c r="G495" s="424" t="s">
        <v>1679</v>
      </c>
      <c r="H495" s="424" t="s">
        <v>1680</v>
      </c>
      <c r="I495" s="426">
        <v>903</v>
      </c>
      <c r="J495" s="426">
        <v>2</v>
      </c>
      <c r="K495" s="427">
        <v>1806</v>
      </c>
    </row>
    <row r="496" spans="1:11" ht="14.4" customHeight="1" x14ac:dyDescent="0.3">
      <c r="A496" s="422" t="s">
        <v>444</v>
      </c>
      <c r="B496" s="423" t="s">
        <v>445</v>
      </c>
      <c r="C496" s="424" t="s">
        <v>449</v>
      </c>
      <c r="D496" s="425" t="s">
        <v>705</v>
      </c>
      <c r="E496" s="424" t="s">
        <v>1926</v>
      </c>
      <c r="F496" s="425" t="s">
        <v>1927</v>
      </c>
      <c r="G496" s="424" t="s">
        <v>1681</v>
      </c>
      <c r="H496" s="424" t="s">
        <v>1682</v>
      </c>
      <c r="I496" s="426">
        <v>37.51</v>
      </c>
      <c r="J496" s="426">
        <v>12</v>
      </c>
      <c r="K496" s="427">
        <v>450.12</v>
      </c>
    </row>
    <row r="497" spans="1:11" ht="14.4" customHeight="1" x14ac:dyDescent="0.3">
      <c r="A497" s="422" t="s">
        <v>444</v>
      </c>
      <c r="B497" s="423" t="s">
        <v>445</v>
      </c>
      <c r="C497" s="424" t="s">
        <v>449</v>
      </c>
      <c r="D497" s="425" t="s">
        <v>705</v>
      </c>
      <c r="E497" s="424" t="s">
        <v>1926</v>
      </c>
      <c r="F497" s="425" t="s">
        <v>1927</v>
      </c>
      <c r="G497" s="424" t="s">
        <v>1683</v>
      </c>
      <c r="H497" s="424" t="s">
        <v>1684</v>
      </c>
      <c r="I497" s="426">
        <v>13918.63</v>
      </c>
      <c r="J497" s="426">
        <v>1</v>
      </c>
      <c r="K497" s="427">
        <v>13918.63</v>
      </c>
    </row>
    <row r="498" spans="1:11" ht="14.4" customHeight="1" x14ac:dyDescent="0.3">
      <c r="A498" s="422" t="s">
        <v>444</v>
      </c>
      <c r="B498" s="423" t="s">
        <v>445</v>
      </c>
      <c r="C498" s="424" t="s">
        <v>449</v>
      </c>
      <c r="D498" s="425" t="s">
        <v>705</v>
      </c>
      <c r="E498" s="424" t="s">
        <v>1926</v>
      </c>
      <c r="F498" s="425" t="s">
        <v>1927</v>
      </c>
      <c r="G498" s="424" t="s">
        <v>1685</v>
      </c>
      <c r="H498" s="424" t="s">
        <v>1686</v>
      </c>
      <c r="I498" s="426">
        <v>760.07</v>
      </c>
      <c r="J498" s="426">
        <v>5</v>
      </c>
      <c r="K498" s="427">
        <v>3800.34</v>
      </c>
    </row>
    <row r="499" spans="1:11" ht="14.4" customHeight="1" x14ac:dyDescent="0.3">
      <c r="A499" s="422" t="s">
        <v>444</v>
      </c>
      <c r="B499" s="423" t="s">
        <v>445</v>
      </c>
      <c r="C499" s="424" t="s">
        <v>449</v>
      </c>
      <c r="D499" s="425" t="s">
        <v>705</v>
      </c>
      <c r="E499" s="424" t="s">
        <v>1926</v>
      </c>
      <c r="F499" s="425" t="s">
        <v>1927</v>
      </c>
      <c r="G499" s="424" t="s">
        <v>1687</v>
      </c>
      <c r="H499" s="424" t="s">
        <v>1688</v>
      </c>
      <c r="I499" s="426">
        <v>759.34500000000003</v>
      </c>
      <c r="J499" s="426">
        <v>15</v>
      </c>
      <c r="K499" s="427">
        <v>11386.57</v>
      </c>
    </row>
    <row r="500" spans="1:11" ht="14.4" customHeight="1" x14ac:dyDescent="0.3">
      <c r="A500" s="422" t="s">
        <v>444</v>
      </c>
      <c r="B500" s="423" t="s">
        <v>445</v>
      </c>
      <c r="C500" s="424" t="s">
        <v>449</v>
      </c>
      <c r="D500" s="425" t="s">
        <v>705</v>
      </c>
      <c r="E500" s="424" t="s">
        <v>1926</v>
      </c>
      <c r="F500" s="425" t="s">
        <v>1927</v>
      </c>
      <c r="G500" s="424" t="s">
        <v>1689</v>
      </c>
      <c r="H500" s="424" t="s">
        <v>1690</v>
      </c>
      <c r="I500" s="426">
        <v>759.34500000000003</v>
      </c>
      <c r="J500" s="426">
        <v>10</v>
      </c>
      <c r="K500" s="427">
        <v>7593.45</v>
      </c>
    </row>
    <row r="501" spans="1:11" ht="14.4" customHeight="1" x14ac:dyDescent="0.3">
      <c r="A501" s="422" t="s">
        <v>444</v>
      </c>
      <c r="B501" s="423" t="s">
        <v>445</v>
      </c>
      <c r="C501" s="424" t="s">
        <v>449</v>
      </c>
      <c r="D501" s="425" t="s">
        <v>705</v>
      </c>
      <c r="E501" s="424" t="s">
        <v>1926</v>
      </c>
      <c r="F501" s="425" t="s">
        <v>1927</v>
      </c>
      <c r="G501" s="424" t="s">
        <v>1691</v>
      </c>
      <c r="H501" s="424" t="s">
        <v>1692</v>
      </c>
      <c r="I501" s="426">
        <v>17.11</v>
      </c>
      <c r="J501" s="426">
        <v>30</v>
      </c>
      <c r="K501" s="427">
        <v>513.35</v>
      </c>
    </row>
    <row r="502" spans="1:11" ht="14.4" customHeight="1" x14ac:dyDescent="0.3">
      <c r="A502" s="422" t="s">
        <v>444</v>
      </c>
      <c r="B502" s="423" t="s">
        <v>445</v>
      </c>
      <c r="C502" s="424" t="s">
        <v>449</v>
      </c>
      <c r="D502" s="425" t="s">
        <v>705</v>
      </c>
      <c r="E502" s="424" t="s">
        <v>1926</v>
      </c>
      <c r="F502" s="425" t="s">
        <v>1927</v>
      </c>
      <c r="G502" s="424" t="s">
        <v>1693</v>
      </c>
      <c r="H502" s="424" t="s">
        <v>1694</v>
      </c>
      <c r="I502" s="426">
        <v>17.11</v>
      </c>
      <c r="J502" s="426">
        <v>90</v>
      </c>
      <c r="K502" s="427">
        <v>1540.08</v>
      </c>
    </row>
    <row r="503" spans="1:11" ht="14.4" customHeight="1" x14ac:dyDescent="0.3">
      <c r="A503" s="422" t="s">
        <v>444</v>
      </c>
      <c r="B503" s="423" t="s">
        <v>445</v>
      </c>
      <c r="C503" s="424" t="s">
        <v>449</v>
      </c>
      <c r="D503" s="425" t="s">
        <v>705</v>
      </c>
      <c r="E503" s="424" t="s">
        <v>1926</v>
      </c>
      <c r="F503" s="425" t="s">
        <v>1927</v>
      </c>
      <c r="G503" s="424" t="s">
        <v>1695</v>
      </c>
      <c r="H503" s="424" t="s">
        <v>1696</v>
      </c>
      <c r="I503" s="426">
        <v>3206</v>
      </c>
      <c r="J503" s="426">
        <v>1</v>
      </c>
      <c r="K503" s="427">
        <v>3206</v>
      </c>
    </row>
    <row r="504" spans="1:11" ht="14.4" customHeight="1" x14ac:dyDescent="0.3">
      <c r="A504" s="422" t="s">
        <v>444</v>
      </c>
      <c r="B504" s="423" t="s">
        <v>445</v>
      </c>
      <c r="C504" s="424" t="s">
        <v>449</v>
      </c>
      <c r="D504" s="425" t="s">
        <v>705</v>
      </c>
      <c r="E504" s="424" t="s">
        <v>1926</v>
      </c>
      <c r="F504" s="425" t="s">
        <v>1927</v>
      </c>
      <c r="G504" s="424" t="s">
        <v>1697</v>
      </c>
      <c r="H504" s="424" t="s">
        <v>1698</v>
      </c>
      <c r="I504" s="426">
        <v>62.92</v>
      </c>
      <c r="J504" s="426">
        <v>24</v>
      </c>
      <c r="K504" s="427">
        <v>1510.08</v>
      </c>
    </row>
    <row r="505" spans="1:11" ht="14.4" customHeight="1" x14ac:dyDescent="0.3">
      <c r="A505" s="422" t="s">
        <v>444</v>
      </c>
      <c r="B505" s="423" t="s">
        <v>445</v>
      </c>
      <c r="C505" s="424" t="s">
        <v>449</v>
      </c>
      <c r="D505" s="425" t="s">
        <v>705</v>
      </c>
      <c r="E505" s="424" t="s">
        <v>1926</v>
      </c>
      <c r="F505" s="425" t="s">
        <v>1927</v>
      </c>
      <c r="G505" s="424" t="s">
        <v>1699</v>
      </c>
      <c r="H505" s="424" t="s">
        <v>1700</v>
      </c>
      <c r="I505" s="426">
        <v>251.68</v>
      </c>
      <c r="J505" s="426">
        <v>2</v>
      </c>
      <c r="K505" s="427">
        <v>503.36</v>
      </c>
    </row>
    <row r="506" spans="1:11" ht="14.4" customHeight="1" x14ac:dyDescent="0.3">
      <c r="A506" s="422" t="s">
        <v>444</v>
      </c>
      <c r="B506" s="423" t="s">
        <v>445</v>
      </c>
      <c r="C506" s="424" t="s">
        <v>449</v>
      </c>
      <c r="D506" s="425" t="s">
        <v>705</v>
      </c>
      <c r="E506" s="424" t="s">
        <v>1926</v>
      </c>
      <c r="F506" s="425" t="s">
        <v>1927</v>
      </c>
      <c r="G506" s="424" t="s">
        <v>1701</v>
      </c>
      <c r="H506" s="424" t="s">
        <v>1702</v>
      </c>
      <c r="I506" s="426">
        <v>2125.65</v>
      </c>
      <c r="J506" s="426">
        <v>1</v>
      </c>
      <c r="K506" s="427">
        <v>2125.65</v>
      </c>
    </row>
    <row r="507" spans="1:11" ht="14.4" customHeight="1" x14ac:dyDescent="0.3">
      <c r="A507" s="422" t="s">
        <v>444</v>
      </c>
      <c r="B507" s="423" t="s">
        <v>445</v>
      </c>
      <c r="C507" s="424" t="s">
        <v>449</v>
      </c>
      <c r="D507" s="425" t="s">
        <v>705</v>
      </c>
      <c r="E507" s="424" t="s">
        <v>1926</v>
      </c>
      <c r="F507" s="425" t="s">
        <v>1927</v>
      </c>
      <c r="G507" s="424" t="s">
        <v>1703</v>
      </c>
      <c r="H507" s="424" t="s">
        <v>1704</v>
      </c>
      <c r="I507" s="426">
        <v>513.36</v>
      </c>
      <c r="J507" s="426">
        <v>2</v>
      </c>
      <c r="K507" s="427">
        <v>1026.72</v>
      </c>
    </row>
    <row r="508" spans="1:11" ht="14.4" customHeight="1" x14ac:dyDescent="0.3">
      <c r="A508" s="422" t="s">
        <v>444</v>
      </c>
      <c r="B508" s="423" t="s">
        <v>445</v>
      </c>
      <c r="C508" s="424" t="s">
        <v>449</v>
      </c>
      <c r="D508" s="425" t="s">
        <v>705</v>
      </c>
      <c r="E508" s="424" t="s">
        <v>1926</v>
      </c>
      <c r="F508" s="425" t="s">
        <v>1927</v>
      </c>
      <c r="G508" s="424" t="s">
        <v>1705</v>
      </c>
      <c r="H508" s="424" t="s">
        <v>1706</v>
      </c>
      <c r="I508" s="426">
        <v>138</v>
      </c>
      <c r="J508" s="426">
        <v>3</v>
      </c>
      <c r="K508" s="427">
        <v>414</v>
      </c>
    </row>
    <row r="509" spans="1:11" ht="14.4" customHeight="1" x14ac:dyDescent="0.3">
      <c r="A509" s="422" t="s">
        <v>444</v>
      </c>
      <c r="B509" s="423" t="s">
        <v>445</v>
      </c>
      <c r="C509" s="424" t="s">
        <v>449</v>
      </c>
      <c r="D509" s="425" t="s">
        <v>705</v>
      </c>
      <c r="E509" s="424" t="s">
        <v>1926</v>
      </c>
      <c r="F509" s="425" t="s">
        <v>1927</v>
      </c>
      <c r="G509" s="424" t="s">
        <v>1707</v>
      </c>
      <c r="H509" s="424" t="s">
        <v>1708</v>
      </c>
      <c r="I509" s="426">
        <v>387.36</v>
      </c>
      <c r="J509" s="426">
        <v>5</v>
      </c>
      <c r="K509" s="427">
        <v>1932.17</v>
      </c>
    </row>
    <row r="510" spans="1:11" ht="14.4" customHeight="1" x14ac:dyDescent="0.3">
      <c r="A510" s="422" t="s">
        <v>444</v>
      </c>
      <c r="B510" s="423" t="s">
        <v>445</v>
      </c>
      <c r="C510" s="424" t="s">
        <v>449</v>
      </c>
      <c r="D510" s="425" t="s">
        <v>705</v>
      </c>
      <c r="E510" s="424" t="s">
        <v>1926</v>
      </c>
      <c r="F510" s="425" t="s">
        <v>1927</v>
      </c>
      <c r="G510" s="424" t="s">
        <v>1709</v>
      </c>
      <c r="H510" s="424" t="s">
        <v>1710</v>
      </c>
      <c r="I510" s="426">
        <v>2255.44</v>
      </c>
      <c r="J510" s="426">
        <v>1</v>
      </c>
      <c r="K510" s="427">
        <v>2255.44</v>
      </c>
    </row>
    <row r="511" spans="1:11" ht="14.4" customHeight="1" x14ac:dyDescent="0.3">
      <c r="A511" s="422" t="s">
        <v>444</v>
      </c>
      <c r="B511" s="423" t="s">
        <v>445</v>
      </c>
      <c r="C511" s="424" t="s">
        <v>449</v>
      </c>
      <c r="D511" s="425" t="s">
        <v>705</v>
      </c>
      <c r="E511" s="424" t="s">
        <v>1926</v>
      </c>
      <c r="F511" s="425" t="s">
        <v>1927</v>
      </c>
      <c r="G511" s="424" t="s">
        <v>1711</v>
      </c>
      <c r="H511" s="424" t="s">
        <v>1712</v>
      </c>
      <c r="I511" s="426">
        <v>513.36</v>
      </c>
      <c r="J511" s="426">
        <v>2</v>
      </c>
      <c r="K511" s="427">
        <v>1026.72</v>
      </c>
    </row>
    <row r="512" spans="1:11" ht="14.4" customHeight="1" x14ac:dyDescent="0.3">
      <c r="A512" s="422" t="s">
        <v>444</v>
      </c>
      <c r="B512" s="423" t="s">
        <v>445</v>
      </c>
      <c r="C512" s="424" t="s">
        <v>449</v>
      </c>
      <c r="D512" s="425" t="s">
        <v>705</v>
      </c>
      <c r="E512" s="424" t="s">
        <v>1926</v>
      </c>
      <c r="F512" s="425" t="s">
        <v>1927</v>
      </c>
      <c r="G512" s="424" t="s">
        <v>1713</v>
      </c>
      <c r="H512" s="424" t="s">
        <v>1714</v>
      </c>
      <c r="I512" s="426">
        <v>76.23</v>
      </c>
      <c r="J512" s="426">
        <v>30</v>
      </c>
      <c r="K512" s="427">
        <v>2286.9</v>
      </c>
    </row>
    <row r="513" spans="1:11" ht="14.4" customHeight="1" x14ac:dyDescent="0.3">
      <c r="A513" s="422" t="s">
        <v>444</v>
      </c>
      <c r="B513" s="423" t="s">
        <v>445</v>
      </c>
      <c r="C513" s="424" t="s">
        <v>449</v>
      </c>
      <c r="D513" s="425" t="s">
        <v>705</v>
      </c>
      <c r="E513" s="424" t="s">
        <v>1926</v>
      </c>
      <c r="F513" s="425" t="s">
        <v>1927</v>
      </c>
      <c r="G513" s="424" t="s">
        <v>1715</v>
      </c>
      <c r="H513" s="424" t="s">
        <v>1716</v>
      </c>
      <c r="I513" s="426">
        <v>5.29</v>
      </c>
      <c r="J513" s="426">
        <v>90</v>
      </c>
      <c r="K513" s="427">
        <v>475.95</v>
      </c>
    </row>
    <row r="514" spans="1:11" ht="14.4" customHeight="1" x14ac:dyDescent="0.3">
      <c r="A514" s="422" t="s">
        <v>444</v>
      </c>
      <c r="B514" s="423" t="s">
        <v>445</v>
      </c>
      <c r="C514" s="424" t="s">
        <v>449</v>
      </c>
      <c r="D514" s="425" t="s">
        <v>705</v>
      </c>
      <c r="E514" s="424" t="s">
        <v>1926</v>
      </c>
      <c r="F514" s="425" t="s">
        <v>1927</v>
      </c>
      <c r="G514" s="424" t="s">
        <v>1717</v>
      </c>
      <c r="H514" s="424" t="s">
        <v>1718</v>
      </c>
      <c r="I514" s="426">
        <v>5.29</v>
      </c>
      <c r="J514" s="426">
        <v>90</v>
      </c>
      <c r="K514" s="427">
        <v>475.95</v>
      </c>
    </row>
    <row r="515" spans="1:11" ht="14.4" customHeight="1" x14ac:dyDescent="0.3">
      <c r="A515" s="422" t="s">
        <v>444</v>
      </c>
      <c r="B515" s="423" t="s">
        <v>445</v>
      </c>
      <c r="C515" s="424" t="s">
        <v>449</v>
      </c>
      <c r="D515" s="425" t="s">
        <v>705</v>
      </c>
      <c r="E515" s="424" t="s">
        <v>1926</v>
      </c>
      <c r="F515" s="425" t="s">
        <v>1927</v>
      </c>
      <c r="G515" s="424" t="s">
        <v>1719</v>
      </c>
      <c r="H515" s="424" t="s">
        <v>1720</v>
      </c>
      <c r="I515" s="426">
        <v>279</v>
      </c>
      <c r="J515" s="426">
        <v>1</v>
      </c>
      <c r="K515" s="427">
        <v>279</v>
      </c>
    </row>
    <row r="516" spans="1:11" ht="14.4" customHeight="1" x14ac:dyDescent="0.3">
      <c r="A516" s="422" t="s">
        <v>444</v>
      </c>
      <c r="B516" s="423" t="s">
        <v>445</v>
      </c>
      <c r="C516" s="424" t="s">
        <v>449</v>
      </c>
      <c r="D516" s="425" t="s">
        <v>705</v>
      </c>
      <c r="E516" s="424" t="s">
        <v>1926</v>
      </c>
      <c r="F516" s="425" t="s">
        <v>1927</v>
      </c>
      <c r="G516" s="424" t="s">
        <v>1721</v>
      </c>
      <c r="H516" s="424" t="s">
        <v>1722</v>
      </c>
      <c r="I516" s="426">
        <v>3852</v>
      </c>
      <c r="J516" s="426">
        <v>1</v>
      </c>
      <c r="K516" s="427">
        <v>3852</v>
      </c>
    </row>
    <row r="517" spans="1:11" ht="14.4" customHeight="1" x14ac:dyDescent="0.3">
      <c r="A517" s="422" t="s">
        <v>444</v>
      </c>
      <c r="B517" s="423" t="s">
        <v>445</v>
      </c>
      <c r="C517" s="424" t="s">
        <v>449</v>
      </c>
      <c r="D517" s="425" t="s">
        <v>705</v>
      </c>
      <c r="E517" s="424" t="s">
        <v>1926</v>
      </c>
      <c r="F517" s="425" t="s">
        <v>1927</v>
      </c>
      <c r="G517" s="424" t="s">
        <v>1723</v>
      </c>
      <c r="H517" s="424" t="s">
        <v>1724</v>
      </c>
      <c r="I517" s="426">
        <v>40.1</v>
      </c>
      <c r="J517" s="426">
        <v>50</v>
      </c>
      <c r="K517" s="427">
        <v>2005.03</v>
      </c>
    </row>
    <row r="518" spans="1:11" ht="14.4" customHeight="1" x14ac:dyDescent="0.3">
      <c r="A518" s="422" t="s">
        <v>444</v>
      </c>
      <c r="B518" s="423" t="s">
        <v>445</v>
      </c>
      <c r="C518" s="424" t="s">
        <v>449</v>
      </c>
      <c r="D518" s="425" t="s">
        <v>705</v>
      </c>
      <c r="E518" s="424" t="s">
        <v>1926</v>
      </c>
      <c r="F518" s="425" t="s">
        <v>1927</v>
      </c>
      <c r="G518" s="424" t="s">
        <v>1725</v>
      </c>
      <c r="H518" s="424" t="s">
        <v>1726</v>
      </c>
      <c r="I518" s="426">
        <v>726</v>
      </c>
      <c r="J518" s="426">
        <v>1</v>
      </c>
      <c r="K518" s="427">
        <v>726</v>
      </c>
    </row>
    <row r="519" spans="1:11" ht="14.4" customHeight="1" x14ac:dyDescent="0.3">
      <c r="A519" s="422" t="s">
        <v>444</v>
      </c>
      <c r="B519" s="423" t="s">
        <v>445</v>
      </c>
      <c r="C519" s="424" t="s">
        <v>449</v>
      </c>
      <c r="D519" s="425" t="s">
        <v>705</v>
      </c>
      <c r="E519" s="424" t="s">
        <v>1926</v>
      </c>
      <c r="F519" s="425" t="s">
        <v>1927</v>
      </c>
      <c r="G519" s="424" t="s">
        <v>1727</v>
      </c>
      <c r="H519" s="424" t="s">
        <v>1728</v>
      </c>
      <c r="I519" s="426">
        <v>3460.6</v>
      </c>
      <c r="J519" s="426">
        <v>1</v>
      </c>
      <c r="K519" s="427">
        <v>3460.6</v>
      </c>
    </row>
    <row r="520" spans="1:11" ht="14.4" customHeight="1" x14ac:dyDescent="0.3">
      <c r="A520" s="422" t="s">
        <v>444</v>
      </c>
      <c r="B520" s="423" t="s">
        <v>445</v>
      </c>
      <c r="C520" s="424" t="s">
        <v>449</v>
      </c>
      <c r="D520" s="425" t="s">
        <v>705</v>
      </c>
      <c r="E520" s="424" t="s">
        <v>1926</v>
      </c>
      <c r="F520" s="425" t="s">
        <v>1927</v>
      </c>
      <c r="G520" s="424" t="s">
        <v>1729</v>
      </c>
      <c r="H520" s="424" t="s">
        <v>1730</v>
      </c>
      <c r="I520" s="426">
        <v>18.579999999999998</v>
      </c>
      <c r="J520" s="426">
        <v>100</v>
      </c>
      <c r="K520" s="427">
        <v>1858</v>
      </c>
    </row>
    <row r="521" spans="1:11" ht="14.4" customHeight="1" x14ac:dyDescent="0.3">
      <c r="A521" s="422" t="s">
        <v>444</v>
      </c>
      <c r="B521" s="423" t="s">
        <v>445</v>
      </c>
      <c r="C521" s="424" t="s">
        <v>449</v>
      </c>
      <c r="D521" s="425" t="s">
        <v>705</v>
      </c>
      <c r="E521" s="424" t="s">
        <v>1926</v>
      </c>
      <c r="F521" s="425" t="s">
        <v>1927</v>
      </c>
      <c r="G521" s="424" t="s">
        <v>1731</v>
      </c>
      <c r="H521" s="424" t="s">
        <v>1732</v>
      </c>
      <c r="I521" s="426">
        <v>18.600000000000001</v>
      </c>
      <c r="J521" s="426">
        <v>20</v>
      </c>
      <c r="K521" s="427">
        <v>372</v>
      </c>
    </row>
    <row r="522" spans="1:11" ht="14.4" customHeight="1" x14ac:dyDescent="0.3">
      <c r="A522" s="422" t="s">
        <v>444</v>
      </c>
      <c r="B522" s="423" t="s">
        <v>445</v>
      </c>
      <c r="C522" s="424" t="s">
        <v>449</v>
      </c>
      <c r="D522" s="425" t="s">
        <v>705</v>
      </c>
      <c r="E522" s="424" t="s">
        <v>1926</v>
      </c>
      <c r="F522" s="425" t="s">
        <v>1927</v>
      </c>
      <c r="G522" s="424" t="s">
        <v>1733</v>
      </c>
      <c r="H522" s="424" t="s">
        <v>1734</v>
      </c>
      <c r="I522" s="426">
        <v>18.600000000000001</v>
      </c>
      <c r="J522" s="426">
        <v>10</v>
      </c>
      <c r="K522" s="427">
        <v>186</v>
      </c>
    </row>
    <row r="523" spans="1:11" ht="14.4" customHeight="1" x14ac:dyDescent="0.3">
      <c r="A523" s="422" t="s">
        <v>444</v>
      </c>
      <c r="B523" s="423" t="s">
        <v>445</v>
      </c>
      <c r="C523" s="424" t="s">
        <v>449</v>
      </c>
      <c r="D523" s="425" t="s">
        <v>705</v>
      </c>
      <c r="E523" s="424" t="s">
        <v>1926</v>
      </c>
      <c r="F523" s="425" t="s">
        <v>1927</v>
      </c>
      <c r="G523" s="424" t="s">
        <v>1735</v>
      </c>
      <c r="H523" s="424" t="s">
        <v>1736</v>
      </c>
      <c r="I523" s="426">
        <v>49.3</v>
      </c>
      <c r="J523" s="426">
        <v>20</v>
      </c>
      <c r="K523" s="427">
        <v>986</v>
      </c>
    </row>
    <row r="524" spans="1:11" ht="14.4" customHeight="1" x14ac:dyDescent="0.3">
      <c r="A524" s="422" t="s">
        <v>444</v>
      </c>
      <c r="B524" s="423" t="s">
        <v>445</v>
      </c>
      <c r="C524" s="424" t="s">
        <v>449</v>
      </c>
      <c r="D524" s="425" t="s">
        <v>705</v>
      </c>
      <c r="E524" s="424" t="s">
        <v>1926</v>
      </c>
      <c r="F524" s="425" t="s">
        <v>1927</v>
      </c>
      <c r="G524" s="424" t="s">
        <v>1737</v>
      </c>
      <c r="H524" s="424" t="s">
        <v>1738</v>
      </c>
      <c r="I524" s="426">
        <v>76.5</v>
      </c>
      <c r="J524" s="426">
        <v>40</v>
      </c>
      <c r="K524" s="427">
        <v>3060.01</v>
      </c>
    </row>
    <row r="525" spans="1:11" ht="14.4" customHeight="1" x14ac:dyDescent="0.3">
      <c r="A525" s="422" t="s">
        <v>444</v>
      </c>
      <c r="B525" s="423" t="s">
        <v>445</v>
      </c>
      <c r="C525" s="424" t="s">
        <v>449</v>
      </c>
      <c r="D525" s="425" t="s">
        <v>705</v>
      </c>
      <c r="E525" s="424" t="s">
        <v>1926</v>
      </c>
      <c r="F525" s="425" t="s">
        <v>1927</v>
      </c>
      <c r="G525" s="424" t="s">
        <v>1739</v>
      </c>
      <c r="H525" s="424" t="s">
        <v>1740</v>
      </c>
      <c r="I525" s="426">
        <v>49.3</v>
      </c>
      <c r="J525" s="426">
        <v>10</v>
      </c>
      <c r="K525" s="427">
        <v>493</v>
      </c>
    </row>
    <row r="526" spans="1:11" ht="14.4" customHeight="1" x14ac:dyDescent="0.3">
      <c r="A526" s="422" t="s">
        <v>444</v>
      </c>
      <c r="B526" s="423" t="s">
        <v>445</v>
      </c>
      <c r="C526" s="424" t="s">
        <v>449</v>
      </c>
      <c r="D526" s="425" t="s">
        <v>705</v>
      </c>
      <c r="E526" s="424" t="s">
        <v>1926</v>
      </c>
      <c r="F526" s="425" t="s">
        <v>1927</v>
      </c>
      <c r="G526" s="424" t="s">
        <v>1741</v>
      </c>
      <c r="H526" s="424" t="s">
        <v>1742</v>
      </c>
      <c r="I526" s="426">
        <v>76.5</v>
      </c>
      <c r="J526" s="426">
        <v>20</v>
      </c>
      <c r="K526" s="427">
        <v>1530</v>
      </c>
    </row>
    <row r="527" spans="1:11" ht="14.4" customHeight="1" x14ac:dyDescent="0.3">
      <c r="A527" s="422" t="s">
        <v>444</v>
      </c>
      <c r="B527" s="423" t="s">
        <v>445</v>
      </c>
      <c r="C527" s="424" t="s">
        <v>449</v>
      </c>
      <c r="D527" s="425" t="s">
        <v>705</v>
      </c>
      <c r="E527" s="424" t="s">
        <v>1926</v>
      </c>
      <c r="F527" s="425" t="s">
        <v>1927</v>
      </c>
      <c r="G527" s="424" t="s">
        <v>1743</v>
      </c>
      <c r="H527" s="424" t="s">
        <v>1744</v>
      </c>
      <c r="I527" s="426">
        <v>18.600000000000001</v>
      </c>
      <c r="J527" s="426">
        <v>10</v>
      </c>
      <c r="K527" s="427">
        <v>186</v>
      </c>
    </row>
    <row r="528" spans="1:11" ht="14.4" customHeight="1" x14ac:dyDescent="0.3">
      <c r="A528" s="422" t="s">
        <v>444</v>
      </c>
      <c r="B528" s="423" t="s">
        <v>445</v>
      </c>
      <c r="C528" s="424" t="s">
        <v>449</v>
      </c>
      <c r="D528" s="425" t="s">
        <v>705</v>
      </c>
      <c r="E528" s="424" t="s">
        <v>1926</v>
      </c>
      <c r="F528" s="425" t="s">
        <v>1927</v>
      </c>
      <c r="G528" s="424" t="s">
        <v>1745</v>
      </c>
      <c r="H528" s="424" t="s">
        <v>1746</v>
      </c>
      <c r="I528" s="426">
        <v>76.5</v>
      </c>
      <c r="J528" s="426">
        <v>40</v>
      </c>
      <c r="K528" s="427">
        <v>3060.01</v>
      </c>
    </row>
    <row r="529" spans="1:11" ht="14.4" customHeight="1" x14ac:dyDescent="0.3">
      <c r="A529" s="422" t="s">
        <v>444</v>
      </c>
      <c r="B529" s="423" t="s">
        <v>445</v>
      </c>
      <c r="C529" s="424" t="s">
        <v>449</v>
      </c>
      <c r="D529" s="425" t="s">
        <v>705</v>
      </c>
      <c r="E529" s="424" t="s">
        <v>1926</v>
      </c>
      <c r="F529" s="425" t="s">
        <v>1927</v>
      </c>
      <c r="G529" s="424" t="s">
        <v>1747</v>
      </c>
      <c r="H529" s="424" t="s">
        <v>1748</v>
      </c>
      <c r="I529" s="426">
        <v>49.3</v>
      </c>
      <c r="J529" s="426">
        <v>10</v>
      </c>
      <c r="K529" s="427">
        <v>493</v>
      </c>
    </row>
    <row r="530" spans="1:11" ht="14.4" customHeight="1" x14ac:dyDescent="0.3">
      <c r="A530" s="422" t="s">
        <v>444</v>
      </c>
      <c r="B530" s="423" t="s">
        <v>445</v>
      </c>
      <c r="C530" s="424" t="s">
        <v>449</v>
      </c>
      <c r="D530" s="425" t="s">
        <v>705</v>
      </c>
      <c r="E530" s="424" t="s">
        <v>1926</v>
      </c>
      <c r="F530" s="425" t="s">
        <v>1927</v>
      </c>
      <c r="G530" s="424" t="s">
        <v>1749</v>
      </c>
      <c r="H530" s="424" t="s">
        <v>1750</v>
      </c>
      <c r="I530" s="426">
        <v>76.5</v>
      </c>
      <c r="J530" s="426">
        <v>10</v>
      </c>
      <c r="K530" s="427">
        <v>765</v>
      </c>
    </row>
    <row r="531" spans="1:11" ht="14.4" customHeight="1" x14ac:dyDescent="0.3">
      <c r="A531" s="422" t="s">
        <v>444</v>
      </c>
      <c r="B531" s="423" t="s">
        <v>445</v>
      </c>
      <c r="C531" s="424" t="s">
        <v>449</v>
      </c>
      <c r="D531" s="425" t="s">
        <v>705</v>
      </c>
      <c r="E531" s="424" t="s">
        <v>1926</v>
      </c>
      <c r="F531" s="425" t="s">
        <v>1927</v>
      </c>
      <c r="G531" s="424" t="s">
        <v>1751</v>
      </c>
      <c r="H531" s="424" t="s">
        <v>1752</v>
      </c>
      <c r="I531" s="426">
        <v>49.3</v>
      </c>
      <c r="J531" s="426">
        <v>50</v>
      </c>
      <c r="K531" s="427">
        <v>2465.02</v>
      </c>
    </row>
    <row r="532" spans="1:11" ht="14.4" customHeight="1" x14ac:dyDescent="0.3">
      <c r="A532" s="422" t="s">
        <v>444</v>
      </c>
      <c r="B532" s="423" t="s">
        <v>445</v>
      </c>
      <c r="C532" s="424" t="s">
        <v>449</v>
      </c>
      <c r="D532" s="425" t="s">
        <v>705</v>
      </c>
      <c r="E532" s="424" t="s">
        <v>1926</v>
      </c>
      <c r="F532" s="425" t="s">
        <v>1927</v>
      </c>
      <c r="G532" s="424" t="s">
        <v>1753</v>
      </c>
      <c r="H532" s="424" t="s">
        <v>1754</v>
      </c>
      <c r="I532" s="426">
        <v>18.600000000000001</v>
      </c>
      <c r="J532" s="426">
        <v>40</v>
      </c>
      <c r="K532" s="427">
        <v>744</v>
      </c>
    </row>
    <row r="533" spans="1:11" ht="14.4" customHeight="1" x14ac:dyDescent="0.3">
      <c r="A533" s="422" t="s">
        <v>444</v>
      </c>
      <c r="B533" s="423" t="s">
        <v>445</v>
      </c>
      <c r="C533" s="424" t="s">
        <v>449</v>
      </c>
      <c r="D533" s="425" t="s">
        <v>705</v>
      </c>
      <c r="E533" s="424" t="s">
        <v>1926</v>
      </c>
      <c r="F533" s="425" t="s">
        <v>1927</v>
      </c>
      <c r="G533" s="424" t="s">
        <v>1755</v>
      </c>
      <c r="H533" s="424" t="s">
        <v>1756</v>
      </c>
      <c r="I533" s="426">
        <v>4129</v>
      </c>
      <c r="J533" s="426">
        <v>1</v>
      </c>
      <c r="K533" s="427">
        <v>4129</v>
      </c>
    </row>
    <row r="534" spans="1:11" ht="14.4" customHeight="1" x14ac:dyDescent="0.3">
      <c r="A534" s="422" t="s">
        <v>444</v>
      </c>
      <c r="B534" s="423" t="s">
        <v>445</v>
      </c>
      <c r="C534" s="424" t="s">
        <v>449</v>
      </c>
      <c r="D534" s="425" t="s">
        <v>705</v>
      </c>
      <c r="E534" s="424" t="s">
        <v>1926</v>
      </c>
      <c r="F534" s="425" t="s">
        <v>1927</v>
      </c>
      <c r="G534" s="424" t="s">
        <v>1757</v>
      </c>
      <c r="H534" s="424" t="s">
        <v>1758</v>
      </c>
      <c r="I534" s="426">
        <v>87.12</v>
      </c>
      <c r="J534" s="426">
        <v>2</v>
      </c>
      <c r="K534" s="427">
        <v>174.24</v>
      </c>
    </row>
    <row r="535" spans="1:11" ht="14.4" customHeight="1" x14ac:dyDescent="0.3">
      <c r="A535" s="422" t="s">
        <v>444</v>
      </c>
      <c r="B535" s="423" t="s">
        <v>445</v>
      </c>
      <c r="C535" s="424" t="s">
        <v>449</v>
      </c>
      <c r="D535" s="425" t="s">
        <v>705</v>
      </c>
      <c r="E535" s="424" t="s">
        <v>1926</v>
      </c>
      <c r="F535" s="425" t="s">
        <v>1927</v>
      </c>
      <c r="G535" s="424" t="s">
        <v>1759</v>
      </c>
      <c r="H535" s="424" t="s">
        <v>1760</v>
      </c>
      <c r="I535" s="426">
        <v>508.2</v>
      </c>
      <c r="J535" s="426">
        <v>1</v>
      </c>
      <c r="K535" s="427">
        <v>508.2</v>
      </c>
    </row>
    <row r="536" spans="1:11" ht="14.4" customHeight="1" x14ac:dyDescent="0.3">
      <c r="A536" s="422" t="s">
        <v>444</v>
      </c>
      <c r="B536" s="423" t="s">
        <v>445</v>
      </c>
      <c r="C536" s="424" t="s">
        <v>449</v>
      </c>
      <c r="D536" s="425" t="s">
        <v>705</v>
      </c>
      <c r="E536" s="424" t="s">
        <v>1926</v>
      </c>
      <c r="F536" s="425" t="s">
        <v>1927</v>
      </c>
      <c r="G536" s="424" t="s">
        <v>1761</v>
      </c>
      <c r="H536" s="424" t="s">
        <v>1762</v>
      </c>
      <c r="I536" s="426">
        <v>508.2</v>
      </c>
      <c r="J536" s="426">
        <v>1</v>
      </c>
      <c r="K536" s="427">
        <v>508.2</v>
      </c>
    </row>
    <row r="537" spans="1:11" ht="14.4" customHeight="1" x14ac:dyDescent="0.3">
      <c r="A537" s="422" t="s">
        <v>444</v>
      </c>
      <c r="B537" s="423" t="s">
        <v>445</v>
      </c>
      <c r="C537" s="424" t="s">
        <v>449</v>
      </c>
      <c r="D537" s="425" t="s">
        <v>705</v>
      </c>
      <c r="E537" s="424" t="s">
        <v>1926</v>
      </c>
      <c r="F537" s="425" t="s">
        <v>1927</v>
      </c>
      <c r="G537" s="424" t="s">
        <v>1763</v>
      </c>
      <c r="H537" s="424" t="s">
        <v>1764</v>
      </c>
      <c r="I537" s="426">
        <v>683.65</v>
      </c>
      <c r="J537" s="426">
        <v>1</v>
      </c>
      <c r="K537" s="427">
        <v>683.65</v>
      </c>
    </row>
    <row r="538" spans="1:11" ht="14.4" customHeight="1" x14ac:dyDescent="0.3">
      <c r="A538" s="422" t="s">
        <v>444</v>
      </c>
      <c r="B538" s="423" t="s">
        <v>445</v>
      </c>
      <c r="C538" s="424" t="s">
        <v>449</v>
      </c>
      <c r="D538" s="425" t="s">
        <v>705</v>
      </c>
      <c r="E538" s="424" t="s">
        <v>1926</v>
      </c>
      <c r="F538" s="425" t="s">
        <v>1927</v>
      </c>
      <c r="G538" s="424" t="s">
        <v>1765</v>
      </c>
      <c r="H538" s="424" t="s">
        <v>1766</v>
      </c>
      <c r="I538" s="426">
        <v>843.37</v>
      </c>
      <c r="J538" s="426">
        <v>1</v>
      </c>
      <c r="K538" s="427">
        <v>843.37</v>
      </c>
    </row>
    <row r="539" spans="1:11" ht="14.4" customHeight="1" x14ac:dyDescent="0.3">
      <c r="A539" s="422" t="s">
        <v>444</v>
      </c>
      <c r="B539" s="423" t="s">
        <v>445</v>
      </c>
      <c r="C539" s="424" t="s">
        <v>449</v>
      </c>
      <c r="D539" s="425" t="s">
        <v>705</v>
      </c>
      <c r="E539" s="424" t="s">
        <v>1926</v>
      </c>
      <c r="F539" s="425" t="s">
        <v>1927</v>
      </c>
      <c r="G539" s="424" t="s">
        <v>1767</v>
      </c>
      <c r="H539" s="424" t="s">
        <v>1768</v>
      </c>
      <c r="I539" s="426">
        <v>843.37</v>
      </c>
      <c r="J539" s="426">
        <v>1</v>
      </c>
      <c r="K539" s="427">
        <v>843.37</v>
      </c>
    </row>
    <row r="540" spans="1:11" ht="14.4" customHeight="1" x14ac:dyDescent="0.3">
      <c r="A540" s="422" t="s">
        <v>444</v>
      </c>
      <c r="B540" s="423" t="s">
        <v>445</v>
      </c>
      <c r="C540" s="424" t="s">
        <v>449</v>
      </c>
      <c r="D540" s="425" t="s">
        <v>705</v>
      </c>
      <c r="E540" s="424" t="s">
        <v>1926</v>
      </c>
      <c r="F540" s="425" t="s">
        <v>1927</v>
      </c>
      <c r="G540" s="424" t="s">
        <v>1769</v>
      </c>
      <c r="H540" s="424" t="s">
        <v>1770</v>
      </c>
      <c r="I540" s="426">
        <v>843.37</v>
      </c>
      <c r="J540" s="426">
        <v>1</v>
      </c>
      <c r="K540" s="427">
        <v>843.37</v>
      </c>
    </row>
    <row r="541" spans="1:11" ht="14.4" customHeight="1" x14ac:dyDescent="0.3">
      <c r="A541" s="422" t="s">
        <v>444</v>
      </c>
      <c r="B541" s="423" t="s">
        <v>445</v>
      </c>
      <c r="C541" s="424" t="s">
        <v>449</v>
      </c>
      <c r="D541" s="425" t="s">
        <v>705</v>
      </c>
      <c r="E541" s="424" t="s">
        <v>1926</v>
      </c>
      <c r="F541" s="425" t="s">
        <v>1927</v>
      </c>
      <c r="G541" s="424" t="s">
        <v>1771</v>
      </c>
      <c r="H541" s="424" t="s">
        <v>1772</v>
      </c>
      <c r="I541" s="426">
        <v>843.37</v>
      </c>
      <c r="J541" s="426">
        <v>1</v>
      </c>
      <c r="K541" s="427">
        <v>843.37</v>
      </c>
    </row>
    <row r="542" spans="1:11" ht="14.4" customHeight="1" x14ac:dyDescent="0.3">
      <c r="A542" s="422" t="s">
        <v>444</v>
      </c>
      <c r="B542" s="423" t="s">
        <v>445</v>
      </c>
      <c r="C542" s="424" t="s">
        <v>449</v>
      </c>
      <c r="D542" s="425" t="s">
        <v>705</v>
      </c>
      <c r="E542" s="424" t="s">
        <v>1926</v>
      </c>
      <c r="F542" s="425" t="s">
        <v>1927</v>
      </c>
      <c r="G542" s="424" t="s">
        <v>1773</v>
      </c>
      <c r="H542" s="424" t="s">
        <v>1774</v>
      </c>
      <c r="I542" s="426">
        <v>843.37</v>
      </c>
      <c r="J542" s="426">
        <v>1</v>
      </c>
      <c r="K542" s="427">
        <v>843.37</v>
      </c>
    </row>
    <row r="543" spans="1:11" ht="14.4" customHeight="1" x14ac:dyDescent="0.3">
      <c r="A543" s="422" t="s">
        <v>444</v>
      </c>
      <c r="B543" s="423" t="s">
        <v>445</v>
      </c>
      <c r="C543" s="424" t="s">
        <v>449</v>
      </c>
      <c r="D543" s="425" t="s">
        <v>705</v>
      </c>
      <c r="E543" s="424" t="s">
        <v>1926</v>
      </c>
      <c r="F543" s="425" t="s">
        <v>1927</v>
      </c>
      <c r="G543" s="424" t="s">
        <v>1775</v>
      </c>
      <c r="H543" s="424" t="s">
        <v>1776</v>
      </c>
      <c r="I543" s="426">
        <v>843.37</v>
      </c>
      <c r="J543" s="426">
        <v>1</v>
      </c>
      <c r="K543" s="427">
        <v>843.37</v>
      </c>
    </row>
    <row r="544" spans="1:11" ht="14.4" customHeight="1" x14ac:dyDescent="0.3">
      <c r="A544" s="422" t="s">
        <v>444</v>
      </c>
      <c r="B544" s="423" t="s">
        <v>445</v>
      </c>
      <c r="C544" s="424" t="s">
        <v>449</v>
      </c>
      <c r="D544" s="425" t="s">
        <v>705</v>
      </c>
      <c r="E544" s="424" t="s">
        <v>1926</v>
      </c>
      <c r="F544" s="425" t="s">
        <v>1927</v>
      </c>
      <c r="G544" s="424" t="s">
        <v>1777</v>
      </c>
      <c r="H544" s="424" t="s">
        <v>1778</v>
      </c>
      <c r="I544" s="426">
        <v>843.37</v>
      </c>
      <c r="J544" s="426">
        <v>1</v>
      </c>
      <c r="K544" s="427">
        <v>843.37</v>
      </c>
    </row>
    <row r="545" spans="1:11" ht="14.4" customHeight="1" x14ac:dyDescent="0.3">
      <c r="A545" s="422" t="s">
        <v>444</v>
      </c>
      <c r="B545" s="423" t="s">
        <v>445</v>
      </c>
      <c r="C545" s="424" t="s">
        <v>449</v>
      </c>
      <c r="D545" s="425" t="s">
        <v>705</v>
      </c>
      <c r="E545" s="424" t="s">
        <v>1926</v>
      </c>
      <c r="F545" s="425" t="s">
        <v>1927</v>
      </c>
      <c r="G545" s="424" t="s">
        <v>1779</v>
      </c>
      <c r="H545" s="424" t="s">
        <v>1780</v>
      </c>
      <c r="I545" s="426">
        <v>159.71</v>
      </c>
      <c r="J545" s="426">
        <v>2</v>
      </c>
      <c r="K545" s="427">
        <v>319.42</v>
      </c>
    </row>
    <row r="546" spans="1:11" ht="14.4" customHeight="1" x14ac:dyDescent="0.3">
      <c r="A546" s="422" t="s">
        <v>444</v>
      </c>
      <c r="B546" s="423" t="s">
        <v>445</v>
      </c>
      <c r="C546" s="424" t="s">
        <v>449</v>
      </c>
      <c r="D546" s="425" t="s">
        <v>705</v>
      </c>
      <c r="E546" s="424" t="s">
        <v>1926</v>
      </c>
      <c r="F546" s="425" t="s">
        <v>1927</v>
      </c>
      <c r="G546" s="424" t="s">
        <v>1781</v>
      </c>
      <c r="H546" s="424" t="s">
        <v>1782</v>
      </c>
      <c r="I546" s="426">
        <v>844.58</v>
      </c>
      <c r="J546" s="426">
        <v>1</v>
      </c>
      <c r="K546" s="427">
        <v>844.58</v>
      </c>
    </row>
    <row r="547" spans="1:11" ht="14.4" customHeight="1" x14ac:dyDescent="0.3">
      <c r="A547" s="422" t="s">
        <v>444</v>
      </c>
      <c r="B547" s="423" t="s">
        <v>445</v>
      </c>
      <c r="C547" s="424" t="s">
        <v>449</v>
      </c>
      <c r="D547" s="425" t="s">
        <v>705</v>
      </c>
      <c r="E547" s="424" t="s">
        <v>1926</v>
      </c>
      <c r="F547" s="425" t="s">
        <v>1927</v>
      </c>
      <c r="G547" s="424" t="s">
        <v>1783</v>
      </c>
      <c r="H547" s="424" t="s">
        <v>1784</v>
      </c>
      <c r="I547" s="426">
        <v>844.58</v>
      </c>
      <c r="J547" s="426">
        <v>1</v>
      </c>
      <c r="K547" s="427">
        <v>844.58</v>
      </c>
    </row>
    <row r="548" spans="1:11" ht="14.4" customHeight="1" x14ac:dyDescent="0.3">
      <c r="A548" s="422" t="s">
        <v>444</v>
      </c>
      <c r="B548" s="423" t="s">
        <v>445</v>
      </c>
      <c r="C548" s="424" t="s">
        <v>449</v>
      </c>
      <c r="D548" s="425" t="s">
        <v>705</v>
      </c>
      <c r="E548" s="424" t="s">
        <v>1926</v>
      </c>
      <c r="F548" s="425" t="s">
        <v>1927</v>
      </c>
      <c r="G548" s="424" t="s">
        <v>1785</v>
      </c>
      <c r="H548" s="424" t="s">
        <v>1786</v>
      </c>
      <c r="I548" s="426">
        <v>45.05</v>
      </c>
      <c r="J548" s="426">
        <v>12</v>
      </c>
      <c r="K548" s="427">
        <v>540.54999999999995</v>
      </c>
    </row>
    <row r="549" spans="1:11" ht="14.4" customHeight="1" x14ac:dyDescent="0.3">
      <c r="A549" s="422" t="s">
        <v>444</v>
      </c>
      <c r="B549" s="423" t="s">
        <v>445</v>
      </c>
      <c r="C549" s="424" t="s">
        <v>449</v>
      </c>
      <c r="D549" s="425" t="s">
        <v>705</v>
      </c>
      <c r="E549" s="424" t="s">
        <v>1926</v>
      </c>
      <c r="F549" s="425" t="s">
        <v>1927</v>
      </c>
      <c r="G549" s="424" t="s">
        <v>1787</v>
      </c>
      <c r="H549" s="424" t="s">
        <v>1788</v>
      </c>
      <c r="I549" s="426">
        <v>3943.35</v>
      </c>
      <c r="J549" s="426">
        <v>1</v>
      </c>
      <c r="K549" s="427">
        <v>3943.35</v>
      </c>
    </row>
    <row r="550" spans="1:11" ht="14.4" customHeight="1" x14ac:dyDescent="0.3">
      <c r="A550" s="422" t="s">
        <v>444</v>
      </c>
      <c r="B550" s="423" t="s">
        <v>445</v>
      </c>
      <c r="C550" s="424" t="s">
        <v>449</v>
      </c>
      <c r="D550" s="425" t="s">
        <v>705</v>
      </c>
      <c r="E550" s="424" t="s">
        <v>1926</v>
      </c>
      <c r="F550" s="425" t="s">
        <v>1927</v>
      </c>
      <c r="G550" s="424" t="s">
        <v>1789</v>
      </c>
      <c r="H550" s="424" t="s">
        <v>1790</v>
      </c>
      <c r="I550" s="426">
        <v>6776</v>
      </c>
      <c r="J550" s="426">
        <v>2</v>
      </c>
      <c r="K550" s="427">
        <v>13552</v>
      </c>
    </row>
    <row r="551" spans="1:11" ht="14.4" customHeight="1" x14ac:dyDescent="0.3">
      <c r="A551" s="422" t="s">
        <v>444</v>
      </c>
      <c r="B551" s="423" t="s">
        <v>445</v>
      </c>
      <c r="C551" s="424" t="s">
        <v>449</v>
      </c>
      <c r="D551" s="425" t="s">
        <v>705</v>
      </c>
      <c r="E551" s="424" t="s">
        <v>1926</v>
      </c>
      <c r="F551" s="425" t="s">
        <v>1927</v>
      </c>
      <c r="G551" s="424" t="s">
        <v>1791</v>
      </c>
      <c r="H551" s="424" t="s">
        <v>1792</v>
      </c>
      <c r="I551" s="426">
        <v>3795</v>
      </c>
      <c r="J551" s="426">
        <v>1</v>
      </c>
      <c r="K551" s="427">
        <v>3795</v>
      </c>
    </row>
    <row r="552" spans="1:11" ht="14.4" customHeight="1" x14ac:dyDescent="0.3">
      <c r="A552" s="422" t="s">
        <v>444</v>
      </c>
      <c r="B552" s="423" t="s">
        <v>445</v>
      </c>
      <c r="C552" s="424" t="s">
        <v>449</v>
      </c>
      <c r="D552" s="425" t="s">
        <v>705</v>
      </c>
      <c r="E552" s="424" t="s">
        <v>1926</v>
      </c>
      <c r="F552" s="425" t="s">
        <v>1927</v>
      </c>
      <c r="G552" s="424" t="s">
        <v>1793</v>
      </c>
      <c r="H552" s="424" t="s">
        <v>1794</v>
      </c>
      <c r="I552" s="426">
        <v>2232</v>
      </c>
      <c r="J552" s="426">
        <v>1</v>
      </c>
      <c r="K552" s="427">
        <v>2232</v>
      </c>
    </row>
    <row r="553" spans="1:11" ht="14.4" customHeight="1" x14ac:dyDescent="0.3">
      <c r="A553" s="422" t="s">
        <v>444</v>
      </c>
      <c r="B553" s="423" t="s">
        <v>445</v>
      </c>
      <c r="C553" s="424" t="s">
        <v>449</v>
      </c>
      <c r="D553" s="425" t="s">
        <v>705</v>
      </c>
      <c r="E553" s="424" t="s">
        <v>1926</v>
      </c>
      <c r="F553" s="425" t="s">
        <v>1927</v>
      </c>
      <c r="G553" s="424" t="s">
        <v>1795</v>
      </c>
      <c r="H553" s="424" t="s">
        <v>1796</v>
      </c>
      <c r="I553" s="426">
        <v>2290</v>
      </c>
      <c r="J553" s="426">
        <v>1</v>
      </c>
      <c r="K553" s="427">
        <v>2290</v>
      </c>
    </row>
    <row r="554" spans="1:11" ht="14.4" customHeight="1" x14ac:dyDescent="0.3">
      <c r="A554" s="422" t="s">
        <v>444</v>
      </c>
      <c r="B554" s="423" t="s">
        <v>445</v>
      </c>
      <c r="C554" s="424" t="s">
        <v>449</v>
      </c>
      <c r="D554" s="425" t="s">
        <v>705</v>
      </c>
      <c r="E554" s="424" t="s">
        <v>1926</v>
      </c>
      <c r="F554" s="425" t="s">
        <v>1927</v>
      </c>
      <c r="G554" s="424" t="s">
        <v>1797</v>
      </c>
      <c r="H554" s="424" t="s">
        <v>1798</v>
      </c>
      <c r="I554" s="426">
        <v>6177</v>
      </c>
      <c r="J554" s="426">
        <v>2</v>
      </c>
      <c r="K554" s="427">
        <v>12354</v>
      </c>
    </row>
    <row r="555" spans="1:11" ht="14.4" customHeight="1" x14ac:dyDescent="0.3">
      <c r="A555" s="422" t="s">
        <v>444</v>
      </c>
      <c r="B555" s="423" t="s">
        <v>445</v>
      </c>
      <c r="C555" s="424" t="s">
        <v>449</v>
      </c>
      <c r="D555" s="425" t="s">
        <v>705</v>
      </c>
      <c r="E555" s="424" t="s">
        <v>1926</v>
      </c>
      <c r="F555" s="425" t="s">
        <v>1927</v>
      </c>
      <c r="G555" s="424" t="s">
        <v>1799</v>
      </c>
      <c r="H555" s="424" t="s">
        <v>1800</v>
      </c>
      <c r="I555" s="426">
        <v>66.55</v>
      </c>
      <c r="J555" s="426">
        <v>5</v>
      </c>
      <c r="K555" s="427">
        <v>332.75</v>
      </c>
    </row>
    <row r="556" spans="1:11" ht="14.4" customHeight="1" x14ac:dyDescent="0.3">
      <c r="A556" s="422" t="s">
        <v>444</v>
      </c>
      <c r="B556" s="423" t="s">
        <v>445</v>
      </c>
      <c r="C556" s="424" t="s">
        <v>449</v>
      </c>
      <c r="D556" s="425" t="s">
        <v>705</v>
      </c>
      <c r="E556" s="424" t="s">
        <v>1926</v>
      </c>
      <c r="F556" s="425" t="s">
        <v>1927</v>
      </c>
      <c r="G556" s="424" t="s">
        <v>1801</v>
      </c>
      <c r="H556" s="424" t="s">
        <v>1802</v>
      </c>
      <c r="I556" s="426">
        <v>66.55</v>
      </c>
      <c r="J556" s="426">
        <v>5</v>
      </c>
      <c r="K556" s="427">
        <v>332.75</v>
      </c>
    </row>
    <row r="557" spans="1:11" ht="14.4" customHeight="1" x14ac:dyDescent="0.3">
      <c r="A557" s="422" t="s">
        <v>444</v>
      </c>
      <c r="B557" s="423" t="s">
        <v>445</v>
      </c>
      <c r="C557" s="424" t="s">
        <v>449</v>
      </c>
      <c r="D557" s="425" t="s">
        <v>705</v>
      </c>
      <c r="E557" s="424" t="s">
        <v>1926</v>
      </c>
      <c r="F557" s="425" t="s">
        <v>1927</v>
      </c>
      <c r="G557" s="424" t="s">
        <v>1803</v>
      </c>
      <c r="H557" s="424" t="s">
        <v>1804</v>
      </c>
      <c r="I557" s="426">
        <v>66.55</v>
      </c>
      <c r="J557" s="426">
        <v>5</v>
      </c>
      <c r="K557" s="427">
        <v>332.75</v>
      </c>
    </row>
    <row r="558" spans="1:11" ht="14.4" customHeight="1" x14ac:dyDescent="0.3">
      <c r="A558" s="422" t="s">
        <v>444</v>
      </c>
      <c r="B558" s="423" t="s">
        <v>445</v>
      </c>
      <c r="C558" s="424" t="s">
        <v>449</v>
      </c>
      <c r="D558" s="425" t="s">
        <v>705</v>
      </c>
      <c r="E558" s="424" t="s">
        <v>1926</v>
      </c>
      <c r="F558" s="425" t="s">
        <v>1927</v>
      </c>
      <c r="G558" s="424" t="s">
        <v>1805</v>
      </c>
      <c r="H558" s="424" t="s">
        <v>1806</v>
      </c>
      <c r="I558" s="426">
        <v>34.880000000000003</v>
      </c>
      <c r="J558" s="426">
        <v>50</v>
      </c>
      <c r="K558" s="427">
        <v>1744</v>
      </c>
    </row>
    <row r="559" spans="1:11" ht="14.4" customHeight="1" x14ac:dyDescent="0.3">
      <c r="A559" s="422" t="s">
        <v>444</v>
      </c>
      <c r="B559" s="423" t="s">
        <v>445</v>
      </c>
      <c r="C559" s="424" t="s">
        <v>449</v>
      </c>
      <c r="D559" s="425" t="s">
        <v>705</v>
      </c>
      <c r="E559" s="424" t="s">
        <v>1926</v>
      </c>
      <c r="F559" s="425" t="s">
        <v>1927</v>
      </c>
      <c r="G559" s="424" t="s">
        <v>1807</v>
      </c>
      <c r="H559" s="424" t="s">
        <v>1808</v>
      </c>
      <c r="I559" s="426">
        <v>432.7</v>
      </c>
      <c r="J559" s="426">
        <v>1</v>
      </c>
      <c r="K559" s="427">
        <v>432.7</v>
      </c>
    </row>
    <row r="560" spans="1:11" ht="14.4" customHeight="1" x14ac:dyDescent="0.3">
      <c r="A560" s="422" t="s">
        <v>444</v>
      </c>
      <c r="B560" s="423" t="s">
        <v>445</v>
      </c>
      <c r="C560" s="424" t="s">
        <v>449</v>
      </c>
      <c r="D560" s="425" t="s">
        <v>705</v>
      </c>
      <c r="E560" s="424" t="s">
        <v>1926</v>
      </c>
      <c r="F560" s="425" t="s">
        <v>1927</v>
      </c>
      <c r="G560" s="424" t="s">
        <v>1809</v>
      </c>
      <c r="H560" s="424" t="s">
        <v>1810</v>
      </c>
      <c r="I560" s="426">
        <v>877.25</v>
      </c>
      <c r="J560" s="426">
        <v>1</v>
      </c>
      <c r="K560" s="427">
        <v>877.25</v>
      </c>
    </row>
    <row r="561" spans="1:11" ht="14.4" customHeight="1" x14ac:dyDescent="0.3">
      <c r="A561" s="422" t="s">
        <v>444</v>
      </c>
      <c r="B561" s="423" t="s">
        <v>445</v>
      </c>
      <c r="C561" s="424" t="s">
        <v>449</v>
      </c>
      <c r="D561" s="425" t="s">
        <v>705</v>
      </c>
      <c r="E561" s="424" t="s">
        <v>1926</v>
      </c>
      <c r="F561" s="425" t="s">
        <v>1927</v>
      </c>
      <c r="G561" s="424" t="s">
        <v>1811</v>
      </c>
      <c r="H561" s="424" t="s">
        <v>1812</v>
      </c>
      <c r="I561" s="426">
        <v>174.845</v>
      </c>
      <c r="J561" s="426">
        <v>3</v>
      </c>
      <c r="K561" s="427">
        <v>601.37</v>
      </c>
    </row>
    <row r="562" spans="1:11" ht="14.4" customHeight="1" x14ac:dyDescent="0.3">
      <c r="A562" s="422" t="s">
        <v>444</v>
      </c>
      <c r="B562" s="423" t="s">
        <v>445</v>
      </c>
      <c r="C562" s="424" t="s">
        <v>449</v>
      </c>
      <c r="D562" s="425" t="s">
        <v>705</v>
      </c>
      <c r="E562" s="424" t="s">
        <v>1926</v>
      </c>
      <c r="F562" s="425" t="s">
        <v>1927</v>
      </c>
      <c r="G562" s="424" t="s">
        <v>1813</v>
      </c>
      <c r="H562" s="424" t="s">
        <v>1814</v>
      </c>
      <c r="I562" s="426">
        <v>235.95</v>
      </c>
      <c r="J562" s="426">
        <v>1</v>
      </c>
      <c r="K562" s="427">
        <v>235.95</v>
      </c>
    </row>
    <row r="563" spans="1:11" ht="14.4" customHeight="1" x14ac:dyDescent="0.3">
      <c r="A563" s="422" t="s">
        <v>444</v>
      </c>
      <c r="B563" s="423" t="s">
        <v>445</v>
      </c>
      <c r="C563" s="424" t="s">
        <v>449</v>
      </c>
      <c r="D563" s="425" t="s">
        <v>705</v>
      </c>
      <c r="E563" s="424" t="s">
        <v>1926</v>
      </c>
      <c r="F563" s="425" t="s">
        <v>1927</v>
      </c>
      <c r="G563" s="424" t="s">
        <v>1815</v>
      </c>
      <c r="H563" s="424" t="s">
        <v>1816</v>
      </c>
      <c r="I563" s="426">
        <v>154.88</v>
      </c>
      <c r="J563" s="426">
        <v>1</v>
      </c>
      <c r="K563" s="427">
        <v>154.88</v>
      </c>
    </row>
    <row r="564" spans="1:11" ht="14.4" customHeight="1" x14ac:dyDescent="0.3">
      <c r="A564" s="422" t="s">
        <v>444</v>
      </c>
      <c r="B564" s="423" t="s">
        <v>445</v>
      </c>
      <c r="C564" s="424" t="s">
        <v>449</v>
      </c>
      <c r="D564" s="425" t="s">
        <v>705</v>
      </c>
      <c r="E564" s="424" t="s">
        <v>1926</v>
      </c>
      <c r="F564" s="425" t="s">
        <v>1927</v>
      </c>
      <c r="G564" s="424" t="s">
        <v>1817</v>
      </c>
      <c r="H564" s="424" t="s">
        <v>1818</v>
      </c>
      <c r="I564" s="426">
        <v>590.48</v>
      </c>
      <c r="J564" s="426">
        <v>2</v>
      </c>
      <c r="K564" s="427">
        <v>1180.96</v>
      </c>
    </row>
    <row r="565" spans="1:11" ht="14.4" customHeight="1" x14ac:dyDescent="0.3">
      <c r="A565" s="422" t="s">
        <v>444</v>
      </c>
      <c r="B565" s="423" t="s">
        <v>445</v>
      </c>
      <c r="C565" s="424" t="s">
        <v>449</v>
      </c>
      <c r="D565" s="425" t="s">
        <v>705</v>
      </c>
      <c r="E565" s="424" t="s">
        <v>1926</v>
      </c>
      <c r="F565" s="425" t="s">
        <v>1927</v>
      </c>
      <c r="G565" s="424" t="s">
        <v>1819</v>
      </c>
      <c r="H565" s="424" t="s">
        <v>1820</v>
      </c>
      <c r="I565" s="426">
        <v>159.69</v>
      </c>
      <c r="J565" s="426">
        <v>2</v>
      </c>
      <c r="K565" s="427">
        <v>319.39</v>
      </c>
    </row>
    <row r="566" spans="1:11" ht="14.4" customHeight="1" x14ac:dyDescent="0.3">
      <c r="A566" s="422" t="s">
        <v>444</v>
      </c>
      <c r="B566" s="423" t="s">
        <v>445</v>
      </c>
      <c r="C566" s="424" t="s">
        <v>449</v>
      </c>
      <c r="D566" s="425" t="s">
        <v>705</v>
      </c>
      <c r="E566" s="424" t="s">
        <v>1926</v>
      </c>
      <c r="F566" s="425" t="s">
        <v>1927</v>
      </c>
      <c r="G566" s="424" t="s">
        <v>1821</v>
      </c>
      <c r="H566" s="424" t="s">
        <v>1822</v>
      </c>
      <c r="I566" s="426">
        <v>1280</v>
      </c>
      <c r="J566" s="426">
        <v>1</v>
      </c>
      <c r="K566" s="427">
        <v>1280</v>
      </c>
    </row>
    <row r="567" spans="1:11" ht="14.4" customHeight="1" x14ac:dyDescent="0.3">
      <c r="A567" s="422" t="s">
        <v>444</v>
      </c>
      <c r="B567" s="423" t="s">
        <v>445</v>
      </c>
      <c r="C567" s="424" t="s">
        <v>449</v>
      </c>
      <c r="D567" s="425" t="s">
        <v>705</v>
      </c>
      <c r="E567" s="424" t="s">
        <v>1926</v>
      </c>
      <c r="F567" s="425" t="s">
        <v>1927</v>
      </c>
      <c r="G567" s="424" t="s">
        <v>1823</v>
      </c>
      <c r="H567" s="424" t="s">
        <v>1824</v>
      </c>
      <c r="I567" s="426">
        <v>246.84</v>
      </c>
      <c r="J567" s="426">
        <v>1</v>
      </c>
      <c r="K567" s="427">
        <v>246.84</v>
      </c>
    </row>
    <row r="568" spans="1:11" ht="14.4" customHeight="1" x14ac:dyDescent="0.3">
      <c r="A568" s="422" t="s">
        <v>444</v>
      </c>
      <c r="B568" s="423" t="s">
        <v>445</v>
      </c>
      <c r="C568" s="424" t="s">
        <v>449</v>
      </c>
      <c r="D568" s="425" t="s">
        <v>705</v>
      </c>
      <c r="E568" s="424" t="s">
        <v>1926</v>
      </c>
      <c r="F568" s="425" t="s">
        <v>1927</v>
      </c>
      <c r="G568" s="424" t="s">
        <v>1825</v>
      </c>
      <c r="H568" s="424" t="s">
        <v>1826</v>
      </c>
      <c r="I568" s="426">
        <v>1530.61</v>
      </c>
      <c r="J568" s="426">
        <v>1</v>
      </c>
      <c r="K568" s="427">
        <v>1530.61</v>
      </c>
    </row>
    <row r="569" spans="1:11" ht="14.4" customHeight="1" x14ac:dyDescent="0.3">
      <c r="A569" s="422" t="s">
        <v>444</v>
      </c>
      <c r="B569" s="423" t="s">
        <v>445</v>
      </c>
      <c r="C569" s="424" t="s">
        <v>449</v>
      </c>
      <c r="D569" s="425" t="s">
        <v>705</v>
      </c>
      <c r="E569" s="424" t="s">
        <v>1926</v>
      </c>
      <c r="F569" s="425" t="s">
        <v>1927</v>
      </c>
      <c r="G569" s="424" t="s">
        <v>1827</v>
      </c>
      <c r="H569" s="424" t="s">
        <v>1828</v>
      </c>
      <c r="I569" s="426">
        <v>471.3</v>
      </c>
      <c r="J569" s="426">
        <v>1</v>
      </c>
      <c r="K569" s="427">
        <v>471.3</v>
      </c>
    </row>
    <row r="570" spans="1:11" ht="14.4" customHeight="1" x14ac:dyDescent="0.3">
      <c r="A570" s="422" t="s">
        <v>444</v>
      </c>
      <c r="B570" s="423" t="s">
        <v>445</v>
      </c>
      <c r="C570" s="424" t="s">
        <v>449</v>
      </c>
      <c r="D570" s="425" t="s">
        <v>705</v>
      </c>
      <c r="E570" s="424" t="s">
        <v>1926</v>
      </c>
      <c r="F570" s="425" t="s">
        <v>1927</v>
      </c>
      <c r="G570" s="424" t="s">
        <v>1829</v>
      </c>
      <c r="H570" s="424" t="s">
        <v>1830</v>
      </c>
      <c r="I570" s="426">
        <v>41.37</v>
      </c>
      <c r="J570" s="426">
        <v>100</v>
      </c>
      <c r="K570" s="427">
        <v>4136.87</v>
      </c>
    </row>
    <row r="571" spans="1:11" ht="14.4" customHeight="1" x14ac:dyDescent="0.3">
      <c r="A571" s="422" t="s">
        <v>444</v>
      </c>
      <c r="B571" s="423" t="s">
        <v>445</v>
      </c>
      <c r="C571" s="424" t="s">
        <v>449</v>
      </c>
      <c r="D571" s="425" t="s">
        <v>705</v>
      </c>
      <c r="E571" s="424" t="s">
        <v>1926</v>
      </c>
      <c r="F571" s="425" t="s">
        <v>1927</v>
      </c>
      <c r="G571" s="424" t="s">
        <v>1831</v>
      </c>
      <c r="H571" s="424" t="s">
        <v>1832</v>
      </c>
      <c r="I571" s="426">
        <v>1464.01</v>
      </c>
      <c r="J571" s="426">
        <v>2</v>
      </c>
      <c r="K571" s="427">
        <v>2928.02</v>
      </c>
    </row>
    <row r="572" spans="1:11" ht="14.4" customHeight="1" x14ac:dyDescent="0.3">
      <c r="A572" s="422" t="s">
        <v>444</v>
      </c>
      <c r="B572" s="423" t="s">
        <v>445</v>
      </c>
      <c r="C572" s="424" t="s">
        <v>449</v>
      </c>
      <c r="D572" s="425" t="s">
        <v>705</v>
      </c>
      <c r="E572" s="424" t="s">
        <v>1926</v>
      </c>
      <c r="F572" s="425" t="s">
        <v>1927</v>
      </c>
      <c r="G572" s="424" t="s">
        <v>1833</v>
      </c>
      <c r="H572" s="424" t="s">
        <v>1834</v>
      </c>
      <c r="I572" s="426">
        <v>289.19</v>
      </c>
      <c r="J572" s="426">
        <v>1</v>
      </c>
      <c r="K572" s="427">
        <v>289.19</v>
      </c>
    </row>
    <row r="573" spans="1:11" ht="14.4" customHeight="1" x14ac:dyDescent="0.3">
      <c r="A573" s="422" t="s">
        <v>444</v>
      </c>
      <c r="B573" s="423" t="s">
        <v>445</v>
      </c>
      <c r="C573" s="424" t="s">
        <v>449</v>
      </c>
      <c r="D573" s="425" t="s">
        <v>705</v>
      </c>
      <c r="E573" s="424" t="s">
        <v>1926</v>
      </c>
      <c r="F573" s="425" t="s">
        <v>1927</v>
      </c>
      <c r="G573" s="424" t="s">
        <v>1835</v>
      </c>
      <c r="H573" s="424" t="s">
        <v>1836</v>
      </c>
      <c r="I573" s="426">
        <v>133.1</v>
      </c>
      <c r="J573" s="426">
        <v>4</v>
      </c>
      <c r="K573" s="427">
        <v>532.4</v>
      </c>
    </row>
    <row r="574" spans="1:11" ht="14.4" customHeight="1" x14ac:dyDescent="0.3">
      <c r="A574" s="422" t="s">
        <v>444</v>
      </c>
      <c r="B574" s="423" t="s">
        <v>445</v>
      </c>
      <c r="C574" s="424" t="s">
        <v>449</v>
      </c>
      <c r="D574" s="425" t="s">
        <v>705</v>
      </c>
      <c r="E574" s="424" t="s">
        <v>1926</v>
      </c>
      <c r="F574" s="425" t="s">
        <v>1927</v>
      </c>
      <c r="G574" s="424" t="s">
        <v>1837</v>
      </c>
      <c r="H574" s="424" t="s">
        <v>1838</v>
      </c>
      <c r="I574" s="426">
        <v>20.57</v>
      </c>
      <c r="J574" s="426">
        <v>10</v>
      </c>
      <c r="K574" s="427">
        <v>205.7</v>
      </c>
    </row>
    <row r="575" spans="1:11" ht="14.4" customHeight="1" x14ac:dyDescent="0.3">
      <c r="A575" s="422" t="s">
        <v>444</v>
      </c>
      <c r="B575" s="423" t="s">
        <v>445</v>
      </c>
      <c r="C575" s="424" t="s">
        <v>449</v>
      </c>
      <c r="D575" s="425" t="s">
        <v>705</v>
      </c>
      <c r="E575" s="424" t="s">
        <v>1926</v>
      </c>
      <c r="F575" s="425" t="s">
        <v>1927</v>
      </c>
      <c r="G575" s="424" t="s">
        <v>1839</v>
      </c>
      <c r="H575" s="424" t="s">
        <v>1840</v>
      </c>
      <c r="I575" s="426">
        <v>2660.79</v>
      </c>
      <c r="J575" s="426">
        <v>1</v>
      </c>
      <c r="K575" s="427">
        <v>2660.79</v>
      </c>
    </row>
    <row r="576" spans="1:11" ht="14.4" customHeight="1" x14ac:dyDescent="0.3">
      <c r="A576" s="422" t="s">
        <v>444</v>
      </c>
      <c r="B576" s="423" t="s">
        <v>445</v>
      </c>
      <c r="C576" s="424" t="s">
        <v>449</v>
      </c>
      <c r="D576" s="425" t="s">
        <v>705</v>
      </c>
      <c r="E576" s="424" t="s">
        <v>1926</v>
      </c>
      <c r="F576" s="425" t="s">
        <v>1927</v>
      </c>
      <c r="G576" s="424" t="s">
        <v>1841</v>
      </c>
      <c r="H576" s="424" t="s">
        <v>1842</v>
      </c>
      <c r="I576" s="426">
        <v>83.49</v>
      </c>
      <c r="J576" s="426">
        <v>20</v>
      </c>
      <c r="K576" s="427">
        <v>1669.8</v>
      </c>
    </row>
    <row r="577" spans="1:11" ht="14.4" customHeight="1" x14ac:dyDescent="0.3">
      <c r="A577" s="422" t="s">
        <v>444</v>
      </c>
      <c r="B577" s="423" t="s">
        <v>445</v>
      </c>
      <c r="C577" s="424" t="s">
        <v>449</v>
      </c>
      <c r="D577" s="425" t="s">
        <v>705</v>
      </c>
      <c r="E577" s="424" t="s">
        <v>1926</v>
      </c>
      <c r="F577" s="425" t="s">
        <v>1927</v>
      </c>
      <c r="G577" s="424" t="s">
        <v>1843</v>
      </c>
      <c r="H577" s="424" t="s">
        <v>1844</v>
      </c>
      <c r="I577" s="426">
        <v>83.49</v>
      </c>
      <c r="J577" s="426">
        <v>20</v>
      </c>
      <c r="K577" s="427">
        <v>1669.8</v>
      </c>
    </row>
    <row r="578" spans="1:11" ht="14.4" customHeight="1" x14ac:dyDescent="0.3">
      <c r="A578" s="422" t="s">
        <v>444</v>
      </c>
      <c r="B578" s="423" t="s">
        <v>445</v>
      </c>
      <c r="C578" s="424" t="s">
        <v>449</v>
      </c>
      <c r="D578" s="425" t="s">
        <v>705</v>
      </c>
      <c r="E578" s="424" t="s">
        <v>1928</v>
      </c>
      <c r="F578" s="425" t="s">
        <v>1929</v>
      </c>
      <c r="G578" s="424" t="s">
        <v>1845</v>
      </c>
      <c r="H578" s="424" t="s">
        <v>1846</v>
      </c>
      <c r="I578" s="426">
        <v>54.22</v>
      </c>
      <c r="J578" s="426">
        <v>36</v>
      </c>
      <c r="K578" s="427">
        <v>1952.07</v>
      </c>
    </row>
    <row r="579" spans="1:11" ht="14.4" customHeight="1" x14ac:dyDescent="0.3">
      <c r="A579" s="422" t="s">
        <v>444</v>
      </c>
      <c r="B579" s="423" t="s">
        <v>445</v>
      </c>
      <c r="C579" s="424" t="s">
        <v>449</v>
      </c>
      <c r="D579" s="425" t="s">
        <v>705</v>
      </c>
      <c r="E579" s="424" t="s">
        <v>1928</v>
      </c>
      <c r="F579" s="425" t="s">
        <v>1929</v>
      </c>
      <c r="G579" s="424" t="s">
        <v>1845</v>
      </c>
      <c r="H579" s="424" t="s">
        <v>1847</v>
      </c>
      <c r="I579" s="426">
        <v>54.217500000000001</v>
      </c>
      <c r="J579" s="426">
        <v>144</v>
      </c>
      <c r="K579" s="427">
        <v>7807.76</v>
      </c>
    </row>
    <row r="580" spans="1:11" ht="14.4" customHeight="1" x14ac:dyDescent="0.3">
      <c r="A580" s="422" t="s">
        <v>444</v>
      </c>
      <c r="B580" s="423" t="s">
        <v>445</v>
      </c>
      <c r="C580" s="424" t="s">
        <v>449</v>
      </c>
      <c r="D580" s="425" t="s">
        <v>705</v>
      </c>
      <c r="E580" s="424" t="s">
        <v>1928</v>
      </c>
      <c r="F580" s="425" t="s">
        <v>1929</v>
      </c>
      <c r="G580" s="424" t="s">
        <v>1848</v>
      </c>
      <c r="H580" s="424" t="s">
        <v>1849</v>
      </c>
      <c r="I580" s="426">
        <v>44.064999999999998</v>
      </c>
      <c r="J580" s="426">
        <v>108</v>
      </c>
      <c r="K580" s="427">
        <v>4830</v>
      </c>
    </row>
    <row r="581" spans="1:11" ht="14.4" customHeight="1" x14ac:dyDescent="0.3">
      <c r="A581" s="422" t="s">
        <v>444</v>
      </c>
      <c r="B581" s="423" t="s">
        <v>445</v>
      </c>
      <c r="C581" s="424" t="s">
        <v>449</v>
      </c>
      <c r="D581" s="425" t="s">
        <v>705</v>
      </c>
      <c r="E581" s="424" t="s">
        <v>1928</v>
      </c>
      <c r="F581" s="425" t="s">
        <v>1929</v>
      </c>
      <c r="G581" s="424" t="s">
        <v>1850</v>
      </c>
      <c r="H581" s="424" t="s">
        <v>1851</v>
      </c>
      <c r="I581" s="426">
        <v>42.06</v>
      </c>
      <c r="J581" s="426">
        <v>72</v>
      </c>
      <c r="K581" s="427">
        <v>3028.41</v>
      </c>
    </row>
    <row r="582" spans="1:11" ht="14.4" customHeight="1" x14ac:dyDescent="0.3">
      <c r="A582" s="422" t="s">
        <v>444</v>
      </c>
      <c r="B582" s="423" t="s">
        <v>445</v>
      </c>
      <c r="C582" s="424" t="s">
        <v>449</v>
      </c>
      <c r="D582" s="425" t="s">
        <v>705</v>
      </c>
      <c r="E582" s="424" t="s">
        <v>1928</v>
      </c>
      <c r="F582" s="425" t="s">
        <v>1929</v>
      </c>
      <c r="G582" s="424" t="s">
        <v>1852</v>
      </c>
      <c r="H582" s="424" t="s">
        <v>1853</v>
      </c>
      <c r="I582" s="426">
        <v>72.69</v>
      </c>
      <c r="J582" s="426">
        <v>36</v>
      </c>
      <c r="K582" s="427">
        <v>2616.83</v>
      </c>
    </row>
    <row r="583" spans="1:11" ht="14.4" customHeight="1" x14ac:dyDescent="0.3">
      <c r="A583" s="422" t="s">
        <v>444</v>
      </c>
      <c r="B583" s="423" t="s">
        <v>445</v>
      </c>
      <c r="C583" s="424" t="s">
        <v>449</v>
      </c>
      <c r="D583" s="425" t="s">
        <v>705</v>
      </c>
      <c r="E583" s="424" t="s">
        <v>1928</v>
      </c>
      <c r="F583" s="425" t="s">
        <v>1929</v>
      </c>
      <c r="G583" s="424" t="s">
        <v>1854</v>
      </c>
      <c r="H583" s="424" t="s">
        <v>1855</v>
      </c>
      <c r="I583" s="426">
        <v>43.581999999999994</v>
      </c>
      <c r="J583" s="426">
        <v>180</v>
      </c>
      <c r="K583" s="427">
        <v>7844.16</v>
      </c>
    </row>
    <row r="584" spans="1:11" ht="14.4" customHeight="1" x14ac:dyDescent="0.3">
      <c r="A584" s="422" t="s">
        <v>444</v>
      </c>
      <c r="B584" s="423" t="s">
        <v>445</v>
      </c>
      <c r="C584" s="424" t="s">
        <v>449</v>
      </c>
      <c r="D584" s="425" t="s">
        <v>705</v>
      </c>
      <c r="E584" s="424" t="s">
        <v>1928</v>
      </c>
      <c r="F584" s="425" t="s">
        <v>1929</v>
      </c>
      <c r="G584" s="424" t="s">
        <v>1856</v>
      </c>
      <c r="H584" s="424" t="s">
        <v>1857</v>
      </c>
      <c r="I584" s="426">
        <v>86.754999999999981</v>
      </c>
      <c r="J584" s="426">
        <v>216</v>
      </c>
      <c r="K584" s="427">
        <v>18738.57</v>
      </c>
    </row>
    <row r="585" spans="1:11" ht="14.4" customHeight="1" x14ac:dyDescent="0.3">
      <c r="A585" s="422" t="s">
        <v>444</v>
      </c>
      <c r="B585" s="423" t="s">
        <v>445</v>
      </c>
      <c r="C585" s="424" t="s">
        <v>449</v>
      </c>
      <c r="D585" s="425" t="s">
        <v>705</v>
      </c>
      <c r="E585" s="424" t="s">
        <v>1928</v>
      </c>
      <c r="F585" s="425" t="s">
        <v>1929</v>
      </c>
      <c r="G585" s="424" t="s">
        <v>1858</v>
      </c>
      <c r="H585" s="424" t="s">
        <v>1859</v>
      </c>
      <c r="I585" s="426">
        <v>64.623333333333335</v>
      </c>
      <c r="J585" s="426">
        <v>108</v>
      </c>
      <c r="K585" s="427">
        <v>6978.9400000000005</v>
      </c>
    </row>
    <row r="586" spans="1:11" ht="14.4" customHeight="1" x14ac:dyDescent="0.3">
      <c r="A586" s="422" t="s">
        <v>444</v>
      </c>
      <c r="B586" s="423" t="s">
        <v>445</v>
      </c>
      <c r="C586" s="424" t="s">
        <v>449</v>
      </c>
      <c r="D586" s="425" t="s">
        <v>705</v>
      </c>
      <c r="E586" s="424" t="s">
        <v>1928</v>
      </c>
      <c r="F586" s="425" t="s">
        <v>1929</v>
      </c>
      <c r="G586" s="424" t="s">
        <v>1860</v>
      </c>
      <c r="H586" s="424" t="s">
        <v>1861</v>
      </c>
      <c r="I586" s="426">
        <v>35.105999999999995</v>
      </c>
      <c r="J586" s="426">
        <v>180</v>
      </c>
      <c r="K586" s="427">
        <v>6318.25</v>
      </c>
    </row>
    <row r="587" spans="1:11" ht="14.4" customHeight="1" x14ac:dyDescent="0.3">
      <c r="A587" s="422" t="s">
        <v>444</v>
      </c>
      <c r="B587" s="423" t="s">
        <v>445</v>
      </c>
      <c r="C587" s="424" t="s">
        <v>449</v>
      </c>
      <c r="D587" s="425" t="s">
        <v>705</v>
      </c>
      <c r="E587" s="424" t="s">
        <v>1930</v>
      </c>
      <c r="F587" s="425" t="s">
        <v>1931</v>
      </c>
      <c r="G587" s="424" t="s">
        <v>1862</v>
      </c>
      <c r="H587" s="424" t="s">
        <v>1863</v>
      </c>
      <c r="I587" s="426">
        <v>0.30222222222222217</v>
      </c>
      <c r="J587" s="426">
        <v>5950</v>
      </c>
      <c r="K587" s="427">
        <v>1793.96</v>
      </c>
    </row>
    <row r="588" spans="1:11" ht="14.4" customHeight="1" x14ac:dyDescent="0.3">
      <c r="A588" s="422" t="s">
        <v>444</v>
      </c>
      <c r="B588" s="423" t="s">
        <v>445</v>
      </c>
      <c r="C588" s="424" t="s">
        <v>449</v>
      </c>
      <c r="D588" s="425" t="s">
        <v>705</v>
      </c>
      <c r="E588" s="424" t="s">
        <v>1930</v>
      </c>
      <c r="F588" s="425" t="s">
        <v>1931</v>
      </c>
      <c r="G588" s="424" t="s">
        <v>1864</v>
      </c>
      <c r="H588" s="424" t="s">
        <v>1865</v>
      </c>
      <c r="I588" s="426">
        <v>0.30124999999999996</v>
      </c>
      <c r="J588" s="426">
        <v>4707</v>
      </c>
      <c r="K588" s="427">
        <v>1418.99</v>
      </c>
    </row>
    <row r="589" spans="1:11" ht="14.4" customHeight="1" x14ac:dyDescent="0.3">
      <c r="A589" s="422" t="s">
        <v>444</v>
      </c>
      <c r="B589" s="423" t="s">
        <v>445</v>
      </c>
      <c r="C589" s="424" t="s">
        <v>449</v>
      </c>
      <c r="D589" s="425" t="s">
        <v>705</v>
      </c>
      <c r="E589" s="424" t="s">
        <v>1930</v>
      </c>
      <c r="F589" s="425" t="s">
        <v>1931</v>
      </c>
      <c r="G589" s="424" t="s">
        <v>1866</v>
      </c>
      <c r="H589" s="424" t="s">
        <v>1867</v>
      </c>
      <c r="I589" s="426">
        <v>0.30285714285714288</v>
      </c>
      <c r="J589" s="426">
        <v>2700</v>
      </c>
      <c r="K589" s="427">
        <v>818</v>
      </c>
    </row>
    <row r="590" spans="1:11" ht="14.4" customHeight="1" x14ac:dyDescent="0.3">
      <c r="A590" s="422" t="s">
        <v>444</v>
      </c>
      <c r="B590" s="423" t="s">
        <v>445</v>
      </c>
      <c r="C590" s="424" t="s">
        <v>449</v>
      </c>
      <c r="D590" s="425" t="s">
        <v>705</v>
      </c>
      <c r="E590" s="424" t="s">
        <v>1930</v>
      </c>
      <c r="F590" s="425" t="s">
        <v>1931</v>
      </c>
      <c r="G590" s="424" t="s">
        <v>1868</v>
      </c>
      <c r="H590" s="424" t="s">
        <v>1869</v>
      </c>
      <c r="I590" s="426">
        <v>0.48</v>
      </c>
      <c r="J590" s="426">
        <v>250</v>
      </c>
      <c r="K590" s="427">
        <v>120</v>
      </c>
    </row>
    <row r="591" spans="1:11" ht="14.4" customHeight="1" x14ac:dyDescent="0.3">
      <c r="A591" s="422" t="s">
        <v>444</v>
      </c>
      <c r="B591" s="423" t="s">
        <v>445</v>
      </c>
      <c r="C591" s="424" t="s">
        <v>449</v>
      </c>
      <c r="D591" s="425" t="s">
        <v>705</v>
      </c>
      <c r="E591" s="424" t="s">
        <v>1930</v>
      </c>
      <c r="F591" s="425" t="s">
        <v>1931</v>
      </c>
      <c r="G591" s="424" t="s">
        <v>1870</v>
      </c>
      <c r="H591" s="424" t="s">
        <v>1871</v>
      </c>
      <c r="I591" s="426">
        <v>3.2166666666666668</v>
      </c>
      <c r="J591" s="426">
        <v>200</v>
      </c>
      <c r="K591" s="427">
        <v>665.85</v>
      </c>
    </row>
    <row r="592" spans="1:11" ht="14.4" customHeight="1" x14ac:dyDescent="0.3">
      <c r="A592" s="422" t="s">
        <v>444</v>
      </c>
      <c r="B592" s="423" t="s">
        <v>445</v>
      </c>
      <c r="C592" s="424" t="s">
        <v>449</v>
      </c>
      <c r="D592" s="425" t="s">
        <v>705</v>
      </c>
      <c r="E592" s="424" t="s">
        <v>1932</v>
      </c>
      <c r="F592" s="425" t="s">
        <v>1933</v>
      </c>
      <c r="G592" s="424" t="s">
        <v>1872</v>
      </c>
      <c r="H592" s="424" t="s">
        <v>1873</v>
      </c>
      <c r="I592" s="426">
        <v>16.21</v>
      </c>
      <c r="J592" s="426">
        <v>100</v>
      </c>
      <c r="K592" s="427">
        <v>1621.4</v>
      </c>
    </row>
    <row r="593" spans="1:11" ht="14.4" customHeight="1" x14ac:dyDescent="0.3">
      <c r="A593" s="422" t="s">
        <v>444</v>
      </c>
      <c r="B593" s="423" t="s">
        <v>445</v>
      </c>
      <c r="C593" s="424" t="s">
        <v>449</v>
      </c>
      <c r="D593" s="425" t="s">
        <v>705</v>
      </c>
      <c r="E593" s="424" t="s">
        <v>1932</v>
      </c>
      <c r="F593" s="425" t="s">
        <v>1933</v>
      </c>
      <c r="G593" s="424" t="s">
        <v>1874</v>
      </c>
      <c r="H593" s="424" t="s">
        <v>1875</v>
      </c>
      <c r="I593" s="426">
        <v>0.73</v>
      </c>
      <c r="J593" s="426">
        <v>800</v>
      </c>
      <c r="K593" s="427">
        <v>580.79999999999995</v>
      </c>
    </row>
    <row r="594" spans="1:11" ht="14.4" customHeight="1" x14ac:dyDescent="0.3">
      <c r="A594" s="422" t="s">
        <v>444</v>
      </c>
      <c r="B594" s="423" t="s">
        <v>445</v>
      </c>
      <c r="C594" s="424" t="s">
        <v>449</v>
      </c>
      <c r="D594" s="425" t="s">
        <v>705</v>
      </c>
      <c r="E594" s="424" t="s">
        <v>1932</v>
      </c>
      <c r="F594" s="425" t="s">
        <v>1933</v>
      </c>
      <c r="G594" s="424" t="s">
        <v>1876</v>
      </c>
      <c r="H594" s="424" t="s">
        <v>1877</v>
      </c>
      <c r="I594" s="426">
        <v>0.72666666666666657</v>
      </c>
      <c r="J594" s="426">
        <v>2300</v>
      </c>
      <c r="K594" s="427">
        <v>1669.8</v>
      </c>
    </row>
    <row r="595" spans="1:11" ht="14.4" customHeight="1" x14ac:dyDescent="0.3">
      <c r="A595" s="422" t="s">
        <v>444</v>
      </c>
      <c r="B595" s="423" t="s">
        <v>445</v>
      </c>
      <c r="C595" s="424" t="s">
        <v>449</v>
      </c>
      <c r="D595" s="425" t="s">
        <v>705</v>
      </c>
      <c r="E595" s="424" t="s">
        <v>1932</v>
      </c>
      <c r="F595" s="425" t="s">
        <v>1933</v>
      </c>
      <c r="G595" s="424" t="s">
        <v>1878</v>
      </c>
      <c r="H595" s="424" t="s">
        <v>1879</v>
      </c>
      <c r="I595" s="426">
        <v>7.5024999999999995</v>
      </c>
      <c r="J595" s="426">
        <v>250</v>
      </c>
      <c r="K595" s="427">
        <v>1875.5</v>
      </c>
    </row>
    <row r="596" spans="1:11" ht="14.4" customHeight="1" x14ac:dyDescent="0.3">
      <c r="A596" s="422" t="s">
        <v>444</v>
      </c>
      <c r="B596" s="423" t="s">
        <v>445</v>
      </c>
      <c r="C596" s="424" t="s">
        <v>449</v>
      </c>
      <c r="D596" s="425" t="s">
        <v>705</v>
      </c>
      <c r="E596" s="424" t="s">
        <v>1932</v>
      </c>
      <c r="F596" s="425" t="s">
        <v>1933</v>
      </c>
      <c r="G596" s="424" t="s">
        <v>1880</v>
      </c>
      <c r="H596" s="424" t="s">
        <v>1881</v>
      </c>
      <c r="I596" s="426">
        <v>7.503333333333333</v>
      </c>
      <c r="J596" s="426">
        <v>150</v>
      </c>
      <c r="K596" s="427">
        <v>1125.5</v>
      </c>
    </row>
    <row r="597" spans="1:11" ht="14.4" customHeight="1" x14ac:dyDescent="0.3">
      <c r="A597" s="422" t="s">
        <v>444</v>
      </c>
      <c r="B597" s="423" t="s">
        <v>445</v>
      </c>
      <c r="C597" s="424" t="s">
        <v>449</v>
      </c>
      <c r="D597" s="425" t="s">
        <v>705</v>
      </c>
      <c r="E597" s="424" t="s">
        <v>1932</v>
      </c>
      <c r="F597" s="425" t="s">
        <v>1933</v>
      </c>
      <c r="G597" s="424" t="s">
        <v>1882</v>
      </c>
      <c r="H597" s="424" t="s">
        <v>1883</v>
      </c>
      <c r="I597" s="426">
        <v>7.5</v>
      </c>
      <c r="J597" s="426">
        <v>100</v>
      </c>
      <c r="K597" s="427">
        <v>750</v>
      </c>
    </row>
    <row r="598" spans="1:11" ht="14.4" customHeight="1" x14ac:dyDescent="0.3">
      <c r="A598" s="422" t="s">
        <v>444</v>
      </c>
      <c r="B598" s="423" t="s">
        <v>445</v>
      </c>
      <c r="C598" s="424" t="s">
        <v>449</v>
      </c>
      <c r="D598" s="425" t="s">
        <v>705</v>
      </c>
      <c r="E598" s="424" t="s">
        <v>1932</v>
      </c>
      <c r="F598" s="425" t="s">
        <v>1933</v>
      </c>
      <c r="G598" s="424" t="s">
        <v>1882</v>
      </c>
      <c r="H598" s="424" t="s">
        <v>1884</v>
      </c>
      <c r="I598" s="426">
        <v>7.503333333333333</v>
      </c>
      <c r="J598" s="426">
        <v>250</v>
      </c>
      <c r="K598" s="427">
        <v>1876</v>
      </c>
    </row>
    <row r="599" spans="1:11" ht="14.4" customHeight="1" x14ac:dyDescent="0.3">
      <c r="A599" s="422" t="s">
        <v>444</v>
      </c>
      <c r="B599" s="423" t="s">
        <v>445</v>
      </c>
      <c r="C599" s="424" t="s">
        <v>449</v>
      </c>
      <c r="D599" s="425" t="s">
        <v>705</v>
      </c>
      <c r="E599" s="424" t="s">
        <v>1932</v>
      </c>
      <c r="F599" s="425" t="s">
        <v>1933</v>
      </c>
      <c r="G599" s="424" t="s">
        <v>1885</v>
      </c>
      <c r="H599" s="424" t="s">
        <v>1886</v>
      </c>
      <c r="I599" s="426">
        <v>7.5</v>
      </c>
      <c r="J599" s="426">
        <v>150</v>
      </c>
      <c r="K599" s="427">
        <v>1125</v>
      </c>
    </row>
    <row r="600" spans="1:11" ht="14.4" customHeight="1" x14ac:dyDescent="0.3">
      <c r="A600" s="422" t="s">
        <v>444</v>
      </c>
      <c r="B600" s="423" t="s">
        <v>445</v>
      </c>
      <c r="C600" s="424" t="s">
        <v>449</v>
      </c>
      <c r="D600" s="425" t="s">
        <v>705</v>
      </c>
      <c r="E600" s="424" t="s">
        <v>1932</v>
      </c>
      <c r="F600" s="425" t="s">
        <v>1933</v>
      </c>
      <c r="G600" s="424" t="s">
        <v>1885</v>
      </c>
      <c r="H600" s="424" t="s">
        <v>1887</v>
      </c>
      <c r="I600" s="426">
        <v>7.5</v>
      </c>
      <c r="J600" s="426">
        <v>50</v>
      </c>
      <c r="K600" s="427">
        <v>375</v>
      </c>
    </row>
    <row r="601" spans="1:11" ht="14.4" customHeight="1" x14ac:dyDescent="0.3">
      <c r="A601" s="422" t="s">
        <v>444</v>
      </c>
      <c r="B601" s="423" t="s">
        <v>445</v>
      </c>
      <c r="C601" s="424" t="s">
        <v>449</v>
      </c>
      <c r="D601" s="425" t="s">
        <v>705</v>
      </c>
      <c r="E601" s="424" t="s">
        <v>1932</v>
      </c>
      <c r="F601" s="425" t="s">
        <v>1933</v>
      </c>
      <c r="G601" s="424" t="s">
        <v>1888</v>
      </c>
      <c r="H601" s="424" t="s">
        <v>1889</v>
      </c>
      <c r="I601" s="426">
        <v>7.5</v>
      </c>
      <c r="J601" s="426">
        <v>200</v>
      </c>
      <c r="K601" s="427">
        <v>1500</v>
      </c>
    </row>
    <row r="602" spans="1:11" ht="14.4" customHeight="1" x14ac:dyDescent="0.3">
      <c r="A602" s="422" t="s">
        <v>444</v>
      </c>
      <c r="B602" s="423" t="s">
        <v>445</v>
      </c>
      <c r="C602" s="424" t="s">
        <v>449</v>
      </c>
      <c r="D602" s="425" t="s">
        <v>705</v>
      </c>
      <c r="E602" s="424" t="s">
        <v>1932</v>
      </c>
      <c r="F602" s="425" t="s">
        <v>1933</v>
      </c>
      <c r="G602" s="424" t="s">
        <v>1888</v>
      </c>
      <c r="H602" s="424" t="s">
        <v>1890</v>
      </c>
      <c r="I602" s="426">
        <v>7.5019999999999998</v>
      </c>
      <c r="J602" s="426">
        <v>380</v>
      </c>
      <c r="K602" s="427">
        <v>2851</v>
      </c>
    </row>
    <row r="603" spans="1:11" ht="14.4" customHeight="1" x14ac:dyDescent="0.3">
      <c r="A603" s="422" t="s">
        <v>444</v>
      </c>
      <c r="B603" s="423" t="s">
        <v>445</v>
      </c>
      <c r="C603" s="424" t="s">
        <v>449</v>
      </c>
      <c r="D603" s="425" t="s">
        <v>705</v>
      </c>
      <c r="E603" s="424" t="s">
        <v>1932</v>
      </c>
      <c r="F603" s="425" t="s">
        <v>1933</v>
      </c>
      <c r="G603" s="424" t="s">
        <v>1891</v>
      </c>
      <c r="H603" s="424" t="s">
        <v>1892</v>
      </c>
      <c r="I603" s="426">
        <v>11.01</v>
      </c>
      <c r="J603" s="426">
        <v>40</v>
      </c>
      <c r="K603" s="427">
        <v>440.4</v>
      </c>
    </row>
    <row r="604" spans="1:11" ht="14.4" customHeight="1" x14ac:dyDescent="0.3">
      <c r="A604" s="422" t="s">
        <v>444</v>
      </c>
      <c r="B604" s="423" t="s">
        <v>445</v>
      </c>
      <c r="C604" s="424" t="s">
        <v>449</v>
      </c>
      <c r="D604" s="425" t="s">
        <v>705</v>
      </c>
      <c r="E604" s="424" t="s">
        <v>1932</v>
      </c>
      <c r="F604" s="425" t="s">
        <v>1933</v>
      </c>
      <c r="G604" s="424" t="s">
        <v>1893</v>
      </c>
      <c r="H604" s="424" t="s">
        <v>1894</v>
      </c>
      <c r="I604" s="426">
        <v>11.01</v>
      </c>
      <c r="J604" s="426">
        <v>40</v>
      </c>
      <c r="K604" s="427">
        <v>440.4</v>
      </c>
    </row>
    <row r="605" spans="1:11" ht="14.4" customHeight="1" x14ac:dyDescent="0.3">
      <c r="A605" s="422" t="s">
        <v>444</v>
      </c>
      <c r="B605" s="423" t="s">
        <v>445</v>
      </c>
      <c r="C605" s="424" t="s">
        <v>449</v>
      </c>
      <c r="D605" s="425" t="s">
        <v>705</v>
      </c>
      <c r="E605" s="424" t="s">
        <v>1932</v>
      </c>
      <c r="F605" s="425" t="s">
        <v>1933</v>
      </c>
      <c r="G605" s="424" t="s">
        <v>1895</v>
      </c>
      <c r="H605" s="424" t="s">
        <v>1896</v>
      </c>
      <c r="I605" s="426">
        <v>1.22</v>
      </c>
      <c r="J605" s="426">
        <v>4600</v>
      </c>
      <c r="K605" s="427">
        <v>5611.43</v>
      </c>
    </row>
    <row r="606" spans="1:11" ht="14.4" customHeight="1" x14ac:dyDescent="0.3">
      <c r="A606" s="422" t="s">
        <v>444</v>
      </c>
      <c r="B606" s="423" t="s">
        <v>445</v>
      </c>
      <c r="C606" s="424" t="s">
        <v>449</v>
      </c>
      <c r="D606" s="425" t="s">
        <v>705</v>
      </c>
      <c r="E606" s="424" t="s">
        <v>1932</v>
      </c>
      <c r="F606" s="425" t="s">
        <v>1933</v>
      </c>
      <c r="G606" s="424" t="s">
        <v>1897</v>
      </c>
      <c r="H606" s="424" t="s">
        <v>1898</v>
      </c>
      <c r="I606" s="426">
        <v>0.81000000000000016</v>
      </c>
      <c r="J606" s="426">
        <v>6500</v>
      </c>
      <c r="K606" s="427">
        <v>5245.94</v>
      </c>
    </row>
    <row r="607" spans="1:11" ht="14.4" customHeight="1" x14ac:dyDescent="0.3">
      <c r="A607" s="422" t="s">
        <v>444</v>
      </c>
      <c r="B607" s="423" t="s">
        <v>445</v>
      </c>
      <c r="C607" s="424" t="s">
        <v>449</v>
      </c>
      <c r="D607" s="425" t="s">
        <v>705</v>
      </c>
      <c r="E607" s="424" t="s">
        <v>1932</v>
      </c>
      <c r="F607" s="425" t="s">
        <v>1933</v>
      </c>
      <c r="G607" s="424" t="s">
        <v>1899</v>
      </c>
      <c r="H607" s="424" t="s">
        <v>1900</v>
      </c>
      <c r="I607" s="426">
        <v>0.80800000000000005</v>
      </c>
      <c r="J607" s="426">
        <v>10000</v>
      </c>
      <c r="K607" s="427">
        <v>8070.7</v>
      </c>
    </row>
    <row r="608" spans="1:11" ht="14.4" customHeight="1" x14ac:dyDescent="0.3">
      <c r="A608" s="422" t="s">
        <v>444</v>
      </c>
      <c r="B608" s="423" t="s">
        <v>445</v>
      </c>
      <c r="C608" s="424" t="s">
        <v>449</v>
      </c>
      <c r="D608" s="425" t="s">
        <v>705</v>
      </c>
      <c r="E608" s="424" t="s">
        <v>1932</v>
      </c>
      <c r="F608" s="425" t="s">
        <v>1933</v>
      </c>
      <c r="G608" s="424" t="s">
        <v>1901</v>
      </c>
      <c r="H608" s="424" t="s">
        <v>1902</v>
      </c>
      <c r="I608" s="426">
        <v>1.8999999999999997</v>
      </c>
      <c r="J608" s="426">
        <v>1800</v>
      </c>
      <c r="K608" s="427">
        <v>3419.46</v>
      </c>
    </row>
    <row r="609" spans="1:11" ht="14.4" customHeight="1" x14ac:dyDescent="0.3">
      <c r="A609" s="422" t="s">
        <v>444</v>
      </c>
      <c r="B609" s="423" t="s">
        <v>445</v>
      </c>
      <c r="C609" s="424" t="s">
        <v>449</v>
      </c>
      <c r="D609" s="425" t="s">
        <v>705</v>
      </c>
      <c r="E609" s="424" t="s">
        <v>1932</v>
      </c>
      <c r="F609" s="425" t="s">
        <v>1933</v>
      </c>
      <c r="G609" s="424" t="s">
        <v>1901</v>
      </c>
      <c r="H609" s="424" t="s">
        <v>1903</v>
      </c>
      <c r="I609" s="426">
        <v>1.9</v>
      </c>
      <c r="J609" s="426">
        <v>2200</v>
      </c>
      <c r="K609" s="427">
        <v>4179.28</v>
      </c>
    </row>
    <row r="610" spans="1:11" ht="14.4" customHeight="1" x14ac:dyDescent="0.3">
      <c r="A610" s="422" t="s">
        <v>444</v>
      </c>
      <c r="B610" s="423" t="s">
        <v>445</v>
      </c>
      <c r="C610" s="424" t="s">
        <v>449</v>
      </c>
      <c r="D610" s="425" t="s">
        <v>705</v>
      </c>
      <c r="E610" s="424" t="s">
        <v>1932</v>
      </c>
      <c r="F610" s="425" t="s">
        <v>1933</v>
      </c>
      <c r="G610" s="424" t="s">
        <v>1904</v>
      </c>
      <c r="H610" s="424" t="s">
        <v>1905</v>
      </c>
      <c r="I610" s="426">
        <v>0.81</v>
      </c>
      <c r="J610" s="426">
        <v>6000</v>
      </c>
      <c r="K610" s="427">
        <v>4842.4400000000005</v>
      </c>
    </row>
    <row r="611" spans="1:11" ht="14.4" customHeight="1" x14ac:dyDescent="0.3">
      <c r="A611" s="422" t="s">
        <v>444</v>
      </c>
      <c r="B611" s="423" t="s">
        <v>445</v>
      </c>
      <c r="C611" s="424" t="s">
        <v>449</v>
      </c>
      <c r="D611" s="425" t="s">
        <v>705</v>
      </c>
      <c r="E611" s="424" t="s">
        <v>1932</v>
      </c>
      <c r="F611" s="425" t="s">
        <v>1933</v>
      </c>
      <c r="G611" s="424" t="s">
        <v>1906</v>
      </c>
      <c r="H611" s="424" t="s">
        <v>1907</v>
      </c>
      <c r="I611" s="426">
        <v>0.7107692307692306</v>
      </c>
      <c r="J611" s="426">
        <v>53000</v>
      </c>
      <c r="K611" s="427">
        <v>37660</v>
      </c>
    </row>
    <row r="612" spans="1:11" ht="14.4" customHeight="1" x14ac:dyDescent="0.3">
      <c r="A612" s="422" t="s">
        <v>444</v>
      </c>
      <c r="B612" s="423" t="s">
        <v>445</v>
      </c>
      <c r="C612" s="424" t="s">
        <v>449</v>
      </c>
      <c r="D612" s="425" t="s">
        <v>705</v>
      </c>
      <c r="E612" s="424" t="s">
        <v>1932</v>
      </c>
      <c r="F612" s="425" t="s">
        <v>1933</v>
      </c>
      <c r="G612" s="424" t="s">
        <v>1908</v>
      </c>
      <c r="H612" s="424" t="s">
        <v>1909</v>
      </c>
      <c r="I612" s="426">
        <v>0.71</v>
      </c>
      <c r="J612" s="426">
        <v>2520</v>
      </c>
      <c r="K612" s="427">
        <v>1789.1999999999998</v>
      </c>
    </row>
    <row r="613" spans="1:11" ht="14.4" customHeight="1" x14ac:dyDescent="0.3">
      <c r="A613" s="422" t="s">
        <v>444</v>
      </c>
      <c r="B613" s="423" t="s">
        <v>445</v>
      </c>
      <c r="C613" s="424" t="s">
        <v>449</v>
      </c>
      <c r="D613" s="425" t="s">
        <v>705</v>
      </c>
      <c r="E613" s="424" t="s">
        <v>1932</v>
      </c>
      <c r="F613" s="425" t="s">
        <v>1933</v>
      </c>
      <c r="G613" s="424" t="s">
        <v>1910</v>
      </c>
      <c r="H613" s="424" t="s">
        <v>1911</v>
      </c>
      <c r="I613" s="426">
        <v>0.71</v>
      </c>
      <c r="J613" s="426">
        <v>57600</v>
      </c>
      <c r="K613" s="427">
        <v>40896</v>
      </c>
    </row>
    <row r="614" spans="1:11" ht="14.4" customHeight="1" x14ac:dyDescent="0.3">
      <c r="A614" s="422" t="s">
        <v>444</v>
      </c>
      <c r="B614" s="423" t="s">
        <v>445</v>
      </c>
      <c r="C614" s="424" t="s">
        <v>449</v>
      </c>
      <c r="D614" s="425" t="s">
        <v>705</v>
      </c>
      <c r="E614" s="424" t="s">
        <v>1932</v>
      </c>
      <c r="F614" s="425" t="s">
        <v>1933</v>
      </c>
      <c r="G614" s="424" t="s">
        <v>1912</v>
      </c>
      <c r="H614" s="424" t="s">
        <v>1913</v>
      </c>
      <c r="I614" s="426">
        <v>0.71</v>
      </c>
      <c r="J614" s="426">
        <v>21000</v>
      </c>
      <c r="K614" s="427">
        <v>14910</v>
      </c>
    </row>
    <row r="615" spans="1:11" ht="14.4" customHeight="1" x14ac:dyDescent="0.3">
      <c r="A615" s="422" t="s">
        <v>444</v>
      </c>
      <c r="B615" s="423" t="s">
        <v>445</v>
      </c>
      <c r="C615" s="424" t="s">
        <v>449</v>
      </c>
      <c r="D615" s="425" t="s">
        <v>705</v>
      </c>
      <c r="E615" s="424" t="s">
        <v>1932</v>
      </c>
      <c r="F615" s="425" t="s">
        <v>1933</v>
      </c>
      <c r="G615" s="424" t="s">
        <v>1914</v>
      </c>
      <c r="H615" s="424" t="s">
        <v>1915</v>
      </c>
      <c r="I615" s="426">
        <v>12.58</v>
      </c>
      <c r="J615" s="426">
        <v>50</v>
      </c>
      <c r="K615" s="427">
        <v>629</v>
      </c>
    </row>
    <row r="616" spans="1:11" ht="14.4" customHeight="1" x14ac:dyDescent="0.3">
      <c r="A616" s="422" t="s">
        <v>444</v>
      </c>
      <c r="B616" s="423" t="s">
        <v>445</v>
      </c>
      <c r="C616" s="424" t="s">
        <v>449</v>
      </c>
      <c r="D616" s="425" t="s">
        <v>705</v>
      </c>
      <c r="E616" s="424" t="s">
        <v>1932</v>
      </c>
      <c r="F616" s="425" t="s">
        <v>1933</v>
      </c>
      <c r="G616" s="424" t="s">
        <v>1916</v>
      </c>
      <c r="H616" s="424" t="s">
        <v>1917</v>
      </c>
      <c r="I616" s="426">
        <v>1.22</v>
      </c>
      <c r="J616" s="426">
        <v>300</v>
      </c>
      <c r="K616" s="427">
        <v>365.41</v>
      </c>
    </row>
    <row r="617" spans="1:11" ht="14.4" customHeight="1" thickBot="1" x14ac:dyDescent="0.35">
      <c r="A617" s="428" t="s">
        <v>444</v>
      </c>
      <c r="B617" s="429" t="s">
        <v>445</v>
      </c>
      <c r="C617" s="430" t="s">
        <v>449</v>
      </c>
      <c r="D617" s="431" t="s">
        <v>705</v>
      </c>
      <c r="E617" s="430" t="s">
        <v>1934</v>
      </c>
      <c r="F617" s="431" t="s">
        <v>1935</v>
      </c>
      <c r="G617" s="430" t="s">
        <v>1918</v>
      </c>
      <c r="H617" s="430" t="s">
        <v>1919</v>
      </c>
      <c r="I617" s="432">
        <v>14.95</v>
      </c>
      <c r="J617" s="432">
        <v>5</v>
      </c>
      <c r="K617" s="433">
        <v>74.75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J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I1"/>
    </sheetView>
  </sheetViews>
  <sheetFormatPr defaultRowHeight="14.4" outlineLevelRow="1" x14ac:dyDescent="0.3"/>
  <cols>
    <col min="1" max="1" width="37.21875" customWidth="1"/>
    <col min="2" max="3" width="13.109375" customWidth="1"/>
    <col min="4" max="4" width="13.109375" hidden="1" customWidth="1"/>
    <col min="5" max="6" width="13.109375" customWidth="1"/>
    <col min="7" max="12" width="13.109375" hidden="1" customWidth="1"/>
    <col min="13" max="13" width="13.109375" customWidth="1"/>
    <col min="14" max="33" width="13.109375" hidden="1" customWidth="1"/>
    <col min="34" max="35" width="13.109375" customWidth="1"/>
  </cols>
  <sheetData>
    <row r="1" spans="1:36" ht="18.600000000000001" thickBot="1" x14ac:dyDescent="0.4">
      <c r="A1" s="356" t="s">
        <v>91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</row>
    <row r="2" spans="1:36" ht="15" thickBot="1" x14ac:dyDescent="0.35">
      <c r="A2" s="211" t="s">
        <v>255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</row>
    <row r="3" spans="1:36" x14ac:dyDescent="0.3">
      <c r="A3" s="230" t="s">
        <v>178</v>
      </c>
      <c r="B3" s="357" t="s">
        <v>158</v>
      </c>
      <c r="C3" s="213">
        <v>0</v>
      </c>
      <c r="D3" s="214">
        <v>101</v>
      </c>
      <c r="E3" s="214">
        <v>102</v>
      </c>
      <c r="F3" s="233">
        <v>305</v>
      </c>
      <c r="G3" s="233">
        <v>306</v>
      </c>
      <c r="H3" s="233">
        <v>407</v>
      </c>
      <c r="I3" s="233">
        <v>408</v>
      </c>
      <c r="J3" s="233">
        <v>409</v>
      </c>
      <c r="K3" s="233">
        <v>410</v>
      </c>
      <c r="L3" s="233">
        <v>415</v>
      </c>
      <c r="M3" s="233">
        <v>416</v>
      </c>
      <c r="N3" s="233">
        <v>418</v>
      </c>
      <c r="O3" s="233">
        <v>419</v>
      </c>
      <c r="P3" s="233">
        <v>420</v>
      </c>
      <c r="Q3" s="233">
        <v>421</v>
      </c>
      <c r="R3" s="233">
        <v>522</v>
      </c>
      <c r="S3" s="233">
        <v>523</v>
      </c>
      <c r="T3" s="233">
        <v>524</v>
      </c>
      <c r="U3" s="233">
        <v>525</v>
      </c>
      <c r="V3" s="233">
        <v>526</v>
      </c>
      <c r="W3" s="233">
        <v>527</v>
      </c>
      <c r="X3" s="233">
        <v>528</v>
      </c>
      <c r="Y3" s="233">
        <v>629</v>
      </c>
      <c r="Z3" s="233">
        <v>630</v>
      </c>
      <c r="AA3" s="233">
        <v>636</v>
      </c>
      <c r="AB3" s="233">
        <v>637</v>
      </c>
      <c r="AC3" s="233">
        <v>640</v>
      </c>
      <c r="AD3" s="233">
        <v>642</v>
      </c>
      <c r="AE3" s="233">
        <v>743</v>
      </c>
      <c r="AF3" s="214">
        <v>745</v>
      </c>
      <c r="AG3" s="214">
        <v>746</v>
      </c>
      <c r="AH3" s="214">
        <v>930</v>
      </c>
      <c r="AI3" s="482">
        <v>940</v>
      </c>
      <c r="AJ3" s="499"/>
    </row>
    <row r="4" spans="1:36" ht="36.6" outlineLevel="1" thickBot="1" x14ac:dyDescent="0.35">
      <c r="A4" s="231">
        <v>2015</v>
      </c>
      <c r="B4" s="358"/>
      <c r="C4" s="215" t="s">
        <v>159</v>
      </c>
      <c r="D4" s="216" t="s">
        <v>160</v>
      </c>
      <c r="E4" s="216" t="s">
        <v>161</v>
      </c>
      <c r="F4" s="234" t="s">
        <v>190</v>
      </c>
      <c r="G4" s="234" t="s">
        <v>191</v>
      </c>
      <c r="H4" s="234" t="s">
        <v>253</v>
      </c>
      <c r="I4" s="234" t="s">
        <v>192</v>
      </c>
      <c r="J4" s="234" t="s">
        <v>193</v>
      </c>
      <c r="K4" s="234" t="s">
        <v>194</v>
      </c>
      <c r="L4" s="234" t="s">
        <v>195</v>
      </c>
      <c r="M4" s="234" t="s">
        <v>196</v>
      </c>
      <c r="N4" s="234" t="s">
        <v>197</v>
      </c>
      <c r="O4" s="234" t="s">
        <v>198</v>
      </c>
      <c r="P4" s="234" t="s">
        <v>199</v>
      </c>
      <c r="Q4" s="234" t="s">
        <v>200</v>
      </c>
      <c r="R4" s="234" t="s">
        <v>201</v>
      </c>
      <c r="S4" s="234" t="s">
        <v>202</v>
      </c>
      <c r="T4" s="234" t="s">
        <v>203</v>
      </c>
      <c r="U4" s="234" t="s">
        <v>204</v>
      </c>
      <c r="V4" s="234" t="s">
        <v>205</v>
      </c>
      <c r="W4" s="234" t="s">
        <v>206</v>
      </c>
      <c r="X4" s="234" t="s">
        <v>215</v>
      </c>
      <c r="Y4" s="234" t="s">
        <v>207</v>
      </c>
      <c r="Z4" s="234" t="s">
        <v>216</v>
      </c>
      <c r="AA4" s="234" t="s">
        <v>208</v>
      </c>
      <c r="AB4" s="234" t="s">
        <v>209</v>
      </c>
      <c r="AC4" s="234" t="s">
        <v>210</v>
      </c>
      <c r="AD4" s="234" t="s">
        <v>211</v>
      </c>
      <c r="AE4" s="234" t="s">
        <v>212</v>
      </c>
      <c r="AF4" s="216" t="s">
        <v>213</v>
      </c>
      <c r="AG4" s="216" t="s">
        <v>214</v>
      </c>
      <c r="AH4" s="216" t="s">
        <v>180</v>
      </c>
      <c r="AI4" s="483" t="s">
        <v>162</v>
      </c>
      <c r="AJ4" s="499"/>
    </row>
    <row r="5" spans="1:36" x14ac:dyDescent="0.3">
      <c r="A5" s="217" t="s">
        <v>163</v>
      </c>
      <c r="B5" s="253"/>
      <c r="C5" s="254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  <c r="AB5" s="255"/>
      <c r="AC5" s="255"/>
      <c r="AD5" s="255"/>
      <c r="AE5" s="255"/>
      <c r="AF5" s="255"/>
      <c r="AG5" s="255"/>
      <c r="AH5" s="255"/>
      <c r="AI5" s="484"/>
      <c r="AJ5" s="499"/>
    </row>
    <row r="6" spans="1:36" ht="15" collapsed="1" thickBot="1" x14ac:dyDescent="0.35">
      <c r="A6" s="218" t="s">
        <v>60</v>
      </c>
      <c r="B6" s="256">
        <f xml:space="preserve">
TRUNC(IF($A$4&lt;=12,SUMIFS('ON Data'!F:F,'ON Data'!$D:$D,$A$4,'ON Data'!$E:$E,1),SUMIFS('ON Data'!F:F,'ON Data'!$E:$E,1)/'ON Data'!$D$3),1)</f>
        <v>55.2</v>
      </c>
      <c r="C6" s="257">
        <f xml:space="preserve">
TRUNC(IF($A$4&lt;=12,SUMIFS('ON Data'!G:G,'ON Data'!$D:$D,$A$4,'ON Data'!$E:$E,1),SUMIFS('ON Data'!G:G,'ON Data'!$E:$E,1)/'ON Data'!$D$3),1)</f>
        <v>0</v>
      </c>
      <c r="D6" s="258">
        <f xml:space="preserve">
TRUNC(IF($A$4&lt;=12,SUMIFS('ON Data'!H:H,'ON Data'!$D:$D,$A$4,'ON Data'!$E:$E,1),SUMIFS('ON Data'!H:H,'ON Data'!$E:$E,1)/'ON Data'!$D$3),1)</f>
        <v>0</v>
      </c>
      <c r="E6" s="258">
        <f xml:space="preserve">
TRUNC(IF($A$4&lt;=12,SUMIFS('ON Data'!I:I,'ON Data'!$D:$D,$A$4,'ON Data'!$E:$E,1),SUMIFS('ON Data'!I:I,'ON Data'!$E:$E,1)/'ON Data'!$D$3),1)</f>
        <v>11.1</v>
      </c>
      <c r="F6" s="258">
        <f xml:space="preserve">
TRUNC(IF($A$4&lt;=12,SUMIFS('ON Data'!K:K,'ON Data'!$D:$D,$A$4,'ON Data'!$E:$E,1),SUMIFS('ON Data'!K:K,'ON Data'!$E:$E,1)/'ON Data'!$D$3),1)</f>
        <v>29</v>
      </c>
      <c r="G6" s="258">
        <f xml:space="preserve">
TRUNC(IF($A$4&lt;=12,SUMIFS('ON Data'!L:L,'ON Data'!$D:$D,$A$4,'ON Data'!$E:$E,1),SUMIFS('ON Data'!L:L,'ON Data'!$E:$E,1)/'ON Data'!$D$3),1)</f>
        <v>0</v>
      </c>
      <c r="H6" s="258">
        <f xml:space="preserve">
TRUNC(IF($A$4&lt;=12,SUMIFS('ON Data'!M:M,'ON Data'!$D:$D,$A$4,'ON Data'!$E:$E,1),SUMIFS('ON Data'!M:M,'ON Data'!$E:$E,1)/'ON Data'!$D$3),1)</f>
        <v>0</v>
      </c>
      <c r="I6" s="258">
        <f xml:space="preserve">
TRUNC(IF($A$4&lt;=12,SUMIFS('ON Data'!N:N,'ON Data'!$D:$D,$A$4,'ON Data'!$E:$E,1),SUMIFS('ON Data'!N:N,'ON Data'!$E:$E,1)/'ON Data'!$D$3),1)</f>
        <v>0</v>
      </c>
      <c r="J6" s="258">
        <f xml:space="preserve">
TRUNC(IF($A$4&lt;=12,SUMIFS('ON Data'!O:O,'ON Data'!$D:$D,$A$4,'ON Data'!$E:$E,1),SUMIFS('ON Data'!O:O,'ON Data'!$E:$E,1)/'ON Data'!$D$3),1)</f>
        <v>0</v>
      </c>
      <c r="K6" s="258">
        <f xml:space="preserve">
TRUNC(IF($A$4&lt;=12,SUMIFS('ON Data'!P:P,'ON Data'!$D:$D,$A$4,'ON Data'!$E:$E,1),SUMIFS('ON Data'!P:P,'ON Data'!$E:$E,1)/'ON Data'!$D$3),1)</f>
        <v>0</v>
      </c>
      <c r="L6" s="258">
        <f xml:space="preserve">
TRUNC(IF($A$4&lt;=12,SUMIFS('ON Data'!Q:Q,'ON Data'!$D:$D,$A$4,'ON Data'!$E:$E,1),SUMIFS('ON Data'!Q:Q,'ON Data'!$E:$E,1)/'ON Data'!$D$3),1)</f>
        <v>0</v>
      </c>
      <c r="M6" s="258">
        <f xml:space="preserve">
TRUNC(IF($A$4&lt;=12,SUMIFS('ON Data'!R:R,'ON Data'!$D:$D,$A$4,'ON Data'!$E:$E,1),SUMIFS('ON Data'!R:R,'ON Data'!$E:$E,1)/'ON Data'!$D$3),1)</f>
        <v>13.1</v>
      </c>
      <c r="N6" s="258">
        <f xml:space="preserve">
TRUNC(IF($A$4&lt;=12,SUMIFS('ON Data'!S:S,'ON Data'!$D:$D,$A$4,'ON Data'!$E:$E,1),SUMIFS('ON Data'!S:S,'ON Data'!$E:$E,1)/'ON Data'!$D$3),1)</f>
        <v>0</v>
      </c>
      <c r="O6" s="258">
        <f xml:space="preserve">
TRUNC(IF($A$4&lt;=12,SUMIFS('ON Data'!T:T,'ON Data'!$D:$D,$A$4,'ON Data'!$E:$E,1),SUMIFS('ON Data'!T:T,'ON Data'!$E:$E,1)/'ON Data'!$D$3),1)</f>
        <v>0</v>
      </c>
      <c r="P6" s="258">
        <f xml:space="preserve">
TRUNC(IF($A$4&lt;=12,SUMIFS('ON Data'!U:U,'ON Data'!$D:$D,$A$4,'ON Data'!$E:$E,1),SUMIFS('ON Data'!U:U,'ON Data'!$E:$E,1)/'ON Data'!$D$3),1)</f>
        <v>0</v>
      </c>
      <c r="Q6" s="258">
        <f xml:space="preserve">
TRUNC(IF($A$4&lt;=12,SUMIFS('ON Data'!V:V,'ON Data'!$D:$D,$A$4,'ON Data'!$E:$E,1),SUMIFS('ON Data'!V:V,'ON Data'!$E:$E,1)/'ON Data'!$D$3),1)</f>
        <v>0</v>
      </c>
      <c r="R6" s="258">
        <f xml:space="preserve">
TRUNC(IF($A$4&lt;=12,SUMIFS('ON Data'!W:W,'ON Data'!$D:$D,$A$4,'ON Data'!$E:$E,1),SUMIFS('ON Data'!W:W,'ON Data'!$E:$E,1)/'ON Data'!$D$3),1)</f>
        <v>0</v>
      </c>
      <c r="S6" s="258">
        <f xml:space="preserve">
TRUNC(IF($A$4&lt;=12,SUMIFS('ON Data'!X:X,'ON Data'!$D:$D,$A$4,'ON Data'!$E:$E,1),SUMIFS('ON Data'!X:X,'ON Data'!$E:$E,1)/'ON Data'!$D$3),1)</f>
        <v>0</v>
      </c>
      <c r="T6" s="258">
        <f xml:space="preserve">
TRUNC(IF($A$4&lt;=12,SUMIFS('ON Data'!Y:Y,'ON Data'!$D:$D,$A$4,'ON Data'!$E:$E,1),SUMIFS('ON Data'!Y:Y,'ON Data'!$E:$E,1)/'ON Data'!$D$3),1)</f>
        <v>0</v>
      </c>
      <c r="U6" s="258">
        <f xml:space="preserve">
TRUNC(IF($A$4&lt;=12,SUMIFS('ON Data'!Z:Z,'ON Data'!$D:$D,$A$4,'ON Data'!$E:$E,1),SUMIFS('ON Data'!Z:Z,'ON Data'!$E:$E,1)/'ON Data'!$D$3),1)</f>
        <v>0</v>
      </c>
      <c r="V6" s="258">
        <f xml:space="preserve">
TRUNC(IF($A$4&lt;=12,SUMIFS('ON Data'!AA:AA,'ON Data'!$D:$D,$A$4,'ON Data'!$E:$E,1),SUMIFS('ON Data'!AA:AA,'ON Data'!$E:$E,1)/'ON Data'!$D$3),1)</f>
        <v>0</v>
      </c>
      <c r="W6" s="258">
        <f xml:space="preserve">
TRUNC(IF($A$4&lt;=12,SUMIFS('ON Data'!AB:AB,'ON Data'!$D:$D,$A$4,'ON Data'!$E:$E,1),SUMIFS('ON Data'!AB:AB,'ON Data'!$E:$E,1)/'ON Data'!$D$3),1)</f>
        <v>0</v>
      </c>
      <c r="X6" s="258">
        <f xml:space="preserve">
TRUNC(IF($A$4&lt;=12,SUMIFS('ON Data'!AC:AC,'ON Data'!$D:$D,$A$4,'ON Data'!$E:$E,1),SUMIFS('ON Data'!AC:AC,'ON Data'!$E:$E,1)/'ON Data'!$D$3),1)</f>
        <v>0</v>
      </c>
      <c r="Y6" s="258">
        <f xml:space="preserve">
TRUNC(IF($A$4&lt;=12,SUMIFS('ON Data'!AD:AD,'ON Data'!$D:$D,$A$4,'ON Data'!$E:$E,1),SUMIFS('ON Data'!AD:AD,'ON Data'!$E:$E,1)/'ON Data'!$D$3),1)</f>
        <v>0</v>
      </c>
      <c r="Z6" s="258">
        <f xml:space="preserve">
TRUNC(IF($A$4&lt;=12,SUMIFS('ON Data'!AE:AE,'ON Data'!$D:$D,$A$4,'ON Data'!$E:$E,1),SUMIFS('ON Data'!AE:AE,'ON Data'!$E:$E,1)/'ON Data'!$D$3),1)</f>
        <v>0</v>
      </c>
      <c r="AA6" s="258">
        <f xml:space="preserve">
TRUNC(IF($A$4&lt;=12,SUMIFS('ON Data'!AF:AF,'ON Data'!$D:$D,$A$4,'ON Data'!$E:$E,1),SUMIFS('ON Data'!AF:AF,'ON Data'!$E:$E,1)/'ON Data'!$D$3),1)</f>
        <v>0</v>
      </c>
      <c r="AB6" s="258">
        <f xml:space="preserve">
TRUNC(IF($A$4&lt;=12,SUMIFS('ON Data'!AG:AG,'ON Data'!$D:$D,$A$4,'ON Data'!$E:$E,1),SUMIFS('ON Data'!AG:AG,'ON Data'!$E:$E,1)/'ON Data'!$D$3),1)</f>
        <v>0</v>
      </c>
      <c r="AC6" s="258">
        <f xml:space="preserve">
TRUNC(IF($A$4&lt;=12,SUMIFS('ON Data'!AH:AH,'ON Data'!$D:$D,$A$4,'ON Data'!$E:$E,1),SUMIFS('ON Data'!AH:AH,'ON Data'!$E:$E,1)/'ON Data'!$D$3),1)</f>
        <v>0</v>
      </c>
      <c r="AD6" s="258">
        <f xml:space="preserve">
TRUNC(IF($A$4&lt;=12,SUMIFS('ON Data'!AI:AI,'ON Data'!$D:$D,$A$4,'ON Data'!$E:$E,1),SUMIFS('ON Data'!AI:AI,'ON Data'!$E:$E,1)/'ON Data'!$D$3),1)</f>
        <v>0</v>
      </c>
      <c r="AE6" s="258">
        <f xml:space="preserve">
TRUNC(IF($A$4&lt;=12,SUMIFS('ON Data'!AJ:AJ,'ON Data'!$D:$D,$A$4,'ON Data'!$E:$E,1),SUMIFS('ON Data'!AJ:AJ,'ON Data'!$E:$E,1)/'ON Data'!$D$3),1)</f>
        <v>0</v>
      </c>
      <c r="AF6" s="258">
        <f xml:space="preserve">
TRUNC(IF($A$4&lt;=12,SUMIFS('ON Data'!AK:AK,'ON Data'!$D:$D,$A$4,'ON Data'!$E:$E,1),SUMIFS('ON Data'!AK:AK,'ON Data'!$E:$E,1)/'ON Data'!$D$3),1)</f>
        <v>0</v>
      </c>
      <c r="AG6" s="258">
        <f xml:space="preserve">
TRUNC(IF($A$4&lt;=12,SUMIFS('ON Data'!AL:AL,'ON Data'!$D:$D,$A$4,'ON Data'!$E:$E,1),SUMIFS('ON Data'!AL:AL,'ON Data'!$E:$E,1)/'ON Data'!$D$3),1)</f>
        <v>0</v>
      </c>
      <c r="AH6" s="258">
        <f xml:space="preserve">
TRUNC(IF($A$4&lt;=12,SUMIFS('ON Data'!AN:AN,'ON Data'!$D:$D,$A$4,'ON Data'!$E:$E,1),SUMIFS('ON Data'!AN:AN,'ON Data'!$E:$E,1)/'ON Data'!$D$3),1)</f>
        <v>0.9</v>
      </c>
      <c r="AI6" s="485">
        <f xml:space="preserve">
TRUNC(IF($A$4&lt;=12,SUMIFS('ON Data'!AO:AO,'ON Data'!$D:$D,$A$4,'ON Data'!$E:$E,1),SUMIFS('ON Data'!AO:AO,'ON Data'!$E:$E,1)/'ON Data'!$D$3),1)</f>
        <v>1</v>
      </c>
      <c r="AJ6" s="499"/>
    </row>
    <row r="7" spans="1:36" ht="15" hidden="1" outlineLevel="1" thickBot="1" x14ac:dyDescent="0.35">
      <c r="A7" s="218" t="s">
        <v>92</v>
      </c>
      <c r="B7" s="256"/>
      <c r="C7" s="259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  <c r="AA7" s="258"/>
      <c r="AB7" s="258"/>
      <c r="AC7" s="258"/>
      <c r="AD7" s="258"/>
      <c r="AE7" s="258"/>
      <c r="AF7" s="258"/>
      <c r="AG7" s="258"/>
      <c r="AH7" s="258"/>
      <c r="AI7" s="485"/>
      <c r="AJ7" s="499"/>
    </row>
    <row r="8" spans="1:36" ht="15" hidden="1" outlineLevel="1" thickBot="1" x14ac:dyDescent="0.35">
      <c r="A8" s="218" t="s">
        <v>62</v>
      </c>
      <c r="B8" s="256"/>
      <c r="C8" s="259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  <c r="S8" s="258"/>
      <c r="T8" s="258"/>
      <c r="U8" s="258"/>
      <c r="V8" s="258"/>
      <c r="W8" s="258"/>
      <c r="X8" s="258"/>
      <c r="Y8" s="258"/>
      <c r="Z8" s="258"/>
      <c r="AA8" s="258"/>
      <c r="AB8" s="258"/>
      <c r="AC8" s="258"/>
      <c r="AD8" s="258"/>
      <c r="AE8" s="258"/>
      <c r="AF8" s="258"/>
      <c r="AG8" s="258"/>
      <c r="AH8" s="258"/>
      <c r="AI8" s="485"/>
      <c r="AJ8" s="499"/>
    </row>
    <row r="9" spans="1:36" ht="15" hidden="1" outlineLevel="1" thickBot="1" x14ac:dyDescent="0.35">
      <c r="A9" s="219" t="s">
        <v>55</v>
      </c>
      <c r="B9" s="260"/>
      <c r="C9" s="261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  <c r="AA9" s="262"/>
      <c r="AB9" s="262"/>
      <c r="AC9" s="262"/>
      <c r="AD9" s="262"/>
      <c r="AE9" s="262"/>
      <c r="AF9" s="262"/>
      <c r="AG9" s="262"/>
      <c r="AH9" s="262"/>
      <c r="AI9" s="486"/>
      <c r="AJ9" s="499"/>
    </row>
    <row r="10" spans="1:36" x14ac:dyDescent="0.3">
      <c r="A10" s="220" t="s">
        <v>164</v>
      </c>
      <c r="B10" s="235"/>
      <c r="C10" s="236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487"/>
      <c r="AJ10" s="499"/>
    </row>
    <row r="11" spans="1:36" x14ac:dyDescent="0.3">
      <c r="A11" s="221" t="s">
        <v>165</v>
      </c>
      <c r="B11" s="238">
        <f xml:space="preserve">
IF($A$4&lt;=12,SUMIFS('ON Data'!F:F,'ON Data'!$D:$D,$A$4,'ON Data'!$E:$E,2),SUMIFS('ON Data'!F:F,'ON Data'!$E:$E,2))</f>
        <v>82942.499999999985</v>
      </c>
      <c r="C11" s="239">
        <f xml:space="preserve">
IF($A$4&lt;=12,SUMIFS('ON Data'!G:G,'ON Data'!$D:$D,$A$4,'ON Data'!$E:$E,2),SUMIFS('ON Data'!G:G,'ON Data'!$E:$E,2))</f>
        <v>0</v>
      </c>
      <c r="D11" s="240">
        <f xml:space="preserve">
IF($A$4&lt;=12,SUMIFS('ON Data'!H:H,'ON Data'!$D:$D,$A$4,'ON Data'!$E:$E,2),SUMIFS('ON Data'!H:H,'ON Data'!$E:$E,2))</f>
        <v>0</v>
      </c>
      <c r="E11" s="240">
        <f xml:space="preserve">
IF($A$4&lt;=12,SUMIFS('ON Data'!I:I,'ON Data'!$D:$D,$A$4,'ON Data'!$E:$E,2),SUMIFS('ON Data'!I:I,'ON Data'!$E:$E,2))</f>
        <v>17039.900000000001</v>
      </c>
      <c r="F11" s="240">
        <f xml:space="preserve">
IF($A$4&lt;=12,SUMIFS('ON Data'!K:K,'ON Data'!$D:$D,$A$4,'ON Data'!$E:$E,2),SUMIFS('ON Data'!K:K,'ON Data'!$E:$E,2))</f>
        <v>42580</v>
      </c>
      <c r="G11" s="240">
        <f xml:space="preserve">
IF($A$4&lt;=12,SUMIFS('ON Data'!L:L,'ON Data'!$D:$D,$A$4,'ON Data'!$E:$E,2),SUMIFS('ON Data'!L:L,'ON Data'!$E:$E,2))</f>
        <v>0</v>
      </c>
      <c r="H11" s="240">
        <f xml:space="preserve">
IF($A$4&lt;=12,SUMIFS('ON Data'!M:M,'ON Data'!$D:$D,$A$4,'ON Data'!$E:$E,2),SUMIFS('ON Data'!M:M,'ON Data'!$E:$E,2))</f>
        <v>0</v>
      </c>
      <c r="I11" s="240">
        <f xml:space="preserve">
IF($A$4&lt;=12,SUMIFS('ON Data'!N:N,'ON Data'!$D:$D,$A$4,'ON Data'!$E:$E,2),SUMIFS('ON Data'!N:N,'ON Data'!$E:$E,2))</f>
        <v>0</v>
      </c>
      <c r="J11" s="240">
        <f xml:space="preserve">
IF($A$4&lt;=12,SUMIFS('ON Data'!O:O,'ON Data'!$D:$D,$A$4,'ON Data'!$E:$E,2),SUMIFS('ON Data'!O:O,'ON Data'!$E:$E,2))</f>
        <v>0</v>
      </c>
      <c r="K11" s="240">
        <f xml:space="preserve">
IF($A$4&lt;=12,SUMIFS('ON Data'!P:P,'ON Data'!$D:$D,$A$4,'ON Data'!$E:$E,2),SUMIFS('ON Data'!P:P,'ON Data'!$E:$E,2))</f>
        <v>0</v>
      </c>
      <c r="L11" s="240">
        <f xml:space="preserve">
IF($A$4&lt;=12,SUMIFS('ON Data'!Q:Q,'ON Data'!$D:$D,$A$4,'ON Data'!$E:$E,2),SUMIFS('ON Data'!Q:Q,'ON Data'!$E:$E,2))</f>
        <v>0</v>
      </c>
      <c r="M11" s="240">
        <f xml:space="preserve">
IF($A$4&lt;=12,SUMIFS('ON Data'!R:R,'ON Data'!$D:$D,$A$4,'ON Data'!$E:$E,2),SUMIFS('ON Data'!R:R,'ON Data'!$E:$E,2))</f>
        <v>20300</v>
      </c>
      <c r="N11" s="240">
        <f xml:space="preserve">
IF($A$4&lt;=12,SUMIFS('ON Data'!S:S,'ON Data'!$D:$D,$A$4,'ON Data'!$E:$E,2),SUMIFS('ON Data'!S:S,'ON Data'!$E:$E,2))</f>
        <v>0</v>
      </c>
      <c r="O11" s="240">
        <f xml:space="preserve">
IF($A$4&lt;=12,SUMIFS('ON Data'!T:T,'ON Data'!$D:$D,$A$4,'ON Data'!$E:$E,2),SUMIFS('ON Data'!T:T,'ON Data'!$E:$E,2))</f>
        <v>0</v>
      </c>
      <c r="P11" s="240">
        <f xml:space="preserve">
IF($A$4&lt;=12,SUMIFS('ON Data'!U:U,'ON Data'!$D:$D,$A$4,'ON Data'!$E:$E,2),SUMIFS('ON Data'!U:U,'ON Data'!$E:$E,2))</f>
        <v>0</v>
      </c>
      <c r="Q11" s="240">
        <f xml:space="preserve">
IF($A$4&lt;=12,SUMIFS('ON Data'!V:V,'ON Data'!$D:$D,$A$4,'ON Data'!$E:$E,2),SUMIFS('ON Data'!V:V,'ON Data'!$E:$E,2))</f>
        <v>0</v>
      </c>
      <c r="R11" s="240">
        <f xml:space="preserve">
IF($A$4&lt;=12,SUMIFS('ON Data'!W:W,'ON Data'!$D:$D,$A$4,'ON Data'!$E:$E,2),SUMIFS('ON Data'!W:W,'ON Data'!$E:$E,2))</f>
        <v>0</v>
      </c>
      <c r="S11" s="240">
        <f xml:space="preserve">
IF($A$4&lt;=12,SUMIFS('ON Data'!X:X,'ON Data'!$D:$D,$A$4,'ON Data'!$E:$E,2),SUMIFS('ON Data'!X:X,'ON Data'!$E:$E,2))</f>
        <v>0</v>
      </c>
      <c r="T11" s="240">
        <f xml:space="preserve">
IF($A$4&lt;=12,SUMIFS('ON Data'!Y:Y,'ON Data'!$D:$D,$A$4,'ON Data'!$E:$E,2),SUMIFS('ON Data'!Y:Y,'ON Data'!$E:$E,2))</f>
        <v>0</v>
      </c>
      <c r="U11" s="240">
        <f xml:space="preserve">
IF($A$4&lt;=12,SUMIFS('ON Data'!Z:Z,'ON Data'!$D:$D,$A$4,'ON Data'!$E:$E,2),SUMIFS('ON Data'!Z:Z,'ON Data'!$E:$E,2))</f>
        <v>0</v>
      </c>
      <c r="V11" s="240">
        <f xml:space="preserve">
IF($A$4&lt;=12,SUMIFS('ON Data'!AA:AA,'ON Data'!$D:$D,$A$4,'ON Data'!$E:$E,2),SUMIFS('ON Data'!AA:AA,'ON Data'!$E:$E,2))</f>
        <v>0</v>
      </c>
      <c r="W11" s="240">
        <f xml:space="preserve">
IF($A$4&lt;=12,SUMIFS('ON Data'!AB:AB,'ON Data'!$D:$D,$A$4,'ON Data'!$E:$E,2),SUMIFS('ON Data'!AB:AB,'ON Data'!$E:$E,2))</f>
        <v>0</v>
      </c>
      <c r="X11" s="240">
        <f xml:space="preserve">
IF($A$4&lt;=12,SUMIFS('ON Data'!AC:AC,'ON Data'!$D:$D,$A$4,'ON Data'!$E:$E,2),SUMIFS('ON Data'!AC:AC,'ON Data'!$E:$E,2))</f>
        <v>0</v>
      </c>
      <c r="Y11" s="240">
        <f xml:space="preserve">
IF($A$4&lt;=12,SUMIFS('ON Data'!AD:AD,'ON Data'!$D:$D,$A$4,'ON Data'!$E:$E,2),SUMIFS('ON Data'!AD:AD,'ON Data'!$E:$E,2))</f>
        <v>0</v>
      </c>
      <c r="Z11" s="240">
        <f xml:space="preserve">
IF($A$4&lt;=12,SUMIFS('ON Data'!AE:AE,'ON Data'!$D:$D,$A$4,'ON Data'!$E:$E,2),SUMIFS('ON Data'!AE:AE,'ON Data'!$E:$E,2))</f>
        <v>0</v>
      </c>
      <c r="AA11" s="240">
        <f xml:space="preserve">
IF($A$4&lt;=12,SUMIFS('ON Data'!AF:AF,'ON Data'!$D:$D,$A$4,'ON Data'!$E:$E,2),SUMIFS('ON Data'!AF:AF,'ON Data'!$E:$E,2))</f>
        <v>0</v>
      </c>
      <c r="AB11" s="240">
        <f xml:space="preserve">
IF($A$4&lt;=12,SUMIFS('ON Data'!AG:AG,'ON Data'!$D:$D,$A$4,'ON Data'!$E:$E,2),SUMIFS('ON Data'!AG:AG,'ON Data'!$E:$E,2))</f>
        <v>0</v>
      </c>
      <c r="AC11" s="240">
        <f xml:space="preserve">
IF($A$4&lt;=12,SUMIFS('ON Data'!AH:AH,'ON Data'!$D:$D,$A$4,'ON Data'!$E:$E,2),SUMIFS('ON Data'!AH:AH,'ON Data'!$E:$E,2))</f>
        <v>0</v>
      </c>
      <c r="AD11" s="240">
        <f xml:space="preserve">
IF($A$4&lt;=12,SUMIFS('ON Data'!AI:AI,'ON Data'!$D:$D,$A$4,'ON Data'!$E:$E,2),SUMIFS('ON Data'!AI:AI,'ON Data'!$E:$E,2))</f>
        <v>0</v>
      </c>
      <c r="AE11" s="240">
        <f xml:space="preserve">
IF($A$4&lt;=12,SUMIFS('ON Data'!AJ:AJ,'ON Data'!$D:$D,$A$4,'ON Data'!$E:$E,2),SUMIFS('ON Data'!AJ:AJ,'ON Data'!$E:$E,2))</f>
        <v>0</v>
      </c>
      <c r="AF11" s="240">
        <f xml:space="preserve">
IF($A$4&lt;=12,SUMIFS('ON Data'!AK:AK,'ON Data'!$D:$D,$A$4,'ON Data'!$E:$E,2),SUMIFS('ON Data'!AK:AK,'ON Data'!$E:$E,2))</f>
        <v>0</v>
      </c>
      <c r="AG11" s="240">
        <f xml:space="preserve">
IF($A$4&lt;=12,SUMIFS('ON Data'!AL:AL,'ON Data'!$D:$D,$A$4,'ON Data'!$E:$E,2),SUMIFS('ON Data'!AL:AL,'ON Data'!$E:$E,2))</f>
        <v>0</v>
      </c>
      <c r="AH11" s="240">
        <f xml:space="preserve">
IF($A$4&lt;=12,SUMIFS('ON Data'!AN:AN,'ON Data'!$D:$D,$A$4,'ON Data'!$E:$E,2),SUMIFS('ON Data'!AN:AN,'ON Data'!$E:$E,2))</f>
        <v>1454.6000000000001</v>
      </c>
      <c r="AI11" s="488">
        <f xml:space="preserve">
IF($A$4&lt;=12,SUMIFS('ON Data'!AO:AO,'ON Data'!$D:$D,$A$4,'ON Data'!$E:$E,2),SUMIFS('ON Data'!AO:AO,'ON Data'!$E:$E,2))</f>
        <v>1568</v>
      </c>
      <c r="AJ11" s="499"/>
    </row>
    <row r="12" spans="1:36" x14ac:dyDescent="0.3">
      <c r="A12" s="221" t="s">
        <v>166</v>
      </c>
      <c r="B12" s="238">
        <f xml:space="preserve">
IF($A$4&lt;=12,SUMIFS('ON Data'!F:F,'ON Data'!$D:$D,$A$4,'ON Data'!$E:$E,3),SUMIFS('ON Data'!F:F,'ON Data'!$E:$E,3))</f>
        <v>0</v>
      </c>
      <c r="C12" s="239">
        <f xml:space="preserve">
IF($A$4&lt;=12,SUMIFS('ON Data'!G:G,'ON Data'!$D:$D,$A$4,'ON Data'!$E:$E,3),SUMIFS('ON Data'!G:G,'ON Data'!$E:$E,3))</f>
        <v>0</v>
      </c>
      <c r="D12" s="240">
        <f xml:space="preserve">
IF($A$4&lt;=12,SUMIFS('ON Data'!H:H,'ON Data'!$D:$D,$A$4,'ON Data'!$E:$E,3),SUMIFS('ON Data'!H:H,'ON Data'!$E:$E,3))</f>
        <v>0</v>
      </c>
      <c r="E12" s="240">
        <f xml:space="preserve">
IF($A$4&lt;=12,SUMIFS('ON Data'!I:I,'ON Data'!$D:$D,$A$4,'ON Data'!$E:$E,3),SUMIFS('ON Data'!I:I,'ON Data'!$E:$E,3))</f>
        <v>0</v>
      </c>
      <c r="F12" s="240">
        <f xml:space="preserve">
IF($A$4&lt;=12,SUMIFS('ON Data'!K:K,'ON Data'!$D:$D,$A$4,'ON Data'!$E:$E,3),SUMIFS('ON Data'!K:K,'ON Data'!$E:$E,3))</f>
        <v>0</v>
      </c>
      <c r="G12" s="240">
        <f xml:space="preserve">
IF($A$4&lt;=12,SUMIFS('ON Data'!L:L,'ON Data'!$D:$D,$A$4,'ON Data'!$E:$E,3),SUMIFS('ON Data'!L:L,'ON Data'!$E:$E,3))</f>
        <v>0</v>
      </c>
      <c r="H12" s="240">
        <f xml:space="preserve">
IF($A$4&lt;=12,SUMIFS('ON Data'!M:M,'ON Data'!$D:$D,$A$4,'ON Data'!$E:$E,3),SUMIFS('ON Data'!M:M,'ON Data'!$E:$E,3))</f>
        <v>0</v>
      </c>
      <c r="I12" s="240">
        <f xml:space="preserve">
IF($A$4&lt;=12,SUMIFS('ON Data'!N:N,'ON Data'!$D:$D,$A$4,'ON Data'!$E:$E,3),SUMIFS('ON Data'!N:N,'ON Data'!$E:$E,3))</f>
        <v>0</v>
      </c>
      <c r="J12" s="240">
        <f xml:space="preserve">
IF($A$4&lt;=12,SUMIFS('ON Data'!O:O,'ON Data'!$D:$D,$A$4,'ON Data'!$E:$E,3),SUMIFS('ON Data'!O:O,'ON Data'!$E:$E,3))</f>
        <v>0</v>
      </c>
      <c r="K12" s="240">
        <f xml:space="preserve">
IF($A$4&lt;=12,SUMIFS('ON Data'!P:P,'ON Data'!$D:$D,$A$4,'ON Data'!$E:$E,3),SUMIFS('ON Data'!P:P,'ON Data'!$E:$E,3))</f>
        <v>0</v>
      </c>
      <c r="L12" s="240">
        <f xml:space="preserve">
IF($A$4&lt;=12,SUMIFS('ON Data'!Q:Q,'ON Data'!$D:$D,$A$4,'ON Data'!$E:$E,3),SUMIFS('ON Data'!Q:Q,'ON Data'!$E:$E,3))</f>
        <v>0</v>
      </c>
      <c r="M12" s="240">
        <f xml:space="preserve">
IF($A$4&lt;=12,SUMIFS('ON Data'!R:R,'ON Data'!$D:$D,$A$4,'ON Data'!$E:$E,3),SUMIFS('ON Data'!R:R,'ON Data'!$E:$E,3))</f>
        <v>0</v>
      </c>
      <c r="N12" s="240">
        <f xml:space="preserve">
IF($A$4&lt;=12,SUMIFS('ON Data'!S:S,'ON Data'!$D:$D,$A$4,'ON Data'!$E:$E,3),SUMIFS('ON Data'!S:S,'ON Data'!$E:$E,3))</f>
        <v>0</v>
      </c>
      <c r="O12" s="240">
        <f xml:space="preserve">
IF($A$4&lt;=12,SUMIFS('ON Data'!T:T,'ON Data'!$D:$D,$A$4,'ON Data'!$E:$E,3),SUMIFS('ON Data'!T:T,'ON Data'!$E:$E,3))</f>
        <v>0</v>
      </c>
      <c r="P12" s="240">
        <f xml:space="preserve">
IF($A$4&lt;=12,SUMIFS('ON Data'!U:U,'ON Data'!$D:$D,$A$4,'ON Data'!$E:$E,3),SUMIFS('ON Data'!U:U,'ON Data'!$E:$E,3))</f>
        <v>0</v>
      </c>
      <c r="Q12" s="240">
        <f xml:space="preserve">
IF($A$4&lt;=12,SUMIFS('ON Data'!V:V,'ON Data'!$D:$D,$A$4,'ON Data'!$E:$E,3),SUMIFS('ON Data'!V:V,'ON Data'!$E:$E,3))</f>
        <v>0</v>
      </c>
      <c r="R12" s="240">
        <f xml:space="preserve">
IF($A$4&lt;=12,SUMIFS('ON Data'!W:W,'ON Data'!$D:$D,$A$4,'ON Data'!$E:$E,3),SUMIFS('ON Data'!W:W,'ON Data'!$E:$E,3))</f>
        <v>0</v>
      </c>
      <c r="S12" s="240">
        <f xml:space="preserve">
IF($A$4&lt;=12,SUMIFS('ON Data'!X:X,'ON Data'!$D:$D,$A$4,'ON Data'!$E:$E,3),SUMIFS('ON Data'!X:X,'ON Data'!$E:$E,3))</f>
        <v>0</v>
      </c>
      <c r="T12" s="240">
        <f xml:space="preserve">
IF($A$4&lt;=12,SUMIFS('ON Data'!Y:Y,'ON Data'!$D:$D,$A$4,'ON Data'!$E:$E,3),SUMIFS('ON Data'!Y:Y,'ON Data'!$E:$E,3))</f>
        <v>0</v>
      </c>
      <c r="U12" s="240">
        <f xml:space="preserve">
IF($A$4&lt;=12,SUMIFS('ON Data'!Z:Z,'ON Data'!$D:$D,$A$4,'ON Data'!$E:$E,3),SUMIFS('ON Data'!Z:Z,'ON Data'!$E:$E,3))</f>
        <v>0</v>
      </c>
      <c r="V12" s="240">
        <f xml:space="preserve">
IF($A$4&lt;=12,SUMIFS('ON Data'!AA:AA,'ON Data'!$D:$D,$A$4,'ON Data'!$E:$E,3),SUMIFS('ON Data'!AA:AA,'ON Data'!$E:$E,3))</f>
        <v>0</v>
      </c>
      <c r="W12" s="240">
        <f xml:space="preserve">
IF($A$4&lt;=12,SUMIFS('ON Data'!AB:AB,'ON Data'!$D:$D,$A$4,'ON Data'!$E:$E,3),SUMIFS('ON Data'!AB:AB,'ON Data'!$E:$E,3))</f>
        <v>0</v>
      </c>
      <c r="X12" s="240">
        <f xml:space="preserve">
IF($A$4&lt;=12,SUMIFS('ON Data'!AC:AC,'ON Data'!$D:$D,$A$4,'ON Data'!$E:$E,3),SUMIFS('ON Data'!AC:AC,'ON Data'!$E:$E,3))</f>
        <v>0</v>
      </c>
      <c r="Y12" s="240">
        <f xml:space="preserve">
IF($A$4&lt;=12,SUMIFS('ON Data'!AD:AD,'ON Data'!$D:$D,$A$4,'ON Data'!$E:$E,3),SUMIFS('ON Data'!AD:AD,'ON Data'!$E:$E,3))</f>
        <v>0</v>
      </c>
      <c r="Z12" s="240">
        <f xml:space="preserve">
IF($A$4&lt;=12,SUMIFS('ON Data'!AE:AE,'ON Data'!$D:$D,$A$4,'ON Data'!$E:$E,3),SUMIFS('ON Data'!AE:AE,'ON Data'!$E:$E,3))</f>
        <v>0</v>
      </c>
      <c r="AA12" s="240">
        <f xml:space="preserve">
IF($A$4&lt;=12,SUMIFS('ON Data'!AF:AF,'ON Data'!$D:$D,$A$4,'ON Data'!$E:$E,3),SUMIFS('ON Data'!AF:AF,'ON Data'!$E:$E,3))</f>
        <v>0</v>
      </c>
      <c r="AB12" s="240">
        <f xml:space="preserve">
IF($A$4&lt;=12,SUMIFS('ON Data'!AG:AG,'ON Data'!$D:$D,$A$4,'ON Data'!$E:$E,3),SUMIFS('ON Data'!AG:AG,'ON Data'!$E:$E,3))</f>
        <v>0</v>
      </c>
      <c r="AC12" s="240">
        <f xml:space="preserve">
IF($A$4&lt;=12,SUMIFS('ON Data'!AH:AH,'ON Data'!$D:$D,$A$4,'ON Data'!$E:$E,3),SUMIFS('ON Data'!AH:AH,'ON Data'!$E:$E,3))</f>
        <v>0</v>
      </c>
      <c r="AD12" s="240">
        <f xml:space="preserve">
IF($A$4&lt;=12,SUMIFS('ON Data'!AI:AI,'ON Data'!$D:$D,$A$4,'ON Data'!$E:$E,3),SUMIFS('ON Data'!AI:AI,'ON Data'!$E:$E,3))</f>
        <v>0</v>
      </c>
      <c r="AE12" s="240">
        <f xml:space="preserve">
IF($A$4&lt;=12,SUMIFS('ON Data'!AJ:AJ,'ON Data'!$D:$D,$A$4,'ON Data'!$E:$E,3),SUMIFS('ON Data'!AJ:AJ,'ON Data'!$E:$E,3))</f>
        <v>0</v>
      </c>
      <c r="AF12" s="240">
        <f xml:space="preserve">
IF($A$4&lt;=12,SUMIFS('ON Data'!AK:AK,'ON Data'!$D:$D,$A$4,'ON Data'!$E:$E,3),SUMIFS('ON Data'!AK:AK,'ON Data'!$E:$E,3))</f>
        <v>0</v>
      </c>
      <c r="AG12" s="240">
        <f xml:space="preserve">
IF($A$4&lt;=12,SUMIFS('ON Data'!AL:AL,'ON Data'!$D:$D,$A$4,'ON Data'!$E:$E,3),SUMIFS('ON Data'!AL:AL,'ON Data'!$E:$E,3))</f>
        <v>0</v>
      </c>
      <c r="AH12" s="240">
        <f xml:space="preserve">
IF($A$4&lt;=12,SUMIFS('ON Data'!AN:AN,'ON Data'!$D:$D,$A$4,'ON Data'!$E:$E,3),SUMIFS('ON Data'!AN:AN,'ON Data'!$E:$E,3))</f>
        <v>0</v>
      </c>
      <c r="AI12" s="488">
        <f xml:space="preserve">
IF($A$4&lt;=12,SUMIFS('ON Data'!AO:AO,'ON Data'!$D:$D,$A$4,'ON Data'!$E:$E,3),SUMIFS('ON Data'!AO:AO,'ON Data'!$E:$E,3))</f>
        <v>0</v>
      </c>
      <c r="AJ12" s="499"/>
    </row>
    <row r="13" spans="1:36" x14ac:dyDescent="0.3">
      <c r="A13" s="221" t="s">
        <v>173</v>
      </c>
      <c r="B13" s="238">
        <f xml:space="preserve">
IF($A$4&lt;=12,SUMIFS('ON Data'!F:F,'ON Data'!$D:$D,$A$4,'ON Data'!$E:$E,4),SUMIFS('ON Data'!F:F,'ON Data'!$E:$E,4))</f>
        <v>0</v>
      </c>
      <c r="C13" s="239">
        <f xml:space="preserve">
IF($A$4&lt;=12,SUMIFS('ON Data'!G:G,'ON Data'!$D:$D,$A$4,'ON Data'!$E:$E,4),SUMIFS('ON Data'!G:G,'ON Data'!$E:$E,4))</f>
        <v>0</v>
      </c>
      <c r="D13" s="240">
        <f xml:space="preserve">
IF($A$4&lt;=12,SUMIFS('ON Data'!H:H,'ON Data'!$D:$D,$A$4,'ON Data'!$E:$E,4),SUMIFS('ON Data'!H:H,'ON Data'!$E:$E,4))</f>
        <v>0</v>
      </c>
      <c r="E13" s="240">
        <f xml:space="preserve">
IF($A$4&lt;=12,SUMIFS('ON Data'!I:I,'ON Data'!$D:$D,$A$4,'ON Data'!$E:$E,4),SUMIFS('ON Data'!I:I,'ON Data'!$E:$E,4))</f>
        <v>0</v>
      </c>
      <c r="F13" s="240">
        <f xml:space="preserve">
IF($A$4&lt;=12,SUMIFS('ON Data'!K:K,'ON Data'!$D:$D,$A$4,'ON Data'!$E:$E,4),SUMIFS('ON Data'!K:K,'ON Data'!$E:$E,4))</f>
        <v>0</v>
      </c>
      <c r="G13" s="240">
        <f xml:space="preserve">
IF($A$4&lt;=12,SUMIFS('ON Data'!L:L,'ON Data'!$D:$D,$A$4,'ON Data'!$E:$E,4),SUMIFS('ON Data'!L:L,'ON Data'!$E:$E,4))</f>
        <v>0</v>
      </c>
      <c r="H13" s="240">
        <f xml:space="preserve">
IF($A$4&lt;=12,SUMIFS('ON Data'!M:M,'ON Data'!$D:$D,$A$4,'ON Data'!$E:$E,4),SUMIFS('ON Data'!M:M,'ON Data'!$E:$E,4))</f>
        <v>0</v>
      </c>
      <c r="I13" s="240">
        <f xml:space="preserve">
IF($A$4&lt;=12,SUMIFS('ON Data'!N:N,'ON Data'!$D:$D,$A$4,'ON Data'!$E:$E,4),SUMIFS('ON Data'!N:N,'ON Data'!$E:$E,4))</f>
        <v>0</v>
      </c>
      <c r="J13" s="240">
        <f xml:space="preserve">
IF($A$4&lt;=12,SUMIFS('ON Data'!O:O,'ON Data'!$D:$D,$A$4,'ON Data'!$E:$E,4),SUMIFS('ON Data'!O:O,'ON Data'!$E:$E,4))</f>
        <v>0</v>
      </c>
      <c r="K13" s="240">
        <f xml:space="preserve">
IF($A$4&lt;=12,SUMIFS('ON Data'!P:P,'ON Data'!$D:$D,$A$4,'ON Data'!$E:$E,4),SUMIFS('ON Data'!P:P,'ON Data'!$E:$E,4))</f>
        <v>0</v>
      </c>
      <c r="L13" s="240">
        <f xml:space="preserve">
IF($A$4&lt;=12,SUMIFS('ON Data'!Q:Q,'ON Data'!$D:$D,$A$4,'ON Data'!$E:$E,4),SUMIFS('ON Data'!Q:Q,'ON Data'!$E:$E,4))</f>
        <v>0</v>
      </c>
      <c r="M13" s="240">
        <f xml:space="preserve">
IF($A$4&lt;=12,SUMIFS('ON Data'!R:R,'ON Data'!$D:$D,$A$4,'ON Data'!$E:$E,4),SUMIFS('ON Data'!R:R,'ON Data'!$E:$E,4))</f>
        <v>0</v>
      </c>
      <c r="N13" s="240">
        <f xml:space="preserve">
IF($A$4&lt;=12,SUMIFS('ON Data'!S:S,'ON Data'!$D:$D,$A$4,'ON Data'!$E:$E,4),SUMIFS('ON Data'!S:S,'ON Data'!$E:$E,4))</f>
        <v>0</v>
      </c>
      <c r="O13" s="240">
        <f xml:space="preserve">
IF($A$4&lt;=12,SUMIFS('ON Data'!T:T,'ON Data'!$D:$D,$A$4,'ON Data'!$E:$E,4),SUMIFS('ON Data'!T:T,'ON Data'!$E:$E,4))</f>
        <v>0</v>
      </c>
      <c r="P13" s="240">
        <f xml:space="preserve">
IF($A$4&lt;=12,SUMIFS('ON Data'!U:U,'ON Data'!$D:$D,$A$4,'ON Data'!$E:$E,4),SUMIFS('ON Data'!U:U,'ON Data'!$E:$E,4))</f>
        <v>0</v>
      </c>
      <c r="Q13" s="240">
        <f xml:space="preserve">
IF($A$4&lt;=12,SUMIFS('ON Data'!V:V,'ON Data'!$D:$D,$A$4,'ON Data'!$E:$E,4),SUMIFS('ON Data'!V:V,'ON Data'!$E:$E,4))</f>
        <v>0</v>
      </c>
      <c r="R13" s="240">
        <f xml:space="preserve">
IF($A$4&lt;=12,SUMIFS('ON Data'!W:W,'ON Data'!$D:$D,$A$4,'ON Data'!$E:$E,4),SUMIFS('ON Data'!W:W,'ON Data'!$E:$E,4))</f>
        <v>0</v>
      </c>
      <c r="S13" s="240">
        <f xml:space="preserve">
IF($A$4&lt;=12,SUMIFS('ON Data'!X:X,'ON Data'!$D:$D,$A$4,'ON Data'!$E:$E,4),SUMIFS('ON Data'!X:X,'ON Data'!$E:$E,4))</f>
        <v>0</v>
      </c>
      <c r="T13" s="240">
        <f xml:space="preserve">
IF($A$4&lt;=12,SUMIFS('ON Data'!Y:Y,'ON Data'!$D:$D,$A$4,'ON Data'!$E:$E,4),SUMIFS('ON Data'!Y:Y,'ON Data'!$E:$E,4))</f>
        <v>0</v>
      </c>
      <c r="U13" s="240">
        <f xml:space="preserve">
IF($A$4&lt;=12,SUMIFS('ON Data'!Z:Z,'ON Data'!$D:$D,$A$4,'ON Data'!$E:$E,4),SUMIFS('ON Data'!Z:Z,'ON Data'!$E:$E,4))</f>
        <v>0</v>
      </c>
      <c r="V13" s="240">
        <f xml:space="preserve">
IF($A$4&lt;=12,SUMIFS('ON Data'!AA:AA,'ON Data'!$D:$D,$A$4,'ON Data'!$E:$E,4),SUMIFS('ON Data'!AA:AA,'ON Data'!$E:$E,4))</f>
        <v>0</v>
      </c>
      <c r="W13" s="240">
        <f xml:space="preserve">
IF($A$4&lt;=12,SUMIFS('ON Data'!AB:AB,'ON Data'!$D:$D,$A$4,'ON Data'!$E:$E,4),SUMIFS('ON Data'!AB:AB,'ON Data'!$E:$E,4))</f>
        <v>0</v>
      </c>
      <c r="X13" s="240">
        <f xml:space="preserve">
IF($A$4&lt;=12,SUMIFS('ON Data'!AC:AC,'ON Data'!$D:$D,$A$4,'ON Data'!$E:$E,4),SUMIFS('ON Data'!AC:AC,'ON Data'!$E:$E,4))</f>
        <v>0</v>
      </c>
      <c r="Y13" s="240">
        <f xml:space="preserve">
IF($A$4&lt;=12,SUMIFS('ON Data'!AD:AD,'ON Data'!$D:$D,$A$4,'ON Data'!$E:$E,4),SUMIFS('ON Data'!AD:AD,'ON Data'!$E:$E,4))</f>
        <v>0</v>
      </c>
      <c r="Z13" s="240">
        <f xml:space="preserve">
IF($A$4&lt;=12,SUMIFS('ON Data'!AE:AE,'ON Data'!$D:$D,$A$4,'ON Data'!$E:$E,4),SUMIFS('ON Data'!AE:AE,'ON Data'!$E:$E,4))</f>
        <v>0</v>
      </c>
      <c r="AA13" s="240">
        <f xml:space="preserve">
IF($A$4&lt;=12,SUMIFS('ON Data'!AF:AF,'ON Data'!$D:$D,$A$4,'ON Data'!$E:$E,4),SUMIFS('ON Data'!AF:AF,'ON Data'!$E:$E,4))</f>
        <v>0</v>
      </c>
      <c r="AB13" s="240">
        <f xml:space="preserve">
IF($A$4&lt;=12,SUMIFS('ON Data'!AG:AG,'ON Data'!$D:$D,$A$4,'ON Data'!$E:$E,4),SUMIFS('ON Data'!AG:AG,'ON Data'!$E:$E,4))</f>
        <v>0</v>
      </c>
      <c r="AC13" s="240">
        <f xml:space="preserve">
IF($A$4&lt;=12,SUMIFS('ON Data'!AH:AH,'ON Data'!$D:$D,$A$4,'ON Data'!$E:$E,4),SUMIFS('ON Data'!AH:AH,'ON Data'!$E:$E,4))</f>
        <v>0</v>
      </c>
      <c r="AD13" s="240">
        <f xml:space="preserve">
IF($A$4&lt;=12,SUMIFS('ON Data'!AI:AI,'ON Data'!$D:$D,$A$4,'ON Data'!$E:$E,4),SUMIFS('ON Data'!AI:AI,'ON Data'!$E:$E,4))</f>
        <v>0</v>
      </c>
      <c r="AE13" s="240">
        <f xml:space="preserve">
IF($A$4&lt;=12,SUMIFS('ON Data'!AJ:AJ,'ON Data'!$D:$D,$A$4,'ON Data'!$E:$E,4),SUMIFS('ON Data'!AJ:AJ,'ON Data'!$E:$E,4))</f>
        <v>0</v>
      </c>
      <c r="AF13" s="240">
        <f xml:space="preserve">
IF($A$4&lt;=12,SUMIFS('ON Data'!AK:AK,'ON Data'!$D:$D,$A$4,'ON Data'!$E:$E,4),SUMIFS('ON Data'!AK:AK,'ON Data'!$E:$E,4))</f>
        <v>0</v>
      </c>
      <c r="AG13" s="240">
        <f xml:space="preserve">
IF($A$4&lt;=12,SUMIFS('ON Data'!AL:AL,'ON Data'!$D:$D,$A$4,'ON Data'!$E:$E,4),SUMIFS('ON Data'!AL:AL,'ON Data'!$E:$E,4))</f>
        <v>0</v>
      </c>
      <c r="AH13" s="240">
        <f xml:space="preserve">
IF($A$4&lt;=12,SUMIFS('ON Data'!AN:AN,'ON Data'!$D:$D,$A$4,'ON Data'!$E:$E,4),SUMIFS('ON Data'!AN:AN,'ON Data'!$E:$E,4))</f>
        <v>0</v>
      </c>
      <c r="AI13" s="488">
        <f xml:space="preserve">
IF($A$4&lt;=12,SUMIFS('ON Data'!AO:AO,'ON Data'!$D:$D,$A$4,'ON Data'!$E:$E,4),SUMIFS('ON Data'!AO:AO,'ON Data'!$E:$E,4))</f>
        <v>0</v>
      </c>
      <c r="AJ13" s="499"/>
    </row>
    <row r="14" spans="1:36" ht="15" thickBot="1" x14ac:dyDescent="0.35">
      <c r="A14" s="222" t="s">
        <v>167</v>
      </c>
      <c r="B14" s="241">
        <f xml:space="preserve">
IF($A$4&lt;=12,SUMIFS('ON Data'!F:F,'ON Data'!$D:$D,$A$4,'ON Data'!$E:$E,5),SUMIFS('ON Data'!F:F,'ON Data'!$E:$E,5))</f>
        <v>1087</v>
      </c>
      <c r="C14" s="242">
        <f xml:space="preserve">
IF($A$4&lt;=12,SUMIFS('ON Data'!G:G,'ON Data'!$D:$D,$A$4,'ON Data'!$E:$E,5),SUMIFS('ON Data'!G:G,'ON Data'!$E:$E,5))</f>
        <v>1087</v>
      </c>
      <c r="D14" s="243">
        <f xml:space="preserve">
IF($A$4&lt;=12,SUMIFS('ON Data'!H:H,'ON Data'!$D:$D,$A$4,'ON Data'!$E:$E,5),SUMIFS('ON Data'!H:H,'ON Data'!$E:$E,5))</f>
        <v>0</v>
      </c>
      <c r="E14" s="243">
        <f xml:space="preserve">
IF($A$4&lt;=12,SUMIFS('ON Data'!I:I,'ON Data'!$D:$D,$A$4,'ON Data'!$E:$E,5),SUMIFS('ON Data'!I:I,'ON Data'!$E:$E,5))</f>
        <v>0</v>
      </c>
      <c r="F14" s="243">
        <f xml:space="preserve">
IF($A$4&lt;=12,SUMIFS('ON Data'!K:K,'ON Data'!$D:$D,$A$4,'ON Data'!$E:$E,5),SUMIFS('ON Data'!K:K,'ON Data'!$E:$E,5))</f>
        <v>0</v>
      </c>
      <c r="G14" s="243">
        <f xml:space="preserve">
IF($A$4&lt;=12,SUMIFS('ON Data'!L:L,'ON Data'!$D:$D,$A$4,'ON Data'!$E:$E,5),SUMIFS('ON Data'!L:L,'ON Data'!$E:$E,5))</f>
        <v>0</v>
      </c>
      <c r="H14" s="243">
        <f xml:space="preserve">
IF($A$4&lt;=12,SUMIFS('ON Data'!M:M,'ON Data'!$D:$D,$A$4,'ON Data'!$E:$E,5),SUMIFS('ON Data'!M:M,'ON Data'!$E:$E,5))</f>
        <v>0</v>
      </c>
      <c r="I14" s="243">
        <f xml:space="preserve">
IF($A$4&lt;=12,SUMIFS('ON Data'!N:N,'ON Data'!$D:$D,$A$4,'ON Data'!$E:$E,5),SUMIFS('ON Data'!N:N,'ON Data'!$E:$E,5))</f>
        <v>0</v>
      </c>
      <c r="J14" s="243">
        <f xml:space="preserve">
IF($A$4&lt;=12,SUMIFS('ON Data'!O:O,'ON Data'!$D:$D,$A$4,'ON Data'!$E:$E,5),SUMIFS('ON Data'!O:O,'ON Data'!$E:$E,5))</f>
        <v>0</v>
      </c>
      <c r="K14" s="243">
        <f xml:space="preserve">
IF($A$4&lt;=12,SUMIFS('ON Data'!P:P,'ON Data'!$D:$D,$A$4,'ON Data'!$E:$E,5),SUMIFS('ON Data'!P:P,'ON Data'!$E:$E,5))</f>
        <v>0</v>
      </c>
      <c r="L14" s="243">
        <f xml:space="preserve">
IF($A$4&lt;=12,SUMIFS('ON Data'!Q:Q,'ON Data'!$D:$D,$A$4,'ON Data'!$E:$E,5),SUMIFS('ON Data'!Q:Q,'ON Data'!$E:$E,5))</f>
        <v>0</v>
      </c>
      <c r="M14" s="243">
        <f xml:space="preserve">
IF($A$4&lt;=12,SUMIFS('ON Data'!R:R,'ON Data'!$D:$D,$A$4,'ON Data'!$E:$E,5),SUMIFS('ON Data'!R:R,'ON Data'!$E:$E,5))</f>
        <v>0</v>
      </c>
      <c r="N14" s="243">
        <f xml:space="preserve">
IF($A$4&lt;=12,SUMIFS('ON Data'!S:S,'ON Data'!$D:$D,$A$4,'ON Data'!$E:$E,5),SUMIFS('ON Data'!S:S,'ON Data'!$E:$E,5))</f>
        <v>0</v>
      </c>
      <c r="O14" s="243">
        <f xml:space="preserve">
IF($A$4&lt;=12,SUMIFS('ON Data'!T:T,'ON Data'!$D:$D,$A$4,'ON Data'!$E:$E,5),SUMIFS('ON Data'!T:T,'ON Data'!$E:$E,5))</f>
        <v>0</v>
      </c>
      <c r="P14" s="243">
        <f xml:space="preserve">
IF($A$4&lt;=12,SUMIFS('ON Data'!U:U,'ON Data'!$D:$D,$A$4,'ON Data'!$E:$E,5),SUMIFS('ON Data'!U:U,'ON Data'!$E:$E,5))</f>
        <v>0</v>
      </c>
      <c r="Q14" s="243">
        <f xml:space="preserve">
IF($A$4&lt;=12,SUMIFS('ON Data'!V:V,'ON Data'!$D:$D,$A$4,'ON Data'!$E:$E,5),SUMIFS('ON Data'!V:V,'ON Data'!$E:$E,5))</f>
        <v>0</v>
      </c>
      <c r="R14" s="243">
        <f xml:space="preserve">
IF($A$4&lt;=12,SUMIFS('ON Data'!W:W,'ON Data'!$D:$D,$A$4,'ON Data'!$E:$E,5),SUMIFS('ON Data'!W:W,'ON Data'!$E:$E,5))</f>
        <v>0</v>
      </c>
      <c r="S14" s="243">
        <f xml:space="preserve">
IF($A$4&lt;=12,SUMIFS('ON Data'!X:X,'ON Data'!$D:$D,$A$4,'ON Data'!$E:$E,5),SUMIFS('ON Data'!X:X,'ON Data'!$E:$E,5))</f>
        <v>0</v>
      </c>
      <c r="T14" s="243">
        <f xml:space="preserve">
IF($A$4&lt;=12,SUMIFS('ON Data'!Y:Y,'ON Data'!$D:$D,$A$4,'ON Data'!$E:$E,5),SUMIFS('ON Data'!Y:Y,'ON Data'!$E:$E,5))</f>
        <v>0</v>
      </c>
      <c r="U14" s="243">
        <f xml:space="preserve">
IF($A$4&lt;=12,SUMIFS('ON Data'!Z:Z,'ON Data'!$D:$D,$A$4,'ON Data'!$E:$E,5),SUMIFS('ON Data'!Z:Z,'ON Data'!$E:$E,5))</f>
        <v>0</v>
      </c>
      <c r="V14" s="243">
        <f xml:space="preserve">
IF($A$4&lt;=12,SUMIFS('ON Data'!AA:AA,'ON Data'!$D:$D,$A$4,'ON Data'!$E:$E,5),SUMIFS('ON Data'!AA:AA,'ON Data'!$E:$E,5))</f>
        <v>0</v>
      </c>
      <c r="W14" s="243">
        <f xml:space="preserve">
IF($A$4&lt;=12,SUMIFS('ON Data'!AB:AB,'ON Data'!$D:$D,$A$4,'ON Data'!$E:$E,5),SUMIFS('ON Data'!AB:AB,'ON Data'!$E:$E,5))</f>
        <v>0</v>
      </c>
      <c r="X14" s="243">
        <f xml:space="preserve">
IF($A$4&lt;=12,SUMIFS('ON Data'!AC:AC,'ON Data'!$D:$D,$A$4,'ON Data'!$E:$E,5),SUMIFS('ON Data'!AC:AC,'ON Data'!$E:$E,5))</f>
        <v>0</v>
      </c>
      <c r="Y14" s="243">
        <f xml:space="preserve">
IF($A$4&lt;=12,SUMIFS('ON Data'!AD:AD,'ON Data'!$D:$D,$A$4,'ON Data'!$E:$E,5),SUMIFS('ON Data'!AD:AD,'ON Data'!$E:$E,5))</f>
        <v>0</v>
      </c>
      <c r="Z14" s="243">
        <f xml:space="preserve">
IF($A$4&lt;=12,SUMIFS('ON Data'!AE:AE,'ON Data'!$D:$D,$A$4,'ON Data'!$E:$E,5),SUMIFS('ON Data'!AE:AE,'ON Data'!$E:$E,5))</f>
        <v>0</v>
      </c>
      <c r="AA14" s="243">
        <f xml:space="preserve">
IF($A$4&lt;=12,SUMIFS('ON Data'!AF:AF,'ON Data'!$D:$D,$A$4,'ON Data'!$E:$E,5),SUMIFS('ON Data'!AF:AF,'ON Data'!$E:$E,5))</f>
        <v>0</v>
      </c>
      <c r="AB14" s="243">
        <f xml:space="preserve">
IF($A$4&lt;=12,SUMIFS('ON Data'!AG:AG,'ON Data'!$D:$D,$A$4,'ON Data'!$E:$E,5),SUMIFS('ON Data'!AG:AG,'ON Data'!$E:$E,5))</f>
        <v>0</v>
      </c>
      <c r="AC14" s="243">
        <f xml:space="preserve">
IF($A$4&lt;=12,SUMIFS('ON Data'!AH:AH,'ON Data'!$D:$D,$A$4,'ON Data'!$E:$E,5),SUMIFS('ON Data'!AH:AH,'ON Data'!$E:$E,5))</f>
        <v>0</v>
      </c>
      <c r="AD14" s="243">
        <f xml:space="preserve">
IF($A$4&lt;=12,SUMIFS('ON Data'!AI:AI,'ON Data'!$D:$D,$A$4,'ON Data'!$E:$E,5),SUMIFS('ON Data'!AI:AI,'ON Data'!$E:$E,5))</f>
        <v>0</v>
      </c>
      <c r="AE14" s="243">
        <f xml:space="preserve">
IF($A$4&lt;=12,SUMIFS('ON Data'!AJ:AJ,'ON Data'!$D:$D,$A$4,'ON Data'!$E:$E,5),SUMIFS('ON Data'!AJ:AJ,'ON Data'!$E:$E,5))</f>
        <v>0</v>
      </c>
      <c r="AF14" s="243">
        <f xml:space="preserve">
IF($A$4&lt;=12,SUMIFS('ON Data'!AK:AK,'ON Data'!$D:$D,$A$4,'ON Data'!$E:$E,5),SUMIFS('ON Data'!AK:AK,'ON Data'!$E:$E,5))</f>
        <v>0</v>
      </c>
      <c r="AG14" s="243">
        <f xml:space="preserve">
IF($A$4&lt;=12,SUMIFS('ON Data'!AL:AL,'ON Data'!$D:$D,$A$4,'ON Data'!$E:$E,5),SUMIFS('ON Data'!AL:AL,'ON Data'!$E:$E,5))</f>
        <v>0</v>
      </c>
      <c r="AH14" s="243">
        <f xml:space="preserve">
IF($A$4&lt;=12,SUMIFS('ON Data'!AN:AN,'ON Data'!$D:$D,$A$4,'ON Data'!$E:$E,5),SUMIFS('ON Data'!AN:AN,'ON Data'!$E:$E,5))</f>
        <v>0</v>
      </c>
      <c r="AI14" s="489">
        <f xml:space="preserve">
IF($A$4&lt;=12,SUMIFS('ON Data'!AO:AO,'ON Data'!$D:$D,$A$4,'ON Data'!$E:$E,5),SUMIFS('ON Data'!AO:AO,'ON Data'!$E:$E,5))</f>
        <v>0</v>
      </c>
      <c r="AJ14" s="499"/>
    </row>
    <row r="15" spans="1:36" x14ac:dyDescent="0.3">
      <c r="A15" s="146" t="s">
        <v>177</v>
      </c>
      <c r="B15" s="244"/>
      <c r="C15" s="245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  <c r="AH15" s="246"/>
      <c r="AI15" s="490"/>
      <c r="AJ15" s="499"/>
    </row>
    <row r="16" spans="1:36" x14ac:dyDescent="0.3">
      <c r="A16" s="223" t="s">
        <v>168</v>
      </c>
      <c r="B16" s="238">
        <f xml:space="preserve">
IF($A$4&lt;=12,SUMIFS('ON Data'!F:F,'ON Data'!$D:$D,$A$4,'ON Data'!$E:$E,7),SUMIFS('ON Data'!F:F,'ON Data'!$E:$E,7))</f>
        <v>0</v>
      </c>
      <c r="C16" s="239">
        <f xml:space="preserve">
IF($A$4&lt;=12,SUMIFS('ON Data'!G:G,'ON Data'!$D:$D,$A$4,'ON Data'!$E:$E,7),SUMIFS('ON Data'!G:G,'ON Data'!$E:$E,7))</f>
        <v>0</v>
      </c>
      <c r="D16" s="240">
        <f xml:space="preserve">
IF($A$4&lt;=12,SUMIFS('ON Data'!H:H,'ON Data'!$D:$D,$A$4,'ON Data'!$E:$E,7),SUMIFS('ON Data'!H:H,'ON Data'!$E:$E,7))</f>
        <v>0</v>
      </c>
      <c r="E16" s="240">
        <f xml:space="preserve">
IF($A$4&lt;=12,SUMIFS('ON Data'!I:I,'ON Data'!$D:$D,$A$4,'ON Data'!$E:$E,7),SUMIFS('ON Data'!I:I,'ON Data'!$E:$E,7))</f>
        <v>0</v>
      </c>
      <c r="F16" s="240">
        <f xml:space="preserve">
IF($A$4&lt;=12,SUMIFS('ON Data'!K:K,'ON Data'!$D:$D,$A$4,'ON Data'!$E:$E,7),SUMIFS('ON Data'!K:K,'ON Data'!$E:$E,7))</f>
        <v>0</v>
      </c>
      <c r="G16" s="240">
        <f xml:space="preserve">
IF($A$4&lt;=12,SUMIFS('ON Data'!L:L,'ON Data'!$D:$D,$A$4,'ON Data'!$E:$E,7),SUMIFS('ON Data'!L:L,'ON Data'!$E:$E,7))</f>
        <v>0</v>
      </c>
      <c r="H16" s="240">
        <f xml:space="preserve">
IF($A$4&lt;=12,SUMIFS('ON Data'!M:M,'ON Data'!$D:$D,$A$4,'ON Data'!$E:$E,7),SUMIFS('ON Data'!M:M,'ON Data'!$E:$E,7))</f>
        <v>0</v>
      </c>
      <c r="I16" s="240">
        <f xml:space="preserve">
IF($A$4&lt;=12,SUMIFS('ON Data'!N:N,'ON Data'!$D:$D,$A$4,'ON Data'!$E:$E,7),SUMIFS('ON Data'!N:N,'ON Data'!$E:$E,7))</f>
        <v>0</v>
      </c>
      <c r="J16" s="240">
        <f xml:space="preserve">
IF($A$4&lt;=12,SUMIFS('ON Data'!O:O,'ON Data'!$D:$D,$A$4,'ON Data'!$E:$E,7),SUMIFS('ON Data'!O:O,'ON Data'!$E:$E,7))</f>
        <v>0</v>
      </c>
      <c r="K16" s="240">
        <f xml:space="preserve">
IF($A$4&lt;=12,SUMIFS('ON Data'!P:P,'ON Data'!$D:$D,$A$4,'ON Data'!$E:$E,7),SUMIFS('ON Data'!P:P,'ON Data'!$E:$E,7))</f>
        <v>0</v>
      </c>
      <c r="L16" s="240">
        <f xml:space="preserve">
IF($A$4&lt;=12,SUMIFS('ON Data'!Q:Q,'ON Data'!$D:$D,$A$4,'ON Data'!$E:$E,7),SUMIFS('ON Data'!Q:Q,'ON Data'!$E:$E,7))</f>
        <v>0</v>
      </c>
      <c r="M16" s="240">
        <f xml:space="preserve">
IF($A$4&lt;=12,SUMIFS('ON Data'!R:R,'ON Data'!$D:$D,$A$4,'ON Data'!$E:$E,7),SUMIFS('ON Data'!R:R,'ON Data'!$E:$E,7))</f>
        <v>0</v>
      </c>
      <c r="N16" s="240">
        <f xml:space="preserve">
IF($A$4&lt;=12,SUMIFS('ON Data'!S:S,'ON Data'!$D:$D,$A$4,'ON Data'!$E:$E,7),SUMIFS('ON Data'!S:S,'ON Data'!$E:$E,7))</f>
        <v>0</v>
      </c>
      <c r="O16" s="240">
        <f xml:space="preserve">
IF($A$4&lt;=12,SUMIFS('ON Data'!T:T,'ON Data'!$D:$D,$A$4,'ON Data'!$E:$E,7),SUMIFS('ON Data'!T:T,'ON Data'!$E:$E,7))</f>
        <v>0</v>
      </c>
      <c r="P16" s="240">
        <f xml:space="preserve">
IF($A$4&lt;=12,SUMIFS('ON Data'!U:U,'ON Data'!$D:$D,$A$4,'ON Data'!$E:$E,7),SUMIFS('ON Data'!U:U,'ON Data'!$E:$E,7))</f>
        <v>0</v>
      </c>
      <c r="Q16" s="240">
        <f xml:space="preserve">
IF($A$4&lt;=12,SUMIFS('ON Data'!V:V,'ON Data'!$D:$D,$A$4,'ON Data'!$E:$E,7),SUMIFS('ON Data'!V:V,'ON Data'!$E:$E,7))</f>
        <v>0</v>
      </c>
      <c r="R16" s="240">
        <f xml:space="preserve">
IF($A$4&lt;=12,SUMIFS('ON Data'!W:W,'ON Data'!$D:$D,$A$4,'ON Data'!$E:$E,7),SUMIFS('ON Data'!W:W,'ON Data'!$E:$E,7))</f>
        <v>0</v>
      </c>
      <c r="S16" s="240">
        <f xml:space="preserve">
IF($A$4&lt;=12,SUMIFS('ON Data'!X:X,'ON Data'!$D:$D,$A$4,'ON Data'!$E:$E,7),SUMIFS('ON Data'!X:X,'ON Data'!$E:$E,7))</f>
        <v>0</v>
      </c>
      <c r="T16" s="240">
        <f xml:space="preserve">
IF($A$4&lt;=12,SUMIFS('ON Data'!Y:Y,'ON Data'!$D:$D,$A$4,'ON Data'!$E:$E,7),SUMIFS('ON Data'!Y:Y,'ON Data'!$E:$E,7))</f>
        <v>0</v>
      </c>
      <c r="U16" s="240">
        <f xml:space="preserve">
IF($A$4&lt;=12,SUMIFS('ON Data'!Z:Z,'ON Data'!$D:$D,$A$4,'ON Data'!$E:$E,7),SUMIFS('ON Data'!Z:Z,'ON Data'!$E:$E,7))</f>
        <v>0</v>
      </c>
      <c r="V16" s="240">
        <f xml:space="preserve">
IF($A$4&lt;=12,SUMIFS('ON Data'!AA:AA,'ON Data'!$D:$D,$A$4,'ON Data'!$E:$E,7),SUMIFS('ON Data'!AA:AA,'ON Data'!$E:$E,7))</f>
        <v>0</v>
      </c>
      <c r="W16" s="240">
        <f xml:space="preserve">
IF($A$4&lt;=12,SUMIFS('ON Data'!AB:AB,'ON Data'!$D:$D,$A$4,'ON Data'!$E:$E,7),SUMIFS('ON Data'!AB:AB,'ON Data'!$E:$E,7))</f>
        <v>0</v>
      </c>
      <c r="X16" s="240">
        <f xml:space="preserve">
IF($A$4&lt;=12,SUMIFS('ON Data'!AC:AC,'ON Data'!$D:$D,$A$4,'ON Data'!$E:$E,7),SUMIFS('ON Data'!AC:AC,'ON Data'!$E:$E,7))</f>
        <v>0</v>
      </c>
      <c r="Y16" s="240">
        <f xml:space="preserve">
IF($A$4&lt;=12,SUMIFS('ON Data'!AD:AD,'ON Data'!$D:$D,$A$4,'ON Data'!$E:$E,7),SUMIFS('ON Data'!AD:AD,'ON Data'!$E:$E,7))</f>
        <v>0</v>
      </c>
      <c r="Z16" s="240">
        <f xml:space="preserve">
IF($A$4&lt;=12,SUMIFS('ON Data'!AE:AE,'ON Data'!$D:$D,$A$4,'ON Data'!$E:$E,7),SUMIFS('ON Data'!AE:AE,'ON Data'!$E:$E,7))</f>
        <v>0</v>
      </c>
      <c r="AA16" s="240">
        <f xml:space="preserve">
IF($A$4&lt;=12,SUMIFS('ON Data'!AF:AF,'ON Data'!$D:$D,$A$4,'ON Data'!$E:$E,7),SUMIFS('ON Data'!AF:AF,'ON Data'!$E:$E,7))</f>
        <v>0</v>
      </c>
      <c r="AB16" s="240">
        <f xml:space="preserve">
IF($A$4&lt;=12,SUMIFS('ON Data'!AG:AG,'ON Data'!$D:$D,$A$4,'ON Data'!$E:$E,7),SUMIFS('ON Data'!AG:AG,'ON Data'!$E:$E,7))</f>
        <v>0</v>
      </c>
      <c r="AC16" s="240">
        <f xml:space="preserve">
IF($A$4&lt;=12,SUMIFS('ON Data'!AH:AH,'ON Data'!$D:$D,$A$4,'ON Data'!$E:$E,7),SUMIFS('ON Data'!AH:AH,'ON Data'!$E:$E,7))</f>
        <v>0</v>
      </c>
      <c r="AD16" s="240">
        <f xml:space="preserve">
IF($A$4&lt;=12,SUMIFS('ON Data'!AI:AI,'ON Data'!$D:$D,$A$4,'ON Data'!$E:$E,7),SUMIFS('ON Data'!AI:AI,'ON Data'!$E:$E,7))</f>
        <v>0</v>
      </c>
      <c r="AE16" s="240">
        <f xml:space="preserve">
IF($A$4&lt;=12,SUMIFS('ON Data'!AJ:AJ,'ON Data'!$D:$D,$A$4,'ON Data'!$E:$E,7),SUMIFS('ON Data'!AJ:AJ,'ON Data'!$E:$E,7))</f>
        <v>0</v>
      </c>
      <c r="AF16" s="240">
        <f xml:space="preserve">
IF($A$4&lt;=12,SUMIFS('ON Data'!AK:AK,'ON Data'!$D:$D,$A$4,'ON Data'!$E:$E,7),SUMIFS('ON Data'!AK:AK,'ON Data'!$E:$E,7))</f>
        <v>0</v>
      </c>
      <c r="AG16" s="240">
        <f xml:space="preserve">
IF($A$4&lt;=12,SUMIFS('ON Data'!AL:AL,'ON Data'!$D:$D,$A$4,'ON Data'!$E:$E,7),SUMIFS('ON Data'!AL:AL,'ON Data'!$E:$E,7))</f>
        <v>0</v>
      </c>
      <c r="AH16" s="240">
        <f xml:space="preserve">
IF($A$4&lt;=12,SUMIFS('ON Data'!AN:AN,'ON Data'!$D:$D,$A$4,'ON Data'!$E:$E,7),SUMIFS('ON Data'!AN:AN,'ON Data'!$E:$E,7))</f>
        <v>0</v>
      </c>
      <c r="AI16" s="488">
        <f xml:space="preserve">
IF($A$4&lt;=12,SUMIFS('ON Data'!AO:AO,'ON Data'!$D:$D,$A$4,'ON Data'!$E:$E,7),SUMIFS('ON Data'!AO:AO,'ON Data'!$E:$E,7))</f>
        <v>0</v>
      </c>
      <c r="AJ16" s="499"/>
    </row>
    <row r="17" spans="1:36" x14ac:dyDescent="0.3">
      <c r="A17" s="223" t="s">
        <v>169</v>
      </c>
      <c r="B17" s="238">
        <f xml:space="preserve">
IF($A$4&lt;=12,SUMIFS('ON Data'!F:F,'ON Data'!$D:$D,$A$4,'ON Data'!$E:$E,8),SUMIFS('ON Data'!F:F,'ON Data'!$E:$E,8))</f>
        <v>0</v>
      </c>
      <c r="C17" s="239">
        <f xml:space="preserve">
IF($A$4&lt;=12,SUMIFS('ON Data'!G:G,'ON Data'!$D:$D,$A$4,'ON Data'!$E:$E,8),SUMIFS('ON Data'!G:G,'ON Data'!$E:$E,8))</f>
        <v>0</v>
      </c>
      <c r="D17" s="240">
        <f xml:space="preserve">
IF($A$4&lt;=12,SUMIFS('ON Data'!H:H,'ON Data'!$D:$D,$A$4,'ON Data'!$E:$E,8),SUMIFS('ON Data'!H:H,'ON Data'!$E:$E,8))</f>
        <v>0</v>
      </c>
      <c r="E17" s="240">
        <f xml:space="preserve">
IF($A$4&lt;=12,SUMIFS('ON Data'!I:I,'ON Data'!$D:$D,$A$4,'ON Data'!$E:$E,8),SUMIFS('ON Data'!I:I,'ON Data'!$E:$E,8))</f>
        <v>0</v>
      </c>
      <c r="F17" s="240">
        <f xml:space="preserve">
IF($A$4&lt;=12,SUMIFS('ON Data'!K:K,'ON Data'!$D:$D,$A$4,'ON Data'!$E:$E,8),SUMIFS('ON Data'!K:K,'ON Data'!$E:$E,8))</f>
        <v>0</v>
      </c>
      <c r="G17" s="240">
        <f xml:space="preserve">
IF($A$4&lt;=12,SUMIFS('ON Data'!L:L,'ON Data'!$D:$D,$A$4,'ON Data'!$E:$E,8),SUMIFS('ON Data'!L:L,'ON Data'!$E:$E,8))</f>
        <v>0</v>
      </c>
      <c r="H17" s="240">
        <f xml:space="preserve">
IF($A$4&lt;=12,SUMIFS('ON Data'!M:M,'ON Data'!$D:$D,$A$4,'ON Data'!$E:$E,8),SUMIFS('ON Data'!M:M,'ON Data'!$E:$E,8))</f>
        <v>0</v>
      </c>
      <c r="I17" s="240">
        <f xml:space="preserve">
IF($A$4&lt;=12,SUMIFS('ON Data'!N:N,'ON Data'!$D:$D,$A$4,'ON Data'!$E:$E,8),SUMIFS('ON Data'!N:N,'ON Data'!$E:$E,8))</f>
        <v>0</v>
      </c>
      <c r="J17" s="240">
        <f xml:space="preserve">
IF($A$4&lt;=12,SUMIFS('ON Data'!O:O,'ON Data'!$D:$D,$A$4,'ON Data'!$E:$E,8),SUMIFS('ON Data'!O:O,'ON Data'!$E:$E,8))</f>
        <v>0</v>
      </c>
      <c r="K17" s="240">
        <f xml:space="preserve">
IF($A$4&lt;=12,SUMIFS('ON Data'!P:P,'ON Data'!$D:$D,$A$4,'ON Data'!$E:$E,8),SUMIFS('ON Data'!P:P,'ON Data'!$E:$E,8))</f>
        <v>0</v>
      </c>
      <c r="L17" s="240">
        <f xml:space="preserve">
IF($A$4&lt;=12,SUMIFS('ON Data'!Q:Q,'ON Data'!$D:$D,$A$4,'ON Data'!$E:$E,8),SUMIFS('ON Data'!Q:Q,'ON Data'!$E:$E,8))</f>
        <v>0</v>
      </c>
      <c r="M17" s="240">
        <f xml:space="preserve">
IF($A$4&lt;=12,SUMIFS('ON Data'!R:R,'ON Data'!$D:$D,$A$4,'ON Data'!$E:$E,8),SUMIFS('ON Data'!R:R,'ON Data'!$E:$E,8))</f>
        <v>0</v>
      </c>
      <c r="N17" s="240">
        <f xml:space="preserve">
IF($A$4&lt;=12,SUMIFS('ON Data'!S:S,'ON Data'!$D:$D,$A$4,'ON Data'!$E:$E,8),SUMIFS('ON Data'!S:S,'ON Data'!$E:$E,8))</f>
        <v>0</v>
      </c>
      <c r="O17" s="240">
        <f xml:space="preserve">
IF($A$4&lt;=12,SUMIFS('ON Data'!T:T,'ON Data'!$D:$D,$A$4,'ON Data'!$E:$E,8),SUMIFS('ON Data'!T:T,'ON Data'!$E:$E,8))</f>
        <v>0</v>
      </c>
      <c r="P17" s="240">
        <f xml:space="preserve">
IF($A$4&lt;=12,SUMIFS('ON Data'!U:U,'ON Data'!$D:$D,$A$4,'ON Data'!$E:$E,8),SUMIFS('ON Data'!U:U,'ON Data'!$E:$E,8))</f>
        <v>0</v>
      </c>
      <c r="Q17" s="240">
        <f xml:space="preserve">
IF($A$4&lt;=12,SUMIFS('ON Data'!V:V,'ON Data'!$D:$D,$A$4,'ON Data'!$E:$E,8),SUMIFS('ON Data'!V:V,'ON Data'!$E:$E,8))</f>
        <v>0</v>
      </c>
      <c r="R17" s="240">
        <f xml:space="preserve">
IF($A$4&lt;=12,SUMIFS('ON Data'!W:W,'ON Data'!$D:$D,$A$4,'ON Data'!$E:$E,8),SUMIFS('ON Data'!W:W,'ON Data'!$E:$E,8))</f>
        <v>0</v>
      </c>
      <c r="S17" s="240">
        <f xml:space="preserve">
IF($A$4&lt;=12,SUMIFS('ON Data'!X:X,'ON Data'!$D:$D,$A$4,'ON Data'!$E:$E,8),SUMIFS('ON Data'!X:X,'ON Data'!$E:$E,8))</f>
        <v>0</v>
      </c>
      <c r="T17" s="240">
        <f xml:space="preserve">
IF($A$4&lt;=12,SUMIFS('ON Data'!Y:Y,'ON Data'!$D:$D,$A$4,'ON Data'!$E:$E,8),SUMIFS('ON Data'!Y:Y,'ON Data'!$E:$E,8))</f>
        <v>0</v>
      </c>
      <c r="U17" s="240">
        <f xml:space="preserve">
IF($A$4&lt;=12,SUMIFS('ON Data'!Z:Z,'ON Data'!$D:$D,$A$4,'ON Data'!$E:$E,8),SUMIFS('ON Data'!Z:Z,'ON Data'!$E:$E,8))</f>
        <v>0</v>
      </c>
      <c r="V17" s="240">
        <f xml:space="preserve">
IF($A$4&lt;=12,SUMIFS('ON Data'!AA:AA,'ON Data'!$D:$D,$A$4,'ON Data'!$E:$E,8),SUMIFS('ON Data'!AA:AA,'ON Data'!$E:$E,8))</f>
        <v>0</v>
      </c>
      <c r="W17" s="240">
        <f xml:space="preserve">
IF($A$4&lt;=12,SUMIFS('ON Data'!AB:AB,'ON Data'!$D:$D,$A$4,'ON Data'!$E:$E,8),SUMIFS('ON Data'!AB:AB,'ON Data'!$E:$E,8))</f>
        <v>0</v>
      </c>
      <c r="X17" s="240">
        <f xml:space="preserve">
IF($A$4&lt;=12,SUMIFS('ON Data'!AC:AC,'ON Data'!$D:$D,$A$4,'ON Data'!$E:$E,8),SUMIFS('ON Data'!AC:AC,'ON Data'!$E:$E,8))</f>
        <v>0</v>
      </c>
      <c r="Y17" s="240">
        <f xml:space="preserve">
IF($A$4&lt;=12,SUMIFS('ON Data'!AD:AD,'ON Data'!$D:$D,$A$4,'ON Data'!$E:$E,8),SUMIFS('ON Data'!AD:AD,'ON Data'!$E:$E,8))</f>
        <v>0</v>
      </c>
      <c r="Z17" s="240">
        <f xml:space="preserve">
IF($A$4&lt;=12,SUMIFS('ON Data'!AE:AE,'ON Data'!$D:$D,$A$4,'ON Data'!$E:$E,8),SUMIFS('ON Data'!AE:AE,'ON Data'!$E:$E,8))</f>
        <v>0</v>
      </c>
      <c r="AA17" s="240">
        <f xml:space="preserve">
IF($A$4&lt;=12,SUMIFS('ON Data'!AF:AF,'ON Data'!$D:$D,$A$4,'ON Data'!$E:$E,8),SUMIFS('ON Data'!AF:AF,'ON Data'!$E:$E,8))</f>
        <v>0</v>
      </c>
      <c r="AB17" s="240">
        <f xml:space="preserve">
IF($A$4&lt;=12,SUMIFS('ON Data'!AG:AG,'ON Data'!$D:$D,$A$4,'ON Data'!$E:$E,8),SUMIFS('ON Data'!AG:AG,'ON Data'!$E:$E,8))</f>
        <v>0</v>
      </c>
      <c r="AC17" s="240">
        <f xml:space="preserve">
IF($A$4&lt;=12,SUMIFS('ON Data'!AH:AH,'ON Data'!$D:$D,$A$4,'ON Data'!$E:$E,8),SUMIFS('ON Data'!AH:AH,'ON Data'!$E:$E,8))</f>
        <v>0</v>
      </c>
      <c r="AD17" s="240">
        <f xml:space="preserve">
IF($A$4&lt;=12,SUMIFS('ON Data'!AI:AI,'ON Data'!$D:$D,$A$4,'ON Data'!$E:$E,8),SUMIFS('ON Data'!AI:AI,'ON Data'!$E:$E,8))</f>
        <v>0</v>
      </c>
      <c r="AE17" s="240">
        <f xml:space="preserve">
IF($A$4&lt;=12,SUMIFS('ON Data'!AJ:AJ,'ON Data'!$D:$D,$A$4,'ON Data'!$E:$E,8),SUMIFS('ON Data'!AJ:AJ,'ON Data'!$E:$E,8))</f>
        <v>0</v>
      </c>
      <c r="AF17" s="240">
        <f xml:space="preserve">
IF($A$4&lt;=12,SUMIFS('ON Data'!AK:AK,'ON Data'!$D:$D,$A$4,'ON Data'!$E:$E,8),SUMIFS('ON Data'!AK:AK,'ON Data'!$E:$E,8))</f>
        <v>0</v>
      </c>
      <c r="AG17" s="240">
        <f xml:space="preserve">
IF($A$4&lt;=12,SUMIFS('ON Data'!AL:AL,'ON Data'!$D:$D,$A$4,'ON Data'!$E:$E,8),SUMIFS('ON Data'!AL:AL,'ON Data'!$E:$E,8))</f>
        <v>0</v>
      </c>
      <c r="AH17" s="240">
        <f xml:space="preserve">
IF($A$4&lt;=12,SUMIFS('ON Data'!AN:AN,'ON Data'!$D:$D,$A$4,'ON Data'!$E:$E,8),SUMIFS('ON Data'!AN:AN,'ON Data'!$E:$E,8))</f>
        <v>0</v>
      </c>
      <c r="AI17" s="488">
        <f xml:space="preserve">
IF($A$4&lt;=12,SUMIFS('ON Data'!AO:AO,'ON Data'!$D:$D,$A$4,'ON Data'!$E:$E,8),SUMIFS('ON Data'!AO:AO,'ON Data'!$E:$E,8))</f>
        <v>0</v>
      </c>
      <c r="AJ17" s="499"/>
    </row>
    <row r="18" spans="1:36" x14ac:dyDescent="0.3">
      <c r="A18" s="223" t="s">
        <v>170</v>
      </c>
      <c r="B18" s="238">
        <f xml:space="preserve">
B19-B16-B17</f>
        <v>945194</v>
      </c>
      <c r="C18" s="239">
        <f t="shared" ref="C18:G18" si="0" xml:space="preserve">
C19-C16-C17</f>
        <v>0</v>
      </c>
      <c r="D18" s="240">
        <f t="shared" si="0"/>
        <v>0</v>
      </c>
      <c r="E18" s="240">
        <f t="shared" si="0"/>
        <v>334865</v>
      </c>
      <c r="F18" s="240">
        <f t="shared" si="0"/>
        <v>429433</v>
      </c>
      <c r="G18" s="240">
        <f t="shared" si="0"/>
        <v>0</v>
      </c>
      <c r="H18" s="240">
        <f t="shared" ref="H18:AI18" si="1" xml:space="preserve">
H19-H16-H17</f>
        <v>0</v>
      </c>
      <c r="I18" s="240">
        <f t="shared" si="1"/>
        <v>0</v>
      </c>
      <c r="J18" s="240">
        <f t="shared" si="1"/>
        <v>0</v>
      </c>
      <c r="K18" s="240">
        <f t="shared" si="1"/>
        <v>0</v>
      </c>
      <c r="L18" s="240">
        <f t="shared" si="1"/>
        <v>0</v>
      </c>
      <c r="M18" s="240">
        <f t="shared" si="1"/>
        <v>167648</v>
      </c>
      <c r="N18" s="240">
        <f t="shared" si="1"/>
        <v>0</v>
      </c>
      <c r="O18" s="240">
        <f t="shared" si="1"/>
        <v>0</v>
      </c>
      <c r="P18" s="240">
        <f t="shared" si="1"/>
        <v>0</v>
      </c>
      <c r="Q18" s="240">
        <f t="shared" si="1"/>
        <v>0</v>
      </c>
      <c r="R18" s="240">
        <f t="shared" si="1"/>
        <v>0</v>
      </c>
      <c r="S18" s="240">
        <f t="shared" si="1"/>
        <v>0</v>
      </c>
      <c r="T18" s="240">
        <f t="shared" si="1"/>
        <v>0</v>
      </c>
      <c r="U18" s="240">
        <f t="shared" si="1"/>
        <v>0</v>
      </c>
      <c r="V18" s="240">
        <f t="shared" si="1"/>
        <v>0</v>
      </c>
      <c r="W18" s="240">
        <f t="shared" si="1"/>
        <v>0</v>
      </c>
      <c r="X18" s="240">
        <f t="shared" si="1"/>
        <v>0</v>
      </c>
      <c r="Y18" s="240">
        <f t="shared" si="1"/>
        <v>0</v>
      </c>
      <c r="Z18" s="240">
        <f t="shared" si="1"/>
        <v>0</v>
      </c>
      <c r="AA18" s="240">
        <f t="shared" si="1"/>
        <v>0</v>
      </c>
      <c r="AB18" s="240">
        <f t="shared" si="1"/>
        <v>0</v>
      </c>
      <c r="AC18" s="240">
        <f t="shared" si="1"/>
        <v>0</v>
      </c>
      <c r="AD18" s="240">
        <f t="shared" si="1"/>
        <v>0</v>
      </c>
      <c r="AE18" s="240">
        <f t="shared" si="1"/>
        <v>0</v>
      </c>
      <c r="AF18" s="240">
        <f t="shared" si="1"/>
        <v>0</v>
      </c>
      <c r="AG18" s="240">
        <f t="shared" si="1"/>
        <v>0</v>
      </c>
      <c r="AH18" s="240">
        <f t="shared" si="1"/>
        <v>7078</v>
      </c>
      <c r="AI18" s="488">
        <f t="shared" si="1"/>
        <v>6170</v>
      </c>
      <c r="AJ18" s="499"/>
    </row>
    <row r="19" spans="1:36" ht="15" thickBot="1" x14ac:dyDescent="0.35">
      <c r="A19" s="224" t="s">
        <v>171</v>
      </c>
      <c r="B19" s="247">
        <f xml:space="preserve">
IF($A$4&lt;=12,SUMIFS('ON Data'!F:F,'ON Data'!$D:$D,$A$4,'ON Data'!$E:$E,9),SUMIFS('ON Data'!F:F,'ON Data'!$E:$E,9))</f>
        <v>945194</v>
      </c>
      <c r="C19" s="248">
        <f xml:space="preserve">
IF($A$4&lt;=12,SUMIFS('ON Data'!G:G,'ON Data'!$D:$D,$A$4,'ON Data'!$E:$E,9),SUMIFS('ON Data'!G:G,'ON Data'!$E:$E,9))</f>
        <v>0</v>
      </c>
      <c r="D19" s="249">
        <f xml:space="preserve">
IF($A$4&lt;=12,SUMIFS('ON Data'!H:H,'ON Data'!$D:$D,$A$4,'ON Data'!$E:$E,9),SUMIFS('ON Data'!H:H,'ON Data'!$E:$E,9))</f>
        <v>0</v>
      </c>
      <c r="E19" s="249">
        <f xml:space="preserve">
IF($A$4&lt;=12,SUMIFS('ON Data'!I:I,'ON Data'!$D:$D,$A$4,'ON Data'!$E:$E,9),SUMIFS('ON Data'!I:I,'ON Data'!$E:$E,9))</f>
        <v>334865</v>
      </c>
      <c r="F19" s="249">
        <f xml:space="preserve">
IF($A$4&lt;=12,SUMIFS('ON Data'!K:K,'ON Data'!$D:$D,$A$4,'ON Data'!$E:$E,9),SUMIFS('ON Data'!K:K,'ON Data'!$E:$E,9))</f>
        <v>429433</v>
      </c>
      <c r="G19" s="249">
        <f xml:space="preserve">
IF($A$4&lt;=12,SUMIFS('ON Data'!L:L,'ON Data'!$D:$D,$A$4,'ON Data'!$E:$E,9),SUMIFS('ON Data'!L:L,'ON Data'!$E:$E,9))</f>
        <v>0</v>
      </c>
      <c r="H19" s="249">
        <f xml:space="preserve">
IF($A$4&lt;=12,SUMIFS('ON Data'!M:M,'ON Data'!$D:$D,$A$4,'ON Data'!$E:$E,9),SUMIFS('ON Data'!M:M,'ON Data'!$E:$E,9))</f>
        <v>0</v>
      </c>
      <c r="I19" s="249">
        <f xml:space="preserve">
IF($A$4&lt;=12,SUMIFS('ON Data'!N:N,'ON Data'!$D:$D,$A$4,'ON Data'!$E:$E,9),SUMIFS('ON Data'!N:N,'ON Data'!$E:$E,9))</f>
        <v>0</v>
      </c>
      <c r="J19" s="249">
        <f xml:space="preserve">
IF($A$4&lt;=12,SUMIFS('ON Data'!O:O,'ON Data'!$D:$D,$A$4,'ON Data'!$E:$E,9),SUMIFS('ON Data'!O:O,'ON Data'!$E:$E,9))</f>
        <v>0</v>
      </c>
      <c r="K19" s="249">
        <f xml:space="preserve">
IF($A$4&lt;=12,SUMIFS('ON Data'!P:P,'ON Data'!$D:$D,$A$4,'ON Data'!$E:$E,9),SUMIFS('ON Data'!P:P,'ON Data'!$E:$E,9))</f>
        <v>0</v>
      </c>
      <c r="L19" s="249">
        <f xml:space="preserve">
IF($A$4&lt;=12,SUMIFS('ON Data'!Q:Q,'ON Data'!$D:$D,$A$4,'ON Data'!$E:$E,9),SUMIFS('ON Data'!Q:Q,'ON Data'!$E:$E,9))</f>
        <v>0</v>
      </c>
      <c r="M19" s="249">
        <f xml:space="preserve">
IF($A$4&lt;=12,SUMIFS('ON Data'!R:R,'ON Data'!$D:$D,$A$4,'ON Data'!$E:$E,9),SUMIFS('ON Data'!R:R,'ON Data'!$E:$E,9))</f>
        <v>167648</v>
      </c>
      <c r="N19" s="249">
        <f xml:space="preserve">
IF($A$4&lt;=12,SUMIFS('ON Data'!S:S,'ON Data'!$D:$D,$A$4,'ON Data'!$E:$E,9),SUMIFS('ON Data'!S:S,'ON Data'!$E:$E,9))</f>
        <v>0</v>
      </c>
      <c r="O19" s="249">
        <f xml:space="preserve">
IF($A$4&lt;=12,SUMIFS('ON Data'!T:T,'ON Data'!$D:$D,$A$4,'ON Data'!$E:$E,9),SUMIFS('ON Data'!T:T,'ON Data'!$E:$E,9))</f>
        <v>0</v>
      </c>
      <c r="P19" s="249">
        <f xml:space="preserve">
IF($A$4&lt;=12,SUMIFS('ON Data'!U:U,'ON Data'!$D:$D,$A$4,'ON Data'!$E:$E,9),SUMIFS('ON Data'!U:U,'ON Data'!$E:$E,9))</f>
        <v>0</v>
      </c>
      <c r="Q19" s="249">
        <f xml:space="preserve">
IF($A$4&lt;=12,SUMIFS('ON Data'!V:V,'ON Data'!$D:$D,$A$4,'ON Data'!$E:$E,9),SUMIFS('ON Data'!V:V,'ON Data'!$E:$E,9))</f>
        <v>0</v>
      </c>
      <c r="R19" s="249">
        <f xml:space="preserve">
IF($A$4&lt;=12,SUMIFS('ON Data'!W:W,'ON Data'!$D:$D,$A$4,'ON Data'!$E:$E,9),SUMIFS('ON Data'!W:W,'ON Data'!$E:$E,9))</f>
        <v>0</v>
      </c>
      <c r="S19" s="249">
        <f xml:space="preserve">
IF($A$4&lt;=12,SUMIFS('ON Data'!X:X,'ON Data'!$D:$D,$A$4,'ON Data'!$E:$E,9),SUMIFS('ON Data'!X:X,'ON Data'!$E:$E,9))</f>
        <v>0</v>
      </c>
      <c r="T19" s="249">
        <f xml:space="preserve">
IF($A$4&lt;=12,SUMIFS('ON Data'!Y:Y,'ON Data'!$D:$D,$A$4,'ON Data'!$E:$E,9),SUMIFS('ON Data'!Y:Y,'ON Data'!$E:$E,9))</f>
        <v>0</v>
      </c>
      <c r="U19" s="249">
        <f xml:space="preserve">
IF($A$4&lt;=12,SUMIFS('ON Data'!Z:Z,'ON Data'!$D:$D,$A$4,'ON Data'!$E:$E,9),SUMIFS('ON Data'!Z:Z,'ON Data'!$E:$E,9))</f>
        <v>0</v>
      </c>
      <c r="V19" s="249">
        <f xml:space="preserve">
IF($A$4&lt;=12,SUMIFS('ON Data'!AA:AA,'ON Data'!$D:$D,$A$4,'ON Data'!$E:$E,9),SUMIFS('ON Data'!AA:AA,'ON Data'!$E:$E,9))</f>
        <v>0</v>
      </c>
      <c r="W19" s="249">
        <f xml:space="preserve">
IF($A$4&lt;=12,SUMIFS('ON Data'!AB:AB,'ON Data'!$D:$D,$A$4,'ON Data'!$E:$E,9),SUMIFS('ON Data'!AB:AB,'ON Data'!$E:$E,9))</f>
        <v>0</v>
      </c>
      <c r="X19" s="249">
        <f xml:space="preserve">
IF($A$4&lt;=12,SUMIFS('ON Data'!AC:AC,'ON Data'!$D:$D,$A$4,'ON Data'!$E:$E,9),SUMIFS('ON Data'!AC:AC,'ON Data'!$E:$E,9))</f>
        <v>0</v>
      </c>
      <c r="Y19" s="249">
        <f xml:space="preserve">
IF($A$4&lt;=12,SUMIFS('ON Data'!AD:AD,'ON Data'!$D:$D,$A$4,'ON Data'!$E:$E,9),SUMIFS('ON Data'!AD:AD,'ON Data'!$E:$E,9))</f>
        <v>0</v>
      </c>
      <c r="Z19" s="249">
        <f xml:space="preserve">
IF($A$4&lt;=12,SUMIFS('ON Data'!AE:AE,'ON Data'!$D:$D,$A$4,'ON Data'!$E:$E,9),SUMIFS('ON Data'!AE:AE,'ON Data'!$E:$E,9))</f>
        <v>0</v>
      </c>
      <c r="AA19" s="249">
        <f xml:space="preserve">
IF($A$4&lt;=12,SUMIFS('ON Data'!AF:AF,'ON Data'!$D:$D,$A$4,'ON Data'!$E:$E,9),SUMIFS('ON Data'!AF:AF,'ON Data'!$E:$E,9))</f>
        <v>0</v>
      </c>
      <c r="AB19" s="249">
        <f xml:space="preserve">
IF($A$4&lt;=12,SUMIFS('ON Data'!AG:AG,'ON Data'!$D:$D,$A$4,'ON Data'!$E:$E,9),SUMIFS('ON Data'!AG:AG,'ON Data'!$E:$E,9))</f>
        <v>0</v>
      </c>
      <c r="AC19" s="249">
        <f xml:space="preserve">
IF($A$4&lt;=12,SUMIFS('ON Data'!AH:AH,'ON Data'!$D:$D,$A$4,'ON Data'!$E:$E,9),SUMIFS('ON Data'!AH:AH,'ON Data'!$E:$E,9))</f>
        <v>0</v>
      </c>
      <c r="AD19" s="249">
        <f xml:space="preserve">
IF($A$4&lt;=12,SUMIFS('ON Data'!AI:AI,'ON Data'!$D:$D,$A$4,'ON Data'!$E:$E,9),SUMIFS('ON Data'!AI:AI,'ON Data'!$E:$E,9))</f>
        <v>0</v>
      </c>
      <c r="AE19" s="249">
        <f xml:space="preserve">
IF($A$4&lt;=12,SUMIFS('ON Data'!AJ:AJ,'ON Data'!$D:$D,$A$4,'ON Data'!$E:$E,9),SUMIFS('ON Data'!AJ:AJ,'ON Data'!$E:$E,9))</f>
        <v>0</v>
      </c>
      <c r="AF19" s="249">
        <f xml:space="preserve">
IF($A$4&lt;=12,SUMIFS('ON Data'!AK:AK,'ON Data'!$D:$D,$A$4,'ON Data'!$E:$E,9),SUMIFS('ON Data'!AK:AK,'ON Data'!$E:$E,9))</f>
        <v>0</v>
      </c>
      <c r="AG19" s="249">
        <f xml:space="preserve">
IF($A$4&lt;=12,SUMIFS('ON Data'!AL:AL,'ON Data'!$D:$D,$A$4,'ON Data'!$E:$E,9),SUMIFS('ON Data'!AL:AL,'ON Data'!$E:$E,9))</f>
        <v>0</v>
      </c>
      <c r="AH19" s="249">
        <f xml:space="preserve">
IF($A$4&lt;=12,SUMIFS('ON Data'!AN:AN,'ON Data'!$D:$D,$A$4,'ON Data'!$E:$E,9),SUMIFS('ON Data'!AN:AN,'ON Data'!$E:$E,9))</f>
        <v>7078</v>
      </c>
      <c r="AI19" s="491">
        <f xml:space="preserve">
IF($A$4&lt;=12,SUMIFS('ON Data'!AO:AO,'ON Data'!$D:$D,$A$4,'ON Data'!$E:$E,9),SUMIFS('ON Data'!AO:AO,'ON Data'!$E:$E,9))</f>
        <v>6170</v>
      </c>
      <c r="AJ19" s="499"/>
    </row>
    <row r="20" spans="1:36" ht="15" collapsed="1" thickBot="1" x14ac:dyDescent="0.35">
      <c r="A20" s="225" t="s">
        <v>60</v>
      </c>
      <c r="B20" s="250">
        <f xml:space="preserve">
IF($A$4&lt;=12,SUMIFS('ON Data'!F:F,'ON Data'!$D:$D,$A$4,'ON Data'!$E:$E,6),SUMIFS('ON Data'!F:F,'ON Data'!$E:$E,6))</f>
        <v>16834896</v>
      </c>
      <c r="C20" s="251">
        <f xml:space="preserve">
IF($A$4&lt;=12,SUMIFS('ON Data'!G:G,'ON Data'!$D:$D,$A$4,'ON Data'!$E:$E,6),SUMIFS('ON Data'!G:G,'ON Data'!$E:$E,6))</f>
        <v>177440</v>
      </c>
      <c r="D20" s="252">
        <f xml:space="preserve">
IF($A$4&lt;=12,SUMIFS('ON Data'!H:H,'ON Data'!$D:$D,$A$4,'ON Data'!$E:$E,6),SUMIFS('ON Data'!H:H,'ON Data'!$E:$E,6))</f>
        <v>0</v>
      </c>
      <c r="E20" s="252">
        <f xml:space="preserve">
IF($A$4&lt;=12,SUMIFS('ON Data'!I:I,'ON Data'!$D:$D,$A$4,'ON Data'!$E:$E,6),SUMIFS('ON Data'!I:I,'ON Data'!$E:$E,6))</f>
        <v>5224818</v>
      </c>
      <c r="F20" s="252">
        <f xml:space="preserve">
IF($A$4&lt;=12,SUMIFS('ON Data'!K:K,'ON Data'!$D:$D,$A$4,'ON Data'!$E:$E,6),SUMIFS('ON Data'!K:K,'ON Data'!$E:$E,6))</f>
        <v>7952867</v>
      </c>
      <c r="G20" s="252">
        <f xml:space="preserve">
IF($A$4&lt;=12,SUMIFS('ON Data'!L:L,'ON Data'!$D:$D,$A$4,'ON Data'!$E:$E,6),SUMIFS('ON Data'!L:L,'ON Data'!$E:$E,6))</f>
        <v>0</v>
      </c>
      <c r="H20" s="252">
        <f xml:space="preserve">
IF($A$4&lt;=12,SUMIFS('ON Data'!M:M,'ON Data'!$D:$D,$A$4,'ON Data'!$E:$E,6),SUMIFS('ON Data'!M:M,'ON Data'!$E:$E,6))</f>
        <v>0</v>
      </c>
      <c r="I20" s="252">
        <f xml:space="preserve">
IF($A$4&lt;=12,SUMIFS('ON Data'!N:N,'ON Data'!$D:$D,$A$4,'ON Data'!$E:$E,6),SUMIFS('ON Data'!N:N,'ON Data'!$E:$E,6))</f>
        <v>0</v>
      </c>
      <c r="J20" s="252">
        <f xml:space="preserve">
IF($A$4&lt;=12,SUMIFS('ON Data'!O:O,'ON Data'!$D:$D,$A$4,'ON Data'!$E:$E,6),SUMIFS('ON Data'!O:O,'ON Data'!$E:$E,6))</f>
        <v>0</v>
      </c>
      <c r="K20" s="252">
        <f xml:space="preserve">
IF($A$4&lt;=12,SUMIFS('ON Data'!P:P,'ON Data'!$D:$D,$A$4,'ON Data'!$E:$E,6),SUMIFS('ON Data'!P:P,'ON Data'!$E:$E,6))</f>
        <v>0</v>
      </c>
      <c r="L20" s="252">
        <f xml:space="preserve">
IF($A$4&lt;=12,SUMIFS('ON Data'!Q:Q,'ON Data'!$D:$D,$A$4,'ON Data'!$E:$E,6),SUMIFS('ON Data'!Q:Q,'ON Data'!$E:$E,6))</f>
        <v>0</v>
      </c>
      <c r="M20" s="252">
        <f xml:space="preserve">
IF($A$4&lt;=12,SUMIFS('ON Data'!R:R,'ON Data'!$D:$D,$A$4,'ON Data'!$E:$E,6),SUMIFS('ON Data'!R:R,'ON Data'!$E:$E,6))</f>
        <v>3162843</v>
      </c>
      <c r="N20" s="252">
        <f xml:space="preserve">
IF($A$4&lt;=12,SUMIFS('ON Data'!S:S,'ON Data'!$D:$D,$A$4,'ON Data'!$E:$E,6),SUMIFS('ON Data'!S:S,'ON Data'!$E:$E,6))</f>
        <v>0</v>
      </c>
      <c r="O20" s="252">
        <f xml:space="preserve">
IF($A$4&lt;=12,SUMIFS('ON Data'!T:T,'ON Data'!$D:$D,$A$4,'ON Data'!$E:$E,6),SUMIFS('ON Data'!T:T,'ON Data'!$E:$E,6))</f>
        <v>0</v>
      </c>
      <c r="P20" s="252">
        <f xml:space="preserve">
IF($A$4&lt;=12,SUMIFS('ON Data'!U:U,'ON Data'!$D:$D,$A$4,'ON Data'!$E:$E,6),SUMIFS('ON Data'!U:U,'ON Data'!$E:$E,6))</f>
        <v>0</v>
      </c>
      <c r="Q20" s="252">
        <f xml:space="preserve">
IF($A$4&lt;=12,SUMIFS('ON Data'!V:V,'ON Data'!$D:$D,$A$4,'ON Data'!$E:$E,6),SUMIFS('ON Data'!V:V,'ON Data'!$E:$E,6))</f>
        <v>0</v>
      </c>
      <c r="R20" s="252">
        <f xml:space="preserve">
IF($A$4&lt;=12,SUMIFS('ON Data'!W:W,'ON Data'!$D:$D,$A$4,'ON Data'!$E:$E,6),SUMIFS('ON Data'!W:W,'ON Data'!$E:$E,6))</f>
        <v>0</v>
      </c>
      <c r="S20" s="252">
        <f xml:space="preserve">
IF($A$4&lt;=12,SUMIFS('ON Data'!X:X,'ON Data'!$D:$D,$A$4,'ON Data'!$E:$E,6),SUMIFS('ON Data'!X:X,'ON Data'!$E:$E,6))</f>
        <v>0</v>
      </c>
      <c r="T20" s="252">
        <f xml:space="preserve">
IF($A$4&lt;=12,SUMIFS('ON Data'!Y:Y,'ON Data'!$D:$D,$A$4,'ON Data'!$E:$E,6),SUMIFS('ON Data'!Y:Y,'ON Data'!$E:$E,6))</f>
        <v>0</v>
      </c>
      <c r="U20" s="252">
        <f xml:space="preserve">
IF($A$4&lt;=12,SUMIFS('ON Data'!Z:Z,'ON Data'!$D:$D,$A$4,'ON Data'!$E:$E,6),SUMIFS('ON Data'!Z:Z,'ON Data'!$E:$E,6))</f>
        <v>0</v>
      </c>
      <c r="V20" s="252">
        <f xml:space="preserve">
IF($A$4&lt;=12,SUMIFS('ON Data'!AA:AA,'ON Data'!$D:$D,$A$4,'ON Data'!$E:$E,6),SUMIFS('ON Data'!AA:AA,'ON Data'!$E:$E,6))</f>
        <v>0</v>
      </c>
      <c r="W20" s="252">
        <f xml:space="preserve">
IF($A$4&lt;=12,SUMIFS('ON Data'!AB:AB,'ON Data'!$D:$D,$A$4,'ON Data'!$E:$E,6),SUMIFS('ON Data'!AB:AB,'ON Data'!$E:$E,6))</f>
        <v>0</v>
      </c>
      <c r="X20" s="252">
        <f xml:space="preserve">
IF($A$4&lt;=12,SUMIFS('ON Data'!AC:AC,'ON Data'!$D:$D,$A$4,'ON Data'!$E:$E,6),SUMIFS('ON Data'!AC:AC,'ON Data'!$E:$E,6))</f>
        <v>0</v>
      </c>
      <c r="Y20" s="252">
        <f xml:space="preserve">
IF($A$4&lt;=12,SUMIFS('ON Data'!AD:AD,'ON Data'!$D:$D,$A$4,'ON Data'!$E:$E,6),SUMIFS('ON Data'!AD:AD,'ON Data'!$E:$E,6))</f>
        <v>0</v>
      </c>
      <c r="Z20" s="252">
        <f xml:space="preserve">
IF($A$4&lt;=12,SUMIFS('ON Data'!AE:AE,'ON Data'!$D:$D,$A$4,'ON Data'!$E:$E,6),SUMIFS('ON Data'!AE:AE,'ON Data'!$E:$E,6))</f>
        <v>0</v>
      </c>
      <c r="AA20" s="252">
        <f xml:space="preserve">
IF($A$4&lt;=12,SUMIFS('ON Data'!AF:AF,'ON Data'!$D:$D,$A$4,'ON Data'!$E:$E,6),SUMIFS('ON Data'!AF:AF,'ON Data'!$E:$E,6))</f>
        <v>0</v>
      </c>
      <c r="AB20" s="252">
        <f xml:space="preserve">
IF($A$4&lt;=12,SUMIFS('ON Data'!AG:AG,'ON Data'!$D:$D,$A$4,'ON Data'!$E:$E,6),SUMIFS('ON Data'!AG:AG,'ON Data'!$E:$E,6))</f>
        <v>0</v>
      </c>
      <c r="AC20" s="252">
        <f xml:space="preserve">
IF($A$4&lt;=12,SUMIFS('ON Data'!AH:AH,'ON Data'!$D:$D,$A$4,'ON Data'!$E:$E,6),SUMIFS('ON Data'!AH:AH,'ON Data'!$E:$E,6))</f>
        <v>0</v>
      </c>
      <c r="AD20" s="252">
        <f xml:space="preserve">
IF($A$4&lt;=12,SUMIFS('ON Data'!AI:AI,'ON Data'!$D:$D,$A$4,'ON Data'!$E:$E,6),SUMIFS('ON Data'!AI:AI,'ON Data'!$E:$E,6))</f>
        <v>0</v>
      </c>
      <c r="AE20" s="252">
        <f xml:space="preserve">
IF($A$4&lt;=12,SUMIFS('ON Data'!AJ:AJ,'ON Data'!$D:$D,$A$4,'ON Data'!$E:$E,6),SUMIFS('ON Data'!AJ:AJ,'ON Data'!$E:$E,6))</f>
        <v>0</v>
      </c>
      <c r="AF20" s="252">
        <f xml:space="preserve">
IF($A$4&lt;=12,SUMIFS('ON Data'!AK:AK,'ON Data'!$D:$D,$A$4,'ON Data'!$E:$E,6),SUMIFS('ON Data'!AK:AK,'ON Data'!$E:$E,6))</f>
        <v>0</v>
      </c>
      <c r="AG20" s="252">
        <f xml:space="preserve">
IF($A$4&lt;=12,SUMIFS('ON Data'!AL:AL,'ON Data'!$D:$D,$A$4,'ON Data'!$E:$E,6),SUMIFS('ON Data'!AL:AL,'ON Data'!$E:$E,6))</f>
        <v>0</v>
      </c>
      <c r="AH20" s="252">
        <f xml:space="preserve">
IF($A$4&lt;=12,SUMIFS('ON Data'!AN:AN,'ON Data'!$D:$D,$A$4,'ON Data'!$E:$E,6),SUMIFS('ON Data'!AN:AN,'ON Data'!$E:$E,6))</f>
        <v>164036</v>
      </c>
      <c r="AI20" s="492">
        <f xml:space="preserve">
IF($A$4&lt;=12,SUMIFS('ON Data'!AO:AO,'ON Data'!$D:$D,$A$4,'ON Data'!$E:$E,6),SUMIFS('ON Data'!AO:AO,'ON Data'!$E:$E,6))</f>
        <v>152892</v>
      </c>
      <c r="AJ20" s="499"/>
    </row>
    <row r="21" spans="1:36" ht="15" hidden="1" outlineLevel="1" thickBot="1" x14ac:dyDescent="0.35">
      <c r="A21" s="218" t="s">
        <v>92</v>
      </c>
      <c r="B21" s="238">
        <f xml:space="preserve">
IF($A$4&lt;=12,SUMIFS('ON Data'!F:F,'ON Data'!$D:$D,$A$4,'ON Data'!$E:$E,12),SUMIFS('ON Data'!F:F,'ON Data'!$E:$E,12))</f>
        <v>0</v>
      </c>
      <c r="C21" s="239">
        <f xml:space="preserve">
IF($A$4&lt;=12,SUMIFS('ON Data'!G:G,'ON Data'!$D:$D,$A$4,'ON Data'!$E:$E,12),SUMIFS('ON Data'!G:G,'ON Data'!$E:$E,12))</f>
        <v>0</v>
      </c>
      <c r="D21" s="240">
        <f xml:space="preserve">
IF($A$4&lt;=12,SUMIFS('ON Data'!H:H,'ON Data'!$D:$D,$A$4,'ON Data'!$E:$E,12),SUMIFS('ON Data'!H:H,'ON Data'!$E:$E,12))</f>
        <v>0</v>
      </c>
      <c r="E21" s="240">
        <f xml:space="preserve">
IF($A$4&lt;=12,SUMIFS('ON Data'!I:I,'ON Data'!$D:$D,$A$4,'ON Data'!$E:$E,12),SUMIFS('ON Data'!I:I,'ON Data'!$E:$E,12))</f>
        <v>0</v>
      </c>
      <c r="F21" s="240">
        <f xml:space="preserve">
IF($A$4&lt;=12,SUMIFS('ON Data'!K:K,'ON Data'!$D:$D,$A$4,'ON Data'!$E:$E,12),SUMIFS('ON Data'!K:K,'ON Data'!$E:$E,12))</f>
        <v>0</v>
      </c>
      <c r="G21" s="240">
        <f xml:space="preserve">
IF($A$4&lt;=12,SUMIFS('ON Data'!L:L,'ON Data'!$D:$D,$A$4,'ON Data'!$E:$E,12),SUMIFS('ON Data'!L:L,'ON Data'!$E:$E,12))</f>
        <v>0</v>
      </c>
      <c r="H21" s="240">
        <f xml:space="preserve">
IF($A$4&lt;=12,SUMIFS('ON Data'!M:M,'ON Data'!$D:$D,$A$4,'ON Data'!$E:$E,12),SUMIFS('ON Data'!M:M,'ON Data'!$E:$E,12))</f>
        <v>0</v>
      </c>
      <c r="I21" s="240">
        <f xml:space="preserve">
IF($A$4&lt;=12,SUMIFS('ON Data'!N:N,'ON Data'!$D:$D,$A$4,'ON Data'!$E:$E,12),SUMIFS('ON Data'!N:N,'ON Data'!$E:$E,12))</f>
        <v>0</v>
      </c>
      <c r="J21" s="240">
        <f xml:space="preserve">
IF($A$4&lt;=12,SUMIFS('ON Data'!O:O,'ON Data'!$D:$D,$A$4,'ON Data'!$E:$E,12),SUMIFS('ON Data'!O:O,'ON Data'!$E:$E,12))</f>
        <v>0</v>
      </c>
      <c r="K21" s="240">
        <f xml:space="preserve">
IF($A$4&lt;=12,SUMIFS('ON Data'!P:P,'ON Data'!$D:$D,$A$4,'ON Data'!$E:$E,12),SUMIFS('ON Data'!P:P,'ON Data'!$E:$E,12))</f>
        <v>0</v>
      </c>
      <c r="L21" s="240">
        <f xml:space="preserve">
IF($A$4&lt;=12,SUMIFS('ON Data'!Q:Q,'ON Data'!$D:$D,$A$4,'ON Data'!$E:$E,12),SUMIFS('ON Data'!Q:Q,'ON Data'!$E:$E,12))</f>
        <v>0</v>
      </c>
      <c r="M21" s="240">
        <f xml:space="preserve">
IF($A$4&lt;=12,SUMIFS('ON Data'!R:R,'ON Data'!$D:$D,$A$4,'ON Data'!$E:$E,12),SUMIFS('ON Data'!R:R,'ON Data'!$E:$E,12))</f>
        <v>0</v>
      </c>
      <c r="N21" s="240">
        <f xml:space="preserve">
IF($A$4&lt;=12,SUMIFS('ON Data'!S:S,'ON Data'!$D:$D,$A$4,'ON Data'!$E:$E,12),SUMIFS('ON Data'!S:S,'ON Data'!$E:$E,12))</f>
        <v>0</v>
      </c>
      <c r="O21" s="240">
        <f xml:space="preserve">
IF($A$4&lt;=12,SUMIFS('ON Data'!T:T,'ON Data'!$D:$D,$A$4,'ON Data'!$E:$E,12),SUMIFS('ON Data'!T:T,'ON Data'!$E:$E,12))</f>
        <v>0</v>
      </c>
      <c r="P21" s="240">
        <f xml:space="preserve">
IF($A$4&lt;=12,SUMIFS('ON Data'!U:U,'ON Data'!$D:$D,$A$4,'ON Data'!$E:$E,12),SUMIFS('ON Data'!U:U,'ON Data'!$E:$E,12))</f>
        <v>0</v>
      </c>
      <c r="Q21" s="240">
        <f xml:space="preserve">
IF($A$4&lt;=12,SUMIFS('ON Data'!V:V,'ON Data'!$D:$D,$A$4,'ON Data'!$E:$E,12),SUMIFS('ON Data'!V:V,'ON Data'!$E:$E,12))</f>
        <v>0</v>
      </c>
      <c r="R21" s="240">
        <f xml:space="preserve">
IF($A$4&lt;=12,SUMIFS('ON Data'!W:W,'ON Data'!$D:$D,$A$4,'ON Data'!$E:$E,12),SUMIFS('ON Data'!W:W,'ON Data'!$E:$E,12))</f>
        <v>0</v>
      </c>
      <c r="S21" s="240">
        <f xml:space="preserve">
IF($A$4&lt;=12,SUMIFS('ON Data'!X:X,'ON Data'!$D:$D,$A$4,'ON Data'!$E:$E,12),SUMIFS('ON Data'!X:X,'ON Data'!$E:$E,12))</f>
        <v>0</v>
      </c>
      <c r="T21" s="240">
        <f xml:space="preserve">
IF($A$4&lt;=12,SUMIFS('ON Data'!Y:Y,'ON Data'!$D:$D,$A$4,'ON Data'!$E:$E,12),SUMIFS('ON Data'!Y:Y,'ON Data'!$E:$E,12))</f>
        <v>0</v>
      </c>
      <c r="U21" s="240">
        <f xml:space="preserve">
IF($A$4&lt;=12,SUMIFS('ON Data'!Z:Z,'ON Data'!$D:$D,$A$4,'ON Data'!$E:$E,12),SUMIFS('ON Data'!Z:Z,'ON Data'!$E:$E,12))</f>
        <v>0</v>
      </c>
      <c r="V21" s="240">
        <f xml:space="preserve">
IF($A$4&lt;=12,SUMIFS('ON Data'!AA:AA,'ON Data'!$D:$D,$A$4,'ON Data'!$E:$E,12),SUMIFS('ON Data'!AA:AA,'ON Data'!$E:$E,12))</f>
        <v>0</v>
      </c>
      <c r="W21" s="240">
        <f xml:space="preserve">
IF($A$4&lt;=12,SUMIFS('ON Data'!AB:AB,'ON Data'!$D:$D,$A$4,'ON Data'!$E:$E,12),SUMIFS('ON Data'!AB:AB,'ON Data'!$E:$E,12))</f>
        <v>0</v>
      </c>
      <c r="X21" s="240">
        <f xml:space="preserve">
IF($A$4&lt;=12,SUMIFS('ON Data'!AC:AC,'ON Data'!$D:$D,$A$4,'ON Data'!$E:$E,12),SUMIFS('ON Data'!AC:AC,'ON Data'!$E:$E,12))</f>
        <v>0</v>
      </c>
      <c r="Y21" s="240">
        <f xml:space="preserve">
IF($A$4&lt;=12,SUMIFS('ON Data'!AD:AD,'ON Data'!$D:$D,$A$4,'ON Data'!$E:$E,12),SUMIFS('ON Data'!AD:AD,'ON Data'!$E:$E,12))</f>
        <v>0</v>
      </c>
      <c r="Z21" s="240">
        <f xml:space="preserve">
IF($A$4&lt;=12,SUMIFS('ON Data'!AE:AE,'ON Data'!$D:$D,$A$4,'ON Data'!$E:$E,12),SUMIFS('ON Data'!AE:AE,'ON Data'!$E:$E,12))</f>
        <v>0</v>
      </c>
      <c r="AA21" s="240">
        <f xml:space="preserve">
IF($A$4&lt;=12,SUMIFS('ON Data'!AF:AF,'ON Data'!$D:$D,$A$4,'ON Data'!$E:$E,12),SUMIFS('ON Data'!AF:AF,'ON Data'!$E:$E,12))</f>
        <v>0</v>
      </c>
      <c r="AB21" s="240">
        <f xml:space="preserve">
IF($A$4&lt;=12,SUMIFS('ON Data'!AG:AG,'ON Data'!$D:$D,$A$4,'ON Data'!$E:$E,12),SUMIFS('ON Data'!AG:AG,'ON Data'!$E:$E,12))</f>
        <v>0</v>
      </c>
      <c r="AC21" s="240">
        <f xml:space="preserve">
IF($A$4&lt;=12,SUMIFS('ON Data'!AH:AH,'ON Data'!$D:$D,$A$4,'ON Data'!$E:$E,12),SUMIFS('ON Data'!AH:AH,'ON Data'!$E:$E,12))</f>
        <v>0</v>
      </c>
      <c r="AD21" s="240">
        <f xml:space="preserve">
IF($A$4&lt;=12,SUMIFS('ON Data'!AI:AI,'ON Data'!$D:$D,$A$4,'ON Data'!$E:$E,12),SUMIFS('ON Data'!AI:AI,'ON Data'!$E:$E,12))</f>
        <v>0</v>
      </c>
      <c r="AE21" s="240">
        <f xml:space="preserve">
IF($A$4&lt;=12,SUMIFS('ON Data'!AJ:AJ,'ON Data'!$D:$D,$A$4,'ON Data'!$E:$E,12),SUMIFS('ON Data'!AJ:AJ,'ON Data'!$E:$E,12))</f>
        <v>0</v>
      </c>
      <c r="AF21" s="240">
        <f xml:space="preserve">
IF($A$4&lt;=12,SUMIFS('ON Data'!AK:AK,'ON Data'!$D:$D,$A$4,'ON Data'!$E:$E,12),SUMIFS('ON Data'!AK:AK,'ON Data'!$E:$E,12))</f>
        <v>0</v>
      </c>
      <c r="AG21" s="240">
        <f xml:space="preserve">
IF($A$4&lt;=12,SUMIFS('ON Data'!AL:AL,'ON Data'!$D:$D,$A$4,'ON Data'!$E:$E,12),SUMIFS('ON Data'!AL:AL,'ON Data'!$E:$E,12))</f>
        <v>0</v>
      </c>
      <c r="AH21" s="240">
        <f xml:space="preserve">
IF($A$4&lt;=12,SUMIFS('ON Data'!AN:AN,'ON Data'!$D:$D,$A$4,'ON Data'!$E:$E,12),SUMIFS('ON Data'!AN:AN,'ON Data'!$E:$E,12))</f>
        <v>0</v>
      </c>
      <c r="AI21" s="488">
        <f xml:space="preserve">
IF($A$4&lt;=12,SUMIFS('ON Data'!AO:AO,'ON Data'!$D:$D,$A$4,'ON Data'!$E:$E,12),SUMIFS('ON Data'!AO:AO,'ON Data'!$E:$E,12))</f>
        <v>0</v>
      </c>
      <c r="AJ21" s="499"/>
    </row>
    <row r="22" spans="1:36" ht="15" hidden="1" outlineLevel="1" thickBot="1" x14ac:dyDescent="0.35">
      <c r="A22" s="218" t="s">
        <v>62</v>
      </c>
      <c r="B22" s="294" t="str">
        <f xml:space="preserve">
IF(OR(B21="",B21=0),"",B20/B21)</f>
        <v/>
      </c>
      <c r="C22" s="295" t="str">
        <f t="shared" ref="C22:G22" si="2" xml:space="preserve">
IF(OR(C21="",C21=0),"",C20/C21)</f>
        <v/>
      </c>
      <c r="D22" s="296" t="str">
        <f t="shared" si="2"/>
        <v/>
      </c>
      <c r="E22" s="296" t="str">
        <f t="shared" si="2"/>
        <v/>
      </c>
      <c r="F22" s="296" t="str">
        <f t="shared" si="2"/>
        <v/>
      </c>
      <c r="G22" s="296" t="str">
        <f t="shared" si="2"/>
        <v/>
      </c>
      <c r="H22" s="296" t="str">
        <f t="shared" ref="H22:AI22" si="3" xml:space="preserve">
IF(OR(H21="",H21=0),"",H20/H21)</f>
        <v/>
      </c>
      <c r="I22" s="296" t="str">
        <f t="shared" si="3"/>
        <v/>
      </c>
      <c r="J22" s="296" t="str">
        <f t="shared" si="3"/>
        <v/>
      </c>
      <c r="K22" s="296" t="str">
        <f t="shared" si="3"/>
        <v/>
      </c>
      <c r="L22" s="296" t="str">
        <f t="shared" si="3"/>
        <v/>
      </c>
      <c r="M22" s="296" t="str">
        <f t="shared" si="3"/>
        <v/>
      </c>
      <c r="N22" s="296" t="str">
        <f t="shared" si="3"/>
        <v/>
      </c>
      <c r="O22" s="296" t="str">
        <f t="shared" si="3"/>
        <v/>
      </c>
      <c r="P22" s="296" t="str">
        <f t="shared" si="3"/>
        <v/>
      </c>
      <c r="Q22" s="296" t="str">
        <f t="shared" si="3"/>
        <v/>
      </c>
      <c r="R22" s="296" t="str">
        <f t="shared" si="3"/>
        <v/>
      </c>
      <c r="S22" s="296" t="str">
        <f t="shared" si="3"/>
        <v/>
      </c>
      <c r="T22" s="296" t="str">
        <f t="shared" si="3"/>
        <v/>
      </c>
      <c r="U22" s="296" t="str">
        <f t="shared" si="3"/>
        <v/>
      </c>
      <c r="V22" s="296" t="str">
        <f t="shared" si="3"/>
        <v/>
      </c>
      <c r="W22" s="296" t="str">
        <f t="shared" si="3"/>
        <v/>
      </c>
      <c r="X22" s="296" t="str">
        <f t="shared" si="3"/>
        <v/>
      </c>
      <c r="Y22" s="296" t="str">
        <f t="shared" si="3"/>
        <v/>
      </c>
      <c r="Z22" s="296" t="str">
        <f t="shared" si="3"/>
        <v/>
      </c>
      <c r="AA22" s="296" t="str">
        <f t="shared" si="3"/>
        <v/>
      </c>
      <c r="AB22" s="296" t="str">
        <f t="shared" si="3"/>
        <v/>
      </c>
      <c r="AC22" s="296" t="str">
        <f t="shared" si="3"/>
        <v/>
      </c>
      <c r="AD22" s="296" t="str">
        <f t="shared" si="3"/>
        <v/>
      </c>
      <c r="AE22" s="296" t="str">
        <f t="shared" si="3"/>
        <v/>
      </c>
      <c r="AF22" s="296" t="str">
        <f t="shared" si="3"/>
        <v/>
      </c>
      <c r="AG22" s="296" t="str">
        <f t="shared" si="3"/>
        <v/>
      </c>
      <c r="AH22" s="296" t="str">
        <f t="shared" si="3"/>
        <v/>
      </c>
      <c r="AI22" s="493" t="str">
        <f t="shared" si="3"/>
        <v/>
      </c>
      <c r="AJ22" s="499"/>
    </row>
    <row r="23" spans="1:36" ht="15" hidden="1" outlineLevel="1" thickBot="1" x14ac:dyDescent="0.35">
      <c r="A23" s="226" t="s">
        <v>55</v>
      </c>
      <c r="B23" s="241">
        <f xml:space="preserve">
IF(B21="","",B20-B21)</f>
        <v>16834896</v>
      </c>
      <c r="C23" s="242">
        <f t="shared" ref="C23:G23" si="4" xml:space="preserve">
IF(C21="","",C20-C21)</f>
        <v>177440</v>
      </c>
      <c r="D23" s="243">
        <f t="shared" si="4"/>
        <v>0</v>
      </c>
      <c r="E23" s="243">
        <f t="shared" si="4"/>
        <v>5224818</v>
      </c>
      <c r="F23" s="243">
        <f t="shared" si="4"/>
        <v>7952867</v>
      </c>
      <c r="G23" s="243">
        <f t="shared" si="4"/>
        <v>0</v>
      </c>
      <c r="H23" s="243">
        <f t="shared" ref="H23:AI23" si="5" xml:space="preserve">
IF(H21="","",H20-H21)</f>
        <v>0</v>
      </c>
      <c r="I23" s="243">
        <f t="shared" si="5"/>
        <v>0</v>
      </c>
      <c r="J23" s="243">
        <f t="shared" si="5"/>
        <v>0</v>
      </c>
      <c r="K23" s="243">
        <f t="shared" si="5"/>
        <v>0</v>
      </c>
      <c r="L23" s="243">
        <f t="shared" si="5"/>
        <v>0</v>
      </c>
      <c r="M23" s="243">
        <f t="shared" si="5"/>
        <v>3162843</v>
      </c>
      <c r="N23" s="243">
        <f t="shared" si="5"/>
        <v>0</v>
      </c>
      <c r="O23" s="243">
        <f t="shared" si="5"/>
        <v>0</v>
      </c>
      <c r="P23" s="243">
        <f t="shared" si="5"/>
        <v>0</v>
      </c>
      <c r="Q23" s="243">
        <f t="shared" si="5"/>
        <v>0</v>
      </c>
      <c r="R23" s="243">
        <f t="shared" si="5"/>
        <v>0</v>
      </c>
      <c r="S23" s="243">
        <f t="shared" si="5"/>
        <v>0</v>
      </c>
      <c r="T23" s="243">
        <f t="shared" si="5"/>
        <v>0</v>
      </c>
      <c r="U23" s="243">
        <f t="shared" si="5"/>
        <v>0</v>
      </c>
      <c r="V23" s="243">
        <f t="shared" si="5"/>
        <v>0</v>
      </c>
      <c r="W23" s="243">
        <f t="shared" si="5"/>
        <v>0</v>
      </c>
      <c r="X23" s="243">
        <f t="shared" si="5"/>
        <v>0</v>
      </c>
      <c r="Y23" s="243">
        <f t="shared" si="5"/>
        <v>0</v>
      </c>
      <c r="Z23" s="243">
        <f t="shared" si="5"/>
        <v>0</v>
      </c>
      <c r="AA23" s="243">
        <f t="shared" si="5"/>
        <v>0</v>
      </c>
      <c r="AB23" s="243">
        <f t="shared" si="5"/>
        <v>0</v>
      </c>
      <c r="AC23" s="243">
        <f t="shared" si="5"/>
        <v>0</v>
      </c>
      <c r="AD23" s="243">
        <f t="shared" si="5"/>
        <v>0</v>
      </c>
      <c r="AE23" s="243">
        <f t="shared" si="5"/>
        <v>0</v>
      </c>
      <c r="AF23" s="243">
        <f t="shared" si="5"/>
        <v>0</v>
      </c>
      <c r="AG23" s="243">
        <f t="shared" si="5"/>
        <v>0</v>
      </c>
      <c r="AH23" s="243">
        <f t="shared" si="5"/>
        <v>164036</v>
      </c>
      <c r="AI23" s="489">
        <f t="shared" si="5"/>
        <v>152892</v>
      </c>
      <c r="AJ23" s="499"/>
    </row>
    <row r="24" spans="1:36" x14ac:dyDescent="0.3">
      <c r="A24" s="220" t="s">
        <v>172</v>
      </c>
      <c r="B24" s="267" t="s">
        <v>3</v>
      </c>
      <c r="C24" s="500" t="s">
        <v>183</v>
      </c>
      <c r="D24" s="473"/>
      <c r="E24" s="474"/>
      <c r="F24" s="474" t="s">
        <v>184</v>
      </c>
      <c r="G24" s="474"/>
      <c r="H24" s="474"/>
      <c r="I24" s="474"/>
      <c r="J24" s="474"/>
      <c r="K24" s="474"/>
      <c r="L24" s="474"/>
      <c r="M24" s="474"/>
      <c r="N24" s="474"/>
      <c r="O24" s="474"/>
      <c r="P24" s="474"/>
      <c r="Q24" s="474"/>
      <c r="R24" s="474"/>
      <c r="S24" s="474"/>
      <c r="T24" s="474"/>
      <c r="U24" s="474"/>
      <c r="V24" s="474"/>
      <c r="W24" s="474"/>
      <c r="X24" s="474"/>
      <c r="Y24" s="474"/>
      <c r="Z24" s="474"/>
      <c r="AA24" s="474"/>
      <c r="AB24" s="474"/>
      <c r="AC24" s="474"/>
      <c r="AD24" s="474"/>
      <c r="AE24" s="474"/>
      <c r="AF24" s="474"/>
      <c r="AG24" s="474"/>
      <c r="AH24" s="474" t="s">
        <v>185</v>
      </c>
      <c r="AI24" s="494"/>
      <c r="AJ24" s="499"/>
    </row>
    <row r="25" spans="1:36" x14ac:dyDescent="0.3">
      <c r="A25" s="221" t="s">
        <v>60</v>
      </c>
      <c r="B25" s="238">
        <f xml:space="preserve">
SUM(C25:AI25)</f>
        <v>13200</v>
      </c>
      <c r="C25" s="501">
        <f xml:space="preserve">
IF($A$4&lt;=12,SUMIFS('ON Data'!H:H,'ON Data'!$D:$D,$A$4,'ON Data'!$E:$E,10),SUMIFS('ON Data'!H:H,'ON Data'!$E:$E,10))</f>
        <v>0</v>
      </c>
      <c r="D25" s="475"/>
      <c r="E25" s="476"/>
      <c r="F25" s="476">
        <f xml:space="preserve">
IF($A$4&lt;=12,SUMIFS('ON Data'!K:K,'ON Data'!$D:$D,$A$4,'ON Data'!$E:$E,10),SUMIFS('ON Data'!K:K,'ON Data'!$E:$E,10))</f>
        <v>13200</v>
      </c>
      <c r="G25" s="476"/>
      <c r="H25" s="476"/>
      <c r="I25" s="476"/>
      <c r="J25" s="476"/>
      <c r="K25" s="476"/>
      <c r="L25" s="476"/>
      <c r="M25" s="476"/>
      <c r="N25" s="476"/>
      <c r="O25" s="476"/>
      <c r="P25" s="476"/>
      <c r="Q25" s="476"/>
      <c r="R25" s="476"/>
      <c r="S25" s="476"/>
      <c r="T25" s="476"/>
      <c r="U25" s="476"/>
      <c r="V25" s="476"/>
      <c r="W25" s="476"/>
      <c r="X25" s="476"/>
      <c r="Y25" s="476"/>
      <c r="Z25" s="476"/>
      <c r="AA25" s="476"/>
      <c r="AB25" s="476"/>
      <c r="AC25" s="476"/>
      <c r="AD25" s="476"/>
      <c r="AE25" s="476"/>
      <c r="AF25" s="476"/>
      <c r="AG25" s="476"/>
      <c r="AH25" s="476">
        <f xml:space="preserve">
IF($A$4&lt;=12,SUMIFS('ON Data'!AN:AN,'ON Data'!$D:$D,$A$4,'ON Data'!$E:$E,10),SUMIFS('ON Data'!AN:AN,'ON Data'!$E:$E,10))</f>
        <v>0</v>
      </c>
      <c r="AI25" s="495"/>
      <c r="AJ25" s="499"/>
    </row>
    <row r="26" spans="1:36" x14ac:dyDescent="0.3">
      <c r="A26" s="227" t="s">
        <v>182</v>
      </c>
      <c r="B26" s="247">
        <f xml:space="preserve">
SUM(C26:AI26)</f>
        <v>59086.608667036868</v>
      </c>
      <c r="C26" s="501">
        <f xml:space="preserve">
IF($A$4&lt;=12,SUMIFS('ON Data'!H:H,'ON Data'!$D:$D,$A$4,'ON Data'!$E:$E,11),SUMIFS('ON Data'!H:H,'ON Data'!$E:$E,11))</f>
        <v>42419.942000370203</v>
      </c>
      <c r="D26" s="475"/>
      <c r="E26" s="476"/>
      <c r="F26" s="477">
        <f xml:space="preserve">
IF($A$4&lt;=12,SUMIFS('ON Data'!K:K,'ON Data'!$D:$D,$A$4,'ON Data'!$E:$E,11),SUMIFS('ON Data'!K:K,'ON Data'!$E:$E,11))</f>
        <v>16666.666666666664</v>
      </c>
      <c r="G26" s="477"/>
      <c r="H26" s="477"/>
      <c r="I26" s="477"/>
      <c r="J26" s="477"/>
      <c r="K26" s="477"/>
      <c r="L26" s="477"/>
      <c r="M26" s="477"/>
      <c r="N26" s="477"/>
      <c r="O26" s="477"/>
      <c r="P26" s="477"/>
      <c r="Q26" s="477"/>
      <c r="R26" s="477"/>
      <c r="S26" s="477"/>
      <c r="T26" s="477"/>
      <c r="U26" s="477"/>
      <c r="V26" s="477"/>
      <c r="W26" s="477"/>
      <c r="X26" s="477"/>
      <c r="Y26" s="477"/>
      <c r="Z26" s="477"/>
      <c r="AA26" s="477"/>
      <c r="AB26" s="477"/>
      <c r="AC26" s="477"/>
      <c r="AD26" s="477"/>
      <c r="AE26" s="477"/>
      <c r="AF26" s="477"/>
      <c r="AG26" s="477"/>
      <c r="AH26" s="476">
        <f xml:space="preserve">
IF($A$4&lt;=12,SUMIFS('ON Data'!AN:AN,'ON Data'!$D:$D,$A$4,'ON Data'!$E:$E,11),SUMIFS('ON Data'!AN:AN,'ON Data'!$E:$E,11))</f>
        <v>0</v>
      </c>
      <c r="AI26" s="496"/>
      <c r="AJ26" s="499"/>
    </row>
    <row r="27" spans="1:36" x14ac:dyDescent="0.3">
      <c r="A27" s="227" t="s">
        <v>62</v>
      </c>
      <c r="B27" s="268">
        <f xml:space="preserve">
IF(B26=0,0,B25/B26)</f>
        <v>0.2234008736968516</v>
      </c>
      <c r="C27" s="502">
        <f xml:space="preserve">
IF(C26=0,0,C25/C26)</f>
        <v>0</v>
      </c>
      <c r="D27" s="478"/>
      <c r="E27" s="479"/>
      <c r="F27" s="479">
        <f xml:space="preserve">
IF(F26=0,0,F25/F26)</f>
        <v>0.79200000000000015</v>
      </c>
      <c r="G27" s="479"/>
      <c r="H27" s="479"/>
      <c r="I27" s="479"/>
      <c r="J27" s="479"/>
      <c r="K27" s="479"/>
      <c r="L27" s="479"/>
      <c r="M27" s="479"/>
      <c r="N27" s="479"/>
      <c r="O27" s="479"/>
      <c r="P27" s="479"/>
      <c r="Q27" s="479"/>
      <c r="R27" s="479"/>
      <c r="S27" s="479"/>
      <c r="T27" s="479"/>
      <c r="U27" s="479"/>
      <c r="V27" s="479"/>
      <c r="W27" s="479"/>
      <c r="X27" s="479"/>
      <c r="Y27" s="479"/>
      <c r="Z27" s="479"/>
      <c r="AA27" s="479"/>
      <c r="AB27" s="479"/>
      <c r="AC27" s="479"/>
      <c r="AD27" s="479"/>
      <c r="AE27" s="479"/>
      <c r="AF27" s="479"/>
      <c r="AG27" s="479"/>
      <c r="AH27" s="479">
        <f xml:space="preserve">
IF(AH26=0,0,AH25/AH26)</f>
        <v>0</v>
      </c>
      <c r="AI27" s="497"/>
      <c r="AJ27" s="499"/>
    </row>
    <row r="28" spans="1:36" ht="15" thickBot="1" x14ac:dyDescent="0.35">
      <c r="A28" s="227" t="s">
        <v>181</v>
      </c>
      <c r="B28" s="247">
        <f xml:space="preserve">
SUM(C28:AI28)</f>
        <v>45886.608667036868</v>
      </c>
      <c r="C28" s="503">
        <f xml:space="preserve">
C26-C25</f>
        <v>42419.942000370203</v>
      </c>
      <c r="D28" s="480"/>
      <c r="E28" s="481"/>
      <c r="F28" s="481">
        <f xml:space="preserve">
F26-F25</f>
        <v>3466.6666666666642</v>
      </c>
      <c r="G28" s="481"/>
      <c r="H28" s="481"/>
      <c r="I28" s="481"/>
      <c r="J28" s="481"/>
      <c r="K28" s="481"/>
      <c r="L28" s="481"/>
      <c r="M28" s="481"/>
      <c r="N28" s="481"/>
      <c r="O28" s="481"/>
      <c r="P28" s="481"/>
      <c r="Q28" s="481"/>
      <c r="R28" s="481"/>
      <c r="S28" s="481"/>
      <c r="T28" s="481"/>
      <c r="U28" s="481"/>
      <c r="V28" s="481"/>
      <c r="W28" s="481"/>
      <c r="X28" s="481"/>
      <c r="Y28" s="481"/>
      <c r="Z28" s="481"/>
      <c r="AA28" s="481"/>
      <c r="AB28" s="481"/>
      <c r="AC28" s="481"/>
      <c r="AD28" s="481"/>
      <c r="AE28" s="481"/>
      <c r="AF28" s="481"/>
      <c r="AG28" s="481"/>
      <c r="AH28" s="481">
        <f xml:space="preserve">
AH26-AH25</f>
        <v>0</v>
      </c>
      <c r="AI28" s="498"/>
      <c r="AJ28" s="499"/>
    </row>
    <row r="29" spans="1:36" x14ac:dyDescent="0.3">
      <c r="A29" s="228"/>
      <c r="B29" s="228"/>
      <c r="C29" s="229"/>
      <c r="D29" s="228"/>
      <c r="E29" s="228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  <c r="AC29" s="229"/>
      <c r="AD29" s="229"/>
      <c r="AE29" s="229"/>
      <c r="AF29" s="228"/>
      <c r="AG29" s="228"/>
      <c r="AH29" s="228"/>
      <c r="AI29" s="228"/>
    </row>
    <row r="30" spans="1:36" x14ac:dyDescent="0.3">
      <c r="A30" s="98" t="s">
        <v>134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34"/>
      <c r="AI30" s="134"/>
    </row>
    <row r="31" spans="1:36" x14ac:dyDescent="0.3">
      <c r="A31" s="99" t="s">
        <v>179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34"/>
      <c r="AI31" s="134"/>
    </row>
    <row r="32" spans="1:36" ht="14.4" customHeight="1" x14ac:dyDescent="0.3">
      <c r="A32" s="264" t="s">
        <v>176</v>
      </c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  <c r="M32" s="265"/>
      <c r="N32" s="265"/>
      <c r="O32" s="265"/>
      <c r="P32" s="265"/>
      <c r="Q32" s="265"/>
      <c r="R32" s="265"/>
      <c r="S32" s="265"/>
      <c r="T32" s="265"/>
      <c r="U32" s="265"/>
      <c r="V32" s="265"/>
      <c r="W32" s="265"/>
      <c r="X32" s="265"/>
      <c r="Y32" s="265"/>
      <c r="Z32" s="265"/>
      <c r="AA32" s="265"/>
      <c r="AB32" s="265"/>
      <c r="AC32" s="265"/>
      <c r="AD32" s="265"/>
      <c r="AE32" s="265"/>
      <c r="AF32" s="265"/>
      <c r="AG32" s="265"/>
    </row>
    <row r="33" spans="1:1" x14ac:dyDescent="0.3">
      <c r="A33" s="266" t="s">
        <v>186</v>
      </c>
    </row>
    <row r="34" spans="1:1" x14ac:dyDescent="0.3">
      <c r="A34" s="266" t="s">
        <v>187</v>
      </c>
    </row>
    <row r="35" spans="1:1" x14ac:dyDescent="0.3">
      <c r="A35" s="266" t="s">
        <v>188</v>
      </c>
    </row>
    <row r="36" spans="1:1" x14ac:dyDescent="0.3">
      <c r="A36" s="266" t="s">
        <v>189</v>
      </c>
    </row>
  </sheetData>
  <mergeCells count="17">
    <mergeCell ref="C28:E28"/>
    <mergeCell ref="AH27:AI27"/>
    <mergeCell ref="AH28:AI28"/>
    <mergeCell ref="C27:E27"/>
    <mergeCell ref="F27:AG27"/>
    <mergeCell ref="F28:AG28"/>
    <mergeCell ref="AH26:AI26"/>
    <mergeCell ref="C25:E25"/>
    <mergeCell ref="C26:E26"/>
    <mergeCell ref="F24:AG24"/>
    <mergeCell ref="F25:AG25"/>
    <mergeCell ref="F26:AG26"/>
    <mergeCell ref="A1:AI1"/>
    <mergeCell ref="B3:B4"/>
    <mergeCell ref="AH24:AI24"/>
    <mergeCell ref="AH25:AI25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I22">
    <cfRule type="cellIs" dxfId="2" priority="2" operator="greaterThan">
      <formula>1</formula>
    </cfRule>
  </conditionalFormatting>
  <conditionalFormatting sqref="B23:AI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66"/>
  <sheetViews>
    <sheetView showGridLines="0" showRowColHeaders="0" workbookViewId="0"/>
  </sheetViews>
  <sheetFormatPr defaultRowHeight="14.4" x14ac:dyDescent="0.3"/>
  <cols>
    <col min="1" max="16384" width="8.88671875" style="207"/>
  </cols>
  <sheetData>
    <row r="1" spans="1:41" x14ac:dyDescent="0.3">
      <c r="A1" s="207" t="s">
        <v>1937</v>
      </c>
    </row>
    <row r="2" spans="1:41" x14ac:dyDescent="0.3">
      <c r="A2" s="211" t="s">
        <v>255</v>
      </c>
    </row>
    <row r="3" spans="1:41" x14ac:dyDescent="0.3">
      <c r="A3" s="207" t="s">
        <v>145</v>
      </c>
      <c r="B3" s="232">
        <v>2015</v>
      </c>
      <c r="D3" s="208">
        <f>MAX(D5:D1048576)</f>
        <v>10</v>
      </c>
      <c r="F3" s="208">
        <f>SUMIF($E5:$E1048576,"&lt;10",F5:F1048576)</f>
        <v>17864672.149999999</v>
      </c>
      <c r="G3" s="208">
        <f t="shared" ref="G3:AO3" si="0">SUMIF($E5:$E1048576,"&lt;10",G5:G1048576)</f>
        <v>178527</v>
      </c>
      <c r="H3" s="208">
        <f t="shared" si="0"/>
        <v>0</v>
      </c>
      <c r="I3" s="208">
        <f t="shared" si="0"/>
        <v>5576834.2999999998</v>
      </c>
      <c r="J3" s="208">
        <f t="shared" si="0"/>
        <v>0</v>
      </c>
      <c r="K3" s="208">
        <f t="shared" si="0"/>
        <v>8425170</v>
      </c>
      <c r="L3" s="208">
        <f t="shared" si="0"/>
        <v>0</v>
      </c>
      <c r="M3" s="208">
        <f t="shared" si="0"/>
        <v>0</v>
      </c>
      <c r="N3" s="208">
        <f t="shared" si="0"/>
        <v>0</v>
      </c>
      <c r="O3" s="208">
        <f t="shared" si="0"/>
        <v>0</v>
      </c>
      <c r="P3" s="208">
        <f t="shared" si="0"/>
        <v>0</v>
      </c>
      <c r="Q3" s="208">
        <f t="shared" si="0"/>
        <v>0</v>
      </c>
      <c r="R3" s="208">
        <f t="shared" si="0"/>
        <v>3350922.75</v>
      </c>
      <c r="S3" s="208">
        <f t="shared" si="0"/>
        <v>0</v>
      </c>
      <c r="T3" s="208">
        <f t="shared" si="0"/>
        <v>0</v>
      </c>
      <c r="U3" s="208">
        <f t="shared" si="0"/>
        <v>0</v>
      </c>
      <c r="V3" s="208">
        <f t="shared" si="0"/>
        <v>0</v>
      </c>
      <c r="W3" s="208">
        <f t="shared" si="0"/>
        <v>0</v>
      </c>
      <c r="X3" s="208">
        <f t="shared" si="0"/>
        <v>0</v>
      </c>
      <c r="Y3" s="208">
        <f t="shared" si="0"/>
        <v>0</v>
      </c>
      <c r="Z3" s="208">
        <f t="shared" si="0"/>
        <v>0</v>
      </c>
      <c r="AA3" s="208">
        <f t="shared" si="0"/>
        <v>0</v>
      </c>
      <c r="AB3" s="208">
        <f t="shared" si="0"/>
        <v>0</v>
      </c>
      <c r="AC3" s="208">
        <f t="shared" si="0"/>
        <v>0</v>
      </c>
      <c r="AD3" s="208">
        <f t="shared" si="0"/>
        <v>0</v>
      </c>
      <c r="AE3" s="208">
        <f t="shared" si="0"/>
        <v>0</v>
      </c>
      <c r="AF3" s="208">
        <f t="shared" si="0"/>
        <v>0</v>
      </c>
      <c r="AG3" s="208">
        <f t="shared" si="0"/>
        <v>0</v>
      </c>
      <c r="AH3" s="208">
        <f t="shared" si="0"/>
        <v>0</v>
      </c>
      <c r="AI3" s="208">
        <f t="shared" si="0"/>
        <v>0</v>
      </c>
      <c r="AJ3" s="208">
        <f t="shared" si="0"/>
        <v>0</v>
      </c>
      <c r="AK3" s="208">
        <f t="shared" si="0"/>
        <v>0</v>
      </c>
      <c r="AL3" s="208">
        <f t="shared" si="0"/>
        <v>0</v>
      </c>
      <c r="AM3" s="208">
        <f t="shared" si="0"/>
        <v>0</v>
      </c>
      <c r="AN3" s="208">
        <f t="shared" si="0"/>
        <v>172578.10000000003</v>
      </c>
      <c r="AO3" s="208">
        <f t="shared" si="0"/>
        <v>160640</v>
      </c>
    </row>
    <row r="4" spans="1:41" x14ac:dyDescent="0.3">
      <c r="A4" s="207" t="s">
        <v>146</v>
      </c>
      <c r="B4" s="232">
        <v>1</v>
      </c>
      <c r="C4" s="209" t="s">
        <v>5</v>
      </c>
      <c r="D4" s="210" t="s">
        <v>54</v>
      </c>
      <c r="E4" s="210" t="s">
        <v>140</v>
      </c>
      <c r="F4" s="210" t="s">
        <v>3</v>
      </c>
      <c r="G4" s="210" t="s">
        <v>141</v>
      </c>
      <c r="H4" s="210" t="s">
        <v>142</v>
      </c>
      <c r="I4" s="210" t="s">
        <v>143</v>
      </c>
      <c r="J4" s="210" t="s">
        <v>144</v>
      </c>
      <c r="K4" s="210">
        <v>305</v>
      </c>
      <c r="L4" s="210">
        <v>306</v>
      </c>
      <c r="M4" s="210">
        <v>407</v>
      </c>
      <c r="N4" s="210">
        <v>408</v>
      </c>
      <c r="O4" s="210">
        <v>409</v>
      </c>
      <c r="P4" s="210">
        <v>410</v>
      </c>
      <c r="Q4" s="210">
        <v>415</v>
      </c>
      <c r="R4" s="210">
        <v>416</v>
      </c>
      <c r="S4" s="210">
        <v>418</v>
      </c>
      <c r="T4" s="210">
        <v>419</v>
      </c>
      <c r="U4" s="210">
        <v>420</v>
      </c>
      <c r="V4" s="210">
        <v>421</v>
      </c>
      <c r="W4" s="210">
        <v>522</v>
      </c>
      <c r="X4" s="210">
        <v>523</v>
      </c>
      <c r="Y4" s="210">
        <v>524</v>
      </c>
      <c r="Z4" s="210">
        <v>525</v>
      </c>
      <c r="AA4" s="210">
        <v>526</v>
      </c>
      <c r="AB4" s="210">
        <v>527</v>
      </c>
      <c r="AC4" s="210">
        <v>528</v>
      </c>
      <c r="AD4" s="210">
        <v>629</v>
      </c>
      <c r="AE4" s="210">
        <v>630</v>
      </c>
      <c r="AF4" s="210">
        <v>636</v>
      </c>
      <c r="AG4" s="210">
        <v>637</v>
      </c>
      <c r="AH4" s="210">
        <v>640</v>
      </c>
      <c r="AI4" s="210">
        <v>642</v>
      </c>
      <c r="AJ4" s="210">
        <v>743</v>
      </c>
      <c r="AK4" s="210">
        <v>745</v>
      </c>
      <c r="AL4" s="210">
        <v>746</v>
      </c>
      <c r="AM4" s="210">
        <v>747</v>
      </c>
      <c r="AN4" s="210">
        <v>930</v>
      </c>
      <c r="AO4" s="210">
        <v>940</v>
      </c>
    </row>
    <row r="5" spans="1:41" x14ac:dyDescent="0.3">
      <c r="A5" s="207" t="s">
        <v>147</v>
      </c>
      <c r="B5" s="232">
        <v>2</v>
      </c>
      <c r="C5" s="207">
        <v>24</v>
      </c>
      <c r="D5" s="207">
        <v>1</v>
      </c>
      <c r="E5" s="207">
        <v>1</v>
      </c>
      <c r="F5" s="207">
        <v>57.15</v>
      </c>
      <c r="G5" s="207">
        <v>0</v>
      </c>
      <c r="H5" s="207">
        <v>0</v>
      </c>
      <c r="I5" s="207">
        <v>12.2</v>
      </c>
      <c r="J5" s="207">
        <v>0</v>
      </c>
      <c r="K5" s="207">
        <v>29</v>
      </c>
      <c r="L5" s="207">
        <v>0</v>
      </c>
      <c r="M5" s="207">
        <v>0</v>
      </c>
      <c r="N5" s="207">
        <v>0</v>
      </c>
      <c r="O5" s="207">
        <v>0</v>
      </c>
      <c r="P5" s="207">
        <v>0</v>
      </c>
      <c r="Q5" s="207">
        <v>0</v>
      </c>
      <c r="R5" s="207">
        <v>14</v>
      </c>
      <c r="S5" s="207">
        <v>0</v>
      </c>
      <c r="T5" s="207">
        <v>0</v>
      </c>
      <c r="U5" s="207">
        <v>0</v>
      </c>
      <c r="V5" s="207">
        <v>0</v>
      </c>
      <c r="W5" s="207">
        <v>0</v>
      </c>
      <c r="X5" s="207">
        <v>0</v>
      </c>
      <c r="Y5" s="207">
        <v>0</v>
      </c>
      <c r="Z5" s="207">
        <v>0</v>
      </c>
      <c r="AA5" s="207">
        <v>0</v>
      </c>
      <c r="AB5" s="207">
        <v>0</v>
      </c>
      <c r="AC5" s="207">
        <v>0</v>
      </c>
      <c r="AD5" s="207">
        <v>0</v>
      </c>
      <c r="AE5" s="207">
        <v>0</v>
      </c>
      <c r="AF5" s="207">
        <v>0</v>
      </c>
      <c r="AG5" s="207">
        <v>0</v>
      </c>
      <c r="AH5" s="207">
        <v>0</v>
      </c>
      <c r="AI5" s="207">
        <v>0</v>
      </c>
      <c r="AJ5" s="207">
        <v>0</v>
      </c>
      <c r="AK5" s="207">
        <v>0</v>
      </c>
      <c r="AL5" s="207">
        <v>0</v>
      </c>
      <c r="AM5" s="207">
        <v>0</v>
      </c>
      <c r="AN5" s="207">
        <v>0.95</v>
      </c>
      <c r="AO5" s="207">
        <v>1</v>
      </c>
    </row>
    <row r="6" spans="1:41" x14ac:dyDescent="0.3">
      <c r="A6" s="207" t="s">
        <v>148</v>
      </c>
      <c r="B6" s="232">
        <v>3</v>
      </c>
      <c r="C6" s="207">
        <v>24</v>
      </c>
      <c r="D6" s="207">
        <v>1</v>
      </c>
      <c r="E6" s="207">
        <v>2</v>
      </c>
      <c r="F6" s="207">
        <v>9187.9</v>
      </c>
      <c r="G6" s="207">
        <v>0</v>
      </c>
      <c r="H6" s="207">
        <v>0</v>
      </c>
      <c r="I6" s="207">
        <v>1832.7</v>
      </c>
      <c r="J6" s="207">
        <v>0</v>
      </c>
      <c r="K6" s="207">
        <v>4732</v>
      </c>
      <c r="L6" s="207">
        <v>0</v>
      </c>
      <c r="M6" s="207">
        <v>0</v>
      </c>
      <c r="N6" s="207">
        <v>0</v>
      </c>
      <c r="O6" s="207">
        <v>0</v>
      </c>
      <c r="P6" s="207">
        <v>0</v>
      </c>
      <c r="Q6" s="207">
        <v>0</v>
      </c>
      <c r="R6" s="207">
        <v>2290.8000000000002</v>
      </c>
      <c r="S6" s="207">
        <v>0</v>
      </c>
      <c r="T6" s="207">
        <v>0</v>
      </c>
      <c r="U6" s="207">
        <v>0</v>
      </c>
      <c r="V6" s="207">
        <v>0</v>
      </c>
      <c r="W6" s="207">
        <v>0</v>
      </c>
      <c r="X6" s="207">
        <v>0</v>
      </c>
      <c r="Y6" s="207">
        <v>0</v>
      </c>
      <c r="Z6" s="207">
        <v>0</v>
      </c>
      <c r="AA6" s="207">
        <v>0</v>
      </c>
      <c r="AB6" s="207">
        <v>0</v>
      </c>
      <c r="AC6" s="207">
        <v>0</v>
      </c>
      <c r="AD6" s="207">
        <v>0</v>
      </c>
      <c r="AE6" s="207">
        <v>0</v>
      </c>
      <c r="AF6" s="207">
        <v>0</v>
      </c>
      <c r="AG6" s="207">
        <v>0</v>
      </c>
      <c r="AH6" s="207">
        <v>0</v>
      </c>
      <c r="AI6" s="207">
        <v>0</v>
      </c>
      <c r="AJ6" s="207">
        <v>0</v>
      </c>
      <c r="AK6" s="207">
        <v>0</v>
      </c>
      <c r="AL6" s="207">
        <v>0</v>
      </c>
      <c r="AM6" s="207">
        <v>0</v>
      </c>
      <c r="AN6" s="207">
        <v>156.4</v>
      </c>
      <c r="AO6" s="207">
        <v>176</v>
      </c>
    </row>
    <row r="7" spans="1:41" x14ac:dyDescent="0.3">
      <c r="A7" s="207" t="s">
        <v>149</v>
      </c>
      <c r="B7" s="232">
        <v>4</v>
      </c>
      <c r="C7" s="207">
        <v>24</v>
      </c>
      <c r="D7" s="207">
        <v>1</v>
      </c>
      <c r="E7" s="207">
        <v>5</v>
      </c>
      <c r="F7" s="207">
        <v>99.5</v>
      </c>
      <c r="G7" s="207">
        <v>99.5</v>
      </c>
      <c r="H7" s="207">
        <v>0</v>
      </c>
      <c r="I7" s="207">
        <v>0</v>
      </c>
      <c r="J7" s="207">
        <v>0</v>
      </c>
      <c r="K7" s="207">
        <v>0</v>
      </c>
      <c r="L7" s="207">
        <v>0</v>
      </c>
      <c r="M7" s="207">
        <v>0</v>
      </c>
      <c r="N7" s="207">
        <v>0</v>
      </c>
      <c r="O7" s="207">
        <v>0</v>
      </c>
      <c r="P7" s="207">
        <v>0</v>
      </c>
      <c r="Q7" s="207">
        <v>0</v>
      </c>
      <c r="R7" s="207">
        <v>0</v>
      </c>
      <c r="S7" s="207">
        <v>0</v>
      </c>
      <c r="T7" s="207">
        <v>0</v>
      </c>
      <c r="U7" s="207">
        <v>0</v>
      </c>
      <c r="V7" s="207">
        <v>0</v>
      </c>
      <c r="W7" s="207">
        <v>0</v>
      </c>
      <c r="X7" s="207">
        <v>0</v>
      </c>
      <c r="Y7" s="207">
        <v>0</v>
      </c>
      <c r="Z7" s="207">
        <v>0</v>
      </c>
      <c r="AA7" s="207">
        <v>0</v>
      </c>
      <c r="AB7" s="207">
        <v>0</v>
      </c>
      <c r="AC7" s="207">
        <v>0</v>
      </c>
      <c r="AD7" s="207">
        <v>0</v>
      </c>
      <c r="AE7" s="207">
        <v>0</v>
      </c>
      <c r="AF7" s="207">
        <v>0</v>
      </c>
      <c r="AG7" s="207">
        <v>0</v>
      </c>
      <c r="AH7" s="207">
        <v>0</v>
      </c>
      <c r="AI7" s="207">
        <v>0</v>
      </c>
      <c r="AJ7" s="207">
        <v>0</v>
      </c>
      <c r="AK7" s="207">
        <v>0</v>
      </c>
      <c r="AL7" s="207">
        <v>0</v>
      </c>
      <c r="AM7" s="207">
        <v>0</v>
      </c>
      <c r="AN7" s="207">
        <v>0</v>
      </c>
      <c r="AO7" s="207">
        <v>0</v>
      </c>
    </row>
    <row r="8" spans="1:41" x14ac:dyDescent="0.3">
      <c r="A8" s="207" t="s">
        <v>150</v>
      </c>
      <c r="B8" s="232">
        <v>5</v>
      </c>
      <c r="C8" s="207">
        <v>24</v>
      </c>
      <c r="D8" s="207">
        <v>1</v>
      </c>
      <c r="E8" s="207">
        <v>6</v>
      </c>
      <c r="F8" s="207">
        <v>1671074</v>
      </c>
      <c r="G8" s="207">
        <v>15960</v>
      </c>
      <c r="H8" s="207">
        <v>0</v>
      </c>
      <c r="I8" s="207">
        <v>529717</v>
      </c>
      <c r="J8" s="207">
        <v>0</v>
      </c>
      <c r="K8" s="207">
        <v>785876</v>
      </c>
      <c r="L8" s="207">
        <v>0</v>
      </c>
      <c r="M8" s="207">
        <v>0</v>
      </c>
      <c r="N8" s="207">
        <v>0</v>
      </c>
      <c r="O8" s="207">
        <v>0</v>
      </c>
      <c r="P8" s="207">
        <v>0</v>
      </c>
      <c r="Q8" s="207">
        <v>0</v>
      </c>
      <c r="R8" s="207">
        <v>309960</v>
      </c>
      <c r="S8" s="207">
        <v>0</v>
      </c>
      <c r="T8" s="207">
        <v>0</v>
      </c>
      <c r="U8" s="207">
        <v>0</v>
      </c>
      <c r="V8" s="207">
        <v>0</v>
      </c>
      <c r="W8" s="207">
        <v>0</v>
      </c>
      <c r="X8" s="207">
        <v>0</v>
      </c>
      <c r="Y8" s="207">
        <v>0</v>
      </c>
      <c r="Z8" s="207">
        <v>0</v>
      </c>
      <c r="AA8" s="207">
        <v>0</v>
      </c>
      <c r="AB8" s="207">
        <v>0</v>
      </c>
      <c r="AC8" s="207">
        <v>0</v>
      </c>
      <c r="AD8" s="207">
        <v>0</v>
      </c>
      <c r="AE8" s="207">
        <v>0</v>
      </c>
      <c r="AF8" s="207">
        <v>0</v>
      </c>
      <c r="AG8" s="207">
        <v>0</v>
      </c>
      <c r="AH8" s="207">
        <v>0</v>
      </c>
      <c r="AI8" s="207">
        <v>0</v>
      </c>
      <c r="AJ8" s="207">
        <v>0</v>
      </c>
      <c r="AK8" s="207">
        <v>0</v>
      </c>
      <c r="AL8" s="207">
        <v>0</v>
      </c>
      <c r="AM8" s="207">
        <v>0</v>
      </c>
      <c r="AN8" s="207">
        <v>14931</v>
      </c>
      <c r="AO8" s="207">
        <v>14630</v>
      </c>
    </row>
    <row r="9" spans="1:41" x14ac:dyDescent="0.3">
      <c r="A9" s="207" t="s">
        <v>151</v>
      </c>
      <c r="B9" s="232">
        <v>6</v>
      </c>
      <c r="C9" s="207">
        <v>24</v>
      </c>
      <c r="D9" s="207">
        <v>1</v>
      </c>
      <c r="E9" s="207">
        <v>9</v>
      </c>
      <c r="F9" s="207">
        <v>9608</v>
      </c>
      <c r="G9" s="207">
        <v>0</v>
      </c>
      <c r="H9" s="207">
        <v>0</v>
      </c>
      <c r="I9" s="207">
        <v>0</v>
      </c>
      <c r="J9" s="207">
        <v>0</v>
      </c>
      <c r="K9" s="207">
        <v>9608</v>
      </c>
      <c r="L9" s="207">
        <v>0</v>
      </c>
      <c r="M9" s="207">
        <v>0</v>
      </c>
      <c r="N9" s="207">
        <v>0</v>
      </c>
      <c r="O9" s="207">
        <v>0</v>
      </c>
      <c r="P9" s="207">
        <v>0</v>
      </c>
      <c r="Q9" s="207">
        <v>0</v>
      </c>
      <c r="R9" s="207">
        <v>0</v>
      </c>
      <c r="S9" s="207">
        <v>0</v>
      </c>
      <c r="T9" s="207">
        <v>0</v>
      </c>
      <c r="U9" s="207">
        <v>0</v>
      </c>
      <c r="V9" s="207">
        <v>0</v>
      </c>
      <c r="W9" s="207">
        <v>0</v>
      </c>
      <c r="X9" s="207">
        <v>0</v>
      </c>
      <c r="Y9" s="207">
        <v>0</v>
      </c>
      <c r="Z9" s="207">
        <v>0</v>
      </c>
      <c r="AA9" s="207">
        <v>0</v>
      </c>
      <c r="AB9" s="207">
        <v>0</v>
      </c>
      <c r="AC9" s="207">
        <v>0</v>
      </c>
      <c r="AD9" s="207">
        <v>0</v>
      </c>
      <c r="AE9" s="207">
        <v>0</v>
      </c>
      <c r="AF9" s="207">
        <v>0</v>
      </c>
      <c r="AG9" s="207">
        <v>0</v>
      </c>
      <c r="AH9" s="207">
        <v>0</v>
      </c>
      <c r="AI9" s="207">
        <v>0</v>
      </c>
      <c r="AJ9" s="207">
        <v>0</v>
      </c>
      <c r="AK9" s="207">
        <v>0</v>
      </c>
      <c r="AL9" s="207">
        <v>0</v>
      </c>
      <c r="AM9" s="207">
        <v>0</v>
      </c>
      <c r="AN9" s="207">
        <v>0</v>
      </c>
      <c r="AO9" s="207">
        <v>0</v>
      </c>
    </row>
    <row r="10" spans="1:41" x14ac:dyDescent="0.3">
      <c r="A10" s="207" t="s">
        <v>152</v>
      </c>
      <c r="B10" s="232">
        <v>7</v>
      </c>
      <c r="C10" s="207">
        <v>24</v>
      </c>
      <c r="D10" s="207">
        <v>1</v>
      </c>
      <c r="E10" s="207">
        <v>11</v>
      </c>
      <c r="F10" s="207">
        <v>5908.6608667036871</v>
      </c>
      <c r="G10" s="207">
        <v>0</v>
      </c>
      <c r="H10" s="207">
        <v>4241.9942000370202</v>
      </c>
      <c r="I10" s="207">
        <v>0</v>
      </c>
      <c r="J10" s="207">
        <v>0</v>
      </c>
      <c r="K10" s="207">
        <v>1666.6666666666667</v>
      </c>
      <c r="L10" s="207">
        <v>0</v>
      </c>
      <c r="M10" s="207">
        <v>0</v>
      </c>
      <c r="N10" s="207">
        <v>0</v>
      </c>
      <c r="O10" s="207">
        <v>0</v>
      </c>
      <c r="P10" s="207">
        <v>0</v>
      </c>
      <c r="Q10" s="207">
        <v>0</v>
      </c>
      <c r="R10" s="207">
        <v>0</v>
      </c>
      <c r="S10" s="207">
        <v>0</v>
      </c>
      <c r="T10" s="207">
        <v>0</v>
      </c>
      <c r="U10" s="207">
        <v>0</v>
      </c>
      <c r="V10" s="207">
        <v>0</v>
      </c>
      <c r="W10" s="207">
        <v>0</v>
      </c>
      <c r="X10" s="207">
        <v>0</v>
      </c>
      <c r="Y10" s="207">
        <v>0</v>
      </c>
      <c r="Z10" s="207">
        <v>0</v>
      </c>
      <c r="AA10" s="207">
        <v>0</v>
      </c>
      <c r="AB10" s="207">
        <v>0</v>
      </c>
      <c r="AC10" s="207">
        <v>0</v>
      </c>
      <c r="AD10" s="207">
        <v>0</v>
      </c>
      <c r="AE10" s="207">
        <v>0</v>
      </c>
      <c r="AF10" s="207">
        <v>0</v>
      </c>
      <c r="AG10" s="207">
        <v>0</v>
      </c>
      <c r="AH10" s="207">
        <v>0</v>
      </c>
      <c r="AI10" s="207">
        <v>0</v>
      </c>
      <c r="AJ10" s="207">
        <v>0</v>
      </c>
      <c r="AK10" s="207">
        <v>0</v>
      </c>
      <c r="AL10" s="207">
        <v>0</v>
      </c>
      <c r="AM10" s="207">
        <v>0</v>
      </c>
      <c r="AN10" s="207">
        <v>0</v>
      </c>
      <c r="AO10" s="207">
        <v>0</v>
      </c>
    </row>
    <row r="11" spans="1:41" x14ac:dyDescent="0.3">
      <c r="A11" s="207" t="s">
        <v>153</v>
      </c>
      <c r="B11" s="232">
        <v>8</v>
      </c>
      <c r="C11" s="207">
        <v>24</v>
      </c>
      <c r="D11" s="207">
        <v>2</v>
      </c>
      <c r="E11" s="207">
        <v>1</v>
      </c>
      <c r="F11" s="207">
        <v>57.1</v>
      </c>
      <c r="G11" s="207">
        <v>0</v>
      </c>
      <c r="H11" s="207">
        <v>0</v>
      </c>
      <c r="I11" s="207">
        <v>12.15</v>
      </c>
      <c r="J11" s="207">
        <v>0</v>
      </c>
      <c r="K11" s="207">
        <v>29</v>
      </c>
      <c r="L11" s="207">
        <v>0</v>
      </c>
      <c r="M11" s="207">
        <v>0</v>
      </c>
      <c r="N11" s="207">
        <v>0</v>
      </c>
      <c r="O11" s="207">
        <v>0</v>
      </c>
      <c r="P11" s="207">
        <v>0</v>
      </c>
      <c r="Q11" s="207">
        <v>0</v>
      </c>
      <c r="R11" s="207">
        <v>14</v>
      </c>
      <c r="S11" s="207">
        <v>0</v>
      </c>
      <c r="T11" s="207">
        <v>0</v>
      </c>
      <c r="U11" s="207">
        <v>0</v>
      </c>
      <c r="V11" s="207">
        <v>0</v>
      </c>
      <c r="W11" s="207">
        <v>0</v>
      </c>
      <c r="X11" s="207">
        <v>0</v>
      </c>
      <c r="Y11" s="207">
        <v>0</v>
      </c>
      <c r="Z11" s="207">
        <v>0</v>
      </c>
      <c r="AA11" s="207">
        <v>0</v>
      </c>
      <c r="AB11" s="207">
        <v>0</v>
      </c>
      <c r="AC11" s="207">
        <v>0</v>
      </c>
      <c r="AD11" s="207">
        <v>0</v>
      </c>
      <c r="AE11" s="207">
        <v>0</v>
      </c>
      <c r="AF11" s="207">
        <v>0</v>
      </c>
      <c r="AG11" s="207">
        <v>0</v>
      </c>
      <c r="AH11" s="207">
        <v>0</v>
      </c>
      <c r="AI11" s="207">
        <v>0</v>
      </c>
      <c r="AJ11" s="207">
        <v>0</v>
      </c>
      <c r="AK11" s="207">
        <v>0</v>
      </c>
      <c r="AL11" s="207">
        <v>0</v>
      </c>
      <c r="AM11" s="207">
        <v>0</v>
      </c>
      <c r="AN11" s="207">
        <v>0.95</v>
      </c>
      <c r="AO11" s="207">
        <v>1</v>
      </c>
    </row>
    <row r="12" spans="1:41" x14ac:dyDescent="0.3">
      <c r="A12" s="207" t="s">
        <v>154</v>
      </c>
      <c r="B12" s="232">
        <v>9</v>
      </c>
      <c r="C12" s="207">
        <v>24</v>
      </c>
      <c r="D12" s="207">
        <v>2</v>
      </c>
      <c r="E12" s="207">
        <v>2</v>
      </c>
      <c r="F12" s="207">
        <v>8223.1</v>
      </c>
      <c r="G12" s="207">
        <v>0</v>
      </c>
      <c r="H12" s="207">
        <v>0</v>
      </c>
      <c r="I12" s="207">
        <v>1756.3</v>
      </c>
      <c r="J12" s="207">
        <v>0</v>
      </c>
      <c r="K12" s="207">
        <v>4072</v>
      </c>
      <c r="L12" s="207">
        <v>0</v>
      </c>
      <c r="M12" s="207">
        <v>0</v>
      </c>
      <c r="N12" s="207">
        <v>0</v>
      </c>
      <c r="O12" s="207">
        <v>0</v>
      </c>
      <c r="P12" s="207">
        <v>0</v>
      </c>
      <c r="Q12" s="207">
        <v>0</v>
      </c>
      <c r="R12" s="207">
        <v>2096</v>
      </c>
      <c r="S12" s="207">
        <v>0</v>
      </c>
      <c r="T12" s="207">
        <v>0</v>
      </c>
      <c r="U12" s="207">
        <v>0</v>
      </c>
      <c r="V12" s="207">
        <v>0</v>
      </c>
      <c r="W12" s="207">
        <v>0</v>
      </c>
      <c r="X12" s="207">
        <v>0</v>
      </c>
      <c r="Y12" s="207">
        <v>0</v>
      </c>
      <c r="Z12" s="207">
        <v>0</v>
      </c>
      <c r="AA12" s="207">
        <v>0</v>
      </c>
      <c r="AB12" s="207">
        <v>0</v>
      </c>
      <c r="AC12" s="207">
        <v>0</v>
      </c>
      <c r="AD12" s="207">
        <v>0</v>
      </c>
      <c r="AE12" s="207">
        <v>0</v>
      </c>
      <c r="AF12" s="207">
        <v>0</v>
      </c>
      <c r="AG12" s="207">
        <v>0</v>
      </c>
      <c r="AH12" s="207">
        <v>0</v>
      </c>
      <c r="AI12" s="207">
        <v>0</v>
      </c>
      <c r="AJ12" s="207">
        <v>0</v>
      </c>
      <c r="AK12" s="207">
        <v>0</v>
      </c>
      <c r="AL12" s="207">
        <v>0</v>
      </c>
      <c r="AM12" s="207">
        <v>0</v>
      </c>
      <c r="AN12" s="207">
        <v>138.80000000000001</v>
      </c>
      <c r="AO12" s="207">
        <v>160</v>
      </c>
    </row>
    <row r="13" spans="1:41" x14ac:dyDescent="0.3">
      <c r="A13" s="207" t="s">
        <v>155</v>
      </c>
      <c r="B13" s="232">
        <v>10</v>
      </c>
      <c r="C13" s="207">
        <v>24</v>
      </c>
      <c r="D13" s="207">
        <v>2</v>
      </c>
      <c r="E13" s="207">
        <v>5</v>
      </c>
      <c r="F13" s="207">
        <v>106.5</v>
      </c>
      <c r="G13" s="207">
        <v>106.5</v>
      </c>
      <c r="H13" s="207">
        <v>0</v>
      </c>
      <c r="I13" s="207">
        <v>0</v>
      </c>
      <c r="J13" s="207">
        <v>0</v>
      </c>
      <c r="K13" s="207">
        <v>0</v>
      </c>
      <c r="L13" s="207">
        <v>0</v>
      </c>
      <c r="M13" s="207">
        <v>0</v>
      </c>
      <c r="N13" s="207">
        <v>0</v>
      </c>
      <c r="O13" s="207">
        <v>0</v>
      </c>
      <c r="P13" s="207">
        <v>0</v>
      </c>
      <c r="Q13" s="207">
        <v>0</v>
      </c>
      <c r="R13" s="207">
        <v>0</v>
      </c>
      <c r="S13" s="207">
        <v>0</v>
      </c>
      <c r="T13" s="207">
        <v>0</v>
      </c>
      <c r="U13" s="207">
        <v>0</v>
      </c>
      <c r="V13" s="207">
        <v>0</v>
      </c>
      <c r="W13" s="207">
        <v>0</v>
      </c>
      <c r="X13" s="207">
        <v>0</v>
      </c>
      <c r="Y13" s="207">
        <v>0</v>
      </c>
      <c r="Z13" s="207">
        <v>0</v>
      </c>
      <c r="AA13" s="207">
        <v>0</v>
      </c>
      <c r="AB13" s="207">
        <v>0</v>
      </c>
      <c r="AC13" s="207">
        <v>0</v>
      </c>
      <c r="AD13" s="207">
        <v>0</v>
      </c>
      <c r="AE13" s="207">
        <v>0</v>
      </c>
      <c r="AF13" s="207">
        <v>0</v>
      </c>
      <c r="AG13" s="207">
        <v>0</v>
      </c>
      <c r="AH13" s="207">
        <v>0</v>
      </c>
      <c r="AI13" s="207">
        <v>0</v>
      </c>
      <c r="AJ13" s="207">
        <v>0</v>
      </c>
      <c r="AK13" s="207">
        <v>0</v>
      </c>
      <c r="AL13" s="207">
        <v>0</v>
      </c>
      <c r="AM13" s="207">
        <v>0</v>
      </c>
      <c r="AN13" s="207">
        <v>0</v>
      </c>
      <c r="AO13" s="207">
        <v>0</v>
      </c>
    </row>
    <row r="14" spans="1:41" x14ac:dyDescent="0.3">
      <c r="A14" s="207" t="s">
        <v>156</v>
      </c>
      <c r="B14" s="232">
        <v>11</v>
      </c>
      <c r="C14" s="207">
        <v>24</v>
      </c>
      <c r="D14" s="207">
        <v>2</v>
      </c>
      <c r="E14" s="207">
        <v>6</v>
      </c>
      <c r="F14" s="207">
        <v>1645034</v>
      </c>
      <c r="G14" s="207">
        <v>17220</v>
      </c>
      <c r="H14" s="207">
        <v>0</v>
      </c>
      <c r="I14" s="207">
        <v>526289</v>
      </c>
      <c r="J14" s="207">
        <v>0</v>
      </c>
      <c r="K14" s="207">
        <v>754333</v>
      </c>
      <c r="L14" s="207">
        <v>0</v>
      </c>
      <c r="M14" s="207">
        <v>0</v>
      </c>
      <c r="N14" s="207">
        <v>0</v>
      </c>
      <c r="O14" s="207">
        <v>0</v>
      </c>
      <c r="P14" s="207">
        <v>0</v>
      </c>
      <c r="Q14" s="207">
        <v>0</v>
      </c>
      <c r="R14" s="207">
        <v>317727</v>
      </c>
      <c r="S14" s="207">
        <v>0</v>
      </c>
      <c r="T14" s="207">
        <v>0</v>
      </c>
      <c r="U14" s="207">
        <v>0</v>
      </c>
      <c r="V14" s="207">
        <v>0</v>
      </c>
      <c r="W14" s="207">
        <v>0</v>
      </c>
      <c r="X14" s="207">
        <v>0</v>
      </c>
      <c r="Y14" s="207">
        <v>0</v>
      </c>
      <c r="Z14" s="207">
        <v>0</v>
      </c>
      <c r="AA14" s="207">
        <v>0</v>
      </c>
      <c r="AB14" s="207">
        <v>0</v>
      </c>
      <c r="AC14" s="207">
        <v>0</v>
      </c>
      <c r="AD14" s="207">
        <v>0</v>
      </c>
      <c r="AE14" s="207">
        <v>0</v>
      </c>
      <c r="AF14" s="207">
        <v>0</v>
      </c>
      <c r="AG14" s="207">
        <v>0</v>
      </c>
      <c r="AH14" s="207">
        <v>0</v>
      </c>
      <c r="AI14" s="207">
        <v>0</v>
      </c>
      <c r="AJ14" s="207">
        <v>0</v>
      </c>
      <c r="AK14" s="207">
        <v>0</v>
      </c>
      <c r="AL14" s="207">
        <v>0</v>
      </c>
      <c r="AM14" s="207">
        <v>0</v>
      </c>
      <c r="AN14" s="207">
        <v>14835</v>
      </c>
      <c r="AO14" s="207">
        <v>14630</v>
      </c>
    </row>
    <row r="15" spans="1:41" x14ac:dyDescent="0.3">
      <c r="A15" s="207" t="s">
        <v>157</v>
      </c>
      <c r="B15" s="232">
        <v>12</v>
      </c>
      <c r="C15" s="207">
        <v>24</v>
      </c>
      <c r="D15" s="207">
        <v>2</v>
      </c>
      <c r="E15" s="207">
        <v>9</v>
      </c>
      <c r="F15" s="207">
        <v>5142</v>
      </c>
      <c r="G15" s="207">
        <v>0</v>
      </c>
      <c r="H15" s="207">
        <v>0</v>
      </c>
      <c r="I15" s="207">
        <v>5142</v>
      </c>
      <c r="J15" s="207">
        <v>0</v>
      </c>
      <c r="K15" s="207">
        <v>0</v>
      </c>
      <c r="L15" s="207">
        <v>0</v>
      </c>
      <c r="M15" s="207">
        <v>0</v>
      </c>
      <c r="N15" s="207">
        <v>0</v>
      </c>
      <c r="O15" s="207">
        <v>0</v>
      </c>
      <c r="P15" s="207">
        <v>0</v>
      </c>
      <c r="Q15" s="207">
        <v>0</v>
      </c>
      <c r="R15" s="207">
        <v>0</v>
      </c>
      <c r="S15" s="207">
        <v>0</v>
      </c>
      <c r="T15" s="207">
        <v>0</v>
      </c>
      <c r="U15" s="207">
        <v>0</v>
      </c>
      <c r="V15" s="207">
        <v>0</v>
      </c>
      <c r="W15" s="207">
        <v>0</v>
      </c>
      <c r="X15" s="207">
        <v>0</v>
      </c>
      <c r="Y15" s="207">
        <v>0</v>
      </c>
      <c r="Z15" s="207">
        <v>0</v>
      </c>
      <c r="AA15" s="207">
        <v>0</v>
      </c>
      <c r="AB15" s="207">
        <v>0</v>
      </c>
      <c r="AC15" s="207">
        <v>0</v>
      </c>
      <c r="AD15" s="207">
        <v>0</v>
      </c>
      <c r="AE15" s="207">
        <v>0</v>
      </c>
      <c r="AF15" s="207">
        <v>0</v>
      </c>
      <c r="AG15" s="207">
        <v>0</v>
      </c>
      <c r="AH15" s="207">
        <v>0</v>
      </c>
      <c r="AI15" s="207">
        <v>0</v>
      </c>
      <c r="AJ15" s="207">
        <v>0</v>
      </c>
      <c r="AK15" s="207">
        <v>0</v>
      </c>
      <c r="AL15" s="207">
        <v>0</v>
      </c>
      <c r="AM15" s="207">
        <v>0</v>
      </c>
      <c r="AN15" s="207">
        <v>0</v>
      </c>
      <c r="AO15" s="207">
        <v>0</v>
      </c>
    </row>
    <row r="16" spans="1:41" x14ac:dyDescent="0.3">
      <c r="A16" s="207" t="s">
        <v>145</v>
      </c>
      <c r="B16" s="232">
        <v>2015</v>
      </c>
      <c r="C16" s="207">
        <v>24</v>
      </c>
      <c r="D16" s="207">
        <v>2</v>
      </c>
      <c r="E16" s="207">
        <v>11</v>
      </c>
      <c r="F16" s="207">
        <v>5908.6608667036871</v>
      </c>
      <c r="G16" s="207">
        <v>0</v>
      </c>
      <c r="H16" s="207">
        <v>4241.9942000370202</v>
      </c>
      <c r="I16" s="207">
        <v>0</v>
      </c>
      <c r="J16" s="207">
        <v>0</v>
      </c>
      <c r="K16" s="207">
        <v>1666.6666666666667</v>
      </c>
      <c r="L16" s="207">
        <v>0</v>
      </c>
      <c r="M16" s="207">
        <v>0</v>
      </c>
      <c r="N16" s="207">
        <v>0</v>
      </c>
      <c r="O16" s="207">
        <v>0</v>
      </c>
      <c r="P16" s="207">
        <v>0</v>
      </c>
      <c r="Q16" s="207">
        <v>0</v>
      </c>
      <c r="R16" s="207">
        <v>0</v>
      </c>
      <c r="S16" s="207">
        <v>0</v>
      </c>
      <c r="T16" s="207">
        <v>0</v>
      </c>
      <c r="U16" s="207">
        <v>0</v>
      </c>
      <c r="V16" s="207">
        <v>0</v>
      </c>
      <c r="W16" s="207">
        <v>0</v>
      </c>
      <c r="X16" s="207">
        <v>0</v>
      </c>
      <c r="Y16" s="207">
        <v>0</v>
      </c>
      <c r="Z16" s="207">
        <v>0</v>
      </c>
      <c r="AA16" s="207">
        <v>0</v>
      </c>
      <c r="AB16" s="207">
        <v>0</v>
      </c>
      <c r="AC16" s="207">
        <v>0</v>
      </c>
      <c r="AD16" s="207">
        <v>0</v>
      </c>
      <c r="AE16" s="207">
        <v>0</v>
      </c>
      <c r="AF16" s="207">
        <v>0</v>
      </c>
      <c r="AG16" s="207">
        <v>0</v>
      </c>
      <c r="AH16" s="207">
        <v>0</v>
      </c>
      <c r="AI16" s="207">
        <v>0</v>
      </c>
      <c r="AJ16" s="207">
        <v>0</v>
      </c>
      <c r="AK16" s="207">
        <v>0</v>
      </c>
      <c r="AL16" s="207">
        <v>0</v>
      </c>
      <c r="AM16" s="207">
        <v>0</v>
      </c>
      <c r="AN16" s="207">
        <v>0</v>
      </c>
      <c r="AO16" s="207">
        <v>0</v>
      </c>
    </row>
    <row r="17" spans="3:41" x14ac:dyDescent="0.3">
      <c r="C17" s="207">
        <v>24</v>
      </c>
      <c r="D17" s="207">
        <v>3</v>
      </c>
      <c r="E17" s="207">
        <v>1</v>
      </c>
      <c r="F17" s="207">
        <v>55.65</v>
      </c>
      <c r="G17" s="207">
        <v>0</v>
      </c>
      <c r="H17" s="207">
        <v>0</v>
      </c>
      <c r="I17" s="207">
        <v>11.7</v>
      </c>
      <c r="J17" s="207">
        <v>0</v>
      </c>
      <c r="K17" s="207">
        <v>29</v>
      </c>
      <c r="L17" s="207">
        <v>0</v>
      </c>
      <c r="M17" s="207">
        <v>0</v>
      </c>
      <c r="N17" s="207">
        <v>0</v>
      </c>
      <c r="O17" s="207">
        <v>0</v>
      </c>
      <c r="P17" s="207">
        <v>0</v>
      </c>
      <c r="Q17" s="207">
        <v>0</v>
      </c>
      <c r="R17" s="207">
        <v>13</v>
      </c>
      <c r="S17" s="207">
        <v>0</v>
      </c>
      <c r="T17" s="207">
        <v>0</v>
      </c>
      <c r="U17" s="207">
        <v>0</v>
      </c>
      <c r="V17" s="207">
        <v>0</v>
      </c>
      <c r="W17" s="207">
        <v>0</v>
      </c>
      <c r="X17" s="207">
        <v>0</v>
      </c>
      <c r="Y17" s="207">
        <v>0</v>
      </c>
      <c r="Z17" s="207">
        <v>0</v>
      </c>
      <c r="AA17" s="207">
        <v>0</v>
      </c>
      <c r="AB17" s="207">
        <v>0</v>
      </c>
      <c r="AC17" s="207">
        <v>0</v>
      </c>
      <c r="AD17" s="207">
        <v>0</v>
      </c>
      <c r="AE17" s="207">
        <v>0</v>
      </c>
      <c r="AF17" s="207">
        <v>0</v>
      </c>
      <c r="AG17" s="207">
        <v>0</v>
      </c>
      <c r="AH17" s="207">
        <v>0</v>
      </c>
      <c r="AI17" s="207">
        <v>0</v>
      </c>
      <c r="AJ17" s="207">
        <v>0</v>
      </c>
      <c r="AK17" s="207">
        <v>0</v>
      </c>
      <c r="AL17" s="207">
        <v>0</v>
      </c>
      <c r="AM17" s="207">
        <v>0</v>
      </c>
      <c r="AN17" s="207">
        <v>0.95</v>
      </c>
      <c r="AO17" s="207">
        <v>1</v>
      </c>
    </row>
    <row r="18" spans="3:41" x14ac:dyDescent="0.3">
      <c r="C18" s="207">
        <v>24</v>
      </c>
      <c r="D18" s="207">
        <v>3</v>
      </c>
      <c r="E18" s="207">
        <v>2</v>
      </c>
      <c r="F18" s="207">
        <v>9229.9</v>
      </c>
      <c r="G18" s="207">
        <v>0</v>
      </c>
      <c r="H18" s="207">
        <v>0</v>
      </c>
      <c r="I18" s="207">
        <v>1884.9</v>
      </c>
      <c r="J18" s="207">
        <v>0</v>
      </c>
      <c r="K18" s="207">
        <v>4728</v>
      </c>
      <c r="L18" s="207">
        <v>0</v>
      </c>
      <c r="M18" s="207">
        <v>0</v>
      </c>
      <c r="N18" s="207">
        <v>0</v>
      </c>
      <c r="O18" s="207">
        <v>0</v>
      </c>
      <c r="P18" s="207">
        <v>0</v>
      </c>
      <c r="Q18" s="207">
        <v>0</v>
      </c>
      <c r="R18" s="207">
        <v>2280</v>
      </c>
      <c r="S18" s="207">
        <v>0</v>
      </c>
      <c r="T18" s="207">
        <v>0</v>
      </c>
      <c r="U18" s="207">
        <v>0</v>
      </c>
      <c r="V18" s="207">
        <v>0</v>
      </c>
      <c r="W18" s="207">
        <v>0</v>
      </c>
      <c r="X18" s="207">
        <v>0</v>
      </c>
      <c r="Y18" s="207">
        <v>0</v>
      </c>
      <c r="Z18" s="207">
        <v>0</v>
      </c>
      <c r="AA18" s="207">
        <v>0</v>
      </c>
      <c r="AB18" s="207">
        <v>0</v>
      </c>
      <c r="AC18" s="207">
        <v>0</v>
      </c>
      <c r="AD18" s="207">
        <v>0</v>
      </c>
      <c r="AE18" s="207">
        <v>0</v>
      </c>
      <c r="AF18" s="207">
        <v>0</v>
      </c>
      <c r="AG18" s="207">
        <v>0</v>
      </c>
      <c r="AH18" s="207">
        <v>0</v>
      </c>
      <c r="AI18" s="207">
        <v>0</v>
      </c>
      <c r="AJ18" s="207">
        <v>0</v>
      </c>
      <c r="AK18" s="207">
        <v>0</v>
      </c>
      <c r="AL18" s="207">
        <v>0</v>
      </c>
      <c r="AM18" s="207">
        <v>0</v>
      </c>
      <c r="AN18" s="207">
        <v>161</v>
      </c>
      <c r="AO18" s="207">
        <v>176</v>
      </c>
    </row>
    <row r="19" spans="3:41" x14ac:dyDescent="0.3">
      <c r="C19" s="207">
        <v>24</v>
      </c>
      <c r="D19" s="207">
        <v>3</v>
      </c>
      <c r="E19" s="207">
        <v>5</v>
      </c>
      <c r="F19" s="207">
        <v>124.5</v>
      </c>
      <c r="G19" s="207">
        <v>124.5</v>
      </c>
      <c r="H19" s="207">
        <v>0</v>
      </c>
      <c r="I19" s="207">
        <v>0</v>
      </c>
      <c r="J19" s="207">
        <v>0</v>
      </c>
      <c r="K19" s="207">
        <v>0</v>
      </c>
      <c r="L19" s="207">
        <v>0</v>
      </c>
      <c r="M19" s="207">
        <v>0</v>
      </c>
      <c r="N19" s="207">
        <v>0</v>
      </c>
      <c r="O19" s="207">
        <v>0</v>
      </c>
      <c r="P19" s="207">
        <v>0</v>
      </c>
      <c r="Q19" s="207">
        <v>0</v>
      </c>
      <c r="R19" s="207">
        <v>0</v>
      </c>
      <c r="S19" s="207">
        <v>0</v>
      </c>
      <c r="T19" s="207">
        <v>0</v>
      </c>
      <c r="U19" s="207">
        <v>0</v>
      </c>
      <c r="V19" s="207">
        <v>0</v>
      </c>
      <c r="W19" s="207">
        <v>0</v>
      </c>
      <c r="X19" s="207">
        <v>0</v>
      </c>
      <c r="Y19" s="207">
        <v>0</v>
      </c>
      <c r="Z19" s="207">
        <v>0</v>
      </c>
      <c r="AA19" s="207">
        <v>0</v>
      </c>
      <c r="AB19" s="207">
        <v>0</v>
      </c>
      <c r="AC19" s="207">
        <v>0</v>
      </c>
      <c r="AD19" s="207">
        <v>0</v>
      </c>
      <c r="AE19" s="207">
        <v>0</v>
      </c>
      <c r="AF19" s="207">
        <v>0</v>
      </c>
      <c r="AG19" s="207">
        <v>0</v>
      </c>
      <c r="AH19" s="207">
        <v>0</v>
      </c>
      <c r="AI19" s="207">
        <v>0</v>
      </c>
      <c r="AJ19" s="207">
        <v>0</v>
      </c>
      <c r="AK19" s="207">
        <v>0</v>
      </c>
      <c r="AL19" s="207">
        <v>0</v>
      </c>
      <c r="AM19" s="207">
        <v>0</v>
      </c>
      <c r="AN19" s="207">
        <v>0</v>
      </c>
      <c r="AO19" s="207">
        <v>0</v>
      </c>
    </row>
    <row r="20" spans="3:41" x14ac:dyDescent="0.3">
      <c r="C20" s="207">
        <v>24</v>
      </c>
      <c r="D20" s="207">
        <v>3</v>
      </c>
      <c r="E20" s="207">
        <v>6</v>
      </c>
      <c r="F20" s="207">
        <v>1608630</v>
      </c>
      <c r="G20" s="207">
        <v>20460</v>
      </c>
      <c r="H20" s="207">
        <v>0</v>
      </c>
      <c r="I20" s="207">
        <v>502482</v>
      </c>
      <c r="J20" s="207">
        <v>0</v>
      </c>
      <c r="K20" s="207">
        <v>746347</v>
      </c>
      <c r="L20" s="207">
        <v>0</v>
      </c>
      <c r="M20" s="207">
        <v>0</v>
      </c>
      <c r="N20" s="207">
        <v>0</v>
      </c>
      <c r="O20" s="207">
        <v>0</v>
      </c>
      <c r="P20" s="207">
        <v>0</v>
      </c>
      <c r="Q20" s="207">
        <v>0</v>
      </c>
      <c r="R20" s="207">
        <v>308866</v>
      </c>
      <c r="S20" s="207">
        <v>0</v>
      </c>
      <c r="T20" s="207">
        <v>0</v>
      </c>
      <c r="U20" s="207">
        <v>0</v>
      </c>
      <c r="V20" s="207">
        <v>0</v>
      </c>
      <c r="W20" s="207">
        <v>0</v>
      </c>
      <c r="X20" s="207">
        <v>0</v>
      </c>
      <c r="Y20" s="207">
        <v>0</v>
      </c>
      <c r="Z20" s="207">
        <v>0</v>
      </c>
      <c r="AA20" s="207">
        <v>0</v>
      </c>
      <c r="AB20" s="207">
        <v>0</v>
      </c>
      <c r="AC20" s="207">
        <v>0</v>
      </c>
      <c r="AD20" s="207">
        <v>0</v>
      </c>
      <c r="AE20" s="207">
        <v>0</v>
      </c>
      <c r="AF20" s="207">
        <v>0</v>
      </c>
      <c r="AG20" s="207">
        <v>0</v>
      </c>
      <c r="AH20" s="207">
        <v>0</v>
      </c>
      <c r="AI20" s="207">
        <v>0</v>
      </c>
      <c r="AJ20" s="207">
        <v>0</v>
      </c>
      <c r="AK20" s="207">
        <v>0</v>
      </c>
      <c r="AL20" s="207">
        <v>0</v>
      </c>
      <c r="AM20" s="207">
        <v>0</v>
      </c>
      <c r="AN20" s="207">
        <v>15845</v>
      </c>
      <c r="AO20" s="207">
        <v>14630</v>
      </c>
    </row>
    <row r="21" spans="3:41" x14ac:dyDescent="0.3">
      <c r="C21" s="207">
        <v>24</v>
      </c>
      <c r="D21" s="207">
        <v>3</v>
      </c>
      <c r="E21" s="207">
        <v>9</v>
      </c>
      <c r="F21" s="207">
        <v>9024</v>
      </c>
      <c r="G21" s="207">
        <v>0</v>
      </c>
      <c r="H21" s="207">
        <v>0</v>
      </c>
      <c r="I21" s="207">
        <v>0</v>
      </c>
      <c r="J21" s="207">
        <v>0</v>
      </c>
      <c r="K21" s="207">
        <v>9024</v>
      </c>
      <c r="L21" s="207">
        <v>0</v>
      </c>
      <c r="M21" s="207">
        <v>0</v>
      </c>
      <c r="N21" s="207">
        <v>0</v>
      </c>
      <c r="O21" s="207">
        <v>0</v>
      </c>
      <c r="P21" s="207">
        <v>0</v>
      </c>
      <c r="Q21" s="207">
        <v>0</v>
      </c>
      <c r="R21" s="207">
        <v>0</v>
      </c>
      <c r="S21" s="207">
        <v>0</v>
      </c>
      <c r="T21" s="207">
        <v>0</v>
      </c>
      <c r="U21" s="207">
        <v>0</v>
      </c>
      <c r="V21" s="207">
        <v>0</v>
      </c>
      <c r="W21" s="207">
        <v>0</v>
      </c>
      <c r="X21" s="207">
        <v>0</v>
      </c>
      <c r="Y21" s="207">
        <v>0</v>
      </c>
      <c r="Z21" s="207">
        <v>0</v>
      </c>
      <c r="AA21" s="207">
        <v>0</v>
      </c>
      <c r="AB21" s="207">
        <v>0</v>
      </c>
      <c r="AC21" s="207">
        <v>0</v>
      </c>
      <c r="AD21" s="207">
        <v>0</v>
      </c>
      <c r="AE21" s="207">
        <v>0</v>
      </c>
      <c r="AF21" s="207">
        <v>0</v>
      </c>
      <c r="AG21" s="207">
        <v>0</v>
      </c>
      <c r="AH21" s="207">
        <v>0</v>
      </c>
      <c r="AI21" s="207">
        <v>0</v>
      </c>
      <c r="AJ21" s="207">
        <v>0</v>
      </c>
      <c r="AK21" s="207">
        <v>0</v>
      </c>
      <c r="AL21" s="207">
        <v>0</v>
      </c>
      <c r="AM21" s="207">
        <v>0</v>
      </c>
      <c r="AN21" s="207">
        <v>0</v>
      </c>
      <c r="AO21" s="207">
        <v>0</v>
      </c>
    </row>
    <row r="22" spans="3:41" x14ac:dyDescent="0.3">
      <c r="C22" s="207">
        <v>24</v>
      </c>
      <c r="D22" s="207">
        <v>3</v>
      </c>
      <c r="E22" s="207">
        <v>11</v>
      </c>
      <c r="F22" s="207">
        <v>5908.6608667036871</v>
      </c>
      <c r="G22" s="207">
        <v>0</v>
      </c>
      <c r="H22" s="207">
        <v>4241.9942000370202</v>
      </c>
      <c r="I22" s="207">
        <v>0</v>
      </c>
      <c r="J22" s="207">
        <v>0</v>
      </c>
      <c r="K22" s="207">
        <v>1666.6666666666667</v>
      </c>
      <c r="L22" s="207">
        <v>0</v>
      </c>
      <c r="M22" s="207">
        <v>0</v>
      </c>
      <c r="N22" s="207">
        <v>0</v>
      </c>
      <c r="O22" s="207">
        <v>0</v>
      </c>
      <c r="P22" s="207">
        <v>0</v>
      </c>
      <c r="Q22" s="207">
        <v>0</v>
      </c>
      <c r="R22" s="207">
        <v>0</v>
      </c>
      <c r="S22" s="207">
        <v>0</v>
      </c>
      <c r="T22" s="207">
        <v>0</v>
      </c>
      <c r="U22" s="207">
        <v>0</v>
      </c>
      <c r="V22" s="207">
        <v>0</v>
      </c>
      <c r="W22" s="207">
        <v>0</v>
      </c>
      <c r="X22" s="207">
        <v>0</v>
      </c>
      <c r="Y22" s="207">
        <v>0</v>
      </c>
      <c r="Z22" s="207">
        <v>0</v>
      </c>
      <c r="AA22" s="207">
        <v>0</v>
      </c>
      <c r="AB22" s="207">
        <v>0</v>
      </c>
      <c r="AC22" s="207">
        <v>0</v>
      </c>
      <c r="AD22" s="207">
        <v>0</v>
      </c>
      <c r="AE22" s="207">
        <v>0</v>
      </c>
      <c r="AF22" s="207">
        <v>0</v>
      </c>
      <c r="AG22" s="207">
        <v>0</v>
      </c>
      <c r="AH22" s="207">
        <v>0</v>
      </c>
      <c r="AI22" s="207">
        <v>0</v>
      </c>
      <c r="AJ22" s="207">
        <v>0</v>
      </c>
      <c r="AK22" s="207">
        <v>0</v>
      </c>
      <c r="AL22" s="207">
        <v>0</v>
      </c>
      <c r="AM22" s="207">
        <v>0</v>
      </c>
      <c r="AN22" s="207">
        <v>0</v>
      </c>
      <c r="AO22" s="207">
        <v>0</v>
      </c>
    </row>
    <row r="23" spans="3:41" x14ac:dyDescent="0.3">
      <c r="C23" s="207">
        <v>24</v>
      </c>
      <c r="D23" s="207">
        <v>4</v>
      </c>
      <c r="E23" s="207">
        <v>1</v>
      </c>
      <c r="F23" s="207">
        <v>55.15</v>
      </c>
      <c r="G23" s="207">
        <v>0</v>
      </c>
      <c r="H23" s="207">
        <v>0</v>
      </c>
      <c r="I23" s="207">
        <v>11.2</v>
      </c>
      <c r="J23" s="207">
        <v>0</v>
      </c>
      <c r="K23" s="207">
        <v>29</v>
      </c>
      <c r="L23" s="207">
        <v>0</v>
      </c>
      <c r="M23" s="207">
        <v>0</v>
      </c>
      <c r="N23" s="207">
        <v>0</v>
      </c>
      <c r="O23" s="207">
        <v>0</v>
      </c>
      <c r="P23" s="207">
        <v>0</v>
      </c>
      <c r="Q23" s="207">
        <v>0</v>
      </c>
      <c r="R23" s="207">
        <v>13</v>
      </c>
      <c r="S23" s="207">
        <v>0</v>
      </c>
      <c r="T23" s="207">
        <v>0</v>
      </c>
      <c r="U23" s="207">
        <v>0</v>
      </c>
      <c r="V23" s="207">
        <v>0</v>
      </c>
      <c r="W23" s="207">
        <v>0</v>
      </c>
      <c r="X23" s="207">
        <v>0</v>
      </c>
      <c r="Y23" s="207">
        <v>0</v>
      </c>
      <c r="Z23" s="207">
        <v>0</v>
      </c>
      <c r="AA23" s="207">
        <v>0</v>
      </c>
      <c r="AB23" s="207">
        <v>0</v>
      </c>
      <c r="AC23" s="207">
        <v>0</v>
      </c>
      <c r="AD23" s="207">
        <v>0</v>
      </c>
      <c r="AE23" s="207">
        <v>0</v>
      </c>
      <c r="AF23" s="207">
        <v>0</v>
      </c>
      <c r="AG23" s="207">
        <v>0</v>
      </c>
      <c r="AH23" s="207">
        <v>0</v>
      </c>
      <c r="AI23" s="207">
        <v>0</v>
      </c>
      <c r="AJ23" s="207">
        <v>0</v>
      </c>
      <c r="AK23" s="207">
        <v>0</v>
      </c>
      <c r="AL23" s="207">
        <v>0</v>
      </c>
      <c r="AM23" s="207">
        <v>0</v>
      </c>
      <c r="AN23" s="207">
        <v>0.95</v>
      </c>
      <c r="AO23" s="207">
        <v>1</v>
      </c>
    </row>
    <row r="24" spans="3:41" x14ac:dyDescent="0.3">
      <c r="C24" s="207">
        <v>24</v>
      </c>
      <c r="D24" s="207">
        <v>4</v>
      </c>
      <c r="E24" s="207">
        <v>2</v>
      </c>
      <c r="F24" s="207">
        <v>9184.1</v>
      </c>
      <c r="G24" s="207">
        <v>0</v>
      </c>
      <c r="H24" s="207">
        <v>0</v>
      </c>
      <c r="I24" s="207">
        <v>1900</v>
      </c>
      <c r="J24" s="207">
        <v>0</v>
      </c>
      <c r="K24" s="207">
        <v>4720</v>
      </c>
      <c r="L24" s="207">
        <v>0</v>
      </c>
      <c r="M24" s="207">
        <v>0</v>
      </c>
      <c r="N24" s="207">
        <v>0</v>
      </c>
      <c r="O24" s="207">
        <v>0</v>
      </c>
      <c r="P24" s="207">
        <v>0</v>
      </c>
      <c r="Q24" s="207">
        <v>0</v>
      </c>
      <c r="R24" s="207">
        <v>2248</v>
      </c>
      <c r="S24" s="207">
        <v>0</v>
      </c>
      <c r="T24" s="207">
        <v>0</v>
      </c>
      <c r="U24" s="207">
        <v>0</v>
      </c>
      <c r="V24" s="207">
        <v>0</v>
      </c>
      <c r="W24" s="207">
        <v>0</v>
      </c>
      <c r="X24" s="207">
        <v>0</v>
      </c>
      <c r="Y24" s="207">
        <v>0</v>
      </c>
      <c r="Z24" s="207">
        <v>0</v>
      </c>
      <c r="AA24" s="207">
        <v>0</v>
      </c>
      <c r="AB24" s="207">
        <v>0</v>
      </c>
      <c r="AC24" s="207">
        <v>0</v>
      </c>
      <c r="AD24" s="207">
        <v>0</v>
      </c>
      <c r="AE24" s="207">
        <v>0</v>
      </c>
      <c r="AF24" s="207">
        <v>0</v>
      </c>
      <c r="AG24" s="207">
        <v>0</v>
      </c>
      <c r="AH24" s="207">
        <v>0</v>
      </c>
      <c r="AI24" s="207">
        <v>0</v>
      </c>
      <c r="AJ24" s="207">
        <v>0</v>
      </c>
      <c r="AK24" s="207">
        <v>0</v>
      </c>
      <c r="AL24" s="207">
        <v>0</v>
      </c>
      <c r="AM24" s="207">
        <v>0</v>
      </c>
      <c r="AN24" s="207">
        <v>148.1</v>
      </c>
      <c r="AO24" s="207">
        <v>168</v>
      </c>
    </row>
    <row r="25" spans="3:41" x14ac:dyDescent="0.3">
      <c r="C25" s="207">
        <v>24</v>
      </c>
      <c r="D25" s="207">
        <v>4</v>
      </c>
      <c r="E25" s="207">
        <v>5</v>
      </c>
      <c r="F25" s="207">
        <v>154</v>
      </c>
      <c r="G25" s="207">
        <v>154</v>
      </c>
      <c r="H25" s="207">
        <v>0</v>
      </c>
      <c r="I25" s="207">
        <v>0</v>
      </c>
      <c r="J25" s="207">
        <v>0</v>
      </c>
      <c r="K25" s="207">
        <v>0</v>
      </c>
      <c r="L25" s="207">
        <v>0</v>
      </c>
      <c r="M25" s="207">
        <v>0</v>
      </c>
      <c r="N25" s="207">
        <v>0</v>
      </c>
      <c r="O25" s="207">
        <v>0</v>
      </c>
      <c r="P25" s="207">
        <v>0</v>
      </c>
      <c r="Q25" s="207">
        <v>0</v>
      </c>
      <c r="R25" s="207">
        <v>0</v>
      </c>
      <c r="S25" s="207">
        <v>0</v>
      </c>
      <c r="T25" s="207">
        <v>0</v>
      </c>
      <c r="U25" s="207">
        <v>0</v>
      </c>
      <c r="V25" s="207">
        <v>0</v>
      </c>
      <c r="W25" s="207">
        <v>0</v>
      </c>
      <c r="X25" s="207">
        <v>0</v>
      </c>
      <c r="Y25" s="207">
        <v>0</v>
      </c>
      <c r="Z25" s="207">
        <v>0</v>
      </c>
      <c r="AA25" s="207">
        <v>0</v>
      </c>
      <c r="AB25" s="207">
        <v>0</v>
      </c>
      <c r="AC25" s="207">
        <v>0</v>
      </c>
      <c r="AD25" s="207">
        <v>0</v>
      </c>
      <c r="AE25" s="207">
        <v>0</v>
      </c>
      <c r="AF25" s="207">
        <v>0</v>
      </c>
      <c r="AG25" s="207">
        <v>0</v>
      </c>
      <c r="AH25" s="207">
        <v>0</v>
      </c>
      <c r="AI25" s="207">
        <v>0</v>
      </c>
      <c r="AJ25" s="207">
        <v>0</v>
      </c>
      <c r="AK25" s="207">
        <v>0</v>
      </c>
      <c r="AL25" s="207">
        <v>0</v>
      </c>
      <c r="AM25" s="207">
        <v>0</v>
      </c>
      <c r="AN25" s="207">
        <v>0</v>
      </c>
      <c r="AO25" s="207">
        <v>0</v>
      </c>
    </row>
    <row r="26" spans="3:41" x14ac:dyDescent="0.3">
      <c r="C26" s="207">
        <v>24</v>
      </c>
      <c r="D26" s="207">
        <v>4</v>
      </c>
      <c r="E26" s="207">
        <v>6</v>
      </c>
      <c r="F26" s="207">
        <v>1591112</v>
      </c>
      <c r="G26" s="207">
        <v>26820</v>
      </c>
      <c r="H26" s="207">
        <v>0</v>
      </c>
      <c r="I26" s="207">
        <v>489396</v>
      </c>
      <c r="J26" s="207">
        <v>0</v>
      </c>
      <c r="K26" s="207">
        <v>753241</v>
      </c>
      <c r="L26" s="207">
        <v>0</v>
      </c>
      <c r="M26" s="207">
        <v>0</v>
      </c>
      <c r="N26" s="207">
        <v>0</v>
      </c>
      <c r="O26" s="207">
        <v>0</v>
      </c>
      <c r="P26" s="207">
        <v>0</v>
      </c>
      <c r="Q26" s="207">
        <v>0</v>
      </c>
      <c r="R26" s="207">
        <v>291858</v>
      </c>
      <c r="S26" s="207">
        <v>0</v>
      </c>
      <c r="T26" s="207">
        <v>0</v>
      </c>
      <c r="U26" s="207">
        <v>0</v>
      </c>
      <c r="V26" s="207">
        <v>0</v>
      </c>
      <c r="W26" s="207">
        <v>0</v>
      </c>
      <c r="X26" s="207">
        <v>0</v>
      </c>
      <c r="Y26" s="207">
        <v>0</v>
      </c>
      <c r="Z26" s="207">
        <v>0</v>
      </c>
      <c r="AA26" s="207">
        <v>0</v>
      </c>
      <c r="AB26" s="207">
        <v>0</v>
      </c>
      <c r="AC26" s="207">
        <v>0</v>
      </c>
      <c r="AD26" s="207">
        <v>0</v>
      </c>
      <c r="AE26" s="207">
        <v>0</v>
      </c>
      <c r="AF26" s="207">
        <v>0</v>
      </c>
      <c r="AG26" s="207">
        <v>0</v>
      </c>
      <c r="AH26" s="207">
        <v>0</v>
      </c>
      <c r="AI26" s="207">
        <v>0</v>
      </c>
      <c r="AJ26" s="207">
        <v>0</v>
      </c>
      <c r="AK26" s="207">
        <v>0</v>
      </c>
      <c r="AL26" s="207">
        <v>0</v>
      </c>
      <c r="AM26" s="207">
        <v>0</v>
      </c>
      <c r="AN26" s="207">
        <v>15123</v>
      </c>
      <c r="AO26" s="207">
        <v>14674</v>
      </c>
    </row>
    <row r="27" spans="3:41" x14ac:dyDescent="0.3">
      <c r="C27" s="207">
        <v>24</v>
      </c>
      <c r="D27" s="207">
        <v>4</v>
      </c>
      <c r="E27" s="207">
        <v>9</v>
      </c>
      <c r="F27" s="207">
        <v>9024</v>
      </c>
      <c r="G27" s="207">
        <v>0</v>
      </c>
      <c r="H27" s="207">
        <v>0</v>
      </c>
      <c r="I27" s="207">
        <v>0</v>
      </c>
      <c r="J27" s="207">
        <v>0</v>
      </c>
      <c r="K27" s="207">
        <v>9024</v>
      </c>
      <c r="L27" s="207">
        <v>0</v>
      </c>
      <c r="M27" s="207">
        <v>0</v>
      </c>
      <c r="N27" s="207">
        <v>0</v>
      </c>
      <c r="O27" s="207">
        <v>0</v>
      </c>
      <c r="P27" s="207">
        <v>0</v>
      </c>
      <c r="Q27" s="207">
        <v>0</v>
      </c>
      <c r="R27" s="207">
        <v>0</v>
      </c>
      <c r="S27" s="207">
        <v>0</v>
      </c>
      <c r="T27" s="207">
        <v>0</v>
      </c>
      <c r="U27" s="207">
        <v>0</v>
      </c>
      <c r="V27" s="207">
        <v>0</v>
      </c>
      <c r="W27" s="207">
        <v>0</v>
      </c>
      <c r="X27" s="207">
        <v>0</v>
      </c>
      <c r="Y27" s="207">
        <v>0</v>
      </c>
      <c r="Z27" s="207">
        <v>0</v>
      </c>
      <c r="AA27" s="207">
        <v>0</v>
      </c>
      <c r="AB27" s="207">
        <v>0</v>
      </c>
      <c r="AC27" s="207">
        <v>0</v>
      </c>
      <c r="AD27" s="207">
        <v>0</v>
      </c>
      <c r="AE27" s="207">
        <v>0</v>
      </c>
      <c r="AF27" s="207">
        <v>0</v>
      </c>
      <c r="AG27" s="207">
        <v>0</v>
      </c>
      <c r="AH27" s="207">
        <v>0</v>
      </c>
      <c r="AI27" s="207">
        <v>0</v>
      </c>
      <c r="AJ27" s="207">
        <v>0</v>
      </c>
      <c r="AK27" s="207">
        <v>0</v>
      </c>
      <c r="AL27" s="207">
        <v>0</v>
      </c>
      <c r="AM27" s="207">
        <v>0</v>
      </c>
      <c r="AN27" s="207">
        <v>0</v>
      </c>
      <c r="AO27" s="207">
        <v>0</v>
      </c>
    </row>
    <row r="28" spans="3:41" x14ac:dyDescent="0.3">
      <c r="C28" s="207">
        <v>24</v>
      </c>
      <c r="D28" s="207">
        <v>4</v>
      </c>
      <c r="E28" s="207">
        <v>10</v>
      </c>
      <c r="F28" s="207">
        <v>6000</v>
      </c>
      <c r="G28" s="207">
        <v>0</v>
      </c>
      <c r="H28" s="207">
        <v>0</v>
      </c>
      <c r="I28" s="207">
        <v>0</v>
      </c>
      <c r="J28" s="207">
        <v>0</v>
      </c>
      <c r="K28" s="207">
        <v>6000</v>
      </c>
      <c r="L28" s="207">
        <v>0</v>
      </c>
      <c r="M28" s="207">
        <v>0</v>
      </c>
      <c r="N28" s="207">
        <v>0</v>
      </c>
      <c r="O28" s="207">
        <v>0</v>
      </c>
      <c r="P28" s="207">
        <v>0</v>
      </c>
      <c r="Q28" s="207">
        <v>0</v>
      </c>
      <c r="R28" s="207">
        <v>0</v>
      </c>
      <c r="S28" s="207">
        <v>0</v>
      </c>
      <c r="T28" s="207">
        <v>0</v>
      </c>
      <c r="U28" s="207">
        <v>0</v>
      </c>
      <c r="V28" s="207">
        <v>0</v>
      </c>
      <c r="W28" s="207">
        <v>0</v>
      </c>
      <c r="X28" s="207">
        <v>0</v>
      </c>
      <c r="Y28" s="207">
        <v>0</v>
      </c>
      <c r="Z28" s="207">
        <v>0</v>
      </c>
      <c r="AA28" s="207">
        <v>0</v>
      </c>
      <c r="AB28" s="207">
        <v>0</v>
      </c>
      <c r="AC28" s="207">
        <v>0</v>
      </c>
      <c r="AD28" s="207">
        <v>0</v>
      </c>
      <c r="AE28" s="207">
        <v>0</v>
      </c>
      <c r="AF28" s="207">
        <v>0</v>
      </c>
      <c r="AG28" s="207">
        <v>0</v>
      </c>
      <c r="AH28" s="207">
        <v>0</v>
      </c>
      <c r="AI28" s="207">
        <v>0</v>
      </c>
      <c r="AJ28" s="207">
        <v>0</v>
      </c>
      <c r="AK28" s="207">
        <v>0</v>
      </c>
      <c r="AL28" s="207">
        <v>0</v>
      </c>
      <c r="AM28" s="207">
        <v>0</v>
      </c>
      <c r="AN28" s="207">
        <v>0</v>
      </c>
      <c r="AO28" s="207">
        <v>0</v>
      </c>
    </row>
    <row r="29" spans="3:41" x14ac:dyDescent="0.3">
      <c r="C29" s="207">
        <v>24</v>
      </c>
      <c r="D29" s="207">
        <v>4</v>
      </c>
      <c r="E29" s="207">
        <v>11</v>
      </c>
      <c r="F29" s="207">
        <v>5908.6608667036871</v>
      </c>
      <c r="G29" s="207">
        <v>0</v>
      </c>
      <c r="H29" s="207">
        <v>4241.9942000370202</v>
      </c>
      <c r="I29" s="207">
        <v>0</v>
      </c>
      <c r="J29" s="207">
        <v>0</v>
      </c>
      <c r="K29" s="207">
        <v>1666.6666666666667</v>
      </c>
      <c r="L29" s="207">
        <v>0</v>
      </c>
      <c r="M29" s="207">
        <v>0</v>
      </c>
      <c r="N29" s="207">
        <v>0</v>
      </c>
      <c r="O29" s="207">
        <v>0</v>
      </c>
      <c r="P29" s="207">
        <v>0</v>
      </c>
      <c r="Q29" s="207">
        <v>0</v>
      </c>
      <c r="R29" s="207">
        <v>0</v>
      </c>
      <c r="S29" s="207">
        <v>0</v>
      </c>
      <c r="T29" s="207">
        <v>0</v>
      </c>
      <c r="U29" s="207">
        <v>0</v>
      </c>
      <c r="V29" s="207">
        <v>0</v>
      </c>
      <c r="W29" s="207">
        <v>0</v>
      </c>
      <c r="X29" s="207">
        <v>0</v>
      </c>
      <c r="Y29" s="207">
        <v>0</v>
      </c>
      <c r="Z29" s="207">
        <v>0</v>
      </c>
      <c r="AA29" s="207">
        <v>0</v>
      </c>
      <c r="AB29" s="207">
        <v>0</v>
      </c>
      <c r="AC29" s="207">
        <v>0</v>
      </c>
      <c r="AD29" s="207">
        <v>0</v>
      </c>
      <c r="AE29" s="207">
        <v>0</v>
      </c>
      <c r="AF29" s="207">
        <v>0</v>
      </c>
      <c r="AG29" s="207">
        <v>0</v>
      </c>
      <c r="AH29" s="207">
        <v>0</v>
      </c>
      <c r="AI29" s="207">
        <v>0</v>
      </c>
      <c r="AJ29" s="207">
        <v>0</v>
      </c>
      <c r="AK29" s="207">
        <v>0</v>
      </c>
      <c r="AL29" s="207">
        <v>0</v>
      </c>
      <c r="AM29" s="207">
        <v>0</v>
      </c>
      <c r="AN29" s="207">
        <v>0</v>
      </c>
      <c r="AO29" s="207">
        <v>0</v>
      </c>
    </row>
    <row r="30" spans="3:41" x14ac:dyDescent="0.3">
      <c r="C30" s="207">
        <v>24</v>
      </c>
      <c r="D30" s="207">
        <v>5</v>
      </c>
      <c r="E30" s="207">
        <v>1</v>
      </c>
      <c r="F30" s="207">
        <v>55.05</v>
      </c>
      <c r="G30" s="207">
        <v>0</v>
      </c>
      <c r="H30" s="207">
        <v>0</v>
      </c>
      <c r="I30" s="207">
        <v>11.1</v>
      </c>
      <c r="J30" s="207">
        <v>0</v>
      </c>
      <c r="K30" s="207">
        <v>29</v>
      </c>
      <c r="L30" s="207">
        <v>0</v>
      </c>
      <c r="M30" s="207">
        <v>0</v>
      </c>
      <c r="N30" s="207">
        <v>0</v>
      </c>
      <c r="O30" s="207">
        <v>0</v>
      </c>
      <c r="P30" s="207">
        <v>0</v>
      </c>
      <c r="Q30" s="207">
        <v>0</v>
      </c>
      <c r="R30" s="207">
        <v>13</v>
      </c>
      <c r="S30" s="207">
        <v>0</v>
      </c>
      <c r="T30" s="207">
        <v>0</v>
      </c>
      <c r="U30" s="207">
        <v>0</v>
      </c>
      <c r="V30" s="207">
        <v>0</v>
      </c>
      <c r="W30" s="207">
        <v>0</v>
      </c>
      <c r="X30" s="207">
        <v>0</v>
      </c>
      <c r="Y30" s="207">
        <v>0</v>
      </c>
      <c r="Z30" s="207">
        <v>0</v>
      </c>
      <c r="AA30" s="207">
        <v>0</v>
      </c>
      <c r="AB30" s="207">
        <v>0</v>
      </c>
      <c r="AC30" s="207">
        <v>0</v>
      </c>
      <c r="AD30" s="207">
        <v>0</v>
      </c>
      <c r="AE30" s="207">
        <v>0</v>
      </c>
      <c r="AF30" s="207">
        <v>0</v>
      </c>
      <c r="AG30" s="207">
        <v>0</v>
      </c>
      <c r="AH30" s="207">
        <v>0</v>
      </c>
      <c r="AI30" s="207">
        <v>0</v>
      </c>
      <c r="AJ30" s="207">
        <v>0</v>
      </c>
      <c r="AK30" s="207">
        <v>0</v>
      </c>
      <c r="AL30" s="207">
        <v>0</v>
      </c>
      <c r="AM30" s="207">
        <v>0</v>
      </c>
      <c r="AN30" s="207">
        <v>0.95</v>
      </c>
      <c r="AO30" s="207">
        <v>1</v>
      </c>
    </row>
    <row r="31" spans="3:41" x14ac:dyDescent="0.3">
      <c r="C31" s="207">
        <v>24</v>
      </c>
      <c r="D31" s="207">
        <v>5</v>
      </c>
      <c r="E31" s="207">
        <v>2</v>
      </c>
      <c r="F31" s="207">
        <v>8678.7000000000007</v>
      </c>
      <c r="G31" s="207">
        <v>0</v>
      </c>
      <c r="H31" s="207">
        <v>0</v>
      </c>
      <c r="I31" s="207">
        <v>1751.2</v>
      </c>
      <c r="J31" s="207">
        <v>0</v>
      </c>
      <c r="K31" s="207">
        <v>4504</v>
      </c>
      <c r="L31" s="207">
        <v>0</v>
      </c>
      <c r="M31" s="207">
        <v>0</v>
      </c>
      <c r="N31" s="207">
        <v>0</v>
      </c>
      <c r="O31" s="207">
        <v>0</v>
      </c>
      <c r="P31" s="207">
        <v>0</v>
      </c>
      <c r="Q31" s="207">
        <v>0</v>
      </c>
      <c r="R31" s="207">
        <v>2128</v>
      </c>
      <c r="S31" s="207">
        <v>0</v>
      </c>
      <c r="T31" s="207">
        <v>0</v>
      </c>
      <c r="U31" s="207">
        <v>0</v>
      </c>
      <c r="V31" s="207">
        <v>0</v>
      </c>
      <c r="W31" s="207">
        <v>0</v>
      </c>
      <c r="X31" s="207">
        <v>0</v>
      </c>
      <c r="Y31" s="207">
        <v>0</v>
      </c>
      <c r="Z31" s="207">
        <v>0</v>
      </c>
      <c r="AA31" s="207">
        <v>0</v>
      </c>
      <c r="AB31" s="207">
        <v>0</v>
      </c>
      <c r="AC31" s="207">
        <v>0</v>
      </c>
      <c r="AD31" s="207">
        <v>0</v>
      </c>
      <c r="AE31" s="207">
        <v>0</v>
      </c>
      <c r="AF31" s="207">
        <v>0</v>
      </c>
      <c r="AG31" s="207">
        <v>0</v>
      </c>
      <c r="AH31" s="207">
        <v>0</v>
      </c>
      <c r="AI31" s="207">
        <v>0</v>
      </c>
      <c r="AJ31" s="207">
        <v>0</v>
      </c>
      <c r="AK31" s="207">
        <v>0</v>
      </c>
      <c r="AL31" s="207">
        <v>0</v>
      </c>
      <c r="AM31" s="207">
        <v>0</v>
      </c>
      <c r="AN31" s="207">
        <v>151.5</v>
      </c>
      <c r="AO31" s="207">
        <v>144</v>
      </c>
    </row>
    <row r="32" spans="3:41" x14ac:dyDescent="0.3">
      <c r="C32" s="207">
        <v>24</v>
      </c>
      <c r="D32" s="207">
        <v>5</v>
      </c>
      <c r="E32" s="207">
        <v>5</v>
      </c>
      <c r="F32" s="207">
        <v>124</v>
      </c>
      <c r="G32" s="207">
        <v>124</v>
      </c>
      <c r="H32" s="207">
        <v>0</v>
      </c>
      <c r="I32" s="207">
        <v>0</v>
      </c>
      <c r="J32" s="207">
        <v>0</v>
      </c>
      <c r="K32" s="207">
        <v>0</v>
      </c>
      <c r="L32" s="207">
        <v>0</v>
      </c>
      <c r="M32" s="207">
        <v>0</v>
      </c>
      <c r="N32" s="207">
        <v>0</v>
      </c>
      <c r="O32" s="207">
        <v>0</v>
      </c>
      <c r="P32" s="207">
        <v>0</v>
      </c>
      <c r="Q32" s="207">
        <v>0</v>
      </c>
      <c r="R32" s="207">
        <v>0</v>
      </c>
      <c r="S32" s="207">
        <v>0</v>
      </c>
      <c r="T32" s="207">
        <v>0</v>
      </c>
      <c r="U32" s="207">
        <v>0</v>
      </c>
      <c r="V32" s="207">
        <v>0</v>
      </c>
      <c r="W32" s="207">
        <v>0</v>
      </c>
      <c r="X32" s="207">
        <v>0</v>
      </c>
      <c r="Y32" s="207">
        <v>0</v>
      </c>
      <c r="Z32" s="207">
        <v>0</v>
      </c>
      <c r="AA32" s="207">
        <v>0</v>
      </c>
      <c r="AB32" s="207">
        <v>0</v>
      </c>
      <c r="AC32" s="207">
        <v>0</v>
      </c>
      <c r="AD32" s="207">
        <v>0</v>
      </c>
      <c r="AE32" s="207">
        <v>0</v>
      </c>
      <c r="AF32" s="207">
        <v>0</v>
      </c>
      <c r="AG32" s="207">
        <v>0</v>
      </c>
      <c r="AH32" s="207">
        <v>0</v>
      </c>
      <c r="AI32" s="207">
        <v>0</v>
      </c>
      <c r="AJ32" s="207">
        <v>0</v>
      </c>
      <c r="AK32" s="207">
        <v>0</v>
      </c>
      <c r="AL32" s="207">
        <v>0</v>
      </c>
      <c r="AM32" s="207">
        <v>0</v>
      </c>
      <c r="AN32" s="207">
        <v>0</v>
      </c>
      <c r="AO32" s="207">
        <v>0</v>
      </c>
    </row>
    <row r="33" spans="3:41" x14ac:dyDescent="0.3">
      <c r="C33" s="207">
        <v>24</v>
      </c>
      <c r="D33" s="207">
        <v>5</v>
      </c>
      <c r="E33" s="207">
        <v>6</v>
      </c>
      <c r="F33" s="207">
        <v>1585173</v>
      </c>
      <c r="G33" s="207">
        <v>21120</v>
      </c>
      <c r="H33" s="207">
        <v>0</v>
      </c>
      <c r="I33" s="207">
        <v>488447</v>
      </c>
      <c r="J33" s="207">
        <v>0</v>
      </c>
      <c r="K33" s="207">
        <v>748821</v>
      </c>
      <c r="L33" s="207">
        <v>0</v>
      </c>
      <c r="M33" s="207">
        <v>0</v>
      </c>
      <c r="N33" s="207">
        <v>0</v>
      </c>
      <c r="O33" s="207">
        <v>0</v>
      </c>
      <c r="P33" s="207">
        <v>0</v>
      </c>
      <c r="Q33" s="207">
        <v>0</v>
      </c>
      <c r="R33" s="207">
        <v>296248</v>
      </c>
      <c r="S33" s="207">
        <v>0</v>
      </c>
      <c r="T33" s="207">
        <v>0</v>
      </c>
      <c r="U33" s="207">
        <v>0</v>
      </c>
      <c r="V33" s="207">
        <v>0</v>
      </c>
      <c r="W33" s="207">
        <v>0</v>
      </c>
      <c r="X33" s="207">
        <v>0</v>
      </c>
      <c r="Y33" s="207">
        <v>0</v>
      </c>
      <c r="Z33" s="207">
        <v>0</v>
      </c>
      <c r="AA33" s="207">
        <v>0</v>
      </c>
      <c r="AB33" s="207">
        <v>0</v>
      </c>
      <c r="AC33" s="207">
        <v>0</v>
      </c>
      <c r="AD33" s="207">
        <v>0</v>
      </c>
      <c r="AE33" s="207">
        <v>0</v>
      </c>
      <c r="AF33" s="207">
        <v>0</v>
      </c>
      <c r="AG33" s="207">
        <v>0</v>
      </c>
      <c r="AH33" s="207">
        <v>0</v>
      </c>
      <c r="AI33" s="207">
        <v>0</v>
      </c>
      <c r="AJ33" s="207">
        <v>0</v>
      </c>
      <c r="AK33" s="207">
        <v>0</v>
      </c>
      <c r="AL33" s="207">
        <v>0</v>
      </c>
      <c r="AM33" s="207">
        <v>0</v>
      </c>
      <c r="AN33" s="207">
        <v>15869</v>
      </c>
      <c r="AO33" s="207">
        <v>14668</v>
      </c>
    </row>
    <row r="34" spans="3:41" x14ac:dyDescent="0.3">
      <c r="C34" s="207">
        <v>24</v>
      </c>
      <c r="D34" s="207">
        <v>5</v>
      </c>
      <c r="E34" s="207">
        <v>9</v>
      </c>
      <c r="F34" s="207">
        <v>10956</v>
      </c>
      <c r="G34" s="207">
        <v>0</v>
      </c>
      <c r="H34" s="207">
        <v>0</v>
      </c>
      <c r="I34" s="207">
        <v>0</v>
      </c>
      <c r="J34" s="207">
        <v>0</v>
      </c>
      <c r="K34" s="207">
        <v>10956</v>
      </c>
      <c r="L34" s="207">
        <v>0</v>
      </c>
      <c r="M34" s="207">
        <v>0</v>
      </c>
      <c r="N34" s="207">
        <v>0</v>
      </c>
      <c r="O34" s="207">
        <v>0</v>
      </c>
      <c r="P34" s="207">
        <v>0</v>
      </c>
      <c r="Q34" s="207">
        <v>0</v>
      </c>
      <c r="R34" s="207">
        <v>0</v>
      </c>
      <c r="S34" s="207">
        <v>0</v>
      </c>
      <c r="T34" s="207">
        <v>0</v>
      </c>
      <c r="U34" s="207">
        <v>0</v>
      </c>
      <c r="V34" s="207">
        <v>0</v>
      </c>
      <c r="W34" s="207">
        <v>0</v>
      </c>
      <c r="X34" s="207">
        <v>0</v>
      </c>
      <c r="Y34" s="207">
        <v>0</v>
      </c>
      <c r="Z34" s="207">
        <v>0</v>
      </c>
      <c r="AA34" s="207">
        <v>0</v>
      </c>
      <c r="AB34" s="207">
        <v>0</v>
      </c>
      <c r="AC34" s="207">
        <v>0</v>
      </c>
      <c r="AD34" s="207">
        <v>0</v>
      </c>
      <c r="AE34" s="207">
        <v>0</v>
      </c>
      <c r="AF34" s="207">
        <v>0</v>
      </c>
      <c r="AG34" s="207">
        <v>0</v>
      </c>
      <c r="AH34" s="207">
        <v>0</v>
      </c>
      <c r="AI34" s="207">
        <v>0</v>
      </c>
      <c r="AJ34" s="207">
        <v>0</v>
      </c>
      <c r="AK34" s="207">
        <v>0</v>
      </c>
      <c r="AL34" s="207">
        <v>0</v>
      </c>
      <c r="AM34" s="207">
        <v>0</v>
      </c>
      <c r="AN34" s="207">
        <v>0</v>
      </c>
      <c r="AO34" s="207">
        <v>0</v>
      </c>
    </row>
    <row r="35" spans="3:41" x14ac:dyDescent="0.3">
      <c r="C35" s="207">
        <v>24</v>
      </c>
      <c r="D35" s="207">
        <v>5</v>
      </c>
      <c r="E35" s="207">
        <v>11</v>
      </c>
      <c r="F35" s="207">
        <v>5908.6608667036871</v>
      </c>
      <c r="G35" s="207">
        <v>0</v>
      </c>
      <c r="H35" s="207">
        <v>4241.9942000370202</v>
      </c>
      <c r="I35" s="207">
        <v>0</v>
      </c>
      <c r="J35" s="207">
        <v>0</v>
      </c>
      <c r="K35" s="207">
        <v>1666.6666666666667</v>
      </c>
      <c r="L35" s="207">
        <v>0</v>
      </c>
      <c r="M35" s="207">
        <v>0</v>
      </c>
      <c r="N35" s="207">
        <v>0</v>
      </c>
      <c r="O35" s="207">
        <v>0</v>
      </c>
      <c r="P35" s="207">
        <v>0</v>
      </c>
      <c r="Q35" s="207">
        <v>0</v>
      </c>
      <c r="R35" s="207">
        <v>0</v>
      </c>
      <c r="S35" s="207">
        <v>0</v>
      </c>
      <c r="T35" s="207">
        <v>0</v>
      </c>
      <c r="U35" s="207">
        <v>0</v>
      </c>
      <c r="V35" s="207">
        <v>0</v>
      </c>
      <c r="W35" s="207">
        <v>0</v>
      </c>
      <c r="X35" s="207">
        <v>0</v>
      </c>
      <c r="Y35" s="207">
        <v>0</v>
      </c>
      <c r="Z35" s="207">
        <v>0</v>
      </c>
      <c r="AA35" s="207">
        <v>0</v>
      </c>
      <c r="AB35" s="207">
        <v>0</v>
      </c>
      <c r="AC35" s="207">
        <v>0</v>
      </c>
      <c r="AD35" s="207">
        <v>0</v>
      </c>
      <c r="AE35" s="207">
        <v>0</v>
      </c>
      <c r="AF35" s="207">
        <v>0</v>
      </c>
      <c r="AG35" s="207">
        <v>0</v>
      </c>
      <c r="AH35" s="207">
        <v>0</v>
      </c>
      <c r="AI35" s="207">
        <v>0</v>
      </c>
      <c r="AJ35" s="207">
        <v>0</v>
      </c>
      <c r="AK35" s="207">
        <v>0</v>
      </c>
      <c r="AL35" s="207">
        <v>0</v>
      </c>
      <c r="AM35" s="207">
        <v>0</v>
      </c>
      <c r="AN35" s="207">
        <v>0</v>
      </c>
      <c r="AO35" s="207">
        <v>0</v>
      </c>
    </row>
    <row r="36" spans="3:41" x14ac:dyDescent="0.3">
      <c r="C36" s="207">
        <v>24</v>
      </c>
      <c r="D36" s="207">
        <v>6</v>
      </c>
      <c r="E36" s="207">
        <v>1</v>
      </c>
      <c r="F36" s="207">
        <v>55.05</v>
      </c>
      <c r="G36" s="207">
        <v>0</v>
      </c>
      <c r="H36" s="207">
        <v>0</v>
      </c>
      <c r="I36" s="207">
        <v>11.1</v>
      </c>
      <c r="J36" s="207">
        <v>0</v>
      </c>
      <c r="K36" s="207">
        <v>29</v>
      </c>
      <c r="L36" s="207">
        <v>0</v>
      </c>
      <c r="M36" s="207">
        <v>0</v>
      </c>
      <c r="N36" s="207">
        <v>0</v>
      </c>
      <c r="O36" s="207">
        <v>0</v>
      </c>
      <c r="P36" s="207">
        <v>0</v>
      </c>
      <c r="Q36" s="207">
        <v>0</v>
      </c>
      <c r="R36" s="207">
        <v>13</v>
      </c>
      <c r="S36" s="207">
        <v>0</v>
      </c>
      <c r="T36" s="207">
        <v>0</v>
      </c>
      <c r="U36" s="207">
        <v>0</v>
      </c>
      <c r="V36" s="207">
        <v>0</v>
      </c>
      <c r="W36" s="207">
        <v>0</v>
      </c>
      <c r="X36" s="207">
        <v>0</v>
      </c>
      <c r="Y36" s="207">
        <v>0</v>
      </c>
      <c r="Z36" s="207">
        <v>0</v>
      </c>
      <c r="AA36" s="207">
        <v>0</v>
      </c>
      <c r="AB36" s="207">
        <v>0</v>
      </c>
      <c r="AC36" s="207">
        <v>0</v>
      </c>
      <c r="AD36" s="207">
        <v>0</v>
      </c>
      <c r="AE36" s="207">
        <v>0</v>
      </c>
      <c r="AF36" s="207">
        <v>0</v>
      </c>
      <c r="AG36" s="207">
        <v>0</v>
      </c>
      <c r="AH36" s="207">
        <v>0</v>
      </c>
      <c r="AI36" s="207">
        <v>0</v>
      </c>
      <c r="AJ36" s="207">
        <v>0</v>
      </c>
      <c r="AK36" s="207">
        <v>0</v>
      </c>
      <c r="AL36" s="207">
        <v>0</v>
      </c>
      <c r="AM36" s="207">
        <v>0</v>
      </c>
      <c r="AN36" s="207">
        <v>0.95</v>
      </c>
      <c r="AO36" s="207">
        <v>1</v>
      </c>
    </row>
    <row r="37" spans="3:41" x14ac:dyDescent="0.3">
      <c r="C37" s="207">
        <v>24</v>
      </c>
      <c r="D37" s="207">
        <v>6</v>
      </c>
      <c r="E37" s="207">
        <v>2</v>
      </c>
      <c r="F37" s="207">
        <v>8675.6</v>
      </c>
      <c r="G37" s="207">
        <v>0</v>
      </c>
      <c r="H37" s="207">
        <v>0</v>
      </c>
      <c r="I37" s="207">
        <v>1799.4</v>
      </c>
      <c r="J37" s="207">
        <v>0</v>
      </c>
      <c r="K37" s="207">
        <v>4440</v>
      </c>
      <c r="L37" s="207">
        <v>0</v>
      </c>
      <c r="M37" s="207">
        <v>0</v>
      </c>
      <c r="N37" s="207">
        <v>0</v>
      </c>
      <c r="O37" s="207">
        <v>0</v>
      </c>
      <c r="P37" s="207">
        <v>0</v>
      </c>
      <c r="Q37" s="207">
        <v>0</v>
      </c>
      <c r="R37" s="207">
        <v>2101.6</v>
      </c>
      <c r="S37" s="207">
        <v>0</v>
      </c>
      <c r="T37" s="207">
        <v>0</v>
      </c>
      <c r="U37" s="207">
        <v>0</v>
      </c>
      <c r="V37" s="207">
        <v>0</v>
      </c>
      <c r="W37" s="207">
        <v>0</v>
      </c>
      <c r="X37" s="207">
        <v>0</v>
      </c>
      <c r="Y37" s="207">
        <v>0</v>
      </c>
      <c r="Z37" s="207">
        <v>0</v>
      </c>
      <c r="AA37" s="207">
        <v>0</v>
      </c>
      <c r="AB37" s="207">
        <v>0</v>
      </c>
      <c r="AC37" s="207">
        <v>0</v>
      </c>
      <c r="AD37" s="207">
        <v>0</v>
      </c>
      <c r="AE37" s="207">
        <v>0</v>
      </c>
      <c r="AF37" s="207">
        <v>0</v>
      </c>
      <c r="AG37" s="207">
        <v>0</v>
      </c>
      <c r="AH37" s="207">
        <v>0</v>
      </c>
      <c r="AI37" s="207">
        <v>0</v>
      </c>
      <c r="AJ37" s="207">
        <v>0</v>
      </c>
      <c r="AK37" s="207">
        <v>0</v>
      </c>
      <c r="AL37" s="207">
        <v>0</v>
      </c>
      <c r="AM37" s="207">
        <v>0</v>
      </c>
      <c r="AN37" s="207">
        <v>158.6</v>
      </c>
      <c r="AO37" s="207">
        <v>176</v>
      </c>
    </row>
    <row r="38" spans="3:41" x14ac:dyDescent="0.3">
      <c r="C38" s="207">
        <v>24</v>
      </c>
      <c r="D38" s="207">
        <v>6</v>
      </c>
      <c r="E38" s="207">
        <v>5</v>
      </c>
      <c r="F38" s="207">
        <v>67.5</v>
      </c>
      <c r="G38" s="207">
        <v>67.5</v>
      </c>
      <c r="H38" s="207">
        <v>0</v>
      </c>
      <c r="I38" s="207">
        <v>0</v>
      </c>
      <c r="J38" s="207">
        <v>0</v>
      </c>
      <c r="K38" s="207">
        <v>0</v>
      </c>
      <c r="L38" s="207">
        <v>0</v>
      </c>
      <c r="M38" s="207">
        <v>0</v>
      </c>
      <c r="N38" s="207">
        <v>0</v>
      </c>
      <c r="O38" s="207">
        <v>0</v>
      </c>
      <c r="P38" s="207">
        <v>0</v>
      </c>
      <c r="Q38" s="207">
        <v>0</v>
      </c>
      <c r="R38" s="207">
        <v>0</v>
      </c>
      <c r="S38" s="207">
        <v>0</v>
      </c>
      <c r="T38" s="207">
        <v>0</v>
      </c>
      <c r="U38" s="207">
        <v>0</v>
      </c>
      <c r="V38" s="207">
        <v>0</v>
      </c>
      <c r="W38" s="207">
        <v>0</v>
      </c>
      <c r="X38" s="207">
        <v>0</v>
      </c>
      <c r="Y38" s="207">
        <v>0</v>
      </c>
      <c r="Z38" s="207">
        <v>0</v>
      </c>
      <c r="AA38" s="207">
        <v>0</v>
      </c>
      <c r="AB38" s="207">
        <v>0</v>
      </c>
      <c r="AC38" s="207">
        <v>0</v>
      </c>
      <c r="AD38" s="207">
        <v>0</v>
      </c>
      <c r="AE38" s="207">
        <v>0</v>
      </c>
      <c r="AF38" s="207">
        <v>0</v>
      </c>
      <c r="AG38" s="207">
        <v>0</v>
      </c>
      <c r="AH38" s="207">
        <v>0</v>
      </c>
      <c r="AI38" s="207">
        <v>0</v>
      </c>
      <c r="AJ38" s="207">
        <v>0</v>
      </c>
      <c r="AK38" s="207">
        <v>0</v>
      </c>
      <c r="AL38" s="207">
        <v>0</v>
      </c>
      <c r="AM38" s="207">
        <v>0</v>
      </c>
      <c r="AN38" s="207">
        <v>0</v>
      </c>
      <c r="AO38" s="207">
        <v>0</v>
      </c>
    </row>
    <row r="39" spans="3:41" x14ac:dyDescent="0.3">
      <c r="C39" s="207">
        <v>24</v>
      </c>
      <c r="D39" s="207">
        <v>6</v>
      </c>
      <c r="E39" s="207">
        <v>6</v>
      </c>
      <c r="F39" s="207">
        <v>1576807</v>
      </c>
      <c r="G39" s="207">
        <v>9600</v>
      </c>
      <c r="H39" s="207">
        <v>0</v>
      </c>
      <c r="I39" s="207">
        <v>504949</v>
      </c>
      <c r="J39" s="207">
        <v>0</v>
      </c>
      <c r="K39" s="207">
        <v>740919</v>
      </c>
      <c r="L39" s="207">
        <v>0</v>
      </c>
      <c r="M39" s="207">
        <v>0</v>
      </c>
      <c r="N39" s="207">
        <v>0</v>
      </c>
      <c r="O39" s="207">
        <v>0</v>
      </c>
      <c r="P39" s="207">
        <v>0</v>
      </c>
      <c r="Q39" s="207">
        <v>0</v>
      </c>
      <c r="R39" s="207">
        <v>290765</v>
      </c>
      <c r="S39" s="207">
        <v>0</v>
      </c>
      <c r="T39" s="207">
        <v>0</v>
      </c>
      <c r="U39" s="207">
        <v>0</v>
      </c>
      <c r="V39" s="207">
        <v>0</v>
      </c>
      <c r="W39" s="207">
        <v>0</v>
      </c>
      <c r="X39" s="207">
        <v>0</v>
      </c>
      <c r="Y39" s="207">
        <v>0</v>
      </c>
      <c r="Z39" s="207">
        <v>0</v>
      </c>
      <c r="AA39" s="207">
        <v>0</v>
      </c>
      <c r="AB39" s="207">
        <v>0</v>
      </c>
      <c r="AC39" s="207">
        <v>0</v>
      </c>
      <c r="AD39" s="207">
        <v>0</v>
      </c>
      <c r="AE39" s="207">
        <v>0</v>
      </c>
      <c r="AF39" s="207">
        <v>0</v>
      </c>
      <c r="AG39" s="207">
        <v>0</v>
      </c>
      <c r="AH39" s="207">
        <v>0</v>
      </c>
      <c r="AI39" s="207">
        <v>0</v>
      </c>
      <c r="AJ39" s="207">
        <v>0</v>
      </c>
      <c r="AK39" s="207">
        <v>0</v>
      </c>
      <c r="AL39" s="207">
        <v>0</v>
      </c>
      <c r="AM39" s="207">
        <v>0</v>
      </c>
      <c r="AN39" s="207">
        <v>15944</v>
      </c>
      <c r="AO39" s="207">
        <v>14630</v>
      </c>
    </row>
    <row r="40" spans="3:41" x14ac:dyDescent="0.3">
      <c r="C40" s="207">
        <v>24</v>
      </c>
      <c r="D40" s="207">
        <v>6</v>
      </c>
      <c r="E40" s="207">
        <v>9</v>
      </c>
      <c r="F40" s="207">
        <v>30791</v>
      </c>
      <c r="G40" s="207">
        <v>0</v>
      </c>
      <c r="H40" s="207">
        <v>0</v>
      </c>
      <c r="I40" s="207">
        <v>19835</v>
      </c>
      <c r="J40" s="207">
        <v>0</v>
      </c>
      <c r="K40" s="207">
        <v>10956</v>
      </c>
      <c r="L40" s="207">
        <v>0</v>
      </c>
      <c r="M40" s="207">
        <v>0</v>
      </c>
      <c r="N40" s="207">
        <v>0</v>
      </c>
      <c r="O40" s="207">
        <v>0</v>
      </c>
      <c r="P40" s="207">
        <v>0</v>
      </c>
      <c r="Q40" s="207">
        <v>0</v>
      </c>
      <c r="R40" s="207">
        <v>0</v>
      </c>
      <c r="S40" s="207">
        <v>0</v>
      </c>
      <c r="T40" s="207">
        <v>0</v>
      </c>
      <c r="U40" s="207">
        <v>0</v>
      </c>
      <c r="V40" s="207">
        <v>0</v>
      </c>
      <c r="W40" s="207">
        <v>0</v>
      </c>
      <c r="X40" s="207">
        <v>0</v>
      </c>
      <c r="Y40" s="207">
        <v>0</v>
      </c>
      <c r="Z40" s="207">
        <v>0</v>
      </c>
      <c r="AA40" s="207">
        <v>0</v>
      </c>
      <c r="AB40" s="207">
        <v>0</v>
      </c>
      <c r="AC40" s="207">
        <v>0</v>
      </c>
      <c r="AD40" s="207">
        <v>0</v>
      </c>
      <c r="AE40" s="207">
        <v>0</v>
      </c>
      <c r="AF40" s="207">
        <v>0</v>
      </c>
      <c r="AG40" s="207">
        <v>0</v>
      </c>
      <c r="AH40" s="207">
        <v>0</v>
      </c>
      <c r="AI40" s="207">
        <v>0</v>
      </c>
      <c r="AJ40" s="207">
        <v>0</v>
      </c>
      <c r="AK40" s="207">
        <v>0</v>
      </c>
      <c r="AL40" s="207">
        <v>0</v>
      </c>
      <c r="AM40" s="207">
        <v>0</v>
      </c>
      <c r="AN40" s="207">
        <v>0</v>
      </c>
      <c r="AO40" s="207">
        <v>0</v>
      </c>
    </row>
    <row r="41" spans="3:41" x14ac:dyDescent="0.3">
      <c r="C41" s="207">
        <v>24</v>
      </c>
      <c r="D41" s="207">
        <v>6</v>
      </c>
      <c r="E41" s="207">
        <v>10</v>
      </c>
      <c r="F41" s="207">
        <v>2200</v>
      </c>
      <c r="G41" s="207">
        <v>0</v>
      </c>
      <c r="H41" s="207">
        <v>0</v>
      </c>
      <c r="I41" s="207">
        <v>0</v>
      </c>
      <c r="J41" s="207">
        <v>0</v>
      </c>
      <c r="K41" s="207">
        <v>2200</v>
      </c>
      <c r="L41" s="207">
        <v>0</v>
      </c>
      <c r="M41" s="207">
        <v>0</v>
      </c>
      <c r="N41" s="207">
        <v>0</v>
      </c>
      <c r="O41" s="207">
        <v>0</v>
      </c>
      <c r="P41" s="207">
        <v>0</v>
      </c>
      <c r="Q41" s="207">
        <v>0</v>
      </c>
      <c r="R41" s="207">
        <v>0</v>
      </c>
      <c r="S41" s="207">
        <v>0</v>
      </c>
      <c r="T41" s="207">
        <v>0</v>
      </c>
      <c r="U41" s="207">
        <v>0</v>
      </c>
      <c r="V41" s="207">
        <v>0</v>
      </c>
      <c r="W41" s="207">
        <v>0</v>
      </c>
      <c r="X41" s="207">
        <v>0</v>
      </c>
      <c r="Y41" s="207">
        <v>0</v>
      </c>
      <c r="Z41" s="207">
        <v>0</v>
      </c>
      <c r="AA41" s="207">
        <v>0</v>
      </c>
      <c r="AB41" s="207">
        <v>0</v>
      </c>
      <c r="AC41" s="207">
        <v>0</v>
      </c>
      <c r="AD41" s="207">
        <v>0</v>
      </c>
      <c r="AE41" s="207">
        <v>0</v>
      </c>
      <c r="AF41" s="207">
        <v>0</v>
      </c>
      <c r="AG41" s="207">
        <v>0</v>
      </c>
      <c r="AH41" s="207">
        <v>0</v>
      </c>
      <c r="AI41" s="207">
        <v>0</v>
      </c>
      <c r="AJ41" s="207">
        <v>0</v>
      </c>
      <c r="AK41" s="207">
        <v>0</v>
      </c>
      <c r="AL41" s="207">
        <v>0</v>
      </c>
      <c r="AM41" s="207">
        <v>0</v>
      </c>
      <c r="AN41" s="207">
        <v>0</v>
      </c>
      <c r="AO41" s="207">
        <v>0</v>
      </c>
    </row>
    <row r="42" spans="3:41" x14ac:dyDescent="0.3">
      <c r="C42" s="207">
        <v>24</v>
      </c>
      <c r="D42" s="207">
        <v>6</v>
      </c>
      <c r="E42" s="207">
        <v>11</v>
      </c>
      <c r="F42" s="207">
        <v>5908.6608667036871</v>
      </c>
      <c r="G42" s="207">
        <v>0</v>
      </c>
      <c r="H42" s="207">
        <v>4241.9942000370202</v>
      </c>
      <c r="I42" s="207">
        <v>0</v>
      </c>
      <c r="J42" s="207">
        <v>0</v>
      </c>
      <c r="K42" s="207">
        <v>1666.6666666666667</v>
      </c>
      <c r="L42" s="207">
        <v>0</v>
      </c>
      <c r="M42" s="207">
        <v>0</v>
      </c>
      <c r="N42" s="207">
        <v>0</v>
      </c>
      <c r="O42" s="207">
        <v>0</v>
      </c>
      <c r="P42" s="207">
        <v>0</v>
      </c>
      <c r="Q42" s="207">
        <v>0</v>
      </c>
      <c r="R42" s="207">
        <v>0</v>
      </c>
      <c r="S42" s="207">
        <v>0</v>
      </c>
      <c r="T42" s="207">
        <v>0</v>
      </c>
      <c r="U42" s="207">
        <v>0</v>
      </c>
      <c r="V42" s="207">
        <v>0</v>
      </c>
      <c r="W42" s="207">
        <v>0</v>
      </c>
      <c r="X42" s="207">
        <v>0</v>
      </c>
      <c r="Y42" s="207">
        <v>0</v>
      </c>
      <c r="Z42" s="207">
        <v>0</v>
      </c>
      <c r="AA42" s="207">
        <v>0</v>
      </c>
      <c r="AB42" s="207">
        <v>0</v>
      </c>
      <c r="AC42" s="207">
        <v>0</v>
      </c>
      <c r="AD42" s="207">
        <v>0</v>
      </c>
      <c r="AE42" s="207">
        <v>0</v>
      </c>
      <c r="AF42" s="207">
        <v>0</v>
      </c>
      <c r="AG42" s="207">
        <v>0</v>
      </c>
      <c r="AH42" s="207">
        <v>0</v>
      </c>
      <c r="AI42" s="207">
        <v>0</v>
      </c>
      <c r="AJ42" s="207">
        <v>0</v>
      </c>
      <c r="AK42" s="207">
        <v>0</v>
      </c>
      <c r="AL42" s="207">
        <v>0</v>
      </c>
      <c r="AM42" s="207">
        <v>0</v>
      </c>
      <c r="AN42" s="207">
        <v>0</v>
      </c>
      <c r="AO42" s="207">
        <v>0</v>
      </c>
    </row>
    <row r="43" spans="3:41" x14ac:dyDescent="0.3">
      <c r="C43" s="207">
        <v>24</v>
      </c>
      <c r="D43" s="207">
        <v>7</v>
      </c>
      <c r="E43" s="207">
        <v>1</v>
      </c>
      <c r="F43" s="207">
        <v>54.25</v>
      </c>
      <c r="G43" s="207">
        <v>0</v>
      </c>
      <c r="H43" s="207">
        <v>0</v>
      </c>
      <c r="I43" s="207">
        <v>10.3</v>
      </c>
      <c r="J43" s="207">
        <v>0</v>
      </c>
      <c r="K43" s="207">
        <v>29</v>
      </c>
      <c r="L43" s="207">
        <v>0</v>
      </c>
      <c r="M43" s="207">
        <v>0</v>
      </c>
      <c r="N43" s="207">
        <v>0</v>
      </c>
      <c r="O43" s="207">
        <v>0</v>
      </c>
      <c r="P43" s="207">
        <v>0</v>
      </c>
      <c r="Q43" s="207">
        <v>0</v>
      </c>
      <c r="R43" s="207">
        <v>13</v>
      </c>
      <c r="S43" s="207">
        <v>0</v>
      </c>
      <c r="T43" s="207">
        <v>0</v>
      </c>
      <c r="U43" s="207">
        <v>0</v>
      </c>
      <c r="V43" s="207">
        <v>0</v>
      </c>
      <c r="W43" s="207">
        <v>0</v>
      </c>
      <c r="X43" s="207">
        <v>0</v>
      </c>
      <c r="Y43" s="207">
        <v>0</v>
      </c>
      <c r="Z43" s="207">
        <v>0</v>
      </c>
      <c r="AA43" s="207">
        <v>0</v>
      </c>
      <c r="AB43" s="207">
        <v>0</v>
      </c>
      <c r="AC43" s="207">
        <v>0</v>
      </c>
      <c r="AD43" s="207">
        <v>0</v>
      </c>
      <c r="AE43" s="207">
        <v>0</v>
      </c>
      <c r="AF43" s="207">
        <v>0</v>
      </c>
      <c r="AG43" s="207">
        <v>0</v>
      </c>
      <c r="AH43" s="207">
        <v>0</v>
      </c>
      <c r="AI43" s="207">
        <v>0</v>
      </c>
      <c r="AJ43" s="207">
        <v>0</v>
      </c>
      <c r="AK43" s="207">
        <v>0</v>
      </c>
      <c r="AL43" s="207">
        <v>0</v>
      </c>
      <c r="AM43" s="207">
        <v>0</v>
      </c>
      <c r="AN43" s="207">
        <v>0.95</v>
      </c>
      <c r="AO43" s="207">
        <v>1</v>
      </c>
    </row>
    <row r="44" spans="3:41" x14ac:dyDescent="0.3">
      <c r="C44" s="207">
        <v>24</v>
      </c>
      <c r="D44" s="207">
        <v>7</v>
      </c>
      <c r="E44" s="207">
        <v>2</v>
      </c>
      <c r="F44" s="207">
        <v>6072.2</v>
      </c>
      <c r="G44" s="207">
        <v>0</v>
      </c>
      <c r="H44" s="207">
        <v>0</v>
      </c>
      <c r="I44" s="207">
        <v>1215.2</v>
      </c>
      <c r="J44" s="207">
        <v>0</v>
      </c>
      <c r="K44" s="207">
        <v>3120</v>
      </c>
      <c r="L44" s="207">
        <v>0</v>
      </c>
      <c r="M44" s="207">
        <v>0</v>
      </c>
      <c r="N44" s="207">
        <v>0</v>
      </c>
      <c r="O44" s="207">
        <v>0</v>
      </c>
      <c r="P44" s="207">
        <v>0</v>
      </c>
      <c r="Q44" s="207">
        <v>0</v>
      </c>
      <c r="R44" s="207">
        <v>1512.8</v>
      </c>
      <c r="S44" s="207">
        <v>0</v>
      </c>
      <c r="T44" s="207">
        <v>0</v>
      </c>
      <c r="U44" s="207">
        <v>0</v>
      </c>
      <c r="V44" s="207">
        <v>0</v>
      </c>
      <c r="W44" s="207">
        <v>0</v>
      </c>
      <c r="X44" s="207">
        <v>0</v>
      </c>
      <c r="Y44" s="207">
        <v>0</v>
      </c>
      <c r="Z44" s="207">
        <v>0</v>
      </c>
      <c r="AA44" s="207">
        <v>0</v>
      </c>
      <c r="AB44" s="207">
        <v>0</v>
      </c>
      <c r="AC44" s="207">
        <v>0</v>
      </c>
      <c r="AD44" s="207">
        <v>0</v>
      </c>
      <c r="AE44" s="207">
        <v>0</v>
      </c>
      <c r="AF44" s="207">
        <v>0</v>
      </c>
      <c r="AG44" s="207">
        <v>0</v>
      </c>
      <c r="AH44" s="207">
        <v>0</v>
      </c>
      <c r="AI44" s="207">
        <v>0</v>
      </c>
      <c r="AJ44" s="207">
        <v>0</v>
      </c>
      <c r="AK44" s="207">
        <v>0</v>
      </c>
      <c r="AL44" s="207">
        <v>0</v>
      </c>
      <c r="AM44" s="207">
        <v>0</v>
      </c>
      <c r="AN44" s="207">
        <v>112.2</v>
      </c>
      <c r="AO44" s="207">
        <v>112</v>
      </c>
    </row>
    <row r="45" spans="3:41" x14ac:dyDescent="0.3">
      <c r="C45" s="207">
        <v>24</v>
      </c>
      <c r="D45" s="207">
        <v>7</v>
      </c>
      <c r="E45" s="207">
        <v>5</v>
      </c>
      <c r="F45" s="207">
        <v>65</v>
      </c>
      <c r="G45" s="207">
        <v>65</v>
      </c>
      <c r="H45" s="207">
        <v>0</v>
      </c>
      <c r="I45" s="207">
        <v>0</v>
      </c>
      <c r="J45" s="207">
        <v>0</v>
      </c>
      <c r="K45" s="207">
        <v>0</v>
      </c>
      <c r="L45" s="207">
        <v>0</v>
      </c>
      <c r="M45" s="207">
        <v>0</v>
      </c>
      <c r="N45" s="207">
        <v>0</v>
      </c>
      <c r="O45" s="207">
        <v>0</v>
      </c>
      <c r="P45" s="207">
        <v>0</v>
      </c>
      <c r="Q45" s="207">
        <v>0</v>
      </c>
      <c r="R45" s="207">
        <v>0</v>
      </c>
      <c r="S45" s="207">
        <v>0</v>
      </c>
      <c r="T45" s="207">
        <v>0</v>
      </c>
      <c r="U45" s="207">
        <v>0</v>
      </c>
      <c r="V45" s="207">
        <v>0</v>
      </c>
      <c r="W45" s="207">
        <v>0</v>
      </c>
      <c r="X45" s="207">
        <v>0</v>
      </c>
      <c r="Y45" s="207">
        <v>0</v>
      </c>
      <c r="Z45" s="207">
        <v>0</v>
      </c>
      <c r="AA45" s="207">
        <v>0</v>
      </c>
      <c r="AB45" s="207">
        <v>0</v>
      </c>
      <c r="AC45" s="207">
        <v>0</v>
      </c>
      <c r="AD45" s="207">
        <v>0</v>
      </c>
      <c r="AE45" s="207">
        <v>0</v>
      </c>
      <c r="AF45" s="207">
        <v>0</v>
      </c>
      <c r="AG45" s="207">
        <v>0</v>
      </c>
      <c r="AH45" s="207">
        <v>0</v>
      </c>
      <c r="AI45" s="207">
        <v>0</v>
      </c>
      <c r="AJ45" s="207">
        <v>0</v>
      </c>
      <c r="AK45" s="207">
        <v>0</v>
      </c>
      <c r="AL45" s="207">
        <v>0</v>
      </c>
      <c r="AM45" s="207">
        <v>0</v>
      </c>
      <c r="AN45" s="207">
        <v>0</v>
      </c>
      <c r="AO45" s="207">
        <v>0</v>
      </c>
    </row>
    <row r="46" spans="3:41" x14ac:dyDescent="0.3">
      <c r="C46" s="207">
        <v>24</v>
      </c>
      <c r="D46" s="207">
        <v>7</v>
      </c>
      <c r="E46" s="207">
        <v>6</v>
      </c>
      <c r="F46" s="207">
        <v>2408935</v>
      </c>
      <c r="G46" s="207">
        <v>9150</v>
      </c>
      <c r="H46" s="207">
        <v>0</v>
      </c>
      <c r="I46" s="207">
        <v>768245</v>
      </c>
      <c r="J46" s="207">
        <v>0</v>
      </c>
      <c r="K46" s="207">
        <v>1138867</v>
      </c>
      <c r="L46" s="207">
        <v>0</v>
      </c>
      <c r="M46" s="207">
        <v>0</v>
      </c>
      <c r="N46" s="207">
        <v>0</v>
      </c>
      <c r="O46" s="207">
        <v>0</v>
      </c>
      <c r="P46" s="207">
        <v>0</v>
      </c>
      <c r="Q46" s="207">
        <v>0</v>
      </c>
      <c r="R46" s="207">
        <v>448241</v>
      </c>
      <c r="S46" s="207">
        <v>0</v>
      </c>
      <c r="T46" s="207">
        <v>0</v>
      </c>
      <c r="U46" s="207">
        <v>0</v>
      </c>
      <c r="V46" s="207">
        <v>0</v>
      </c>
      <c r="W46" s="207">
        <v>0</v>
      </c>
      <c r="X46" s="207">
        <v>0</v>
      </c>
      <c r="Y46" s="207">
        <v>0</v>
      </c>
      <c r="Z46" s="207">
        <v>0</v>
      </c>
      <c r="AA46" s="207">
        <v>0</v>
      </c>
      <c r="AB46" s="207">
        <v>0</v>
      </c>
      <c r="AC46" s="207">
        <v>0</v>
      </c>
      <c r="AD46" s="207">
        <v>0</v>
      </c>
      <c r="AE46" s="207">
        <v>0</v>
      </c>
      <c r="AF46" s="207">
        <v>0</v>
      </c>
      <c r="AG46" s="207">
        <v>0</v>
      </c>
      <c r="AH46" s="207">
        <v>0</v>
      </c>
      <c r="AI46" s="207">
        <v>0</v>
      </c>
      <c r="AJ46" s="207">
        <v>0</v>
      </c>
      <c r="AK46" s="207">
        <v>0</v>
      </c>
      <c r="AL46" s="207">
        <v>0</v>
      </c>
      <c r="AM46" s="207">
        <v>0</v>
      </c>
      <c r="AN46" s="207">
        <v>23288</v>
      </c>
      <c r="AO46" s="207">
        <v>21144</v>
      </c>
    </row>
    <row r="47" spans="3:41" x14ac:dyDescent="0.3">
      <c r="C47" s="207">
        <v>24</v>
      </c>
      <c r="D47" s="207">
        <v>7</v>
      </c>
      <c r="E47" s="207">
        <v>9</v>
      </c>
      <c r="F47" s="207">
        <v>818877</v>
      </c>
      <c r="G47" s="207">
        <v>0</v>
      </c>
      <c r="H47" s="207">
        <v>0</v>
      </c>
      <c r="I47" s="207">
        <v>279762</v>
      </c>
      <c r="J47" s="207">
        <v>0</v>
      </c>
      <c r="K47" s="207">
        <v>379865</v>
      </c>
      <c r="L47" s="207">
        <v>0</v>
      </c>
      <c r="M47" s="207">
        <v>0</v>
      </c>
      <c r="N47" s="207">
        <v>0</v>
      </c>
      <c r="O47" s="207">
        <v>0</v>
      </c>
      <c r="P47" s="207">
        <v>0</v>
      </c>
      <c r="Q47" s="207">
        <v>0</v>
      </c>
      <c r="R47" s="207">
        <v>146002</v>
      </c>
      <c r="S47" s="207">
        <v>0</v>
      </c>
      <c r="T47" s="207">
        <v>0</v>
      </c>
      <c r="U47" s="207">
        <v>0</v>
      </c>
      <c r="V47" s="207">
        <v>0</v>
      </c>
      <c r="W47" s="207">
        <v>0</v>
      </c>
      <c r="X47" s="207">
        <v>0</v>
      </c>
      <c r="Y47" s="207">
        <v>0</v>
      </c>
      <c r="Z47" s="207">
        <v>0</v>
      </c>
      <c r="AA47" s="207">
        <v>0</v>
      </c>
      <c r="AB47" s="207">
        <v>0</v>
      </c>
      <c r="AC47" s="207">
        <v>0</v>
      </c>
      <c r="AD47" s="207">
        <v>0</v>
      </c>
      <c r="AE47" s="207">
        <v>0</v>
      </c>
      <c r="AF47" s="207">
        <v>0</v>
      </c>
      <c r="AG47" s="207">
        <v>0</v>
      </c>
      <c r="AH47" s="207">
        <v>0</v>
      </c>
      <c r="AI47" s="207">
        <v>0</v>
      </c>
      <c r="AJ47" s="207">
        <v>0</v>
      </c>
      <c r="AK47" s="207">
        <v>0</v>
      </c>
      <c r="AL47" s="207">
        <v>0</v>
      </c>
      <c r="AM47" s="207">
        <v>0</v>
      </c>
      <c r="AN47" s="207">
        <v>7078</v>
      </c>
      <c r="AO47" s="207">
        <v>6170</v>
      </c>
    </row>
    <row r="48" spans="3:41" x14ac:dyDescent="0.3">
      <c r="C48" s="207">
        <v>24</v>
      </c>
      <c r="D48" s="207">
        <v>7</v>
      </c>
      <c r="E48" s="207">
        <v>10</v>
      </c>
      <c r="F48" s="207">
        <v>2500</v>
      </c>
      <c r="G48" s="207">
        <v>0</v>
      </c>
      <c r="H48" s="207">
        <v>0</v>
      </c>
      <c r="I48" s="207">
        <v>0</v>
      </c>
      <c r="J48" s="207">
        <v>0</v>
      </c>
      <c r="K48" s="207">
        <v>2500</v>
      </c>
      <c r="L48" s="207">
        <v>0</v>
      </c>
      <c r="M48" s="207">
        <v>0</v>
      </c>
      <c r="N48" s="207">
        <v>0</v>
      </c>
      <c r="O48" s="207">
        <v>0</v>
      </c>
      <c r="P48" s="207">
        <v>0</v>
      </c>
      <c r="Q48" s="207">
        <v>0</v>
      </c>
      <c r="R48" s="207">
        <v>0</v>
      </c>
      <c r="S48" s="207">
        <v>0</v>
      </c>
      <c r="T48" s="207">
        <v>0</v>
      </c>
      <c r="U48" s="207">
        <v>0</v>
      </c>
      <c r="V48" s="207">
        <v>0</v>
      </c>
      <c r="W48" s="207">
        <v>0</v>
      </c>
      <c r="X48" s="207">
        <v>0</v>
      </c>
      <c r="Y48" s="207">
        <v>0</v>
      </c>
      <c r="Z48" s="207">
        <v>0</v>
      </c>
      <c r="AA48" s="207">
        <v>0</v>
      </c>
      <c r="AB48" s="207">
        <v>0</v>
      </c>
      <c r="AC48" s="207">
        <v>0</v>
      </c>
      <c r="AD48" s="207">
        <v>0</v>
      </c>
      <c r="AE48" s="207">
        <v>0</v>
      </c>
      <c r="AF48" s="207">
        <v>0</v>
      </c>
      <c r="AG48" s="207">
        <v>0</v>
      </c>
      <c r="AH48" s="207">
        <v>0</v>
      </c>
      <c r="AI48" s="207">
        <v>0</v>
      </c>
      <c r="AJ48" s="207">
        <v>0</v>
      </c>
      <c r="AK48" s="207">
        <v>0</v>
      </c>
      <c r="AL48" s="207">
        <v>0</v>
      </c>
      <c r="AM48" s="207">
        <v>0</v>
      </c>
      <c r="AN48" s="207">
        <v>0</v>
      </c>
      <c r="AO48" s="207">
        <v>0</v>
      </c>
    </row>
    <row r="49" spans="3:41" x14ac:dyDescent="0.3">
      <c r="C49" s="207">
        <v>24</v>
      </c>
      <c r="D49" s="207">
        <v>7</v>
      </c>
      <c r="E49" s="207">
        <v>11</v>
      </c>
      <c r="F49" s="207">
        <v>5908.6608667036871</v>
      </c>
      <c r="G49" s="207">
        <v>0</v>
      </c>
      <c r="H49" s="207">
        <v>4241.9942000370202</v>
      </c>
      <c r="I49" s="207">
        <v>0</v>
      </c>
      <c r="J49" s="207">
        <v>0</v>
      </c>
      <c r="K49" s="207">
        <v>1666.6666666666667</v>
      </c>
      <c r="L49" s="207">
        <v>0</v>
      </c>
      <c r="M49" s="207">
        <v>0</v>
      </c>
      <c r="N49" s="207">
        <v>0</v>
      </c>
      <c r="O49" s="207">
        <v>0</v>
      </c>
      <c r="P49" s="207">
        <v>0</v>
      </c>
      <c r="Q49" s="207">
        <v>0</v>
      </c>
      <c r="R49" s="207">
        <v>0</v>
      </c>
      <c r="S49" s="207">
        <v>0</v>
      </c>
      <c r="T49" s="207">
        <v>0</v>
      </c>
      <c r="U49" s="207">
        <v>0</v>
      </c>
      <c r="V49" s="207">
        <v>0</v>
      </c>
      <c r="W49" s="207">
        <v>0</v>
      </c>
      <c r="X49" s="207">
        <v>0</v>
      </c>
      <c r="Y49" s="207">
        <v>0</v>
      </c>
      <c r="Z49" s="207">
        <v>0</v>
      </c>
      <c r="AA49" s="207">
        <v>0</v>
      </c>
      <c r="AB49" s="207">
        <v>0</v>
      </c>
      <c r="AC49" s="207">
        <v>0</v>
      </c>
      <c r="AD49" s="207">
        <v>0</v>
      </c>
      <c r="AE49" s="207">
        <v>0</v>
      </c>
      <c r="AF49" s="207">
        <v>0</v>
      </c>
      <c r="AG49" s="207">
        <v>0</v>
      </c>
      <c r="AH49" s="207">
        <v>0</v>
      </c>
      <c r="AI49" s="207">
        <v>0</v>
      </c>
      <c r="AJ49" s="207">
        <v>0</v>
      </c>
      <c r="AK49" s="207">
        <v>0</v>
      </c>
      <c r="AL49" s="207">
        <v>0</v>
      </c>
      <c r="AM49" s="207">
        <v>0</v>
      </c>
      <c r="AN49" s="207">
        <v>0</v>
      </c>
      <c r="AO49" s="207">
        <v>0</v>
      </c>
    </row>
    <row r="50" spans="3:41" x14ac:dyDescent="0.3">
      <c r="C50" s="207">
        <v>24</v>
      </c>
      <c r="D50" s="207">
        <v>8</v>
      </c>
      <c r="E50" s="207">
        <v>1</v>
      </c>
      <c r="F50" s="207">
        <v>54.3</v>
      </c>
      <c r="G50" s="207">
        <v>0</v>
      </c>
      <c r="H50" s="207">
        <v>0</v>
      </c>
      <c r="I50" s="207">
        <v>10.35</v>
      </c>
      <c r="J50" s="207">
        <v>0</v>
      </c>
      <c r="K50" s="207">
        <v>29</v>
      </c>
      <c r="L50" s="207">
        <v>0</v>
      </c>
      <c r="M50" s="207">
        <v>0</v>
      </c>
      <c r="N50" s="207">
        <v>0</v>
      </c>
      <c r="O50" s="207">
        <v>0</v>
      </c>
      <c r="P50" s="207">
        <v>0</v>
      </c>
      <c r="Q50" s="207">
        <v>0</v>
      </c>
      <c r="R50" s="207">
        <v>13</v>
      </c>
      <c r="S50" s="207">
        <v>0</v>
      </c>
      <c r="T50" s="207">
        <v>0</v>
      </c>
      <c r="U50" s="207">
        <v>0</v>
      </c>
      <c r="V50" s="207">
        <v>0</v>
      </c>
      <c r="W50" s="207">
        <v>0</v>
      </c>
      <c r="X50" s="207">
        <v>0</v>
      </c>
      <c r="Y50" s="207">
        <v>0</v>
      </c>
      <c r="Z50" s="207">
        <v>0</v>
      </c>
      <c r="AA50" s="207">
        <v>0</v>
      </c>
      <c r="AB50" s="207">
        <v>0</v>
      </c>
      <c r="AC50" s="207">
        <v>0</v>
      </c>
      <c r="AD50" s="207">
        <v>0</v>
      </c>
      <c r="AE50" s="207">
        <v>0</v>
      </c>
      <c r="AF50" s="207">
        <v>0</v>
      </c>
      <c r="AG50" s="207">
        <v>0</v>
      </c>
      <c r="AH50" s="207">
        <v>0</v>
      </c>
      <c r="AI50" s="207">
        <v>0</v>
      </c>
      <c r="AJ50" s="207">
        <v>0</v>
      </c>
      <c r="AK50" s="207">
        <v>0</v>
      </c>
      <c r="AL50" s="207">
        <v>0</v>
      </c>
      <c r="AM50" s="207">
        <v>0</v>
      </c>
      <c r="AN50" s="207">
        <v>0.95</v>
      </c>
      <c r="AO50" s="207">
        <v>1</v>
      </c>
    </row>
    <row r="51" spans="3:41" x14ac:dyDescent="0.3">
      <c r="C51" s="207">
        <v>24</v>
      </c>
      <c r="D51" s="207">
        <v>8</v>
      </c>
      <c r="E51" s="207">
        <v>2</v>
      </c>
      <c r="F51" s="207">
        <v>5870</v>
      </c>
      <c r="G51" s="207">
        <v>0</v>
      </c>
      <c r="H51" s="207">
        <v>0</v>
      </c>
      <c r="I51" s="207">
        <v>1375.9</v>
      </c>
      <c r="J51" s="207">
        <v>0</v>
      </c>
      <c r="K51" s="207">
        <v>2944</v>
      </c>
      <c r="L51" s="207">
        <v>0</v>
      </c>
      <c r="M51" s="207">
        <v>0</v>
      </c>
      <c r="N51" s="207">
        <v>0</v>
      </c>
      <c r="O51" s="207">
        <v>0</v>
      </c>
      <c r="P51" s="207">
        <v>0</v>
      </c>
      <c r="Q51" s="207">
        <v>0</v>
      </c>
      <c r="R51" s="207">
        <v>1316</v>
      </c>
      <c r="S51" s="207">
        <v>0</v>
      </c>
      <c r="T51" s="207">
        <v>0</v>
      </c>
      <c r="U51" s="207">
        <v>0</v>
      </c>
      <c r="V51" s="207">
        <v>0</v>
      </c>
      <c r="W51" s="207">
        <v>0</v>
      </c>
      <c r="X51" s="207">
        <v>0</v>
      </c>
      <c r="Y51" s="207">
        <v>0</v>
      </c>
      <c r="Z51" s="207">
        <v>0</v>
      </c>
      <c r="AA51" s="207">
        <v>0</v>
      </c>
      <c r="AB51" s="207">
        <v>0</v>
      </c>
      <c r="AC51" s="207">
        <v>0</v>
      </c>
      <c r="AD51" s="207">
        <v>0</v>
      </c>
      <c r="AE51" s="207">
        <v>0</v>
      </c>
      <c r="AF51" s="207">
        <v>0</v>
      </c>
      <c r="AG51" s="207">
        <v>0</v>
      </c>
      <c r="AH51" s="207">
        <v>0</v>
      </c>
      <c r="AI51" s="207">
        <v>0</v>
      </c>
      <c r="AJ51" s="207">
        <v>0</v>
      </c>
      <c r="AK51" s="207">
        <v>0</v>
      </c>
      <c r="AL51" s="207">
        <v>0</v>
      </c>
      <c r="AM51" s="207">
        <v>0</v>
      </c>
      <c r="AN51" s="207">
        <v>106.1</v>
      </c>
      <c r="AO51" s="207">
        <v>128</v>
      </c>
    </row>
    <row r="52" spans="3:41" x14ac:dyDescent="0.3">
      <c r="C52" s="207">
        <v>24</v>
      </c>
      <c r="D52" s="207">
        <v>8</v>
      </c>
      <c r="E52" s="207">
        <v>5</v>
      </c>
      <c r="F52" s="207">
        <v>56</v>
      </c>
      <c r="G52" s="207">
        <v>56</v>
      </c>
      <c r="H52" s="207">
        <v>0</v>
      </c>
      <c r="I52" s="207">
        <v>0</v>
      </c>
      <c r="J52" s="207">
        <v>0</v>
      </c>
      <c r="K52" s="207">
        <v>0</v>
      </c>
      <c r="L52" s="207">
        <v>0</v>
      </c>
      <c r="M52" s="207">
        <v>0</v>
      </c>
      <c r="N52" s="207">
        <v>0</v>
      </c>
      <c r="O52" s="207">
        <v>0</v>
      </c>
      <c r="P52" s="207">
        <v>0</v>
      </c>
      <c r="Q52" s="207">
        <v>0</v>
      </c>
      <c r="R52" s="207">
        <v>0</v>
      </c>
      <c r="S52" s="207">
        <v>0</v>
      </c>
      <c r="T52" s="207">
        <v>0</v>
      </c>
      <c r="U52" s="207">
        <v>0</v>
      </c>
      <c r="V52" s="207">
        <v>0</v>
      </c>
      <c r="W52" s="207">
        <v>0</v>
      </c>
      <c r="X52" s="207">
        <v>0</v>
      </c>
      <c r="Y52" s="207">
        <v>0</v>
      </c>
      <c r="Z52" s="207">
        <v>0</v>
      </c>
      <c r="AA52" s="207">
        <v>0</v>
      </c>
      <c r="AB52" s="207">
        <v>0</v>
      </c>
      <c r="AC52" s="207">
        <v>0</v>
      </c>
      <c r="AD52" s="207">
        <v>0</v>
      </c>
      <c r="AE52" s="207">
        <v>0</v>
      </c>
      <c r="AF52" s="207">
        <v>0</v>
      </c>
      <c r="AG52" s="207">
        <v>0</v>
      </c>
      <c r="AH52" s="207">
        <v>0</v>
      </c>
      <c r="AI52" s="207">
        <v>0</v>
      </c>
      <c r="AJ52" s="207">
        <v>0</v>
      </c>
      <c r="AK52" s="207">
        <v>0</v>
      </c>
      <c r="AL52" s="207">
        <v>0</v>
      </c>
      <c r="AM52" s="207">
        <v>0</v>
      </c>
      <c r="AN52" s="207">
        <v>0</v>
      </c>
      <c r="AO52" s="207">
        <v>0</v>
      </c>
    </row>
    <row r="53" spans="3:41" x14ac:dyDescent="0.3">
      <c r="C53" s="207">
        <v>24</v>
      </c>
      <c r="D53" s="207">
        <v>8</v>
      </c>
      <c r="E53" s="207">
        <v>6</v>
      </c>
      <c r="F53" s="207">
        <v>1601593</v>
      </c>
      <c r="G53" s="207">
        <v>7590</v>
      </c>
      <c r="H53" s="207">
        <v>0</v>
      </c>
      <c r="I53" s="207">
        <v>492276</v>
      </c>
      <c r="J53" s="207">
        <v>0</v>
      </c>
      <c r="K53" s="207">
        <v>764227</v>
      </c>
      <c r="L53" s="207">
        <v>0</v>
      </c>
      <c r="M53" s="207">
        <v>0</v>
      </c>
      <c r="N53" s="207">
        <v>0</v>
      </c>
      <c r="O53" s="207">
        <v>0</v>
      </c>
      <c r="P53" s="207">
        <v>0</v>
      </c>
      <c r="Q53" s="207">
        <v>0</v>
      </c>
      <c r="R53" s="207">
        <v>307174</v>
      </c>
      <c r="S53" s="207">
        <v>0</v>
      </c>
      <c r="T53" s="207">
        <v>0</v>
      </c>
      <c r="U53" s="207">
        <v>0</v>
      </c>
      <c r="V53" s="207">
        <v>0</v>
      </c>
      <c r="W53" s="207">
        <v>0</v>
      </c>
      <c r="X53" s="207">
        <v>0</v>
      </c>
      <c r="Y53" s="207">
        <v>0</v>
      </c>
      <c r="Z53" s="207">
        <v>0</v>
      </c>
      <c r="AA53" s="207">
        <v>0</v>
      </c>
      <c r="AB53" s="207">
        <v>0</v>
      </c>
      <c r="AC53" s="207">
        <v>0</v>
      </c>
      <c r="AD53" s="207">
        <v>0</v>
      </c>
      <c r="AE53" s="207">
        <v>0</v>
      </c>
      <c r="AF53" s="207">
        <v>0</v>
      </c>
      <c r="AG53" s="207">
        <v>0</v>
      </c>
      <c r="AH53" s="207">
        <v>0</v>
      </c>
      <c r="AI53" s="207">
        <v>0</v>
      </c>
      <c r="AJ53" s="207">
        <v>0</v>
      </c>
      <c r="AK53" s="207">
        <v>0</v>
      </c>
      <c r="AL53" s="207">
        <v>0</v>
      </c>
      <c r="AM53" s="207">
        <v>0</v>
      </c>
      <c r="AN53" s="207">
        <v>15807</v>
      </c>
      <c r="AO53" s="207">
        <v>14519</v>
      </c>
    </row>
    <row r="54" spans="3:41" x14ac:dyDescent="0.3">
      <c r="C54" s="207">
        <v>24</v>
      </c>
      <c r="D54" s="207">
        <v>8</v>
      </c>
      <c r="E54" s="207">
        <v>9</v>
      </c>
      <c r="F54" s="207">
        <v>51772</v>
      </c>
      <c r="G54" s="207">
        <v>0</v>
      </c>
      <c r="H54" s="207">
        <v>0</v>
      </c>
      <c r="I54" s="207">
        <v>30126</v>
      </c>
      <c r="J54" s="207">
        <v>0</v>
      </c>
      <c r="K54" s="207">
        <v>0</v>
      </c>
      <c r="L54" s="207">
        <v>0</v>
      </c>
      <c r="M54" s="207">
        <v>0</v>
      </c>
      <c r="N54" s="207">
        <v>0</v>
      </c>
      <c r="O54" s="207">
        <v>0</v>
      </c>
      <c r="P54" s="207">
        <v>0</v>
      </c>
      <c r="Q54" s="207">
        <v>0</v>
      </c>
      <c r="R54" s="207">
        <v>21646</v>
      </c>
      <c r="S54" s="207">
        <v>0</v>
      </c>
      <c r="T54" s="207">
        <v>0</v>
      </c>
      <c r="U54" s="207">
        <v>0</v>
      </c>
      <c r="V54" s="207">
        <v>0</v>
      </c>
      <c r="W54" s="207">
        <v>0</v>
      </c>
      <c r="X54" s="207">
        <v>0</v>
      </c>
      <c r="Y54" s="207">
        <v>0</v>
      </c>
      <c r="Z54" s="207">
        <v>0</v>
      </c>
      <c r="AA54" s="207">
        <v>0</v>
      </c>
      <c r="AB54" s="207">
        <v>0</v>
      </c>
      <c r="AC54" s="207">
        <v>0</v>
      </c>
      <c r="AD54" s="207">
        <v>0</v>
      </c>
      <c r="AE54" s="207">
        <v>0</v>
      </c>
      <c r="AF54" s="207">
        <v>0</v>
      </c>
      <c r="AG54" s="207">
        <v>0</v>
      </c>
      <c r="AH54" s="207">
        <v>0</v>
      </c>
      <c r="AI54" s="207">
        <v>0</v>
      </c>
      <c r="AJ54" s="207">
        <v>0</v>
      </c>
      <c r="AK54" s="207">
        <v>0</v>
      </c>
      <c r="AL54" s="207">
        <v>0</v>
      </c>
      <c r="AM54" s="207">
        <v>0</v>
      </c>
      <c r="AN54" s="207">
        <v>0</v>
      </c>
      <c r="AO54" s="207">
        <v>0</v>
      </c>
    </row>
    <row r="55" spans="3:41" x14ac:dyDescent="0.3">
      <c r="C55" s="207">
        <v>24</v>
      </c>
      <c r="D55" s="207">
        <v>8</v>
      </c>
      <c r="E55" s="207">
        <v>10</v>
      </c>
      <c r="F55" s="207">
        <v>2500</v>
      </c>
      <c r="G55" s="207">
        <v>0</v>
      </c>
      <c r="H55" s="207">
        <v>0</v>
      </c>
      <c r="I55" s="207">
        <v>0</v>
      </c>
      <c r="J55" s="207">
        <v>0</v>
      </c>
      <c r="K55" s="207">
        <v>2500</v>
      </c>
      <c r="L55" s="207">
        <v>0</v>
      </c>
      <c r="M55" s="207">
        <v>0</v>
      </c>
      <c r="N55" s="207">
        <v>0</v>
      </c>
      <c r="O55" s="207">
        <v>0</v>
      </c>
      <c r="P55" s="207">
        <v>0</v>
      </c>
      <c r="Q55" s="207">
        <v>0</v>
      </c>
      <c r="R55" s="207">
        <v>0</v>
      </c>
      <c r="S55" s="207">
        <v>0</v>
      </c>
      <c r="T55" s="207">
        <v>0</v>
      </c>
      <c r="U55" s="207">
        <v>0</v>
      </c>
      <c r="V55" s="207">
        <v>0</v>
      </c>
      <c r="W55" s="207">
        <v>0</v>
      </c>
      <c r="X55" s="207">
        <v>0</v>
      </c>
      <c r="Y55" s="207">
        <v>0</v>
      </c>
      <c r="Z55" s="207">
        <v>0</v>
      </c>
      <c r="AA55" s="207">
        <v>0</v>
      </c>
      <c r="AB55" s="207">
        <v>0</v>
      </c>
      <c r="AC55" s="207">
        <v>0</v>
      </c>
      <c r="AD55" s="207">
        <v>0</v>
      </c>
      <c r="AE55" s="207">
        <v>0</v>
      </c>
      <c r="AF55" s="207">
        <v>0</v>
      </c>
      <c r="AG55" s="207">
        <v>0</v>
      </c>
      <c r="AH55" s="207">
        <v>0</v>
      </c>
      <c r="AI55" s="207">
        <v>0</v>
      </c>
      <c r="AJ55" s="207">
        <v>0</v>
      </c>
      <c r="AK55" s="207">
        <v>0</v>
      </c>
      <c r="AL55" s="207">
        <v>0</v>
      </c>
      <c r="AM55" s="207">
        <v>0</v>
      </c>
      <c r="AN55" s="207">
        <v>0</v>
      </c>
      <c r="AO55" s="207">
        <v>0</v>
      </c>
    </row>
    <row r="56" spans="3:41" x14ac:dyDescent="0.3">
      <c r="C56" s="207">
        <v>24</v>
      </c>
      <c r="D56" s="207">
        <v>8</v>
      </c>
      <c r="E56" s="207">
        <v>11</v>
      </c>
      <c r="F56" s="207">
        <v>5908.6608667036871</v>
      </c>
      <c r="G56" s="207">
        <v>0</v>
      </c>
      <c r="H56" s="207">
        <v>4241.9942000370202</v>
      </c>
      <c r="I56" s="207">
        <v>0</v>
      </c>
      <c r="J56" s="207">
        <v>0</v>
      </c>
      <c r="K56" s="207">
        <v>1666.6666666666667</v>
      </c>
      <c r="L56" s="207">
        <v>0</v>
      </c>
      <c r="M56" s="207">
        <v>0</v>
      </c>
      <c r="N56" s="207">
        <v>0</v>
      </c>
      <c r="O56" s="207">
        <v>0</v>
      </c>
      <c r="P56" s="207">
        <v>0</v>
      </c>
      <c r="Q56" s="207">
        <v>0</v>
      </c>
      <c r="R56" s="207">
        <v>0</v>
      </c>
      <c r="S56" s="207">
        <v>0</v>
      </c>
      <c r="T56" s="207">
        <v>0</v>
      </c>
      <c r="U56" s="207">
        <v>0</v>
      </c>
      <c r="V56" s="207">
        <v>0</v>
      </c>
      <c r="W56" s="207">
        <v>0</v>
      </c>
      <c r="X56" s="207">
        <v>0</v>
      </c>
      <c r="Y56" s="207">
        <v>0</v>
      </c>
      <c r="Z56" s="207">
        <v>0</v>
      </c>
      <c r="AA56" s="207">
        <v>0</v>
      </c>
      <c r="AB56" s="207">
        <v>0</v>
      </c>
      <c r="AC56" s="207">
        <v>0</v>
      </c>
      <c r="AD56" s="207">
        <v>0</v>
      </c>
      <c r="AE56" s="207">
        <v>0</v>
      </c>
      <c r="AF56" s="207">
        <v>0</v>
      </c>
      <c r="AG56" s="207">
        <v>0</v>
      </c>
      <c r="AH56" s="207">
        <v>0</v>
      </c>
      <c r="AI56" s="207">
        <v>0</v>
      </c>
      <c r="AJ56" s="207">
        <v>0</v>
      </c>
      <c r="AK56" s="207">
        <v>0</v>
      </c>
      <c r="AL56" s="207">
        <v>0</v>
      </c>
      <c r="AM56" s="207">
        <v>0</v>
      </c>
      <c r="AN56" s="207">
        <v>0</v>
      </c>
      <c r="AO56" s="207">
        <v>0</v>
      </c>
    </row>
    <row r="57" spans="3:41" x14ac:dyDescent="0.3">
      <c r="C57" s="207">
        <v>24</v>
      </c>
      <c r="D57" s="207">
        <v>9</v>
      </c>
      <c r="E57" s="207">
        <v>1</v>
      </c>
      <c r="F57" s="207">
        <v>54.45</v>
      </c>
      <c r="G57" s="207">
        <v>0</v>
      </c>
      <c r="H57" s="207">
        <v>0</v>
      </c>
      <c r="I57" s="207">
        <v>10.5</v>
      </c>
      <c r="J57" s="207">
        <v>0</v>
      </c>
      <c r="K57" s="207">
        <v>29</v>
      </c>
      <c r="L57" s="207">
        <v>0</v>
      </c>
      <c r="M57" s="207">
        <v>0</v>
      </c>
      <c r="N57" s="207">
        <v>0</v>
      </c>
      <c r="O57" s="207">
        <v>0</v>
      </c>
      <c r="P57" s="207">
        <v>0</v>
      </c>
      <c r="Q57" s="207">
        <v>0</v>
      </c>
      <c r="R57" s="207">
        <v>13</v>
      </c>
      <c r="S57" s="207">
        <v>0</v>
      </c>
      <c r="T57" s="207">
        <v>0</v>
      </c>
      <c r="U57" s="207">
        <v>0</v>
      </c>
      <c r="V57" s="207">
        <v>0</v>
      </c>
      <c r="W57" s="207">
        <v>0</v>
      </c>
      <c r="X57" s="207">
        <v>0</v>
      </c>
      <c r="Y57" s="207">
        <v>0</v>
      </c>
      <c r="Z57" s="207">
        <v>0</v>
      </c>
      <c r="AA57" s="207">
        <v>0</v>
      </c>
      <c r="AB57" s="207">
        <v>0</v>
      </c>
      <c r="AC57" s="207">
        <v>0</v>
      </c>
      <c r="AD57" s="207">
        <v>0</v>
      </c>
      <c r="AE57" s="207">
        <v>0</v>
      </c>
      <c r="AF57" s="207">
        <v>0</v>
      </c>
      <c r="AG57" s="207">
        <v>0</v>
      </c>
      <c r="AH57" s="207">
        <v>0</v>
      </c>
      <c r="AI57" s="207">
        <v>0</v>
      </c>
      <c r="AJ57" s="207">
        <v>0</v>
      </c>
      <c r="AK57" s="207">
        <v>0</v>
      </c>
      <c r="AL57" s="207">
        <v>0</v>
      </c>
      <c r="AM57" s="207">
        <v>0</v>
      </c>
      <c r="AN57" s="207">
        <v>0.95</v>
      </c>
      <c r="AO57" s="207">
        <v>1</v>
      </c>
    </row>
    <row r="58" spans="3:41" x14ac:dyDescent="0.3">
      <c r="C58" s="207">
        <v>24</v>
      </c>
      <c r="D58" s="207">
        <v>9</v>
      </c>
      <c r="E58" s="207">
        <v>2</v>
      </c>
      <c r="F58" s="207">
        <v>9024.6</v>
      </c>
      <c r="G58" s="207">
        <v>0</v>
      </c>
      <c r="H58" s="207">
        <v>0</v>
      </c>
      <c r="I58" s="207">
        <v>1740</v>
      </c>
      <c r="J58" s="207">
        <v>0</v>
      </c>
      <c r="K58" s="207">
        <v>4768</v>
      </c>
      <c r="L58" s="207">
        <v>0</v>
      </c>
      <c r="M58" s="207">
        <v>0</v>
      </c>
      <c r="N58" s="207">
        <v>0</v>
      </c>
      <c r="O58" s="207">
        <v>0</v>
      </c>
      <c r="P58" s="207">
        <v>0</v>
      </c>
      <c r="Q58" s="207">
        <v>0</v>
      </c>
      <c r="R58" s="207">
        <v>2188.4</v>
      </c>
      <c r="S58" s="207">
        <v>0</v>
      </c>
      <c r="T58" s="207">
        <v>0</v>
      </c>
      <c r="U58" s="207">
        <v>0</v>
      </c>
      <c r="V58" s="207">
        <v>0</v>
      </c>
      <c r="W58" s="207">
        <v>0</v>
      </c>
      <c r="X58" s="207">
        <v>0</v>
      </c>
      <c r="Y58" s="207">
        <v>0</v>
      </c>
      <c r="Z58" s="207">
        <v>0</v>
      </c>
      <c r="AA58" s="207">
        <v>0</v>
      </c>
      <c r="AB58" s="207">
        <v>0</v>
      </c>
      <c r="AC58" s="207">
        <v>0</v>
      </c>
      <c r="AD58" s="207">
        <v>0</v>
      </c>
      <c r="AE58" s="207">
        <v>0</v>
      </c>
      <c r="AF58" s="207">
        <v>0</v>
      </c>
      <c r="AG58" s="207">
        <v>0</v>
      </c>
      <c r="AH58" s="207">
        <v>0</v>
      </c>
      <c r="AI58" s="207">
        <v>0</v>
      </c>
      <c r="AJ58" s="207">
        <v>0</v>
      </c>
      <c r="AK58" s="207">
        <v>0</v>
      </c>
      <c r="AL58" s="207">
        <v>0</v>
      </c>
      <c r="AM58" s="207">
        <v>0</v>
      </c>
      <c r="AN58" s="207">
        <v>160.19999999999999</v>
      </c>
      <c r="AO58" s="207">
        <v>168</v>
      </c>
    </row>
    <row r="59" spans="3:41" x14ac:dyDescent="0.3">
      <c r="C59" s="207">
        <v>24</v>
      </c>
      <c r="D59" s="207">
        <v>9</v>
      </c>
      <c r="E59" s="207">
        <v>5</v>
      </c>
      <c r="F59" s="207">
        <v>144.5</v>
      </c>
      <c r="G59" s="207">
        <v>144.5</v>
      </c>
      <c r="H59" s="207">
        <v>0</v>
      </c>
      <c r="I59" s="207">
        <v>0</v>
      </c>
      <c r="J59" s="207">
        <v>0</v>
      </c>
      <c r="K59" s="207">
        <v>0</v>
      </c>
      <c r="L59" s="207">
        <v>0</v>
      </c>
      <c r="M59" s="207">
        <v>0</v>
      </c>
      <c r="N59" s="207">
        <v>0</v>
      </c>
      <c r="O59" s="207">
        <v>0</v>
      </c>
      <c r="P59" s="207">
        <v>0</v>
      </c>
      <c r="Q59" s="207">
        <v>0</v>
      </c>
      <c r="R59" s="207">
        <v>0</v>
      </c>
      <c r="S59" s="207">
        <v>0</v>
      </c>
      <c r="T59" s="207">
        <v>0</v>
      </c>
      <c r="U59" s="207">
        <v>0</v>
      </c>
      <c r="V59" s="207">
        <v>0</v>
      </c>
      <c r="W59" s="207">
        <v>0</v>
      </c>
      <c r="X59" s="207">
        <v>0</v>
      </c>
      <c r="Y59" s="207">
        <v>0</v>
      </c>
      <c r="Z59" s="207">
        <v>0</v>
      </c>
      <c r="AA59" s="207">
        <v>0</v>
      </c>
      <c r="AB59" s="207">
        <v>0</v>
      </c>
      <c r="AC59" s="207">
        <v>0</v>
      </c>
      <c r="AD59" s="207">
        <v>0</v>
      </c>
      <c r="AE59" s="207">
        <v>0</v>
      </c>
      <c r="AF59" s="207">
        <v>0</v>
      </c>
      <c r="AG59" s="207">
        <v>0</v>
      </c>
      <c r="AH59" s="207">
        <v>0</v>
      </c>
      <c r="AI59" s="207">
        <v>0</v>
      </c>
      <c r="AJ59" s="207">
        <v>0</v>
      </c>
      <c r="AK59" s="207">
        <v>0</v>
      </c>
      <c r="AL59" s="207">
        <v>0</v>
      </c>
      <c r="AM59" s="207">
        <v>0</v>
      </c>
      <c r="AN59" s="207">
        <v>0</v>
      </c>
      <c r="AO59" s="207">
        <v>0</v>
      </c>
    </row>
    <row r="60" spans="3:41" x14ac:dyDescent="0.3">
      <c r="C60" s="207">
        <v>24</v>
      </c>
      <c r="D60" s="207">
        <v>9</v>
      </c>
      <c r="E60" s="207">
        <v>6</v>
      </c>
      <c r="F60" s="207">
        <v>1578774</v>
      </c>
      <c r="G60" s="207">
        <v>24720</v>
      </c>
      <c r="H60" s="207">
        <v>0</v>
      </c>
      <c r="I60" s="207">
        <v>462047</v>
      </c>
      <c r="J60" s="207">
        <v>0</v>
      </c>
      <c r="K60" s="207">
        <v>761000</v>
      </c>
      <c r="L60" s="207">
        <v>0</v>
      </c>
      <c r="M60" s="207">
        <v>0</v>
      </c>
      <c r="N60" s="207">
        <v>0</v>
      </c>
      <c r="O60" s="207">
        <v>0</v>
      </c>
      <c r="P60" s="207">
        <v>0</v>
      </c>
      <c r="Q60" s="207">
        <v>0</v>
      </c>
      <c r="R60" s="207">
        <v>300169</v>
      </c>
      <c r="S60" s="207">
        <v>0</v>
      </c>
      <c r="T60" s="207">
        <v>0</v>
      </c>
      <c r="U60" s="207">
        <v>0</v>
      </c>
      <c r="V60" s="207">
        <v>0</v>
      </c>
      <c r="W60" s="207">
        <v>0</v>
      </c>
      <c r="X60" s="207">
        <v>0</v>
      </c>
      <c r="Y60" s="207">
        <v>0</v>
      </c>
      <c r="Z60" s="207">
        <v>0</v>
      </c>
      <c r="AA60" s="207">
        <v>0</v>
      </c>
      <c r="AB60" s="207">
        <v>0</v>
      </c>
      <c r="AC60" s="207">
        <v>0</v>
      </c>
      <c r="AD60" s="207">
        <v>0</v>
      </c>
      <c r="AE60" s="207">
        <v>0</v>
      </c>
      <c r="AF60" s="207">
        <v>0</v>
      </c>
      <c r="AG60" s="207">
        <v>0</v>
      </c>
      <c r="AH60" s="207">
        <v>0</v>
      </c>
      <c r="AI60" s="207">
        <v>0</v>
      </c>
      <c r="AJ60" s="207">
        <v>0</v>
      </c>
      <c r="AK60" s="207">
        <v>0</v>
      </c>
      <c r="AL60" s="207">
        <v>0</v>
      </c>
      <c r="AM60" s="207">
        <v>0</v>
      </c>
      <c r="AN60" s="207">
        <v>16199</v>
      </c>
      <c r="AO60" s="207">
        <v>14639</v>
      </c>
    </row>
    <row r="61" spans="3:41" x14ac:dyDescent="0.3">
      <c r="C61" s="207">
        <v>24</v>
      </c>
      <c r="D61" s="207">
        <v>9</v>
      </c>
      <c r="E61" s="207">
        <v>11</v>
      </c>
      <c r="F61" s="207">
        <v>5908.6608667036871</v>
      </c>
      <c r="G61" s="207">
        <v>0</v>
      </c>
      <c r="H61" s="207">
        <v>4241.9942000370202</v>
      </c>
      <c r="I61" s="207">
        <v>0</v>
      </c>
      <c r="J61" s="207">
        <v>0</v>
      </c>
      <c r="K61" s="207">
        <v>1666.6666666666667</v>
      </c>
      <c r="L61" s="207">
        <v>0</v>
      </c>
      <c r="M61" s="207">
        <v>0</v>
      </c>
      <c r="N61" s="207">
        <v>0</v>
      </c>
      <c r="O61" s="207">
        <v>0</v>
      </c>
      <c r="P61" s="207">
        <v>0</v>
      </c>
      <c r="Q61" s="207">
        <v>0</v>
      </c>
      <c r="R61" s="207">
        <v>0</v>
      </c>
      <c r="S61" s="207">
        <v>0</v>
      </c>
      <c r="T61" s="207">
        <v>0</v>
      </c>
      <c r="U61" s="207">
        <v>0</v>
      </c>
      <c r="V61" s="207">
        <v>0</v>
      </c>
      <c r="W61" s="207">
        <v>0</v>
      </c>
      <c r="X61" s="207">
        <v>0</v>
      </c>
      <c r="Y61" s="207">
        <v>0</v>
      </c>
      <c r="Z61" s="207">
        <v>0</v>
      </c>
      <c r="AA61" s="207">
        <v>0</v>
      </c>
      <c r="AB61" s="207">
        <v>0</v>
      </c>
      <c r="AC61" s="207">
        <v>0</v>
      </c>
      <c r="AD61" s="207">
        <v>0</v>
      </c>
      <c r="AE61" s="207">
        <v>0</v>
      </c>
      <c r="AF61" s="207">
        <v>0</v>
      </c>
      <c r="AG61" s="207">
        <v>0</v>
      </c>
      <c r="AH61" s="207">
        <v>0</v>
      </c>
      <c r="AI61" s="207">
        <v>0</v>
      </c>
      <c r="AJ61" s="207">
        <v>0</v>
      </c>
      <c r="AK61" s="207">
        <v>0</v>
      </c>
      <c r="AL61" s="207">
        <v>0</v>
      </c>
      <c r="AM61" s="207">
        <v>0</v>
      </c>
      <c r="AN61" s="207">
        <v>0</v>
      </c>
      <c r="AO61" s="207">
        <v>0</v>
      </c>
    </row>
    <row r="62" spans="3:41" x14ac:dyDescent="0.3">
      <c r="C62" s="207">
        <v>24</v>
      </c>
      <c r="D62" s="207">
        <v>10</v>
      </c>
      <c r="E62" s="207">
        <v>1</v>
      </c>
      <c r="F62" s="207">
        <v>54.5</v>
      </c>
      <c r="G62" s="207">
        <v>0</v>
      </c>
      <c r="H62" s="207">
        <v>0</v>
      </c>
      <c r="I62" s="207">
        <v>10.8</v>
      </c>
      <c r="J62" s="207">
        <v>0</v>
      </c>
      <c r="K62" s="207">
        <v>29</v>
      </c>
      <c r="L62" s="207">
        <v>0</v>
      </c>
      <c r="M62" s="207">
        <v>0</v>
      </c>
      <c r="N62" s="207">
        <v>0</v>
      </c>
      <c r="O62" s="207">
        <v>0</v>
      </c>
      <c r="P62" s="207">
        <v>0</v>
      </c>
      <c r="Q62" s="207">
        <v>0</v>
      </c>
      <c r="R62" s="207">
        <v>12.75</v>
      </c>
      <c r="S62" s="207">
        <v>0</v>
      </c>
      <c r="T62" s="207">
        <v>0</v>
      </c>
      <c r="U62" s="207">
        <v>0</v>
      </c>
      <c r="V62" s="207">
        <v>0</v>
      </c>
      <c r="W62" s="207">
        <v>0</v>
      </c>
      <c r="X62" s="207">
        <v>0</v>
      </c>
      <c r="Y62" s="207">
        <v>0</v>
      </c>
      <c r="Z62" s="207">
        <v>0</v>
      </c>
      <c r="AA62" s="207">
        <v>0</v>
      </c>
      <c r="AB62" s="207">
        <v>0</v>
      </c>
      <c r="AC62" s="207">
        <v>0</v>
      </c>
      <c r="AD62" s="207">
        <v>0</v>
      </c>
      <c r="AE62" s="207">
        <v>0</v>
      </c>
      <c r="AF62" s="207">
        <v>0</v>
      </c>
      <c r="AG62" s="207">
        <v>0</v>
      </c>
      <c r="AH62" s="207">
        <v>0</v>
      </c>
      <c r="AI62" s="207">
        <v>0</v>
      </c>
      <c r="AJ62" s="207">
        <v>0</v>
      </c>
      <c r="AK62" s="207">
        <v>0</v>
      </c>
      <c r="AL62" s="207">
        <v>0</v>
      </c>
      <c r="AM62" s="207">
        <v>0</v>
      </c>
      <c r="AN62" s="207">
        <v>0.95</v>
      </c>
      <c r="AO62" s="207">
        <v>1</v>
      </c>
    </row>
    <row r="63" spans="3:41" x14ac:dyDescent="0.3">
      <c r="C63" s="207">
        <v>24</v>
      </c>
      <c r="D63" s="207">
        <v>10</v>
      </c>
      <c r="E63" s="207">
        <v>2</v>
      </c>
      <c r="F63" s="207">
        <v>8796.4</v>
      </c>
      <c r="G63" s="207">
        <v>0</v>
      </c>
      <c r="H63" s="207">
        <v>0</v>
      </c>
      <c r="I63" s="207">
        <v>1784.3</v>
      </c>
      <c r="J63" s="207">
        <v>0</v>
      </c>
      <c r="K63" s="207">
        <v>4552</v>
      </c>
      <c r="L63" s="207">
        <v>0</v>
      </c>
      <c r="M63" s="207">
        <v>0</v>
      </c>
      <c r="N63" s="207">
        <v>0</v>
      </c>
      <c r="O63" s="207">
        <v>0</v>
      </c>
      <c r="P63" s="207">
        <v>0</v>
      </c>
      <c r="Q63" s="207">
        <v>0</v>
      </c>
      <c r="R63" s="207">
        <v>2138.4</v>
      </c>
      <c r="S63" s="207">
        <v>0</v>
      </c>
      <c r="T63" s="207">
        <v>0</v>
      </c>
      <c r="U63" s="207">
        <v>0</v>
      </c>
      <c r="V63" s="207">
        <v>0</v>
      </c>
      <c r="W63" s="207">
        <v>0</v>
      </c>
      <c r="X63" s="207">
        <v>0</v>
      </c>
      <c r="Y63" s="207">
        <v>0</v>
      </c>
      <c r="Z63" s="207">
        <v>0</v>
      </c>
      <c r="AA63" s="207">
        <v>0</v>
      </c>
      <c r="AB63" s="207">
        <v>0</v>
      </c>
      <c r="AC63" s="207">
        <v>0</v>
      </c>
      <c r="AD63" s="207">
        <v>0</v>
      </c>
      <c r="AE63" s="207">
        <v>0</v>
      </c>
      <c r="AF63" s="207">
        <v>0</v>
      </c>
      <c r="AG63" s="207">
        <v>0</v>
      </c>
      <c r="AH63" s="207">
        <v>0</v>
      </c>
      <c r="AI63" s="207">
        <v>0</v>
      </c>
      <c r="AJ63" s="207">
        <v>0</v>
      </c>
      <c r="AK63" s="207">
        <v>0</v>
      </c>
      <c r="AL63" s="207">
        <v>0</v>
      </c>
      <c r="AM63" s="207">
        <v>0</v>
      </c>
      <c r="AN63" s="207">
        <v>161.69999999999999</v>
      </c>
      <c r="AO63" s="207">
        <v>160</v>
      </c>
    </row>
    <row r="64" spans="3:41" x14ac:dyDescent="0.3">
      <c r="C64" s="207">
        <v>24</v>
      </c>
      <c r="D64" s="207">
        <v>10</v>
      </c>
      <c r="E64" s="207">
        <v>5</v>
      </c>
      <c r="F64" s="207">
        <v>145.5</v>
      </c>
      <c r="G64" s="207">
        <v>145.5</v>
      </c>
      <c r="H64" s="207">
        <v>0</v>
      </c>
      <c r="I64" s="207">
        <v>0</v>
      </c>
      <c r="J64" s="207">
        <v>0</v>
      </c>
      <c r="K64" s="207">
        <v>0</v>
      </c>
      <c r="L64" s="207">
        <v>0</v>
      </c>
      <c r="M64" s="207">
        <v>0</v>
      </c>
      <c r="N64" s="207">
        <v>0</v>
      </c>
      <c r="O64" s="207">
        <v>0</v>
      </c>
      <c r="P64" s="207">
        <v>0</v>
      </c>
      <c r="Q64" s="207">
        <v>0</v>
      </c>
      <c r="R64" s="207">
        <v>0</v>
      </c>
      <c r="S64" s="207">
        <v>0</v>
      </c>
      <c r="T64" s="207">
        <v>0</v>
      </c>
      <c r="U64" s="207">
        <v>0</v>
      </c>
      <c r="V64" s="207">
        <v>0</v>
      </c>
      <c r="W64" s="207">
        <v>0</v>
      </c>
      <c r="X64" s="207">
        <v>0</v>
      </c>
      <c r="Y64" s="207">
        <v>0</v>
      </c>
      <c r="Z64" s="207">
        <v>0</v>
      </c>
      <c r="AA64" s="207">
        <v>0</v>
      </c>
      <c r="AB64" s="207">
        <v>0</v>
      </c>
      <c r="AC64" s="207">
        <v>0</v>
      </c>
      <c r="AD64" s="207">
        <v>0</v>
      </c>
      <c r="AE64" s="207">
        <v>0</v>
      </c>
      <c r="AF64" s="207">
        <v>0</v>
      </c>
      <c r="AG64" s="207">
        <v>0</v>
      </c>
      <c r="AH64" s="207">
        <v>0</v>
      </c>
      <c r="AI64" s="207">
        <v>0</v>
      </c>
      <c r="AJ64" s="207">
        <v>0</v>
      </c>
      <c r="AK64" s="207">
        <v>0</v>
      </c>
      <c r="AL64" s="207">
        <v>0</v>
      </c>
      <c r="AM64" s="207">
        <v>0</v>
      </c>
      <c r="AN64" s="207">
        <v>0</v>
      </c>
      <c r="AO64" s="207">
        <v>0</v>
      </c>
    </row>
    <row r="65" spans="3:41" x14ac:dyDescent="0.3">
      <c r="C65" s="207">
        <v>24</v>
      </c>
      <c r="D65" s="207">
        <v>10</v>
      </c>
      <c r="E65" s="207">
        <v>6</v>
      </c>
      <c r="F65" s="207">
        <v>1567764</v>
      </c>
      <c r="G65" s="207">
        <v>24800</v>
      </c>
      <c r="H65" s="207">
        <v>0</v>
      </c>
      <c r="I65" s="207">
        <v>460970</v>
      </c>
      <c r="J65" s="207">
        <v>0</v>
      </c>
      <c r="K65" s="207">
        <v>759236</v>
      </c>
      <c r="L65" s="207">
        <v>0</v>
      </c>
      <c r="M65" s="207">
        <v>0</v>
      </c>
      <c r="N65" s="207">
        <v>0</v>
      </c>
      <c r="O65" s="207">
        <v>0</v>
      </c>
      <c r="P65" s="207">
        <v>0</v>
      </c>
      <c r="Q65" s="207">
        <v>0</v>
      </c>
      <c r="R65" s="207">
        <v>291835</v>
      </c>
      <c r="S65" s="207">
        <v>0</v>
      </c>
      <c r="T65" s="207">
        <v>0</v>
      </c>
      <c r="U65" s="207">
        <v>0</v>
      </c>
      <c r="V65" s="207">
        <v>0</v>
      </c>
      <c r="W65" s="207">
        <v>0</v>
      </c>
      <c r="X65" s="207">
        <v>0</v>
      </c>
      <c r="Y65" s="207">
        <v>0</v>
      </c>
      <c r="Z65" s="207">
        <v>0</v>
      </c>
      <c r="AA65" s="207">
        <v>0</v>
      </c>
      <c r="AB65" s="207">
        <v>0</v>
      </c>
      <c r="AC65" s="207">
        <v>0</v>
      </c>
      <c r="AD65" s="207">
        <v>0</v>
      </c>
      <c r="AE65" s="207">
        <v>0</v>
      </c>
      <c r="AF65" s="207">
        <v>0</v>
      </c>
      <c r="AG65" s="207">
        <v>0</v>
      </c>
      <c r="AH65" s="207">
        <v>0</v>
      </c>
      <c r="AI65" s="207">
        <v>0</v>
      </c>
      <c r="AJ65" s="207">
        <v>0</v>
      </c>
      <c r="AK65" s="207">
        <v>0</v>
      </c>
      <c r="AL65" s="207">
        <v>0</v>
      </c>
      <c r="AM65" s="207">
        <v>0</v>
      </c>
      <c r="AN65" s="207">
        <v>16195</v>
      </c>
      <c r="AO65" s="207">
        <v>14728</v>
      </c>
    </row>
    <row r="66" spans="3:41" x14ac:dyDescent="0.3">
      <c r="C66" s="207">
        <v>24</v>
      </c>
      <c r="D66" s="207">
        <v>10</v>
      </c>
      <c r="E66" s="207">
        <v>11</v>
      </c>
      <c r="F66" s="207">
        <v>5908.6608667036871</v>
      </c>
      <c r="G66" s="207">
        <v>0</v>
      </c>
      <c r="H66" s="207">
        <v>4241.9942000370202</v>
      </c>
      <c r="I66" s="207">
        <v>0</v>
      </c>
      <c r="J66" s="207">
        <v>0</v>
      </c>
      <c r="K66" s="207">
        <v>1666.6666666666667</v>
      </c>
      <c r="L66" s="207">
        <v>0</v>
      </c>
      <c r="M66" s="207">
        <v>0</v>
      </c>
      <c r="N66" s="207">
        <v>0</v>
      </c>
      <c r="O66" s="207">
        <v>0</v>
      </c>
      <c r="P66" s="207">
        <v>0</v>
      </c>
      <c r="Q66" s="207">
        <v>0</v>
      </c>
      <c r="R66" s="207">
        <v>0</v>
      </c>
      <c r="S66" s="207">
        <v>0</v>
      </c>
      <c r="T66" s="207">
        <v>0</v>
      </c>
      <c r="U66" s="207">
        <v>0</v>
      </c>
      <c r="V66" s="207">
        <v>0</v>
      </c>
      <c r="W66" s="207">
        <v>0</v>
      </c>
      <c r="X66" s="207">
        <v>0</v>
      </c>
      <c r="Y66" s="207">
        <v>0</v>
      </c>
      <c r="Z66" s="207">
        <v>0</v>
      </c>
      <c r="AA66" s="207">
        <v>0</v>
      </c>
      <c r="AB66" s="207">
        <v>0</v>
      </c>
      <c r="AC66" s="207">
        <v>0</v>
      </c>
      <c r="AD66" s="207">
        <v>0</v>
      </c>
      <c r="AE66" s="207">
        <v>0</v>
      </c>
      <c r="AF66" s="207">
        <v>0</v>
      </c>
      <c r="AG66" s="207">
        <v>0</v>
      </c>
      <c r="AH66" s="207">
        <v>0</v>
      </c>
      <c r="AI66" s="207">
        <v>0</v>
      </c>
      <c r="AJ66" s="207">
        <v>0</v>
      </c>
      <c r="AK66" s="207">
        <v>0</v>
      </c>
      <c r="AL66" s="207">
        <v>0</v>
      </c>
      <c r="AM66" s="207">
        <v>0</v>
      </c>
      <c r="AN66" s="207">
        <v>0</v>
      </c>
      <c r="AO66" s="207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6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5" bestFit="1" customWidth="1"/>
    <col min="2" max="2" width="7.77734375" style="91" customWidth="1"/>
    <col min="3" max="3" width="5.44140625" style="115" hidden="1" customWidth="1"/>
    <col min="4" max="4" width="7.77734375" style="91" customWidth="1"/>
    <col min="5" max="5" width="5.44140625" style="115" hidden="1" customWidth="1"/>
    <col min="6" max="6" width="7.77734375" style="91" customWidth="1"/>
    <col min="7" max="7" width="7.77734375" style="193" customWidth="1"/>
    <col min="8" max="8" width="7.77734375" style="91" customWidth="1"/>
    <col min="9" max="9" width="5.44140625" style="115" hidden="1" customWidth="1"/>
    <col min="10" max="10" width="7.77734375" style="91" customWidth="1"/>
    <col min="11" max="11" width="5.44140625" style="115" hidden="1" customWidth="1"/>
    <col min="12" max="12" width="7.77734375" style="91" customWidth="1"/>
    <col min="13" max="13" width="7.77734375" style="193" customWidth="1"/>
    <col min="14" max="14" width="7.77734375" style="91" customWidth="1"/>
    <col min="15" max="15" width="5" style="115" hidden="1" customWidth="1"/>
    <col min="16" max="16" width="7.77734375" style="91" customWidth="1"/>
    <col min="17" max="17" width="5" style="115" hidden="1" customWidth="1"/>
    <col min="18" max="18" width="7.77734375" style="91" customWidth="1"/>
    <col min="19" max="19" width="7.77734375" style="193" customWidth="1"/>
    <col min="20" max="16384" width="8.88671875" style="115"/>
  </cols>
  <sheetData>
    <row r="1" spans="1:19" ht="18.600000000000001" customHeight="1" thickBot="1" x14ac:dyDescent="0.4">
      <c r="A1" s="359" t="s">
        <v>1940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4.4" customHeight="1" thickBot="1" x14ac:dyDescent="0.35">
      <c r="A2" s="211" t="s">
        <v>255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ht="14.4" customHeight="1" thickBot="1" x14ac:dyDescent="0.35">
      <c r="A3" s="199" t="s">
        <v>108</v>
      </c>
      <c r="B3" s="200">
        <f>SUBTOTAL(9,B6:B1048576)/2</f>
        <v>17209839.050000001</v>
      </c>
      <c r="C3" s="201">
        <f t="shared" ref="C3:R3" si="0">SUBTOTAL(9,C6:C1048576)</f>
        <v>7</v>
      </c>
      <c r="D3" s="201">
        <f>SUBTOTAL(9,D6:D1048576)/2</f>
        <v>17385192.319999997</v>
      </c>
      <c r="E3" s="201">
        <f t="shared" si="0"/>
        <v>6.990704692170719</v>
      </c>
      <c r="F3" s="201">
        <f>SUBTOTAL(9,F6:F1048576)/2</f>
        <v>16060463.389999997</v>
      </c>
      <c r="G3" s="202">
        <f>IF(B3&lt;&gt;0,F3/B3,"")</f>
        <v>0.93321403781518786</v>
      </c>
      <c r="H3" s="203">
        <f t="shared" si="0"/>
        <v>2263463.4500000002</v>
      </c>
      <c r="I3" s="201">
        <f t="shared" si="0"/>
        <v>2</v>
      </c>
      <c r="J3" s="201">
        <f t="shared" si="0"/>
        <v>2066655</v>
      </c>
      <c r="K3" s="201">
        <f t="shared" si="0"/>
        <v>1.868808718524916</v>
      </c>
      <c r="L3" s="201">
        <f t="shared" si="0"/>
        <v>1990957</v>
      </c>
      <c r="M3" s="204">
        <f>IF(H3&lt;&gt;0,L3/H3,"")</f>
        <v>0.8796064279279614</v>
      </c>
      <c r="N3" s="200">
        <f t="shared" si="0"/>
        <v>0</v>
      </c>
      <c r="O3" s="201">
        <f t="shared" si="0"/>
        <v>0</v>
      </c>
      <c r="P3" s="201">
        <f t="shared" si="0"/>
        <v>0</v>
      </c>
      <c r="Q3" s="201">
        <f t="shared" si="0"/>
        <v>0</v>
      </c>
      <c r="R3" s="201">
        <f t="shared" si="0"/>
        <v>0</v>
      </c>
      <c r="S3" s="202" t="str">
        <f>IF(N3&lt;&gt;0,R3/N3,"")</f>
        <v/>
      </c>
    </row>
    <row r="4" spans="1:19" ht="14.4" customHeight="1" x14ac:dyDescent="0.3">
      <c r="A4" s="360" t="s">
        <v>254</v>
      </c>
      <c r="B4" s="361" t="s">
        <v>85</v>
      </c>
      <c r="C4" s="362"/>
      <c r="D4" s="362"/>
      <c r="E4" s="362"/>
      <c r="F4" s="362"/>
      <c r="G4" s="363"/>
      <c r="H4" s="361" t="s">
        <v>86</v>
      </c>
      <c r="I4" s="362"/>
      <c r="J4" s="362"/>
      <c r="K4" s="362"/>
      <c r="L4" s="362"/>
      <c r="M4" s="363"/>
      <c r="N4" s="361" t="s">
        <v>87</v>
      </c>
      <c r="O4" s="362"/>
      <c r="P4" s="362"/>
      <c r="Q4" s="362"/>
      <c r="R4" s="362"/>
      <c r="S4" s="363"/>
    </row>
    <row r="5" spans="1:19" ht="14.4" customHeight="1" thickBot="1" x14ac:dyDescent="0.35">
      <c r="A5" s="504"/>
      <c r="B5" s="505">
        <v>2013</v>
      </c>
      <c r="C5" s="506"/>
      <c r="D5" s="506">
        <v>2014</v>
      </c>
      <c r="E5" s="506"/>
      <c r="F5" s="506">
        <v>2015</v>
      </c>
      <c r="G5" s="507" t="s">
        <v>2</v>
      </c>
      <c r="H5" s="505">
        <v>2013</v>
      </c>
      <c r="I5" s="506"/>
      <c r="J5" s="506">
        <v>2014</v>
      </c>
      <c r="K5" s="506"/>
      <c r="L5" s="506">
        <v>2015</v>
      </c>
      <c r="M5" s="507" t="s">
        <v>2</v>
      </c>
      <c r="N5" s="505">
        <v>2013</v>
      </c>
      <c r="O5" s="506"/>
      <c r="P5" s="506">
        <v>2014</v>
      </c>
      <c r="Q5" s="506"/>
      <c r="R5" s="506">
        <v>2015</v>
      </c>
      <c r="S5" s="507" t="s">
        <v>2</v>
      </c>
    </row>
    <row r="6" spans="1:19" ht="14.4" customHeight="1" x14ac:dyDescent="0.3">
      <c r="A6" s="452" t="s">
        <v>1938</v>
      </c>
      <c r="B6" s="508">
        <v>11866286.809999999</v>
      </c>
      <c r="C6" s="417">
        <v>1</v>
      </c>
      <c r="D6" s="508">
        <v>11880268.949999994</v>
      </c>
      <c r="E6" s="417">
        <v>1.0011783079428194</v>
      </c>
      <c r="F6" s="508">
        <v>11065440.01999999</v>
      </c>
      <c r="G6" s="439">
        <v>0.93251075059764132</v>
      </c>
      <c r="H6" s="508">
        <v>1335316.45</v>
      </c>
      <c r="I6" s="417">
        <v>1</v>
      </c>
      <c r="J6" s="508">
        <v>1089210</v>
      </c>
      <c r="K6" s="417">
        <v>0.815694287297966</v>
      </c>
      <c r="L6" s="508">
        <v>1212540</v>
      </c>
      <c r="M6" s="439">
        <v>0.90805441661412922</v>
      </c>
      <c r="N6" s="508"/>
      <c r="O6" s="417"/>
      <c r="P6" s="508"/>
      <c r="Q6" s="417"/>
      <c r="R6" s="508"/>
      <c r="S6" s="463"/>
    </row>
    <row r="7" spans="1:19" ht="14.4" customHeight="1" thickBot="1" x14ac:dyDescent="0.35">
      <c r="A7" s="510" t="s">
        <v>1939</v>
      </c>
      <c r="B7" s="509">
        <v>5343552.2399999993</v>
      </c>
      <c r="C7" s="429">
        <v>1</v>
      </c>
      <c r="D7" s="509">
        <v>5504923.370000001</v>
      </c>
      <c r="E7" s="429">
        <v>1.0301992238032283</v>
      </c>
      <c r="F7" s="509">
        <v>4995023.37</v>
      </c>
      <c r="G7" s="440">
        <v>0.93477580935935622</v>
      </c>
      <c r="H7" s="509">
        <v>928147</v>
      </c>
      <c r="I7" s="429">
        <v>1</v>
      </c>
      <c r="J7" s="509">
        <v>977445</v>
      </c>
      <c r="K7" s="429">
        <v>1.05311443122695</v>
      </c>
      <c r="L7" s="509">
        <v>778417</v>
      </c>
      <c r="M7" s="440">
        <v>0.83867857139009228</v>
      </c>
      <c r="N7" s="509"/>
      <c r="O7" s="429"/>
      <c r="P7" s="509"/>
      <c r="Q7" s="429"/>
      <c r="R7" s="509"/>
      <c r="S7" s="464"/>
    </row>
    <row r="8" spans="1:19" ht="14.4" customHeight="1" thickBot="1" x14ac:dyDescent="0.35"/>
    <row r="9" spans="1:19" ht="14.4" customHeight="1" x14ac:dyDescent="0.3">
      <c r="A9" s="452" t="s">
        <v>449</v>
      </c>
      <c r="B9" s="508">
        <v>1243823.3899999997</v>
      </c>
      <c r="C9" s="417">
        <v>1</v>
      </c>
      <c r="D9" s="508">
        <v>1139739.9900000002</v>
      </c>
      <c r="E9" s="417">
        <v>0.9163197919923346</v>
      </c>
      <c r="F9" s="508">
        <v>1059923.3500000001</v>
      </c>
      <c r="G9" s="439">
        <v>0.85214939558259983</v>
      </c>
      <c r="H9" s="508"/>
      <c r="I9" s="417"/>
      <c r="J9" s="508"/>
      <c r="K9" s="417"/>
      <c r="L9" s="508"/>
      <c r="M9" s="439"/>
      <c r="N9" s="508"/>
      <c r="O9" s="417"/>
      <c r="P9" s="508"/>
      <c r="Q9" s="417"/>
      <c r="R9" s="508"/>
      <c r="S9" s="463"/>
    </row>
    <row r="10" spans="1:19" ht="14.4" customHeight="1" x14ac:dyDescent="0.3">
      <c r="A10" s="513" t="s">
        <v>1941</v>
      </c>
      <c r="B10" s="511">
        <v>5343552.2399999993</v>
      </c>
      <c r="C10" s="423">
        <v>1</v>
      </c>
      <c r="D10" s="511">
        <v>5504923.370000001</v>
      </c>
      <c r="E10" s="423">
        <v>1.0301992238032283</v>
      </c>
      <c r="F10" s="511">
        <v>4995023.3699999992</v>
      </c>
      <c r="G10" s="448">
        <v>0.934775809359356</v>
      </c>
      <c r="H10" s="511"/>
      <c r="I10" s="423"/>
      <c r="J10" s="511"/>
      <c r="K10" s="423"/>
      <c r="L10" s="511"/>
      <c r="M10" s="448"/>
      <c r="N10" s="511"/>
      <c r="O10" s="423"/>
      <c r="P10" s="511"/>
      <c r="Q10" s="423"/>
      <c r="R10" s="511"/>
      <c r="S10" s="512"/>
    </row>
    <row r="11" spans="1:19" ht="14.4" customHeight="1" x14ac:dyDescent="0.3">
      <c r="A11" s="513" t="s">
        <v>1942</v>
      </c>
      <c r="B11" s="511">
        <v>2835378.94</v>
      </c>
      <c r="C11" s="423">
        <v>1</v>
      </c>
      <c r="D11" s="511">
        <v>2740311.14</v>
      </c>
      <c r="E11" s="423">
        <v>0.96647086614814182</v>
      </c>
      <c r="F11" s="511">
        <v>2900226.6900000004</v>
      </c>
      <c r="G11" s="448">
        <v>1.0228709288501665</v>
      </c>
      <c r="H11" s="511"/>
      <c r="I11" s="423"/>
      <c r="J11" s="511"/>
      <c r="K11" s="423"/>
      <c r="L11" s="511"/>
      <c r="M11" s="448"/>
      <c r="N11" s="511"/>
      <c r="O11" s="423"/>
      <c r="P11" s="511"/>
      <c r="Q11" s="423"/>
      <c r="R11" s="511"/>
      <c r="S11" s="512"/>
    </row>
    <row r="12" spans="1:19" ht="14.4" customHeight="1" x14ac:dyDescent="0.3">
      <c r="A12" s="513" t="s">
        <v>1943</v>
      </c>
      <c r="B12" s="511">
        <v>2941147.830000001</v>
      </c>
      <c r="C12" s="423">
        <v>1</v>
      </c>
      <c r="D12" s="511">
        <v>2958772.2399999998</v>
      </c>
      <c r="E12" s="423">
        <v>1.0059923577523808</v>
      </c>
      <c r="F12" s="511">
        <v>2413994.4500000002</v>
      </c>
      <c r="G12" s="448">
        <v>0.82076610545618145</v>
      </c>
      <c r="H12" s="511"/>
      <c r="I12" s="423"/>
      <c r="J12" s="511"/>
      <c r="K12" s="423"/>
      <c r="L12" s="511"/>
      <c r="M12" s="448"/>
      <c r="N12" s="511"/>
      <c r="O12" s="423"/>
      <c r="P12" s="511"/>
      <c r="Q12" s="423"/>
      <c r="R12" s="511"/>
      <c r="S12" s="512"/>
    </row>
    <row r="13" spans="1:19" ht="14.4" customHeight="1" thickBot="1" x14ac:dyDescent="0.35">
      <c r="A13" s="510" t="s">
        <v>1944</v>
      </c>
      <c r="B13" s="509">
        <v>4845936.6500000013</v>
      </c>
      <c r="C13" s="429">
        <v>1</v>
      </c>
      <c r="D13" s="509">
        <v>5041445.580000001</v>
      </c>
      <c r="E13" s="429">
        <v>1.040344920728586</v>
      </c>
      <c r="F13" s="509">
        <v>4691295.5300000012</v>
      </c>
      <c r="G13" s="440">
        <v>0.96808849740121961</v>
      </c>
      <c r="H13" s="509"/>
      <c r="I13" s="429"/>
      <c r="J13" s="509"/>
      <c r="K13" s="429"/>
      <c r="L13" s="509"/>
      <c r="M13" s="440"/>
      <c r="N13" s="509"/>
      <c r="O13" s="429"/>
      <c r="P13" s="509"/>
      <c r="Q13" s="429"/>
      <c r="R13" s="509"/>
      <c r="S13" s="464"/>
    </row>
    <row r="14" spans="1:19" ht="14.4" customHeight="1" x14ac:dyDescent="0.3">
      <c r="A14" s="514" t="s">
        <v>1945</v>
      </c>
    </row>
    <row r="15" spans="1:19" ht="14.4" customHeight="1" x14ac:dyDescent="0.3">
      <c r="A15" s="515" t="s">
        <v>1946</v>
      </c>
    </row>
    <row r="16" spans="1:19" ht="14.4" customHeight="1" x14ac:dyDescent="0.3">
      <c r="A16" s="514" t="s">
        <v>1947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15" bestFit="1" customWidth="1"/>
    <col min="2" max="4" width="7.77734375" style="190" customWidth="1"/>
    <col min="5" max="7" width="7.77734375" style="91" customWidth="1"/>
    <col min="8" max="16384" width="8.88671875" style="115"/>
  </cols>
  <sheetData>
    <row r="1" spans="1:7" ht="18.600000000000001" customHeight="1" thickBot="1" x14ac:dyDescent="0.4">
      <c r="A1" s="359" t="s">
        <v>1949</v>
      </c>
      <c r="B1" s="302"/>
      <c r="C1" s="302"/>
      <c r="D1" s="302"/>
      <c r="E1" s="302"/>
      <c r="F1" s="302"/>
      <c r="G1" s="302"/>
    </row>
    <row r="2" spans="1:7" ht="14.4" customHeight="1" thickBot="1" x14ac:dyDescent="0.35">
      <c r="A2" s="211" t="s">
        <v>255</v>
      </c>
      <c r="B2" s="96"/>
      <c r="C2" s="96"/>
      <c r="D2" s="96"/>
      <c r="E2" s="96"/>
      <c r="F2" s="96"/>
      <c r="G2" s="96"/>
    </row>
    <row r="3" spans="1:7" ht="14.4" customHeight="1" thickBot="1" x14ac:dyDescent="0.35">
      <c r="A3" s="199" t="s">
        <v>108</v>
      </c>
      <c r="B3" s="291">
        <f t="shared" ref="B3:G3" si="0">SUBTOTAL(9,B6:B1048576)</f>
        <v>70698</v>
      </c>
      <c r="C3" s="292">
        <f t="shared" si="0"/>
        <v>73410</v>
      </c>
      <c r="D3" s="292">
        <f t="shared" si="0"/>
        <v>64335</v>
      </c>
      <c r="E3" s="203">
        <f t="shared" si="0"/>
        <v>17209839.049999997</v>
      </c>
      <c r="F3" s="201">
        <f t="shared" si="0"/>
        <v>17385192.319999993</v>
      </c>
      <c r="G3" s="293">
        <f t="shared" si="0"/>
        <v>16060463.390000001</v>
      </c>
    </row>
    <row r="4" spans="1:7" ht="14.4" customHeight="1" x14ac:dyDescent="0.3">
      <c r="A4" s="360" t="s">
        <v>116</v>
      </c>
      <c r="B4" s="361" t="s">
        <v>230</v>
      </c>
      <c r="C4" s="362"/>
      <c r="D4" s="362"/>
      <c r="E4" s="364" t="s">
        <v>85</v>
      </c>
      <c r="F4" s="365"/>
      <c r="G4" s="366"/>
    </row>
    <row r="5" spans="1:7" ht="14.4" customHeight="1" thickBot="1" x14ac:dyDescent="0.35">
      <c r="A5" s="504"/>
      <c r="B5" s="505">
        <v>2013</v>
      </c>
      <c r="C5" s="506">
        <v>2014</v>
      </c>
      <c r="D5" s="506">
        <v>2015</v>
      </c>
      <c r="E5" s="505">
        <v>2013</v>
      </c>
      <c r="F5" s="506">
        <v>2014</v>
      </c>
      <c r="G5" s="516">
        <v>2015</v>
      </c>
    </row>
    <row r="6" spans="1:7" ht="14.4" customHeight="1" thickBot="1" x14ac:dyDescent="0.35">
      <c r="A6" s="519" t="s">
        <v>1948</v>
      </c>
      <c r="B6" s="441">
        <v>70698</v>
      </c>
      <c r="C6" s="441">
        <v>73410</v>
      </c>
      <c r="D6" s="441">
        <v>64335</v>
      </c>
      <c r="E6" s="517">
        <v>17209839.049999997</v>
      </c>
      <c r="F6" s="517">
        <v>17385192.319999993</v>
      </c>
      <c r="G6" s="518">
        <v>16060463.390000001</v>
      </c>
    </row>
    <row r="7" spans="1:7" ht="14.4" customHeight="1" x14ac:dyDescent="0.3">
      <c r="A7" s="514" t="s">
        <v>1945</v>
      </c>
    </row>
    <row r="8" spans="1:7" ht="14.4" customHeight="1" x14ac:dyDescent="0.3">
      <c r="A8" s="515" t="s">
        <v>1946</v>
      </c>
    </row>
    <row r="9" spans="1:7" ht="14.4" customHeight="1" x14ac:dyDescent="0.3">
      <c r="A9" s="514" t="s">
        <v>1947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307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15" bestFit="1" customWidth="1"/>
    <col min="2" max="2" width="6.109375" style="115" customWidth="1"/>
    <col min="3" max="3" width="2.109375" style="115" bestFit="1" customWidth="1"/>
    <col min="4" max="4" width="8" style="115" customWidth="1"/>
    <col min="5" max="5" width="50.88671875" style="115" bestFit="1" customWidth="1"/>
    <col min="6" max="7" width="11.109375" style="190" customWidth="1"/>
    <col min="8" max="9" width="9.33203125" style="115" hidden="1" customWidth="1"/>
    <col min="10" max="11" width="11.109375" style="190" customWidth="1"/>
    <col min="12" max="13" width="9.33203125" style="115" hidden="1" customWidth="1"/>
    <col min="14" max="15" width="11.109375" style="190" customWidth="1"/>
    <col min="16" max="16" width="11.109375" style="193" customWidth="1"/>
    <col min="17" max="17" width="11.109375" style="190" customWidth="1"/>
    <col min="18" max="16384" width="8.88671875" style="115"/>
  </cols>
  <sheetData>
    <row r="1" spans="1:17" ht="18.600000000000001" customHeight="1" thickBot="1" x14ac:dyDescent="0.4">
      <c r="A1" s="302" t="s">
        <v>2199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</row>
    <row r="2" spans="1:17" ht="14.4" customHeight="1" thickBot="1" x14ac:dyDescent="0.35">
      <c r="A2" s="211" t="s">
        <v>255</v>
      </c>
      <c r="B2" s="297"/>
      <c r="C2" s="116"/>
      <c r="D2" s="290"/>
      <c r="E2" s="116"/>
      <c r="F2" s="205"/>
      <c r="G2" s="205"/>
      <c r="H2" s="116"/>
      <c r="I2" s="116"/>
      <c r="J2" s="205"/>
      <c r="K2" s="205"/>
      <c r="L2" s="116"/>
      <c r="M2" s="116"/>
      <c r="N2" s="205"/>
      <c r="O2" s="205"/>
      <c r="P2" s="206"/>
      <c r="Q2" s="205"/>
    </row>
    <row r="3" spans="1:17" ht="14.4" customHeight="1" thickBot="1" x14ac:dyDescent="0.35">
      <c r="E3" s="73" t="s">
        <v>108</v>
      </c>
      <c r="F3" s="88">
        <f t="shared" ref="F3:O3" si="0">SUBTOTAL(9,F6:F1048576)</f>
        <v>73912</v>
      </c>
      <c r="G3" s="89">
        <f t="shared" si="0"/>
        <v>19473302.500000004</v>
      </c>
      <c r="H3" s="66"/>
      <c r="I3" s="66"/>
      <c r="J3" s="89">
        <f t="shared" si="0"/>
        <v>76523</v>
      </c>
      <c r="K3" s="89">
        <f t="shared" si="0"/>
        <v>19451847.320000004</v>
      </c>
      <c r="L3" s="66"/>
      <c r="M3" s="66"/>
      <c r="N3" s="89">
        <f t="shared" si="0"/>
        <v>67088</v>
      </c>
      <c r="O3" s="89">
        <f t="shared" si="0"/>
        <v>18051420.389999997</v>
      </c>
      <c r="P3" s="67">
        <f>IF(G3=0,0,O3/G3)</f>
        <v>0.92698300095733599</v>
      </c>
      <c r="Q3" s="90">
        <f>IF(N3=0,0,O3/N3)</f>
        <v>269.07077852969229</v>
      </c>
    </row>
    <row r="4" spans="1:17" ht="14.4" customHeight="1" x14ac:dyDescent="0.3">
      <c r="A4" s="368" t="s">
        <v>82</v>
      </c>
      <c r="B4" s="375" t="s">
        <v>0</v>
      </c>
      <c r="C4" s="369" t="s">
        <v>83</v>
      </c>
      <c r="D4" s="374" t="s">
        <v>58</v>
      </c>
      <c r="E4" s="370" t="s">
        <v>57</v>
      </c>
      <c r="F4" s="371">
        <v>2013</v>
      </c>
      <c r="G4" s="372"/>
      <c r="H4" s="87"/>
      <c r="I4" s="87"/>
      <c r="J4" s="371">
        <v>2014</v>
      </c>
      <c r="K4" s="372"/>
      <c r="L4" s="87"/>
      <c r="M4" s="87"/>
      <c r="N4" s="371">
        <v>2015</v>
      </c>
      <c r="O4" s="372"/>
      <c r="P4" s="373" t="s">
        <v>2</v>
      </c>
      <c r="Q4" s="367" t="s">
        <v>84</v>
      </c>
    </row>
    <row r="5" spans="1:17" ht="14.4" customHeight="1" thickBot="1" x14ac:dyDescent="0.35">
      <c r="A5" s="520"/>
      <c r="B5" s="521"/>
      <c r="C5" s="522"/>
      <c r="D5" s="523"/>
      <c r="E5" s="524"/>
      <c r="F5" s="525" t="s">
        <v>59</v>
      </c>
      <c r="G5" s="526" t="s">
        <v>14</v>
      </c>
      <c r="H5" s="527"/>
      <c r="I5" s="527"/>
      <c r="J5" s="525" t="s">
        <v>59</v>
      </c>
      <c r="K5" s="526" t="s">
        <v>14</v>
      </c>
      <c r="L5" s="527"/>
      <c r="M5" s="527"/>
      <c r="N5" s="525" t="s">
        <v>59</v>
      </c>
      <c r="O5" s="526" t="s">
        <v>14</v>
      </c>
      <c r="P5" s="528"/>
      <c r="Q5" s="529"/>
    </row>
    <row r="6" spans="1:17" ht="14.4" customHeight="1" x14ac:dyDescent="0.3">
      <c r="A6" s="416" t="s">
        <v>1950</v>
      </c>
      <c r="B6" s="417" t="s">
        <v>449</v>
      </c>
      <c r="C6" s="417" t="s">
        <v>1951</v>
      </c>
      <c r="D6" s="417" t="s">
        <v>1952</v>
      </c>
      <c r="E6" s="417"/>
      <c r="F6" s="420">
        <v>3</v>
      </c>
      <c r="G6" s="420">
        <v>12.45</v>
      </c>
      <c r="H6" s="417">
        <v>1</v>
      </c>
      <c r="I6" s="417">
        <v>4.1499999999999995</v>
      </c>
      <c r="J6" s="420"/>
      <c r="K6" s="420"/>
      <c r="L6" s="417"/>
      <c r="M6" s="417"/>
      <c r="N6" s="420"/>
      <c r="O6" s="420"/>
      <c r="P6" s="439"/>
      <c r="Q6" s="421"/>
    </row>
    <row r="7" spans="1:17" ht="14.4" customHeight="1" x14ac:dyDescent="0.3">
      <c r="A7" s="422" t="s">
        <v>1950</v>
      </c>
      <c r="B7" s="423" t="s">
        <v>449</v>
      </c>
      <c r="C7" s="423" t="s">
        <v>1951</v>
      </c>
      <c r="D7" s="423" t="s">
        <v>1953</v>
      </c>
      <c r="E7" s="423"/>
      <c r="F7" s="426">
        <v>4</v>
      </c>
      <c r="G7" s="426">
        <v>1332</v>
      </c>
      <c r="H7" s="423">
        <v>1</v>
      </c>
      <c r="I7" s="423">
        <v>333</v>
      </c>
      <c r="J7" s="426">
        <v>1</v>
      </c>
      <c r="K7" s="426">
        <v>333</v>
      </c>
      <c r="L7" s="423">
        <v>0.25</v>
      </c>
      <c r="M7" s="423">
        <v>333</v>
      </c>
      <c r="N7" s="426">
        <v>1</v>
      </c>
      <c r="O7" s="426">
        <v>333</v>
      </c>
      <c r="P7" s="448">
        <v>0.25</v>
      </c>
      <c r="Q7" s="427">
        <v>333</v>
      </c>
    </row>
    <row r="8" spans="1:17" ht="14.4" customHeight="1" x14ac:dyDescent="0.3">
      <c r="A8" s="422" t="s">
        <v>1950</v>
      </c>
      <c r="B8" s="423" t="s">
        <v>449</v>
      </c>
      <c r="C8" s="423" t="s">
        <v>1951</v>
      </c>
      <c r="D8" s="423" t="s">
        <v>1954</v>
      </c>
      <c r="E8" s="423"/>
      <c r="F8" s="426">
        <v>109</v>
      </c>
      <c r="G8" s="426">
        <v>12317</v>
      </c>
      <c r="H8" s="423">
        <v>1</v>
      </c>
      <c r="I8" s="423">
        <v>113</v>
      </c>
      <c r="J8" s="426">
        <v>41</v>
      </c>
      <c r="K8" s="426">
        <v>4633</v>
      </c>
      <c r="L8" s="423">
        <v>0.37614678899082571</v>
      </c>
      <c r="M8" s="423">
        <v>113</v>
      </c>
      <c r="N8" s="426">
        <v>99</v>
      </c>
      <c r="O8" s="426">
        <v>11187</v>
      </c>
      <c r="P8" s="448">
        <v>0.90825688073394495</v>
      </c>
      <c r="Q8" s="427">
        <v>113</v>
      </c>
    </row>
    <row r="9" spans="1:17" ht="14.4" customHeight="1" x14ac:dyDescent="0.3">
      <c r="A9" s="422" t="s">
        <v>1950</v>
      </c>
      <c r="B9" s="423" t="s">
        <v>449</v>
      </c>
      <c r="C9" s="423" t="s">
        <v>1951</v>
      </c>
      <c r="D9" s="423" t="s">
        <v>1955</v>
      </c>
      <c r="E9" s="423"/>
      <c r="F9" s="426"/>
      <c r="G9" s="426"/>
      <c r="H9" s="423"/>
      <c r="I9" s="423"/>
      <c r="J9" s="426">
        <v>1</v>
      </c>
      <c r="K9" s="426">
        <v>132</v>
      </c>
      <c r="L9" s="423"/>
      <c r="M9" s="423">
        <v>132</v>
      </c>
      <c r="N9" s="426"/>
      <c r="O9" s="426"/>
      <c r="P9" s="448"/>
      <c r="Q9" s="427"/>
    </row>
    <row r="10" spans="1:17" ht="14.4" customHeight="1" x14ac:dyDescent="0.3">
      <c r="A10" s="422" t="s">
        <v>1950</v>
      </c>
      <c r="B10" s="423" t="s">
        <v>449</v>
      </c>
      <c r="C10" s="423" t="s">
        <v>1951</v>
      </c>
      <c r="D10" s="423" t="s">
        <v>1956</v>
      </c>
      <c r="E10" s="423"/>
      <c r="F10" s="426">
        <v>10</v>
      </c>
      <c r="G10" s="426">
        <v>2190</v>
      </c>
      <c r="H10" s="423">
        <v>1</v>
      </c>
      <c r="I10" s="423">
        <v>219</v>
      </c>
      <c r="J10" s="426">
        <v>2</v>
      </c>
      <c r="K10" s="426">
        <v>438</v>
      </c>
      <c r="L10" s="423">
        <v>0.2</v>
      </c>
      <c r="M10" s="423">
        <v>219</v>
      </c>
      <c r="N10" s="426">
        <v>13</v>
      </c>
      <c r="O10" s="426">
        <v>2847</v>
      </c>
      <c r="P10" s="448">
        <v>1.3</v>
      </c>
      <c r="Q10" s="427">
        <v>219</v>
      </c>
    </row>
    <row r="11" spans="1:17" ht="14.4" customHeight="1" x14ac:dyDescent="0.3">
      <c r="A11" s="422" t="s">
        <v>1950</v>
      </c>
      <c r="B11" s="423" t="s">
        <v>449</v>
      </c>
      <c r="C11" s="423" t="s">
        <v>1951</v>
      </c>
      <c r="D11" s="423" t="s">
        <v>1957</v>
      </c>
      <c r="E11" s="423"/>
      <c r="F11" s="426">
        <v>13</v>
      </c>
      <c r="G11" s="426">
        <v>3068</v>
      </c>
      <c r="H11" s="423">
        <v>1</v>
      </c>
      <c r="I11" s="423">
        <v>236</v>
      </c>
      <c r="J11" s="426">
        <v>8</v>
      </c>
      <c r="K11" s="426">
        <v>1888</v>
      </c>
      <c r="L11" s="423">
        <v>0.61538461538461542</v>
      </c>
      <c r="M11" s="423">
        <v>236</v>
      </c>
      <c r="N11" s="426">
        <v>11</v>
      </c>
      <c r="O11" s="426">
        <v>2596</v>
      </c>
      <c r="P11" s="448">
        <v>0.84615384615384615</v>
      </c>
      <c r="Q11" s="427">
        <v>236</v>
      </c>
    </row>
    <row r="12" spans="1:17" ht="14.4" customHeight="1" x14ac:dyDescent="0.3">
      <c r="A12" s="422" t="s">
        <v>1950</v>
      </c>
      <c r="B12" s="423" t="s">
        <v>449</v>
      </c>
      <c r="C12" s="423" t="s">
        <v>1951</v>
      </c>
      <c r="D12" s="423" t="s">
        <v>1958</v>
      </c>
      <c r="E12" s="423"/>
      <c r="F12" s="426">
        <v>28</v>
      </c>
      <c r="G12" s="426">
        <v>4368</v>
      </c>
      <c r="H12" s="423">
        <v>1</v>
      </c>
      <c r="I12" s="423">
        <v>156</v>
      </c>
      <c r="J12" s="426">
        <v>25</v>
      </c>
      <c r="K12" s="426">
        <v>3900</v>
      </c>
      <c r="L12" s="423">
        <v>0.8928571428571429</v>
      </c>
      <c r="M12" s="423">
        <v>156</v>
      </c>
      <c r="N12" s="426">
        <v>25</v>
      </c>
      <c r="O12" s="426">
        <v>3900</v>
      </c>
      <c r="P12" s="448">
        <v>0.8928571428571429</v>
      </c>
      <c r="Q12" s="427">
        <v>156</v>
      </c>
    </row>
    <row r="13" spans="1:17" ht="14.4" customHeight="1" x14ac:dyDescent="0.3">
      <c r="A13" s="422" t="s">
        <v>1950</v>
      </c>
      <c r="B13" s="423" t="s">
        <v>449</v>
      </c>
      <c r="C13" s="423" t="s">
        <v>1951</v>
      </c>
      <c r="D13" s="423" t="s">
        <v>1959</v>
      </c>
      <c r="E13" s="423"/>
      <c r="F13" s="426">
        <v>32</v>
      </c>
      <c r="G13" s="426">
        <v>6080</v>
      </c>
      <c r="H13" s="423">
        <v>1</v>
      </c>
      <c r="I13" s="423">
        <v>190</v>
      </c>
      <c r="J13" s="426">
        <v>13</v>
      </c>
      <c r="K13" s="426">
        <v>1710</v>
      </c>
      <c r="L13" s="423">
        <v>0.28125</v>
      </c>
      <c r="M13" s="423">
        <v>131.53846153846155</v>
      </c>
      <c r="N13" s="426">
        <v>15</v>
      </c>
      <c r="O13" s="426">
        <v>2850</v>
      </c>
      <c r="P13" s="448">
        <v>0.46875</v>
      </c>
      <c r="Q13" s="427">
        <v>190</v>
      </c>
    </row>
    <row r="14" spans="1:17" ht="14.4" customHeight="1" x14ac:dyDescent="0.3">
      <c r="A14" s="422" t="s">
        <v>1950</v>
      </c>
      <c r="B14" s="423" t="s">
        <v>449</v>
      </c>
      <c r="C14" s="423" t="s">
        <v>1951</v>
      </c>
      <c r="D14" s="423" t="s">
        <v>1960</v>
      </c>
      <c r="E14" s="423"/>
      <c r="F14" s="426">
        <v>4</v>
      </c>
      <c r="G14" s="426">
        <v>336</v>
      </c>
      <c r="H14" s="423">
        <v>1</v>
      </c>
      <c r="I14" s="423">
        <v>84</v>
      </c>
      <c r="J14" s="426">
        <v>2</v>
      </c>
      <c r="K14" s="426">
        <v>168</v>
      </c>
      <c r="L14" s="423">
        <v>0.5</v>
      </c>
      <c r="M14" s="423">
        <v>84</v>
      </c>
      <c r="N14" s="426">
        <v>10</v>
      </c>
      <c r="O14" s="426">
        <v>840</v>
      </c>
      <c r="P14" s="448">
        <v>2.5</v>
      </c>
      <c r="Q14" s="427">
        <v>84</v>
      </c>
    </row>
    <row r="15" spans="1:17" ht="14.4" customHeight="1" x14ac:dyDescent="0.3">
      <c r="A15" s="422" t="s">
        <v>1950</v>
      </c>
      <c r="B15" s="423" t="s">
        <v>449</v>
      </c>
      <c r="C15" s="423" t="s">
        <v>1951</v>
      </c>
      <c r="D15" s="423" t="s">
        <v>1961</v>
      </c>
      <c r="E15" s="423"/>
      <c r="F15" s="426">
        <v>10</v>
      </c>
      <c r="G15" s="426">
        <v>1050</v>
      </c>
      <c r="H15" s="423">
        <v>1</v>
      </c>
      <c r="I15" s="423">
        <v>105</v>
      </c>
      <c r="J15" s="426">
        <v>8</v>
      </c>
      <c r="K15" s="426">
        <v>840</v>
      </c>
      <c r="L15" s="423">
        <v>0.8</v>
      </c>
      <c r="M15" s="423">
        <v>105</v>
      </c>
      <c r="N15" s="426">
        <v>7</v>
      </c>
      <c r="O15" s="426">
        <v>735</v>
      </c>
      <c r="P15" s="448">
        <v>0.7</v>
      </c>
      <c r="Q15" s="427">
        <v>105</v>
      </c>
    </row>
    <row r="16" spans="1:17" ht="14.4" customHeight="1" x14ac:dyDescent="0.3">
      <c r="A16" s="422" t="s">
        <v>1950</v>
      </c>
      <c r="B16" s="423" t="s">
        <v>449</v>
      </c>
      <c r="C16" s="423" t="s">
        <v>1951</v>
      </c>
      <c r="D16" s="423" t="s">
        <v>1962</v>
      </c>
      <c r="E16" s="423"/>
      <c r="F16" s="426">
        <v>1</v>
      </c>
      <c r="G16" s="426">
        <v>350</v>
      </c>
      <c r="H16" s="423">
        <v>1</v>
      </c>
      <c r="I16" s="423">
        <v>350</v>
      </c>
      <c r="J16" s="426"/>
      <c r="K16" s="426"/>
      <c r="L16" s="423"/>
      <c r="M16" s="423"/>
      <c r="N16" s="426"/>
      <c r="O16" s="426"/>
      <c r="P16" s="448"/>
      <c r="Q16" s="427"/>
    </row>
    <row r="17" spans="1:17" ht="14.4" customHeight="1" x14ac:dyDescent="0.3">
      <c r="A17" s="422" t="s">
        <v>1950</v>
      </c>
      <c r="B17" s="423" t="s">
        <v>449</v>
      </c>
      <c r="C17" s="423" t="s">
        <v>1951</v>
      </c>
      <c r="D17" s="423" t="s">
        <v>1963</v>
      </c>
      <c r="E17" s="423"/>
      <c r="F17" s="426">
        <v>101</v>
      </c>
      <c r="G17" s="426">
        <v>60196</v>
      </c>
      <c r="H17" s="423">
        <v>1</v>
      </c>
      <c r="I17" s="423">
        <v>596</v>
      </c>
      <c r="J17" s="426">
        <v>103</v>
      </c>
      <c r="K17" s="426">
        <v>61388</v>
      </c>
      <c r="L17" s="423">
        <v>1.0198019801980198</v>
      </c>
      <c r="M17" s="423">
        <v>596</v>
      </c>
      <c r="N17" s="426">
        <v>62</v>
      </c>
      <c r="O17" s="426">
        <v>36952</v>
      </c>
      <c r="P17" s="448">
        <v>0.61386138613861385</v>
      </c>
      <c r="Q17" s="427">
        <v>596</v>
      </c>
    </row>
    <row r="18" spans="1:17" ht="14.4" customHeight="1" x14ac:dyDescent="0.3">
      <c r="A18" s="422" t="s">
        <v>1950</v>
      </c>
      <c r="B18" s="423" t="s">
        <v>449</v>
      </c>
      <c r="C18" s="423" t="s">
        <v>1951</v>
      </c>
      <c r="D18" s="423" t="s">
        <v>1964</v>
      </c>
      <c r="E18" s="423"/>
      <c r="F18" s="426">
        <v>33</v>
      </c>
      <c r="G18" s="426">
        <v>21978</v>
      </c>
      <c r="H18" s="423">
        <v>1</v>
      </c>
      <c r="I18" s="423">
        <v>666</v>
      </c>
      <c r="J18" s="426">
        <v>21</v>
      </c>
      <c r="K18" s="426">
        <v>13986</v>
      </c>
      <c r="L18" s="423">
        <v>0.63636363636363635</v>
      </c>
      <c r="M18" s="423">
        <v>666</v>
      </c>
      <c r="N18" s="426">
        <v>11</v>
      </c>
      <c r="O18" s="426">
        <v>7326</v>
      </c>
      <c r="P18" s="448">
        <v>0.33333333333333331</v>
      </c>
      <c r="Q18" s="427">
        <v>666</v>
      </c>
    </row>
    <row r="19" spans="1:17" ht="14.4" customHeight="1" x14ac:dyDescent="0.3">
      <c r="A19" s="422" t="s">
        <v>1950</v>
      </c>
      <c r="B19" s="423" t="s">
        <v>449</v>
      </c>
      <c r="C19" s="423" t="s">
        <v>1951</v>
      </c>
      <c r="D19" s="423" t="s">
        <v>1965</v>
      </c>
      <c r="E19" s="423"/>
      <c r="F19" s="426">
        <v>1</v>
      </c>
      <c r="G19" s="426">
        <v>770</v>
      </c>
      <c r="H19" s="423">
        <v>1</v>
      </c>
      <c r="I19" s="423">
        <v>770</v>
      </c>
      <c r="J19" s="426">
        <v>1</v>
      </c>
      <c r="K19" s="426">
        <v>770</v>
      </c>
      <c r="L19" s="423">
        <v>1</v>
      </c>
      <c r="M19" s="423">
        <v>770</v>
      </c>
      <c r="N19" s="426"/>
      <c r="O19" s="426"/>
      <c r="P19" s="448"/>
      <c r="Q19" s="427"/>
    </row>
    <row r="20" spans="1:17" ht="14.4" customHeight="1" x14ac:dyDescent="0.3">
      <c r="A20" s="422" t="s">
        <v>1950</v>
      </c>
      <c r="B20" s="423" t="s">
        <v>449</v>
      </c>
      <c r="C20" s="423" t="s">
        <v>1951</v>
      </c>
      <c r="D20" s="423" t="s">
        <v>1966</v>
      </c>
      <c r="E20" s="423"/>
      <c r="F20" s="426">
        <v>40</v>
      </c>
      <c r="G20" s="426">
        <v>46508</v>
      </c>
      <c r="H20" s="423">
        <v>1</v>
      </c>
      <c r="I20" s="423">
        <v>1162.7</v>
      </c>
      <c r="J20" s="426">
        <v>47</v>
      </c>
      <c r="K20" s="426">
        <v>55084</v>
      </c>
      <c r="L20" s="423">
        <v>1.1843983830738798</v>
      </c>
      <c r="M20" s="423">
        <v>1172</v>
      </c>
      <c r="N20" s="426">
        <v>44</v>
      </c>
      <c r="O20" s="426">
        <v>51568</v>
      </c>
      <c r="P20" s="448">
        <v>1.10879848628193</v>
      </c>
      <c r="Q20" s="427">
        <v>1172</v>
      </c>
    </row>
    <row r="21" spans="1:17" ht="14.4" customHeight="1" x14ac:dyDescent="0.3">
      <c r="A21" s="422" t="s">
        <v>1950</v>
      </c>
      <c r="B21" s="423" t="s">
        <v>449</v>
      </c>
      <c r="C21" s="423" t="s">
        <v>1951</v>
      </c>
      <c r="D21" s="423" t="s">
        <v>1967</v>
      </c>
      <c r="E21" s="423"/>
      <c r="F21" s="426">
        <v>49</v>
      </c>
      <c r="G21" s="426">
        <v>39200</v>
      </c>
      <c r="H21" s="423">
        <v>1</v>
      </c>
      <c r="I21" s="423">
        <v>800</v>
      </c>
      <c r="J21" s="426">
        <v>36</v>
      </c>
      <c r="K21" s="426">
        <v>28800</v>
      </c>
      <c r="L21" s="423">
        <v>0.73469387755102045</v>
      </c>
      <c r="M21" s="423">
        <v>800</v>
      </c>
      <c r="N21" s="426">
        <v>44</v>
      </c>
      <c r="O21" s="426">
        <v>35200</v>
      </c>
      <c r="P21" s="448">
        <v>0.89795918367346939</v>
      </c>
      <c r="Q21" s="427">
        <v>800</v>
      </c>
    </row>
    <row r="22" spans="1:17" ht="14.4" customHeight="1" x14ac:dyDescent="0.3">
      <c r="A22" s="422" t="s">
        <v>1950</v>
      </c>
      <c r="B22" s="423" t="s">
        <v>449</v>
      </c>
      <c r="C22" s="423" t="s">
        <v>1951</v>
      </c>
      <c r="D22" s="423" t="s">
        <v>1968</v>
      </c>
      <c r="E22" s="423"/>
      <c r="F22" s="426">
        <v>2</v>
      </c>
      <c r="G22" s="426">
        <v>1490</v>
      </c>
      <c r="H22" s="423">
        <v>1</v>
      </c>
      <c r="I22" s="423">
        <v>745</v>
      </c>
      <c r="J22" s="426">
        <v>12</v>
      </c>
      <c r="K22" s="426">
        <v>8940</v>
      </c>
      <c r="L22" s="423">
        <v>6</v>
      </c>
      <c r="M22" s="423">
        <v>745</v>
      </c>
      <c r="N22" s="426">
        <v>10</v>
      </c>
      <c r="O22" s="426">
        <v>7450</v>
      </c>
      <c r="P22" s="448">
        <v>5</v>
      </c>
      <c r="Q22" s="427">
        <v>745</v>
      </c>
    </row>
    <row r="23" spans="1:17" ht="14.4" customHeight="1" x14ac:dyDescent="0.3">
      <c r="A23" s="422" t="s">
        <v>1950</v>
      </c>
      <c r="B23" s="423" t="s">
        <v>449</v>
      </c>
      <c r="C23" s="423" t="s">
        <v>1951</v>
      </c>
      <c r="D23" s="423" t="s">
        <v>1969</v>
      </c>
      <c r="E23" s="423"/>
      <c r="F23" s="426">
        <v>23</v>
      </c>
      <c r="G23" s="426">
        <v>17135</v>
      </c>
      <c r="H23" s="423">
        <v>1</v>
      </c>
      <c r="I23" s="423">
        <v>745</v>
      </c>
      <c r="J23" s="426">
        <v>44</v>
      </c>
      <c r="K23" s="426">
        <v>32780</v>
      </c>
      <c r="L23" s="423">
        <v>1.9130434782608696</v>
      </c>
      <c r="M23" s="423">
        <v>745</v>
      </c>
      <c r="N23" s="426">
        <v>42</v>
      </c>
      <c r="O23" s="426">
        <v>31290</v>
      </c>
      <c r="P23" s="448">
        <v>1.826086956521739</v>
      </c>
      <c r="Q23" s="427">
        <v>745</v>
      </c>
    </row>
    <row r="24" spans="1:17" ht="14.4" customHeight="1" x14ac:dyDescent="0.3">
      <c r="A24" s="422" t="s">
        <v>1950</v>
      </c>
      <c r="B24" s="423" t="s">
        <v>449</v>
      </c>
      <c r="C24" s="423" t="s">
        <v>1951</v>
      </c>
      <c r="D24" s="423" t="s">
        <v>1970</v>
      </c>
      <c r="E24" s="423"/>
      <c r="F24" s="426">
        <v>2</v>
      </c>
      <c r="G24" s="426">
        <v>1122</v>
      </c>
      <c r="H24" s="423">
        <v>1</v>
      </c>
      <c r="I24" s="423">
        <v>561</v>
      </c>
      <c r="J24" s="426"/>
      <c r="K24" s="426"/>
      <c r="L24" s="423"/>
      <c r="M24" s="423"/>
      <c r="N24" s="426"/>
      <c r="O24" s="426"/>
      <c r="P24" s="448"/>
      <c r="Q24" s="427"/>
    </row>
    <row r="25" spans="1:17" ht="14.4" customHeight="1" x14ac:dyDescent="0.3">
      <c r="A25" s="422" t="s">
        <v>1950</v>
      </c>
      <c r="B25" s="423" t="s">
        <v>449</v>
      </c>
      <c r="C25" s="423" t="s">
        <v>1951</v>
      </c>
      <c r="D25" s="423" t="s">
        <v>1971</v>
      </c>
      <c r="E25" s="423"/>
      <c r="F25" s="426">
        <v>18</v>
      </c>
      <c r="G25" s="426">
        <v>10656</v>
      </c>
      <c r="H25" s="423">
        <v>1</v>
      </c>
      <c r="I25" s="423">
        <v>592</v>
      </c>
      <c r="J25" s="426">
        <v>8</v>
      </c>
      <c r="K25" s="426">
        <v>4736</v>
      </c>
      <c r="L25" s="423">
        <v>0.44444444444444442</v>
      </c>
      <c r="M25" s="423">
        <v>592</v>
      </c>
      <c r="N25" s="426">
        <v>10</v>
      </c>
      <c r="O25" s="426">
        <v>5920</v>
      </c>
      <c r="P25" s="448">
        <v>0.55555555555555558</v>
      </c>
      <c r="Q25" s="427">
        <v>592</v>
      </c>
    </row>
    <row r="26" spans="1:17" ht="14.4" customHeight="1" x14ac:dyDescent="0.3">
      <c r="A26" s="422" t="s">
        <v>1950</v>
      </c>
      <c r="B26" s="423" t="s">
        <v>449</v>
      </c>
      <c r="C26" s="423" t="s">
        <v>1951</v>
      </c>
      <c r="D26" s="423" t="s">
        <v>1972</v>
      </c>
      <c r="E26" s="423"/>
      <c r="F26" s="426">
        <v>156</v>
      </c>
      <c r="G26" s="426">
        <v>87516</v>
      </c>
      <c r="H26" s="423">
        <v>1</v>
      </c>
      <c r="I26" s="423">
        <v>561</v>
      </c>
      <c r="J26" s="426">
        <v>126</v>
      </c>
      <c r="K26" s="426">
        <v>69564</v>
      </c>
      <c r="L26" s="423">
        <v>0.79487179487179482</v>
      </c>
      <c r="M26" s="423">
        <v>552.09523809523807</v>
      </c>
      <c r="N26" s="426">
        <v>117</v>
      </c>
      <c r="O26" s="426">
        <v>65637</v>
      </c>
      <c r="P26" s="448">
        <v>0.75</v>
      </c>
      <c r="Q26" s="427">
        <v>561</v>
      </c>
    </row>
    <row r="27" spans="1:17" ht="14.4" customHeight="1" x14ac:dyDescent="0.3">
      <c r="A27" s="422" t="s">
        <v>1950</v>
      </c>
      <c r="B27" s="423" t="s">
        <v>449</v>
      </c>
      <c r="C27" s="423" t="s">
        <v>1951</v>
      </c>
      <c r="D27" s="423" t="s">
        <v>1973</v>
      </c>
      <c r="E27" s="423"/>
      <c r="F27" s="426">
        <v>178</v>
      </c>
      <c r="G27" s="426">
        <v>92382</v>
      </c>
      <c r="H27" s="423">
        <v>1</v>
      </c>
      <c r="I27" s="423">
        <v>519</v>
      </c>
      <c r="J27" s="426">
        <v>133</v>
      </c>
      <c r="K27" s="426">
        <v>69027</v>
      </c>
      <c r="L27" s="423">
        <v>0.7471910112359551</v>
      </c>
      <c r="M27" s="423">
        <v>519</v>
      </c>
      <c r="N27" s="426">
        <v>117</v>
      </c>
      <c r="O27" s="426">
        <v>60723</v>
      </c>
      <c r="P27" s="448">
        <v>0.65730337078651691</v>
      </c>
      <c r="Q27" s="427">
        <v>519</v>
      </c>
    </row>
    <row r="28" spans="1:17" ht="14.4" customHeight="1" x14ac:dyDescent="0.3">
      <c r="A28" s="422" t="s">
        <v>1950</v>
      </c>
      <c r="B28" s="423" t="s">
        <v>449</v>
      </c>
      <c r="C28" s="423" t="s">
        <v>1951</v>
      </c>
      <c r="D28" s="423" t="s">
        <v>1974</v>
      </c>
      <c r="E28" s="423"/>
      <c r="F28" s="426">
        <v>18</v>
      </c>
      <c r="G28" s="426">
        <v>5778</v>
      </c>
      <c r="H28" s="423">
        <v>1</v>
      </c>
      <c r="I28" s="423">
        <v>321</v>
      </c>
      <c r="J28" s="426">
        <v>8</v>
      </c>
      <c r="K28" s="426">
        <v>2568</v>
      </c>
      <c r="L28" s="423">
        <v>0.44444444444444442</v>
      </c>
      <c r="M28" s="423">
        <v>321</v>
      </c>
      <c r="N28" s="426">
        <v>6</v>
      </c>
      <c r="O28" s="426">
        <v>1926</v>
      </c>
      <c r="P28" s="448">
        <v>0.33333333333333331</v>
      </c>
      <c r="Q28" s="427">
        <v>321</v>
      </c>
    </row>
    <row r="29" spans="1:17" ht="14.4" customHeight="1" x14ac:dyDescent="0.3">
      <c r="A29" s="422" t="s">
        <v>1950</v>
      </c>
      <c r="B29" s="423" t="s">
        <v>449</v>
      </c>
      <c r="C29" s="423" t="s">
        <v>1951</v>
      </c>
      <c r="D29" s="423" t="s">
        <v>1975</v>
      </c>
      <c r="E29" s="423"/>
      <c r="F29" s="426">
        <v>4</v>
      </c>
      <c r="G29" s="426">
        <v>1284</v>
      </c>
      <c r="H29" s="423">
        <v>1</v>
      </c>
      <c r="I29" s="423">
        <v>321</v>
      </c>
      <c r="J29" s="426">
        <v>10</v>
      </c>
      <c r="K29" s="426">
        <v>3210</v>
      </c>
      <c r="L29" s="423">
        <v>2.5</v>
      </c>
      <c r="M29" s="423">
        <v>321</v>
      </c>
      <c r="N29" s="426">
        <v>13</v>
      </c>
      <c r="O29" s="426">
        <v>4173</v>
      </c>
      <c r="P29" s="448">
        <v>3.25</v>
      </c>
      <c r="Q29" s="427">
        <v>321</v>
      </c>
    </row>
    <row r="30" spans="1:17" ht="14.4" customHeight="1" x14ac:dyDescent="0.3">
      <c r="A30" s="422" t="s">
        <v>1950</v>
      </c>
      <c r="B30" s="423" t="s">
        <v>449</v>
      </c>
      <c r="C30" s="423" t="s">
        <v>1951</v>
      </c>
      <c r="D30" s="423" t="s">
        <v>1976</v>
      </c>
      <c r="E30" s="423"/>
      <c r="F30" s="426">
        <v>123</v>
      </c>
      <c r="G30" s="426">
        <v>39483</v>
      </c>
      <c r="H30" s="423">
        <v>1</v>
      </c>
      <c r="I30" s="423">
        <v>321</v>
      </c>
      <c r="J30" s="426">
        <v>93</v>
      </c>
      <c r="K30" s="426">
        <v>29853</v>
      </c>
      <c r="L30" s="423">
        <v>0.75609756097560976</v>
      </c>
      <c r="M30" s="423">
        <v>321</v>
      </c>
      <c r="N30" s="426">
        <v>70</v>
      </c>
      <c r="O30" s="426">
        <v>22470</v>
      </c>
      <c r="P30" s="448">
        <v>0.56910569105691056</v>
      </c>
      <c r="Q30" s="427">
        <v>321</v>
      </c>
    </row>
    <row r="31" spans="1:17" ht="14.4" customHeight="1" x14ac:dyDescent="0.3">
      <c r="A31" s="422" t="s">
        <v>1950</v>
      </c>
      <c r="B31" s="423" t="s">
        <v>449</v>
      </c>
      <c r="C31" s="423" t="s">
        <v>1951</v>
      </c>
      <c r="D31" s="423" t="s">
        <v>1977</v>
      </c>
      <c r="E31" s="423"/>
      <c r="F31" s="426">
        <v>5</v>
      </c>
      <c r="G31" s="426">
        <v>6150</v>
      </c>
      <c r="H31" s="423">
        <v>1</v>
      </c>
      <c r="I31" s="423">
        <v>1230</v>
      </c>
      <c r="J31" s="426">
        <v>6</v>
      </c>
      <c r="K31" s="426">
        <v>7380</v>
      </c>
      <c r="L31" s="423">
        <v>1.2</v>
      </c>
      <c r="M31" s="423">
        <v>1230</v>
      </c>
      <c r="N31" s="426">
        <v>3</v>
      </c>
      <c r="O31" s="426">
        <v>3690</v>
      </c>
      <c r="P31" s="448">
        <v>0.6</v>
      </c>
      <c r="Q31" s="427">
        <v>1230</v>
      </c>
    </row>
    <row r="32" spans="1:17" ht="14.4" customHeight="1" x14ac:dyDescent="0.3">
      <c r="A32" s="422" t="s">
        <v>1950</v>
      </c>
      <c r="B32" s="423" t="s">
        <v>449</v>
      </c>
      <c r="C32" s="423" t="s">
        <v>1951</v>
      </c>
      <c r="D32" s="423" t="s">
        <v>1978</v>
      </c>
      <c r="E32" s="423"/>
      <c r="F32" s="426">
        <v>129</v>
      </c>
      <c r="G32" s="426">
        <v>36378</v>
      </c>
      <c r="H32" s="423">
        <v>1</v>
      </c>
      <c r="I32" s="423">
        <v>282</v>
      </c>
      <c r="J32" s="426">
        <v>150</v>
      </c>
      <c r="K32" s="426">
        <v>40044</v>
      </c>
      <c r="L32" s="423">
        <v>1.1007751937984496</v>
      </c>
      <c r="M32" s="423">
        <v>266.95999999999998</v>
      </c>
      <c r="N32" s="426">
        <v>108</v>
      </c>
      <c r="O32" s="426">
        <v>30456</v>
      </c>
      <c r="P32" s="448">
        <v>0.83720930232558144</v>
      </c>
      <c r="Q32" s="427">
        <v>282</v>
      </c>
    </row>
    <row r="33" spans="1:17" ht="14.4" customHeight="1" x14ac:dyDescent="0.3">
      <c r="A33" s="422" t="s">
        <v>1950</v>
      </c>
      <c r="B33" s="423" t="s">
        <v>449</v>
      </c>
      <c r="C33" s="423" t="s">
        <v>1951</v>
      </c>
      <c r="D33" s="423" t="s">
        <v>1979</v>
      </c>
      <c r="E33" s="423"/>
      <c r="F33" s="426">
        <v>67</v>
      </c>
      <c r="G33" s="426">
        <v>45493</v>
      </c>
      <c r="H33" s="423">
        <v>1</v>
      </c>
      <c r="I33" s="423">
        <v>679</v>
      </c>
      <c r="J33" s="426">
        <v>41</v>
      </c>
      <c r="K33" s="426">
        <v>27839</v>
      </c>
      <c r="L33" s="423">
        <v>0.61194029850746268</v>
      </c>
      <c r="M33" s="423">
        <v>679</v>
      </c>
      <c r="N33" s="426">
        <v>44</v>
      </c>
      <c r="O33" s="426">
        <v>29876</v>
      </c>
      <c r="P33" s="448">
        <v>0.65671641791044777</v>
      </c>
      <c r="Q33" s="427">
        <v>679</v>
      </c>
    </row>
    <row r="34" spans="1:17" ht="14.4" customHeight="1" x14ac:dyDescent="0.3">
      <c r="A34" s="422" t="s">
        <v>1950</v>
      </c>
      <c r="B34" s="423" t="s">
        <v>449</v>
      </c>
      <c r="C34" s="423" t="s">
        <v>1951</v>
      </c>
      <c r="D34" s="423" t="s">
        <v>1980</v>
      </c>
      <c r="E34" s="423"/>
      <c r="F34" s="426">
        <v>29</v>
      </c>
      <c r="G34" s="426">
        <v>26941</v>
      </c>
      <c r="H34" s="423">
        <v>1</v>
      </c>
      <c r="I34" s="423">
        <v>929</v>
      </c>
      <c r="J34" s="426">
        <v>20</v>
      </c>
      <c r="K34" s="426">
        <v>18580</v>
      </c>
      <c r="L34" s="423">
        <v>0.68965517241379315</v>
      </c>
      <c r="M34" s="423">
        <v>929</v>
      </c>
      <c r="N34" s="426">
        <v>29</v>
      </c>
      <c r="O34" s="426">
        <v>26941</v>
      </c>
      <c r="P34" s="448">
        <v>1</v>
      </c>
      <c r="Q34" s="427">
        <v>929</v>
      </c>
    </row>
    <row r="35" spans="1:17" ht="14.4" customHeight="1" x14ac:dyDescent="0.3">
      <c r="A35" s="422" t="s">
        <v>1950</v>
      </c>
      <c r="B35" s="423" t="s">
        <v>449</v>
      </c>
      <c r="C35" s="423" t="s">
        <v>1951</v>
      </c>
      <c r="D35" s="423" t="s">
        <v>1981</v>
      </c>
      <c r="E35" s="423"/>
      <c r="F35" s="426">
        <v>2</v>
      </c>
      <c r="G35" s="426">
        <v>416</v>
      </c>
      <c r="H35" s="423">
        <v>1</v>
      </c>
      <c r="I35" s="423">
        <v>208</v>
      </c>
      <c r="J35" s="426">
        <v>9</v>
      </c>
      <c r="K35" s="426">
        <v>1872</v>
      </c>
      <c r="L35" s="423">
        <v>4.5</v>
      </c>
      <c r="M35" s="423">
        <v>208</v>
      </c>
      <c r="N35" s="426">
        <v>3</v>
      </c>
      <c r="O35" s="426">
        <v>624</v>
      </c>
      <c r="P35" s="448">
        <v>1.5</v>
      </c>
      <c r="Q35" s="427">
        <v>208</v>
      </c>
    </row>
    <row r="36" spans="1:17" ht="14.4" customHeight="1" x14ac:dyDescent="0.3">
      <c r="A36" s="422" t="s">
        <v>1950</v>
      </c>
      <c r="B36" s="423" t="s">
        <v>449</v>
      </c>
      <c r="C36" s="423" t="s">
        <v>1951</v>
      </c>
      <c r="D36" s="423" t="s">
        <v>1982</v>
      </c>
      <c r="E36" s="423"/>
      <c r="F36" s="426"/>
      <c r="G36" s="426"/>
      <c r="H36" s="423"/>
      <c r="I36" s="423"/>
      <c r="J36" s="426">
        <v>2</v>
      </c>
      <c r="K36" s="426">
        <v>1016</v>
      </c>
      <c r="L36" s="423"/>
      <c r="M36" s="423">
        <v>508</v>
      </c>
      <c r="N36" s="426">
        <v>1</v>
      </c>
      <c r="O36" s="426">
        <v>508</v>
      </c>
      <c r="P36" s="448"/>
      <c r="Q36" s="427">
        <v>508</v>
      </c>
    </row>
    <row r="37" spans="1:17" ht="14.4" customHeight="1" x14ac:dyDescent="0.3">
      <c r="A37" s="422" t="s">
        <v>1950</v>
      </c>
      <c r="B37" s="423" t="s">
        <v>449</v>
      </c>
      <c r="C37" s="423" t="s">
        <v>1951</v>
      </c>
      <c r="D37" s="423" t="s">
        <v>1983</v>
      </c>
      <c r="E37" s="423"/>
      <c r="F37" s="426">
        <v>38</v>
      </c>
      <c r="G37" s="426">
        <v>66120</v>
      </c>
      <c r="H37" s="423">
        <v>1</v>
      </c>
      <c r="I37" s="423">
        <v>1740</v>
      </c>
      <c r="J37" s="426">
        <v>30</v>
      </c>
      <c r="K37" s="426">
        <v>52200</v>
      </c>
      <c r="L37" s="423">
        <v>0.78947368421052633</v>
      </c>
      <c r="M37" s="423">
        <v>1740</v>
      </c>
      <c r="N37" s="426">
        <v>55</v>
      </c>
      <c r="O37" s="426">
        <v>95700</v>
      </c>
      <c r="P37" s="448">
        <v>1.4473684210526316</v>
      </c>
      <c r="Q37" s="427">
        <v>1740</v>
      </c>
    </row>
    <row r="38" spans="1:17" ht="14.4" customHeight="1" x14ac:dyDescent="0.3">
      <c r="A38" s="422" t="s">
        <v>1950</v>
      </c>
      <c r="B38" s="423" t="s">
        <v>449</v>
      </c>
      <c r="C38" s="423" t="s">
        <v>1951</v>
      </c>
      <c r="D38" s="423" t="s">
        <v>1984</v>
      </c>
      <c r="E38" s="423"/>
      <c r="F38" s="426">
        <v>27</v>
      </c>
      <c r="G38" s="426">
        <v>54648</v>
      </c>
      <c r="H38" s="423">
        <v>1</v>
      </c>
      <c r="I38" s="423">
        <v>2024</v>
      </c>
      <c r="J38" s="426">
        <v>11</v>
      </c>
      <c r="K38" s="426">
        <v>22264</v>
      </c>
      <c r="L38" s="423">
        <v>0.40740740740740738</v>
      </c>
      <c r="M38" s="423">
        <v>2024</v>
      </c>
      <c r="N38" s="426">
        <v>19</v>
      </c>
      <c r="O38" s="426">
        <v>38456</v>
      </c>
      <c r="P38" s="448">
        <v>0.70370370370370372</v>
      </c>
      <c r="Q38" s="427">
        <v>2024</v>
      </c>
    </row>
    <row r="39" spans="1:17" ht="14.4" customHeight="1" x14ac:dyDescent="0.3">
      <c r="A39" s="422" t="s">
        <v>1950</v>
      </c>
      <c r="B39" s="423" t="s">
        <v>449</v>
      </c>
      <c r="C39" s="423" t="s">
        <v>1951</v>
      </c>
      <c r="D39" s="423" t="s">
        <v>1985</v>
      </c>
      <c r="E39" s="423"/>
      <c r="F39" s="426">
        <v>2</v>
      </c>
      <c r="G39" s="426">
        <v>4020</v>
      </c>
      <c r="H39" s="423">
        <v>1</v>
      </c>
      <c r="I39" s="423">
        <v>2010</v>
      </c>
      <c r="J39" s="426">
        <v>3</v>
      </c>
      <c r="K39" s="426">
        <v>6030</v>
      </c>
      <c r="L39" s="423">
        <v>1.5</v>
      </c>
      <c r="M39" s="423">
        <v>2010</v>
      </c>
      <c r="N39" s="426">
        <v>9</v>
      </c>
      <c r="O39" s="426">
        <v>17880</v>
      </c>
      <c r="P39" s="448">
        <v>4.4477611940298507</v>
      </c>
      <c r="Q39" s="427">
        <v>1986.6666666666667</v>
      </c>
    </row>
    <row r="40" spans="1:17" ht="14.4" customHeight="1" x14ac:dyDescent="0.3">
      <c r="A40" s="422" t="s">
        <v>1950</v>
      </c>
      <c r="B40" s="423" t="s">
        <v>449</v>
      </c>
      <c r="C40" s="423" t="s">
        <v>1951</v>
      </c>
      <c r="D40" s="423" t="s">
        <v>1986</v>
      </c>
      <c r="E40" s="423"/>
      <c r="F40" s="426">
        <v>7</v>
      </c>
      <c r="G40" s="426">
        <v>15022</v>
      </c>
      <c r="H40" s="423">
        <v>1</v>
      </c>
      <c r="I40" s="423">
        <v>2146</v>
      </c>
      <c r="J40" s="426">
        <v>4</v>
      </c>
      <c r="K40" s="426">
        <v>8584</v>
      </c>
      <c r="L40" s="423">
        <v>0.5714285714285714</v>
      </c>
      <c r="M40" s="423">
        <v>2146</v>
      </c>
      <c r="N40" s="426">
        <v>8</v>
      </c>
      <c r="O40" s="426">
        <v>17168</v>
      </c>
      <c r="P40" s="448">
        <v>1.1428571428571428</v>
      </c>
      <c r="Q40" s="427">
        <v>2146</v>
      </c>
    </row>
    <row r="41" spans="1:17" ht="14.4" customHeight="1" x14ac:dyDescent="0.3">
      <c r="A41" s="422" t="s">
        <v>1950</v>
      </c>
      <c r="B41" s="423" t="s">
        <v>449</v>
      </c>
      <c r="C41" s="423" t="s">
        <v>1951</v>
      </c>
      <c r="D41" s="423" t="s">
        <v>1987</v>
      </c>
      <c r="E41" s="423"/>
      <c r="F41" s="426">
        <v>1</v>
      </c>
      <c r="G41" s="426">
        <v>2490</v>
      </c>
      <c r="H41" s="423">
        <v>1</v>
      </c>
      <c r="I41" s="423">
        <v>2490</v>
      </c>
      <c r="J41" s="426"/>
      <c r="K41" s="426"/>
      <c r="L41" s="423"/>
      <c r="M41" s="423"/>
      <c r="N41" s="426"/>
      <c r="O41" s="426"/>
      <c r="P41" s="448"/>
      <c r="Q41" s="427"/>
    </row>
    <row r="42" spans="1:17" ht="14.4" customHeight="1" x14ac:dyDescent="0.3">
      <c r="A42" s="422" t="s">
        <v>1950</v>
      </c>
      <c r="B42" s="423" t="s">
        <v>449</v>
      </c>
      <c r="C42" s="423" t="s">
        <v>1951</v>
      </c>
      <c r="D42" s="423" t="s">
        <v>1988</v>
      </c>
      <c r="E42" s="423"/>
      <c r="F42" s="426">
        <v>7</v>
      </c>
      <c r="G42" s="426">
        <v>8722</v>
      </c>
      <c r="H42" s="423">
        <v>1</v>
      </c>
      <c r="I42" s="423">
        <v>1246</v>
      </c>
      <c r="J42" s="426">
        <v>2</v>
      </c>
      <c r="K42" s="426">
        <v>2492</v>
      </c>
      <c r="L42" s="423">
        <v>0.2857142857142857</v>
      </c>
      <c r="M42" s="423">
        <v>1246</v>
      </c>
      <c r="N42" s="426">
        <v>3</v>
      </c>
      <c r="O42" s="426">
        <v>3738</v>
      </c>
      <c r="P42" s="448">
        <v>0.42857142857142855</v>
      </c>
      <c r="Q42" s="427">
        <v>1246</v>
      </c>
    </row>
    <row r="43" spans="1:17" ht="14.4" customHeight="1" x14ac:dyDescent="0.3">
      <c r="A43" s="422" t="s">
        <v>1950</v>
      </c>
      <c r="B43" s="423" t="s">
        <v>449</v>
      </c>
      <c r="C43" s="423" t="s">
        <v>1951</v>
      </c>
      <c r="D43" s="423" t="s">
        <v>1989</v>
      </c>
      <c r="E43" s="423"/>
      <c r="F43" s="426">
        <v>6</v>
      </c>
      <c r="G43" s="426">
        <v>8070</v>
      </c>
      <c r="H43" s="423">
        <v>1</v>
      </c>
      <c r="I43" s="423">
        <v>1345</v>
      </c>
      <c r="J43" s="426">
        <v>2</v>
      </c>
      <c r="K43" s="426">
        <v>2690</v>
      </c>
      <c r="L43" s="423">
        <v>0.33333333333333331</v>
      </c>
      <c r="M43" s="423">
        <v>1345</v>
      </c>
      <c r="N43" s="426">
        <v>2</v>
      </c>
      <c r="O43" s="426">
        <v>2690</v>
      </c>
      <c r="P43" s="448">
        <v>0.33333333333333331</v>
      </c>
      <c r="Q43" s="427">
        <v>1345</v>
      </c>
    </row>
    <row r="44" spans="1:17" ht="14.4" customHeight="1" x14ac:dyDescent="0.3">
      <c r="A44" s="422" t="s">
        <v>1950</v>
      </c>
      <c r="B44" s="423" t="s">
        <v>449</v>
      </c>
      <c r="C44" s="423" t="s">
        <v>1951</v>
      </c>
      <c r="D44" s="423" t="s">
        <v>1990</v>
      </c>
      <c r="E44" s="423"/>
      <c r="F44" s="426">
        <v>83</v>
      </c>
      <c r="G44" s="426">
        <v>294982</v>
      </c>
      <c r="H44" s="423">
        <v>1</v>
      </c>
      <c r="I44" s="423">
        <v>3554</v>
      </c>
      <c r="J44" s="426">
        <v>74</v>
      </c>
      <c r="K44" s="426">
        <v>262996</v>
      </c>
      <c r="L44" s="423">
        <v>0.89156626506024095</v>
      </c>
      <c r="M44" s="423">
        <v>3554</v>
      </c>
      <c r="N44" s="426">
        <v>84</v>
      </c>
      <c r="O44" s="426">
        <v>298536</v>
      </c>
      <c r="P44" s="448">
        <v>1.0120481927710843</v>
      </c>
      <c r="Q44" s="427">
        <v>3554</v>
      </c>
    </row>
    <row r="45" spans="1:17" ht="14.4" customHeight="1" x14ac:dyDescent="0.3">
      <c r="A45" s="422" t="s">
        <v>1950</v>
      </c>
      <c r="B45" s="423" t="s">
        <v>449</v>
      </c>
      <c r="C45" s="423" t="s">
        <v>1951</v>
      </c>
      <c r="D45" s="423" t="s">
        <v>1991</v>
      </c>
      <c r="E45" s="423"/>
      <c r="F45" s="426">
        <v>44</v>
      </c>
      <c r="G45" s="426">
        <v>159085</v>
      </c>
      <c r="H45" s="423">
        <v>1</v>
      </c>
      <c r="I45" s="423">
        <v>3615.568181818182</v>
      </c>
      <c r="J45" s="426">
        <v>33</v>
      </c>
      <c r="K45" s="426">
        <v>119361</v>
      </c>
      <c r="L45" s="423">
        <v>0.75029701103183832</v>
      </c>
      <c r="M45" s="423">
        <v>3617</v>
      </c>
      <c r="N45" s="426">
        <v>49</v>
      </c>
      <c r="O45" s="426">
        <v>177233</v>
      </c>
      <c r="P45" s="448">
        <v>1.1140773800169721</v>
      </c>
      <c r="Q45" s="427">
        <v>3617</v>
      </c>
    </row>
    <row r="46" spans="1:17" ht="14.4" customHeight="1" x14ac:dyDescent="0.3">
      <c r="A46" s="422" t="s">
        <v>1950</v>
      </c>
      <c r="B46" s="423" t="s">
        <v>449</v>
      </c>
      <c r="C46" s="423" t="s">
        <v>1951</v>
      </c>
      <c r="D46" s="423" t="s">
        <v>1992</v>
      </c>
      <c r="E46" s="423"/>
      <c r="F46" s="426">
        <v>6</v>
      </c>
      <c r="G46" s="426">
        <v>8106</v>
      </c>
      <c r="H46" s="423">
        <v>1</v>
      </c>
      <c r="I46" s="423">
        <v>1351</v>
      </c>
      <c r="J46" s="426">
        <v>6</v>
      </c>
      <c r="K46" s="426">
        <v>5404</v>
      </c>
      <c r="L46" s="423">
        <v>0.66666666666666663</v>
      </c>
      <c r="M46" s="423">
        <v>900.66666666666663</v>
      </c>
      <c r="N46" s="426">
        <v>5</v>
      </c>
      <c r="O46" s="426">
        <v>6755</v>
      </c>
      <c r="P46" s="448">
        <v>0.83333333333333337</v>
      </c>
      <c r="Q46" s="427">
        <v>1351</v>
      </c>
    </row>
    <row r="47" spans="1:17" ht="14.4" customHeight="1" x14ac:dyDescent="0.3">
      <c r="A47" s="422" t="s">
        <v>1950</v>
      </c>
      <c r="B47" s="423" t="s">
        <v>449</v>
      </c>
      <c r="C47" s="423" t="s">
        <v>1951</v>
      </c>
      <c r="D47" s="423" t="s">
        <v>1993</v>
      </c>
      <c r="E47" s="423"/>
      <c r="F47" s="426">
        <v>10</v>
      </c>
      <c r="G47" s="426">
        <v>1640</v>
      </c>
      <c r="H47" s="423">
        <v>1</v>
      </c>
      <c r="I47" s="423">
        <v>164</v>
      </c>
      <c r="J47" s="426">
        <v>25</v>
      </c>
      <c r="K47" s="426">
        <v>4100</v>
      </c>
      <c r="L47" s="423">
        <v>2.5</v>
      </c>
      <c r="M47" s="423">
        <v>164</v>
      </c>
      <c r="N47" s="426">
        <v>11</v>
      </c>
      <c r="O47" s="426">
        <v>1804</v>
      </c>
      <c r="P47" s="448">
        <v>1.1000000000000001</v>
      </c>
      <c r="Q47" s="427">
        <v>164</v>
      </c>
    </row>
    <row r="48" spans="1:17" ht="14.4" customHeight="1" x14ac:dyDescent="0.3">
      <c r="A48" s="422" t="s">
        <v>1950</v>
      </c>
      <c r="B48" s="423" t="s">
        <v>449</v>
      </c>
      <c r="C48" s="423" t="s">
        <v>1951</v>
      </c>
      <c r="D48" s="423" t="s">
        <v>1994</v>
      </c>
      <c r="E48" s="423"/>
      <c r="F48" s="426">
        <v>55</v>
      </c>
      <c r="G48" s="426">
        <v>12375</v>
      </c>
      <c r="H48" s="423">
        <v>1</v>
      </c>
      <c r="I48" s="423">
        <v>225</v>
      </c>
      <c r="J48" s="426">
        <v>60</v>
      </c>
      <c r="K48" s="426">
        <v>13500</v>
      </c>
      <c r="L48" s="423">
        <v>1.0909090909090908</v>
      </c>
      <c r="M48" s="423">
        <v>225</v>
      </c>
      <c r="N48" s="426">
        <v>51</v>
      </c>
      <c r="O48" s="426">
        <v>11475</v>
      </c>
      <c r="P48" s="448">
        <v>0.92727272727272725</v>
      </c>
      <c r="Q48" s="427">
        <v>225</v>
      </c>
    </row>
    <row r="49" spans="1:17" ht="14.4" customHeight="1" x14ac:dyDescent="0.3">
      <c r="A49" s="422" t="s">
        <v>1950</v>
      </c>
      <c r="B49" s="423" t="s">
        <v>449</v>
      </c>
      <c r="C49" s="423" t="s">
        <v>1951</v>
      </c>
      <c r="D49" s="423" t="s">
        <v>1995</v>
      </c>
      <c r="E49" s="423"/>
      <c r="F49" s="426">
        <v>16</v>
      </c>
      <c r="G49" s="426">
        <v>5808</v>
      </c>
      <c r="H49" s="423">
        <v>1</v>
      </c>
      <c r="I49" s="423">
        <v>363</v>
      </c>
      <c r="J49" s="426">
        <v>22</v>
      </c>
      <c r="K49" s="426">
        <v>7986</v>
      </c>
      <c r="L49" s="423">
        <v>1.375</v>
      </c>
      <c r="M49" s="423">
        <v>363</v>
      </c>
      <c r="N49" s="426">
        <v>21</v>
      </c>
      <c r="O49" s="426">
        <v>7623</v>
      </c>
      <c r="P49" s="448">
        <v>1.3125</v>
      </c>
      <c r="Q49" s="427">
        <v>363</v>
      </c>
    </row>
    <row r="50" spans="1:17" ht="14.4" customHeight="1" x14ac:dyDescent="0.3">
      <c r="A50" s="422" t="s">
        <v>1950</v>
      </c>
      <c r="B50" s="423" t="s">
        <v>449</v>
      </c>
      <c r="C50" s="423" t="s">
        <v>1951</v>
      </c>
      <c r="D50" s="423" t="s">
        <v>1996</v>
      </c>
      <c r="E50" s="423"/>
      <c r="F50" s="426">
        <v>41</v>
      </c>
      <c r="G50" s="426">
        <v>24067</v>
      </c>
      <c r="H50" s="423">
        <v>1</v>
      </c>
      <c r="I50" s="423">
        <v>587</v>
      </c>
      <c r="J50" s="426">
        <v>36</v>
      </c>
      <c r="K50" s="426">
        <v>21132</v>
      </c>
      <c r="L50" s="423">
        <v>0.87804878048780488</v>
      </c>
      <c r="M50" s="423">
        <v>587</v>
      </c>
      <c r="N50" s="426">
        <v>31</v>
      </c>
      <c r="O50" s="426">
        <v>18197</v>
      </c>
      <c r="P50" s="448">
        <v>0.75609756097560976</v>
      </c>
      <c r="Q50" s="427">
        <v>587</v>
      </c>
    </row>
    <row r="51" spans="1:17" ht="14.4" customHeight="1" x14ac:dyDescent="0.3">
      <c r="A51" s="422" t="s">
        <v>1950</v>
      </c>
      <c r="B51" s="423" t="s">
        <v>449</v>
      </c>
      <c r="C51" s="423" t="s">
        <v>1951</v>
      </c>
      <c r="D51" s="423" t="s">
        <v>1997</v>
      </c>
      <c r="E51" s="423"/>
      <c r="F51" s="426">
        <v>2</v>
      </c>
      <c r="G51" s="426">
        <v>1200</v>
      </c>
      <c r="H51" s="423">
        <v>1</v>
      </c>
      <c r="I51" s="423">
        <v>600</v>
      </c>
      <c r="J51" s="426">
        <v>3</v>
      </c>
      <c r="K51" s="426">
        <v>1800</v>
      </c>
      <c r="L51" s="423">
        <v>1.5</v>
      </c>
      <c r="M51" s="423">
        <v>600</v>
      </c>
      <c r="N51" s="426">
        <v>5</v>
      </c>
      <c r="O51" s="426">
        <v>3000</v>
      </c>
      <c r="P51" s="448">
        <v>2.5</v>
      </c>
      <c r="Q51" s="427">
        <v>600</v>
      </c>
    </row>
    <row r="52" spans="1:17" ht="14.4" customHeight="1" x14ac:dyDescent="0.3">
      <c r="A52" s="422" t="s">
        <v>1950</v>
      </c>
      <c r="B52" s="423" t="s">
        <v>449</v>
      </c>
      <c r="C52" s="423" t="s">
        <v>1951</v>
      </c>
      <c r="D52" s="423" t="s">
        <v>1998</v>
      </c>
      <c r="E52" s="423"/>
      <c r="F52" s="426"/>
      <c r="G52" s="426"/>
      <c r="H52" s="423"/>
      <c r="I52" s="423"/>
      <c r="J52" s="426"/>
      <c r="K52" s="426"/>
      <c r="L52" s="423"/>
      <c r="M52" s="423"/>
      <c r="N52" s="426">
        <v>3</v>
      </c>
      <c r="O52" s="426">
        <v>12693</v>
      </c>
      <c r="P52" s="448"/>
      <c r="Q52" s="427">
        <v>4231</v>
      </c>
    </row>
    <row r="53" spans="1:17" ht="14.4" customHeight="1" x14ac:dyDescent="0.3">
      <c r="A53" s="422" t="s">
        <v>1950</v>
      </c>
      <c r="B53" s="423" t="s">
        <v>449</v>
      </c>
      <c r="C53" s="423" t="s">
        <v>1951</v>
      </c>
      <c r="D53" s="423" t="s">
        <v>1999</v>
      </c>
      <c r="E53" s="423"/>
      <c r="F53" s="426">
        <v>1</v>
      </c>
      <c r="G53" s="426">
        <v>5422</v>
      </c>
      <c r="H53" s="423">
        <v>1</v>
      </c>
      <c r="I53" s="423">
        <v>5422</v>
      </c>
      <c r="J53" s="426"/>
      <c r="K53" s="426"/>
      <c r="L53" s="423"/>
      <c r="M53" s="423"/>
      <c r="N53" s="426"/>
      <c r="O53" s="426"/>
      <c r="P53" s="448"/>
      <c r="Q53" s="427"/>
    </row>
    <row r="54" spans="1:17" ht="14.4" customHeight="1" x14ac:dyDescent="0.3">
      <c r="A54" s="422" t="s">
        <v>1950</v>
      </c>
      <c r="B54" s="423" t="s">
        <v>449</v>
      </c>
      <c r="C54" s="423" t="s">
        <v>1951</v>
      </c>
      <c r="D54" s="423" t="s">
        <v>2000</v>
      </c>
      <c r="E54" s="423"/>
      <c r="F54" s="426">
        <v>1</v>
      </c>
      <c r="G54" s="426">
        <v>4359</v>
      </c>
      <c r="H54" s="423">
        <v>1</v>
      </c>
      <c r="I54" s="423">
        <v>4359</v>
      </c>
      <c r="J54" s="426"/>
      <c r="K54" s="426"/>
      <c r="L54" s="423"/>
      <c r="M54" s="423"/>
      <c r="N54" s="426">
        <v>1</v>
      </c>
      <c r="O54" s="426">
        <v>4359</v>
      </c>
      <c r="P54" s="448">
        <v>1</v>
      </c>
      <c r="Q54" s="427">
        <v>4359</v>
      </c>
    </row>
    <row r="55" spans="1:17" ht="14.4" customHeight="1" x14ac:dyDescent="0.3">
      <c r="A55" s="422" t="s">
        <v>1950</v>
      </c>
      <c r="B55" s="423" t="s">
        <v>449</v>
      </c>
      <c r="C55" s="423" t="s">
        <v>1951</v>
      </c>
      <c r="D55" s="423" t="s">
        <v>2001</v>
      </c>
      <c r="E55" s="423"/>
      <c r="F55" s="426">
        <v>2</v>
      </c>
      <c r="G55" s="426">
        <v>2016</v>
      </c>
      <c r="H55" s="423">
        <v>1</v>
      </c>
      <c r="I55" s="423">
        <v>1008</v>
      </c>
      <c r="J55" s="426"/>
      <c r="K55" s="426"/>
      <c r="L55" s="423"/>
      <c r="M55" s="423"/>
      <c r="N55" s="426">
        <v>2</v>
      </c>
      <c r="O55" s="426">
        <v>2016</v>
      </c>
      <c r="P55" s="448">
        <v>1</v>
      </c>
      <c r="Q55" s="427">
        <v>1008</v>
      </c>
    </row>
    <row r="56" spans="1:17" ht="14.4" customHeight="1" x14ac:dyDescent="0.3">
      <c r="A56" s="422" t="s">
        <v>1950</v>
      </c>
      <c r="B56" s="423" t="s">
        <v>449</v>
      </c>
      <c r="C56" s="423" t="s">
        <v>1951</v>
      </c>
      <c r="D56" s="423" t="s">
        <v>2002</v>
      </c>
      <c r="E56" s="423"/>
      <c r="F56" s="426">
        <v>1</v>
      </c>
      <c r="G56" s="426">
        <v>1014</v>
      </c>
      <c r="H56" s="423">
        <v>1</v>
      </c>
      <c r="I56" s="423">
        <v>1014</v>
      </c>
      <c r="J56" s="426">
        <v>1</v>
      </c>
      <c r="K56" s="426">
        <v>1014</v>
      </c>
      <c r="L56" s="423">
        <v>1</v>
      </c>
      <c r="M56" s="423">
        <v>1014</v>
      </c>
      <c r="N56" s="426"/>
      <c r="O56" s="426"/>
      <c r="P56" s="448"/>
      <c r="Q56" s="427"/>
    </row>
    <row r="57" spans="1:17" ht="14.4" customHeight="1" x14ac:dyDescent="0.3">
      <c r="A57" s="422" t="s">
        <v>1950</v>
      </c>
      <c r="B57" s="423" t="s">
        <v>449</v>
      </c>
      <c r="C57" s="423" t="s">
        <v>1951</v>
      </c>
      <c r="D57" s="423" t="s">
        <v>2003</v>
      </c>
      <c r="E57" s="423"/>
      <c r="F57" s="426">
        <v>3</v>
      </c>
      <c r="G57" s="426">
        <v>2235</v>
      </c>
      <c r="H57" s="423">
        <v>1</v>
      </c>
      <c r="I57" s="423">
        <v>745</v>
      </c>
      <c r="J57" s="426">
        <v>4</v>
      </c>
      <c r="K57" s="426">
        <v>2980</v>
      </c>
      <c r="L57" s="423">
        <v>1.3333333333333333</v>
      </c>
      <c r="M57" s="423">
        <v>745</v>
      </c>
      <c r="N57" s="426"/>
      <c r="O57" s="426"/>
      <c r="P57" s="448"/>
      <c r="Q57" s="427"/>
    </row>
    <row r="58" spans="1:17" ht="14.4" customHeight="1" x14ac:dyDescent="0.3">
      <c r="A58" s="422" t="s">
        <v>1950</v>
      </c>
      <c r="B58" s="423" t="s">
        <v>449</v>
      </c>
      <c r="C58" s="423" t="s">
        <v>1951</v>
      </c>
      <c r="D58" s="423" t="s">
        <v>2004</v>
      </c>
      <c r="E58" s="423"/>
      <c r="F58" s="426">
        <v>22</v>
      </c>
      <c r="G58" s="426">
        <v>12342</v>
      </c>
      <c r="H58" s="423">
        <v>1</v>
      </c>
      <c r="I58" s="423">
        <v>561</v>
      </c>
      <c r="J58" s="426">
        <v>18</v>
      </c>
      <c r="K58" s="426">
        <v>10098</v>
      </c>
      <c r="L58" s="423">
        <v>0.81818181818181823</v>
      </c>
      <c r="M58" s="423">
        <v>561</v>
      </c>
      <c r="N58" s="426">
        <v>4</v>
      </c>
      <c r="O58" s="426">
        <v>2244</v>
      </c>
      <c r="P58" s="448">
        <v>0.18181818181818182</v>
      </c>
      <c r="Q58" s="427">
        <v>561</v>
      </c>
    </row>
    <row r="59" spans="1:17" ht="14.4" customHeight="1" x14ac:dyDescent="0.3">
      <c r="A59" s="422" t="s">
        <v>1950</v>
      </c>
      <c r="B59" s="423" t="s">
        <v>449</v>
      </c>
      <c r="C59" s="423" t="s">
        <v>1951</v>
      </c>
      <c r="D59" s="423" t="s">
        <v>2005</v>
      </c>
      <c r="E59" s="423"/>
      <c r="F59" s="426"/>
      <c r="G59" s="426"/>
      <c r="H59" s="423"/>
      <c r="I59" s="423"/>
      <c r="J59" s="426">
        <v>1</v>
      </c>
      <c r="K59" s="426">
        <v>369</v>
      </c>
      <c r="L59" s="423"/>
      <c r="M59" s="423">
        <v>369</v>
      </c>
      <c r="N59" s="426"/>
      <c r="O59" s="426"/>
      <c r="P59" s="448"/>
      <c r="Q59" s="427"/>
    </row>
    <row r="60" spans="1:17" ht="14.4" customHeight="1" x14ac:dyDescent="0.3">
      <c r="A60" s="422" t="s">
        <v>1950</v>
      </c>
      <c r="B60" s="423" t="s">
        <v>449</v>
      </c>
      <c r="C60" s="423" t="s">
        <v>1951</v>
      </c>
      <c r="D60" s="423" t="s">
        <v>2006</v>
      </c>
      <c r="E60" s="423"/>
      <c r="F60" s="426"/>
      <c r="G60" s="426"/>
      <c r="H60" s="423"/>
      <c r="I60" s="423"/>
      <c r="J60" s="426">
        <v>2</v>
      </c>
      <c r="K60" s="426">
        <v>2244</v>
      </c>
      <c r="L60" s="423"/>
      <c r="M60" s="423">
        <v>1122</v>
      </c>
      <c r="N60" s="426">
        <v>2</v>
      </c>
      <c r="O60" s="426">
        <v>2244</v>
      </c>
      <c r="P60" s="448"/>
      <c r="Q60" s="427">
        <v>1122</v>
      </c>
    </row>
    <row r="61" spans="1:17" ht="14.4" customHeight="1" x14ac:dyDescent="0.3">
      <c r="A61" s="422" t="s">
        <v>1950</v>
      </c>
      <c r="B61" s="423" t="s">
        <v>449</v>
      </c>
      <c r="C61" s="423" t="s">
        <v>1951</v>
      </c>
      <c r="D61" s="423" t="s">
        <v>2007</v>
      </c>
      <c r="E61" s="423"/>
      <c r="F61" s="426">
        <v>20</v>
      </c>
      <c r="G61" s="426">
        <v>17340</v>
      </c>
      <c r="H61" s="423">
        <v>1</v>
      </c>
      <c r="I61" s="423">
        <v>867</v>
      </c>
      <c r="J61" s="426">
        <v>10</v>
      </c>
      <c r="K61" s="426">
        <v>8670</v>
      </c>
      <c r="L61" s="423">
        <v>0.5</v>
      </c>
      <c r="M61" s="423">
        <v>867</v>
      </c>
      <c r="N61" s="426">
        <v>10</v>
      </c>
      <c r="O61" s="426">
        <v>8670</v>
      </c>
      <c r="P61" s="448">
        <v>0.5</v>
      </c>
      <c r="Q61" s="427">
        <v>867</v>
      </c>
    </row>
    <row r="62" spans="1:17" ht="14.4" customHeight="1" x14ac:dyDescent="0.3">
      <c r="A62" s="422" t="s">
        <v>1950</v>
      </c>
      <c r="B62" s="423" t="s">
        <v>449</v>
      </c>
      <c r="C62" s="423" t="s">
        <v>1951</v>
      </c>
      <c r="D62" s="423" t="s">
        <v>2008</v>
      </c>
      <c r="E62" s="423"/>
      <c r="F62" s="426">
        <v>34</v>
      </c>
      <c r="G62" s="426">
        <v>18700</v>
      </c>
      <c r="H62" s="423">
        <v>1</v>
      </c>
      <c r="I62" s="423">
        <v>550</v>
      </c>
      <c r="J62" s="426">
        <v>15</v>
      </c>
      <c r="K62" s="426">
        <v>8250</v>
      </c>
      <c r="L62" s="423">
        <v>0.44117647058823528</v>
      </c>
      <c r="M62" s="423">
        <v>550</v>
      </c>
      <c r="N62" s="426">
        <v>3</v>
      </c>
      <c r="O62" s="426">
        <v>1650</v>
      </c>
      <c r="P62" s="448">
        <v>8.8235294117647065E-2</v>
      </c>
      <c r="Q62" s="427">
        <v>550</v>
      </c>
    </row>
    <row r="63" spans="1:17" ht="14.4" customHeight="1" x14ac:dyDescent="0.3">
      <c r="A63" s="422" t="s">
        <v>1950</v>
      </c>
      <c r="B63" s="423" t="s">
        <v>449</v>
      </c>
      <c r="C63" s="423" t="s">
        <v>1951</v>
      </c>
      <c r="D63" s="423" t="s">
        <v>2009</v>
      </c>
      <c r="E63" s="423"/>
      <c r="F63" s="426"/>
      <c r="G63" s="426"/>
      <c r="H63" s="423"/>
      <c r="I63" s="423"/>
      <c r="J63" s="426"/>
      <c r="K63" s="426"/>
      <c r="L63" s="423"/>
      <c r="M63" s="423"/>
      <c r="N63" s="426">
        <v>1</v>
      </c>
      <c r="O63" s="426">
        <v>1395</v>
      </c>
      <c r="P63" s="448"/>
      <c r="Q63" s="427">
        <v>1395</v>
      </c>
    </row>
    <row r="64" spans="1:17" ht="14.4" customHeight="1" x14ac:dyDescent="0.3">
      <c r="A64" s="422" t="s">
        <v>1950</v>
      </c>
      <c r="B64" s="423" t="s">
        <v>449</v>
      </c>
      <c r="C64" s="423" t="s">
        <v>1951</v>
      </c>
      <c r="D64" s="423" t="s">
        <v>2010</v>
      </c>
      <c r="E64" s="423"/>
      <c r="F64" s="426">
        <v>11</v>
      </c>
      <c r="G64" s="426">
        <v>5709</v>
      </c>
      <c r="H64" s="423">
        <v>1</v>
      </c>
      <c r="I64" s="423">
        <v>519</v>
      </c>
      <c r="J64" s="426">
        <v>2</v>
      </c>
      <c r="K64" s="426">
        <v>1038</v>
      </c>
      <c r="L64" s="423">
        <v>0.18181818181818182</v>
      </c>
      <c r="M64" s="423">
        <v>519</v>
      </c>
      <c r="N64" s="426">
        <v>2</v>
      </c>
      <c r="O64" s="426">
        <v>1038</v>
      </c>
      <c r="P64" s="448">
        <v>0.18181818181818182</v>
      </c>
      <c r="Q64" s="427">
        <v>519</v>
      </c>
    </row>
    <row r="65" spans="1:17" ht="14.4" customHeight="1" x14ac:dyDescent="0.3">
      <c r="A65" s="422" t="s">
        <v>1950</v>
      </c>
      <c r="B65" s="423" t="s">
        <v>449</v>
      </c>
      <c r="C65" s="423" t="s">
        <v>1951</v>
      </c>
      <c r="D65" s="423" t="s">
        <v>2011</v>
      </c>
      <c r="E65" s="423"/>
      <c r="F65" s="426"/>
      <c r="G65" s="426"/>
      <c r="H65" s="423"/>
      <c r="I65" s="423"/>
      <c r="J65" s="426">
        <v>1</v>
      </c>
      <c r="K65" s="426">
        <v>470</v>
      </c>
      <c r="L65" s="423"/>
      <c r="M65" s="423">
        <v>470</v>
      </c>
      <c r="N65" s="426"/>
      <c r="O65" s="426"/>
      <c r="P65" s="448"/>
      <c r="Q65" s="427"/>
    </row>
    <row r="66" spans="1:17" ht="14.4" customHeight="1" x14ac:dyDescent="0.3">
      <c r="A66" s="422" t="s">
        <v>1950</v>
      </c>
      <c r="B66" s="423" t="s">
        <v>449</v>
      </c>
      <c r="C66" s="423" t="s">
        <v>1951</v>
      </c>
      <c r="D66" s="423" t="s">
        <v>2012</v>
      </c>
      <c r="E66" s="423"/>
      <c r="F66" s="426">
        <v>1</v>
      </c>
      <c r="G66" s="426">
        <v>1326</v>
      </c>
      <c r="H66" s="423">
        <v>1</v>
      </c>
      <c r="I66" s="423">
        <v>1326</v>
      </c>
      <c r="J66" s="426">
        <v>5</v>
      </c>
      <c r="K66" s="426">
        <v>3978</v>
      </c>
      <c r="L66" s="423">
        <v>3</v>
      </c>
      <c r="M66" s="423">
        <v>795.6</v>
      </c>
      <c r="N66" s="426">
        <v>1</v>
      </c>
      <c r="O66" s="426">
        <v>1326</v>
      </c>
      <c r="P66" s="448">
        <v>1</v>
      </c>
      <c r="Q66" s="427">
        <v>1326</v>
      </c>
    </row>
    <row r="67" spans="1:17" ht="14.4" customHeight="1" x14ac:dyDescent="0.3">
      <c r="A67" s="422" t="s">
        <v>1950</v>
      </c>
      <c r="B67" s="423" t="s">
        <v>449</v>
      </c>
      <c r="C67" s="423" t="s">
        <v>1951</v>
      </c>
      <c r="D67" s="423" t="s">
        <v>2013</v>
      </c>
      <c r="E67" s="423"/>
      <c r="F67" s="426"/>
      <c r="G67" s="426"/>
      <c r="H67" s="423"/>
      <c r="I67" s="423"/>
      <c r="J67" s="426">
        <v>0</v>
      </c>
      <c r="K67" s="426">
        <v>0</v>
      </c>
      <c r="L67" s="423"/>
      <c r="M67" s="423"/>
      <c r="N67" s="426">
        <v>1</v>
      </c>
      <c r="O67" s="426">
        <v>0</v>
      </c>
      <c r="P67" s="448"/>
      <c r="Q67" s="427">
        <v>0</v>
      </c>
    </row>
    <row r="68" spans="1:17" ht="14.4" customHeight="1" x14ac:dyDescent="0.3">
      <c r="A68" s="422" t="s">
        <v>1950</v>
      </c>
      <c r="B68" s="423" t="s">
        <v>449</v>
      </c>
      <c r="C68" s="423" t="s">
        <v>1951</v>
      </c>
      <c r="D68" s="423" t="s">
        <v>2014</v>
      </c>
      <c r="E68" s="423"/>
      <c r="F68" s="426">
        <v>2</v>
      </c>
      <c r="G68" s="426">
        <v>810</v>
      </c>
      <c r="H68" s="423">
        <v>1</v>
      </c>
      <c r="I68" s="423">
        <v>405</v>
      </c>
      <c r="J68" s="426">
        <v>4</v>
      </c>
      <c r="K68" s="426">
        <v>1620</v>
      </c>
      <c r="L68" s="423">
        <v>2</v>
      </c>
      <c r="M68" s="423">
        <v>405</v>
      </c>
      <c r="N68" s="426">
        <v>3</v>
      </c>
      <c r="O68" s="426">
        <v>1215</v>
      </c>
      <c r="P68" s="448">
        <v>1.5</v>
      </c>
      <c r="Q68" s="427">
        <v>405</v>
      </c>
    </row>
    <row r="69" spans="1:17" ht="14.4" customHeight="1" x14ac:dyDescent="0.3">
      <c r="A69" s="422" t="s">
        <v>1950</v>
      </c>
      <c r="B69" s="423" t="s">
        <v>449</v>
      </c>
      <c r="C69" s="423" t="s">
        <v>1951</v>
      </c>
      <c r="D69" s="423" t="s">
        <v>2015</v>
      </c>
      <c r="E69" s="423"/>
      <c r="F69" s="426">
        <v>1</v>
      </c>
      <c r="G69" s="426">
        <v>940</v>
      </c>
      <c r="H69" s="423">
        <v>1</v>
      </c>
      <c r="I69" s="423">
        <v>940</v>
      </c>
      <c r="J69" s="426">
        <v>1</v>
      </c>
      <c r="K69" s="426">
        <v>940</v>
      </c>
      <c r="L69" s="423">
        <v>1</v>
      </c>
      <c r="M69" s="423">
        <v>940</v>
      </c>
      <c r="N69" s="426">
        <v>2</v>
      </c>
      <c r="O69" s="426">
        <v>1880</v>
      </c>
      <c r="P69" s="448">
        <v>2</v>
      </c>
      <c r="Q69" s="427">
        <v>940</v>
      </c>
    </row>
    <row r="70" spans="1:17" ht="14.4" customHeight="1" x14ac:dyDescent="0.3">
      <c r="A70" s="422" t="s">
        <v>1950</v>
      </c>
      <c r="B70" s="423" t="s">
        <v>449</v>
      </c>
      <c r="C70" s="423" t="s">
        <v>1951</v>
      </c>
      <c r="D70" s="423" t="s">
        <v>2016</v>
      </c>
      <c r="E70" s="423"/>
      <c r="F70" s="426">
        <v>4</v>
      </c>
      <c r="G70" s="426">
        <v>2200</v>
      </c>
      <c r="H70" s="423">
        <v>1</v>
      </c>
      <c r="I70" s="423">
        <v>550</v>
      </c>
      <c r="J70" s="426">
        <v>5</v>
      </c>
      <c r="K70" s="426">
        <v>2750</v>
      </c>
      <c r="L70" s="423">
        <v>1.25</v>
      </c>
      <c r="M70" s="423">
        <v>550</v>
      </c>
      <c r="N70" s="426">
        <v>13</v>
      </c>
      <c r="O70" s="426">
        <v>7150</v>
      </c>
      <c r="P70" s="448">
        <v>3.25</v>
      </c>
      <c r="Q70" s="427">
        <v>550</v>
      </c>
    </row>
    <row r="71" spans="1:17" ht="14.4" customHeight="1" x14ac:dyDescent="0.3">
      <c r="A71" s="422" t="s">
        <v>1950</v>
      </c>
      <c r="B71" s="423" t="s">
        <v>449</v>
      </c>
      <c r="C71" s="423" t="s">
        <v>1951</v>
      </c>
      <c r="D71" s="423" t="s">
        <v>2017</v>
      </c>
      <c r="E71" s="423"/>
      <c r="F71" s="426"/>
      <c r="G71" s="426"/>
      <c r="H71" s="423"/>
      <c r="I71" s="423"/>
      <c r="J71" s="426">
        <v>1</v>
      </c>
      <c r="K71" s="426">
        <v>1260</v>
      </c>
      <c r="L71" s="423"/>
      <c r="M71" s="423">
        <v>1260</v>
      </c>
      <c r="N71" s="426">
        <v>1</v>
      </c>
      <c r="O71" s="426">
        <v>1260</v>
      </c>
      <c r="P71" s="448"/>
      <c r="Q71" s="427">
        <v>1260</v>
      </c>
    </row>
    <row r="72" spans="1:17" ht="14.4" customHeight="1" x14ac:dyDescent="0.3">
      <c r="A72" s="422" t="s">
        <v>1950</v>
      </c>
      <c r="B72" s="423" t="s">
        <v>449</v>
      </c>
      <c r="C72" s="423" t="s">
        <v>1951</v>
      </c>
      <c r="D72" s="423" t="s">
        <v>2018</v>
      </c>
      <c r="E72" s="423"/>
      <c r="F72" s="426"/>
      <c r="G72" s="426"/>
      <c r="H72" s="423"/>
      <c r="I72" s="423"/>
      <c r="J72" s="426"/>
      <c r="K72" s="426"/>
      <c r="L72" s="423"/>
      <c r="M72" s="423"/>
      <c r="N72" s="426">
        <v>1</v>
      </c>
      <c r="O72" s="426">
        <v>1281</v>
      </c>
      <c r="P72" s="448"/>
      <c r="Q72" s="427">
        <v>1281</v>
      </c>
    </row>
    <row r="73" spans="1:17" ht="14.4" customHeight="1" x14ac:dyDescent="0.3">
      <c r="A73" s="422" t="s">
        <v>1950</v>
      </c>
      <c r="B73" s="423" t="s">
        <v>449</v>
      </c>
      <c r="C73" s="423" t="s">
        <v>1951</v>
      </c>
      <c r="D73" s="423" t="s">
        <v>2019</v>
      </c>
      <c r="E73" s="423"/>
      <c r="F73" s="426"/>
      <c r="G73" s="426"/>
      <c r="H73" s="423"/>
      <c r="I73" s="423"/>
      <c r="J73" s="426"/>
      <c r="K73" s="426"/>
      <c r="L73" s="423"/>
      <c r="M73" s="423"/>
      <c r="N73" s="426">
        <v>8</v>
      </c>
      <c r="O73" s="426">
        <v>6024</v>
      </c>
      <c r="P73" s="448"/>
      <c r="Q73" s="427">
        <v>753</v>
      </c>
    </row>
    <row r="74" spans="1:17" ht="14.4" customHeight="1" x14ac:dyDescent="0.3">
      <c r="A74" s="422" t="s">
        <v>1950</v>
      </c>
      <c r="B74" s="423" t="s">
        <v>449</v>
      </c>
      <c r="C74" s="423" t="s">
        <v>1951</v>
      </c>
      <c r="D74" s="423" t="s">
        <v>2020</v>
      </c>
      <c r="E74" s="423"/>
      <c r="F74" s="426"/>
      <c r="G74" s="426"/>
      <c r="H74" s="423"/>
      <c r="I74" s="423"/>
      <c r="J74" s="426"/>
      <c r="K74" s="426"/>
      <c r="L74" s="423"/>
      <c r="M74" s="423"/>
      <c r="N74" s="426">
        <v>1</v>
      </c>
      <c r="O74" s="426">
        <v>0</v>
      </c>
      <c r="P74" s="448"/>
      <c r="Q74" s="427">
        <v>0</v>
      </c>
    </row>
    <row r="75" spans="1:17" ht="14.4" customHeight="1" x14ac:dyDescent="0.3">
      <c r="A75" s="422" t="s">
        <v>1950</v>
      </c>
      <c r="B75" s="423" t="s">
        <v>449</v>
      </c>
      <c r="C75" s="423" t="s">
        <v>1951</v>
      </c>
      <c r="D75" s="423" t="s">
        <v>2021</v>
      </c>
      <c r="E75" s="423"/>
      <c r="F75" s="426">
        <v>1</v>
      </c>
      <c r="G75" s="426">
        <v>0</v>
      </c>
      <c r="H75" s="423"/>
      <c r="I75" s="423">
        <v>0</v>
      </c>
      <c r="J75" s="426"/>
      <c r="K75" s="426"/>
      <c r="L75" s="423"/>
      <c r="M75" s="423"/>
      <c r="N75" s="426"/>
      <c r="O75" s="426"/>
      <c r="P75" s="448"/>
      <c r="Q75" s="427"/>
    </row>
    <row r="76" spans="1:17" ht="14.4" customHeight="1" x14ac:dyDescent="0.3">
      <c r="A76" s="422" t="s">
        <v>1950</v>
      </c>
      <c r="B76" s="423" t="s">
        <v>449</v>
      </c>
      <c r="C76" s="423" t="s">
        <v>2022</v>
      </c>
      <c r="D76" s="423" t="s">
        <v>2023</v>
      </c>
      <c r="E76" s="423" t="s">
        <v>2024</v>
      </c>
      <c r="F76" s="426">
        <v>21</v>
      </c>
      <c r="G76" s="426">
        <v>9286.67</v>
      </c>
      <c r="H76" s="423">
        <v>1</v>
      </c>
      <c r="I76" s="423">
        <v>442.22238095238095</v>
      </c>
      <c r="J76" s="426">
        <v>10</v>
      </c>
      <c r="K76" s="426">
        <v>4422.22</v>
      </c>
      <c r="L76" s="423">
        <v>0.47619006597628649</v>
      </c>
      <c r="M76" s="423">
        <v>442.22200000000004</v>
      </c>
      <c r="N76" s="426">
        <v>5</v>
      </c>
      <c r="O76" s="426">
        <v>2211.11</v>
      </c>
      <c r="P76" s="448">
        <v>0.23809503298814325</v>
      </c>
      <c r="Q76" s="427">
        <v>442.22200000000004</v>
      </c>
    </row>
    <row r="77" spans="1:17" ht="14.4" customHeight="1" x14ac:dyDescent="0.3">
      <c r="A77" s="422" t="s">
        <v>1950</v>
      </c>
      <c r="B77" s="423" t="s">
        <v>449</v>
      </c>
      <c r="C77" s="423" t="s">
        <v>2022</v>
      </c>
      <c r="D77" s="423" t="s">
        <v>2025</v>
      </c>
      <c r="E77" s="423" t="s">
        <v>2026</v>
      </c>
      <c r="F77" s="426">
        <v>107</v>
      </c>
      <c r="G77" s="426">
        <v>43751.11</v>
      </c>
      <c r="H77" s="423">
        <v>1</v>
      </c>
      <c r="I77" s="423">
        <v>408.8888785046729</v>
      </c>
      <c r="J77" s="426">
        <v>95</v>
      </c>
      <c r="K77" s="426">
        <v>38844.46</v>
      </c>
      <c r="L77" s="423">
        <v>0.88785084538426562</v>
      </c>
      <c r="M77" s="423">
        <v>408.88905263157892</v>
      </c>
      <c r="N77" s="426">
        <v>58</v>
      </c>
      <c r="O77" s="426">
        <v>26422.21</v>
      </c>
      <c r="P77" s="448">
        <v>0.60392090623529315</v>
      </c>
      <c r="Q77" s="427">
        <v>455.55534482758617</v>
      </c>
    </row>
    <row r="78" spans="1:17" ht="14.4" customHeight="1" x14ac:dyDescent="0.3">
      <c r="A78" s="422" t="s">
        <v>1950</v>
      </c>
      <c r="B78" s="423" t="s">
        <v>449</v>
      </c>
      <c r="C78" s="423" t="s">
        <v>2022</v>
      </c>
      <c r="D78" s="423" t="s">
        <v>2027</v>
      </c>
      <c r="E78" s="423" t="s">
        <v>2028</v>
      </c>
      <c r="F78" s="426">
        <v>750</v>
      </c>
      <c r="G78" s="426">
        <v>58333.33</v>
      </c>
      <c r="H78" s="423">
        <v>1</v>
      </c>
      <c r="I78" s="423">
        <v>77.777773333333329</v>
      </c>
      <c r="J78" s="426">
        <v>694</v>
      </c>
      <c r="K78" s="426">
        <v>53977.78</v>
      </c>
      <c r="L78" s="423">
        <v>0.92533342430476706</v>
      </c>
      <c r="M78" s="423">
        <v>77.777780979827085</v>
      </c>
      <c r="N78" s="426">
        <v>943</v>
      </c>
      <c r="O78" s="426">
        <v>73344.430000000008</v>
      </c>
      <c r="P78" s="448">
        <v>1.2573331575618949</v>
      </c>
      <c r="Q78" s="427">
        <v>77.777762460233305</v>
      </c>
    </row>
    <row r="79" spans="1:17" ht="14.4" customHeight="1" x14ac:dyDescent="0.3">
      <c r="A79" s="422" t="s">
        <v>1950</v>
      </c>
      <c r="B79" s="423" t="s">
        <v>449</v>
      </c>
      <c r="C79" s="423" t="s">
        <v>2022</v>
      </c>
      <c r="D79" s="423" t="s">
        <v>2029</v>
      </c>
      <c r="E79" s="423" t="s">
        <v>2030</v>
      </c>
      <c r="F79" s="426">
        <v>2</v>
      </c>
      <c r="G79" s="426">
        <v>500</v>
      </c>
      <c r="H79" s="423">
        <v>1</v>
      </c>
      <c r="I79" s="423">
        <v>250</v>
      </c>
      <c r="J79" s="426">
        <v>3</v>
      </c>
      <c r="K79" s="426">
        <v>750</v>
      </c>
      <c r="L79" s="423">
        <v>1.5</v>
      </c>
      <c r="M79" s="423">
        <v>250</v>
      </c>
      <c r="N79" s="426"/>
      <c r="O79" s="426"/>
      <c r="P79" s="448"/>
      <c r="Q79" s="427"/>
    </row>
    <row r="80" spans="1:17" ht="14.4" customHeight="1" x14ac:dyDescent="0.3">
      <c r="A80" s="422" t="s">
        <v>1950</v>
      </c>
      <c r="B80" s="423" t="s">
        <v>449</v>
      </c>
      <c r="C80" s="423" t="s">
        <v>2022</v>
      </c>
      <c r="D80" s="423" t="s">
        <v>2031</v>
      </c>
      <c r="E80" s="423" t="s">
        <v>2032</v>
      </c>
      <c r="F80" s="426">
        <v>302</v>
      </c>
      <c r="G80" s="426">
        <v>33555.560000000005</v>
      </c>
      <c r="H80" s="423">
        <v>1</v>
      </c>
      <c r="I80" s="423">
        <v>111.11112582781459</v>
      </c>
      <c r="J80" s="426">
        <v>297</v>
      </c>
      <c r="K80" s="426">
        <v>32999.99</v>
      </c>
      <c r="L80" s="423">
        <v>0.98344328033863815</v>
      </c>
      <c r="M80" s="423">
        <v>111.11107744107744</v>
      </c>
      <c r="N80" s="426">
        <v>306</v>
      </c>
      <c r="O80" s="426">
        <v>34000</v>
      </c>
      <c r="P80" s="448">
        <v>1.0132448989079603</v>
      </c>
      <c r="Q80" s="427">
        <v>111.11111111111111</v>
      </c>
    </row>
    <row r="81" spans="1:17" ht="14.4" customHeight="1" x14ac:dyDescent="0.3">
      <c r="A81" s="422" t="s">
        <v>1950</v>
      </c>
      <c r="B81" s="423" t="s">
        <v>449</v>
      </c>
      <c r="C81" s="423" t="s">
        <v>2022</v>
      </c>
      <c r="D81" s="423" t="s">
        <v>2033</v>
      </c>
      <c r="E81" s="423" t="s">
        <v>2034</v>
      </c>
      <c r="F81" s="426">
        <v>2</v>
      </c>
      <c r="G81" s="426">
        <v>700</v>
      </c>
      <c r="H81" s="423">
        <v>1</v>
      </c>
      <c r="I81" s="423">
        <v>350</v>
      </c>
      <c r="J81" s="426">
        <v>2</v>
      </c>
      <c r="K81" s="426">
        <v>700</v>
      </c>
      <c r="L81" s="423">
        <v>1</v>
      </c>
      <c r="M81" s="423">
        <v>350</v>
      </c>
      <c r="N81" s="426"/>
      <c r="O81" s="426"/>
      <c r="P81" s="448"/>
      <c r="Q81" s="427"/>
    </row>
    <row r="82" spans="1:17" ht="14.4" customHeight="1" x14ac:dyDescent="0.3">
      <c r="A82" s="422" t="s">
        <v>1950</v>
      </c>
      <c r="B82" s="423" t="s">
        <v>449</v>
      </c>
      <c r="C82" s="423" t="s">
        <v>2022</v>
      </c>
      <c r="D82" s="423" t="s">
        <v>2035</v>
      </c>
      <c r="E82" s="423" t="s">
        <v>2036</v>
      </c>
      <c r="F82" s="426">
        <v>745</v>
      </c>
      <c r="G82" s="426">
        <v>182111.11</v>
      </c>
      <c r="H82" s="423">
        <v>1</v>
      </c>
      <c r="I82" s="423">
        <v>244.44444295302011</v>
      </c>
      <c r="J82" s="426">
        <v>661</v>
      </c>
      <c r="K82" s="426">
        <v>172431.11000000002</v>
      </c>
      <c r="L82" s="423">
        <v>0.94684563725958304</v>
      </c>
      <c r="M82" s="423">
        <v>260.86400907715586</v>
      </c>
      <c r="N82" s="426">
        <v>482</v>
      </c>
      <c r="O82" s="426">
        <v>129604.45999999999</v>
      </c>
      <c r="P82" s="448">
        <v>0.71167794210907831</v>
      </c>
      <c r="Q82" s="427">
        <v>268.88892116182569</v>
      </c>
    </row>
    <row r="83" spans="1:17" ht="14.4" customHeight="1" x14ac:dyDescent="0.3">
      <c r="A83" s="422" t="s">
        <v>1950</v>
      </c>
      <c r="B83" s="423" t="s">
        <v>449</v>
      </c>
      <c r="C83" s="423" t="s">
        <v>2022</v>
      </c>
      <c r="D83" s="423" t="s">
        <v>2037</v>
      </c>
      <c r="E83" s="423" t="s">
        <v>2038</v>
      </c>
      <c r="F83" s="426">
        <v>104</v>
      </c>
      <c r="G83" s="426">
        <v>30622.230000000003</v>
      </c>
      <c r="H83" s="423">
        <v>1</v>
      </c>
      <c r="I83" s="423">
        <v>294.44451923076929</v>
      </c>
      <c r="J83" s="426">
        <v>56</v>
      </c>
      <c r="K83" s="426">
        <v>16488.88</v>
      </c>
      <c r="L83" s="423">
        <v>0.53846111142134323</v>
      </c>
      <c r="M83" s="423">
        <v>294.44428571428574</v>
      </c>
      <c r="N83" s="426">
        <v>61</v>
      </c>
      <c r="O83" s="426">
        <v>17961.120000000003</v>
      </c>
      <c r="P83" s="448">
        <v>0.5865386028385261</v>
      </c>
      <c r="Q83" s="427">
        <v>294.44459016393449</v>
      </c>
    </row>
    <row r="84" spans="1:17" ht="14.4" customHeight="1" x14ac:dyDescent="0.3">
      <c r="A84" s="422" t="s">
        <v>1950</v>
      </c>
      <c r="B84" s="423" t="s">
        <v>449</v>
      </c>
      <c r="C84" s="423" t="s">
        <v>2022</v>
      </c>
      <c r="D84" s="423" t="s">
        <v>2039</v>
      </c>
      <c r="E84" s="423" t="s">
        <v>2040</v>
      </c>
      <c r="F84" s="426"/>
      <c r="G84" s="426"/>
      <c r="H84" s="423"/>
      <c r="I84" s="423"/>
      <c r="J84" s="426">
        <v>1</v>
      </c>
      <c r="K84" s="426">
        <v>11.11</v>
      </c>
      <c r="L84" s="423"/>
      <c r="M84" s="423">
        <v>11.11</v>
      </c>
      <c r="N84" s="426">
        <v>100</v>
      </c>
      <c r="O84" s="426">
        <v>1111.1099999999999</v>
      </c>
      <c r="P84" s="448"/>
      <c r="Q84" s="427">
        <v>11.111099999999999</v>
      </c>
    </row>
    <row r="85" spans="1:17" ht="14.4" customHeight="1" x14ac:dyDescent="0.3">
      <c r="A85" s="422" t="s">
        <v>1950</v>
      </c>
      <c r="B85" s="423" t="s">
        <v>449</v>
      </c>
      <c r="C85" s="423" t="s">
        <v>2022</v>
      </c>
      <c r="D85" s="423" t="s">
        <v>2041</v>
      </c>
      <c r="E85" s="423" t="s">
        <v>2026</v>
      </c>
      <c r="F85" s="426">
        <v>681</v>
      </c>
      <c r="G85" s="426">
        <v>254240</v>
      </c>
      <c r="H85" s="423">
        <v>1</v>
      </c>
      <c r="I85" s="423">
        <v>373.33333333333331</v>
      </c>
      <c r="J85" s="426">
        <v>812</v>
      </c>
      <c r="K85" s="426">
        <v>303146.66000000003</v>
      </c>
      <c r="L85" s="423">
        <v>1.1923641441157962</v>
      </c>
      <c r="M85" s="423">
        <v>373.33332512315275</v>
      </c>
      <c r="N85" s="426">
        <v>618</v>
      </c>
      <c r="O85" s="426">
        <v>230720</v>
      </c>
      <c r="P85" s="448">
        <v>0.90748898678414092</v>
      </c>
      <c r="Q85" s="427">
        <v>373.33333333333331</v>
      </c>
    </row>
    <row r="86" spans="1:17" ht="14.4" customHeight="1" x14ac:dyDescent="0.3">
      <c r="A86" s="422" t="s">
        <v>1950</v>
      </c>
      <c r="B86" s="423" t="s">
        <v>449</v>
      </c>
      <c r="C86" s="423" t="s">
        <v>2022</v>
      </c>
      <c r="D86" s="423" t="s">
        <v>2042</v>
      </c>
      <c r="E86" s="423" t="s">
        <v>2043</v>
      </c>
      <c r="F86" s="426">
        <v>340</v>
      </c>
      <c r="G86" s="426">
        <v>63466.679999999993</v>
      </c>
      <c r="H86" s="423">
        <v>1</v>
      </c>
      <c r="I86" s="423">
        <v>186.66670588235291</v>
      </c>
      <c r="J86" s="426">
        <v>375</v>
      </c>
      <c r="K86" s="426">
        <v>69999.990000000005</v>
      </c>
      <c r="L86" s="423">
        <v>1.1029407871973138</v>
      </c>
      <c r="M86" s="423">
        <v>186.66664</v>
      </c>
      <c r="N86" s="426">
        <v>292</v>
      </c>
      <c r="O86" s="426">
        <v>54506.66</v>
      </c>
      <c r="P86" s="448">
        <v>0.85882324394469678</v>
      </c>
      <c r="Q86" s="427">
        <v>186.66664383561644</v>
      </c>
    </row>
    <row r="87" spans="1:17" ht="14.4" customHeight="1" x14ac:dyDescent="0.3">
      <c r="A87" s="422" t="s">
        <v>1950</v>
      </c>
      <c r="B87" s="423" t="s">
        <v>449</v>
      </c>
      <c r="C87" s="423" t="s">
        <v>2022</v>
      </c>
      <c r="D87" s="423" t="s">
        <v>2044</v>
      </c>
      <c r="E87" s="423" t="s">
        <v>2045</v>
      </c>
      <c r="F87" s="426">
        <v>37</v>
      </c>
      <c r="G87" s="426">
        <v>21583.339999999997</v>
      </c>
      <c r="H87" s="423">
        <v>1</v>
      </c>
      <c r="I87" s="423">
        <v>583.33351351351337</v>
      </c>
      <c r="J87" s="426">
        <v>26</v>
      </c>
      <c r="K87" s="426">
        <v>15166.66</v>
      </c>
      <c r="L87" s="423">
        <v>0.70270217677152846</v>
      </c>
      <c r="M87" s="423">
        <v>583.33307692307687</v>
      </c>
      <c r="N87" s="426">
        <v>44</v>
      </c>
      <c r="O87" s="426">
        <v>25666.660000000003</v>
      </c>
      <c r="P87" s="448">
        <v>1.1891885129919655</v>
      </c>
      <c r="Q87" s="427">
        <v>583.33318181818186</v>
      </c>
    </row>
    <row r="88" spans="1:17" ht="14.4" customHeight="1" x14ac:dyDescent="0.3">
      <c r="A88" s="422" t="s">
        <v>1950</v>
      </c>
      <c r="B88" s="423" t="s">
        <v>449</v>
      </c>
      <c r="C88" s="423" t="s">
        <v>2022</v>
      </c>
      <c r="D88" s="423" t="s">
        <v>2046</v>
      </c>
      <c r="E88" s="423" t="s">
        <v>2047</v>
      </c>
      <c r="F88" s="426">
        <v>73</v>
      </c>
      <c r="G88" s="426">
        <v>34066.67</v>
      </c>
      <c r="H88" s="423">
        <v>1</v>
      </c>
      <c r="I88" s="423">
        <v>466.66671232876712</v>
      </c>
      <c r="J88" s="426">
        <v>69</v>
      </c>
      <c r="K88" s="426">
        <v>32200</v>
      </c>
      <c r="L88" s="423">
        <v>0.94520538696620482</v>
      </c>
      <c r="M88" s="423">
        <v>466.66666666666669</v>
      </c>
      <c r="N88" s="426">
        <v>102</v>
      </c>
      <c r="O88" s="426">
        <v>47600</v>
      </c>
      <c r="P88" s="448">
        <v>1.3972601372543898</v>
      </c>
      <c r="Q88" s="427">
        <v>466.66666666666669</v>
      </c>
    </row>
    <row r="89" spans="1:17" ht="14.4" customHeight="1" x14ac:dyDescent="0.3">
      <c r="A89" s="422" t="s">
        <v>1950</v>
      </c>
      <c r="B89" s="423" t="s">
        <v>449</v>
      </c>
      <c r="C89" s="423" t="s">
        <v>2022</v>
      </c>
      <c r="D89" s="423" t="s">
        <v>2048</v>
      </c>
      <c r="E89" s="423" t="s">
        <v>2049</v>
      </c>
      <c r="F89" s="426">
        <v>117</v>
      </c>
      <c r="G89" s="426">
        <v>5850</v>
      </c>
      <c r="H89" s="423">
        <v>1</v>
      </c>
      <c r="I89" s="423">
        <v>50</v>
      </c>
      <c r="J89" s="426">
        <v>109</v>
      </c>
      <c r="K89" s="426">
        <v>5350</v>
      </c>
      <c r="L89" s="423">
        <v>0.9145299145299145</v>
      </c>
      <c r="M89" s="423">
        <v>49.082568807339449</v>
      </c>
      <c r="N89" s="426">
        <v>108</v>
      </c>
      <c r="O89" s="426">
        <v>5400</v>
      </c>
      <c r="P89" s="448">
        <v>0.92307692307692313</v>
      </c>
      <c r="Q89" s="427">
        <v>50</v>
      </c>
    </row>
    <row r="90" spans="1:17" ht="14.4" customHeight="1" x14ac:dyDescent="0.3">
      <c r="A90" s="422" t="s">
        <v>1950</v>
      </c>
      <c r="B90" s="423" t="s">
        <v>449</v>
      </c>
      <c r="C90" s="423" t="s">
        <v>2022</v>
      </c>
      <c r="D90" s="423" t="s">
        <v>2050</v>
      </c>
      <c r="E90" s="423" t="s">
        <v>2051</v>
      </c>
      <c r="F90" s="426">
        <v>316</v>
      </c>
      <c r="G90" s="426">
        <v>31951.120000000003</v>
      </c>
      <c r="H90" s="423">
        <v>1</v>
      </c>
      <c r="I90" s="423">
        <v>101.11113924050633</v>
      </c>
      <c r="J90" s="426">
        <v>224</v>
      </c>
      <c r="K90" s="426">
        <v>22648.879999999997</v>
      </c>
      <c r="L90" s="423">
        <v>0.70886028408393809</v>
      </c>
      <c r="M90" s="423">
        <v>101.11107142857142</v>
      </c>
      <c r="N90" s="426">
        <v>294</v>
      </c>
      <c r="O90" s="426">
        <v>29726.670000000002</v>
      </c>
      <c r="P90" s="448">
        <v>0.93037959232727996</v>
      </c>
      <c r="Q90" s="427">
        <v>101.1111224489796</v>
      </c>
    </row>
    <row r="91" spans="1:17" ht="14.4" customHeight="1" x14ac:dyDescent="0.3">
      <c r="A91" s="422" t="s">
        <v>1950</v>
      </c>
      <c r="B91" s="423" t="s">
        <v>449</v>
      </c>
      <c r="C91" s="423" t="s">
        <v>2022</v>
      </c>
      <c r="D91" s="423" t="s">
        <v>2052</v>
      </c>
      <c r="E91" s="423" t="s">
        <v>2053</v>
      </c>
      <c r="F91" s="426">
        <v>84</v>
      </c>
      <c r="G91" s="426">
        <v>6440</v>
      </c>
      <c r="H91" s="423">
        <v>1</v>
      </c>
      <c r="I91" s="423">
        <v>76.666666666666671</v>
      </c>
      <c r="J91" s="426">
        <v>60</v>
      </c>
      <c r="K91" s="426">
        <v>4600</v>
      </c>
      <c r="L91" s="423">
        <v>0.7142857142857143</v>
      </c>
      <c r="M91" s="423">
        <v>76.666666666666671</v>
      </c>
      <c r="N91" s="426">
        <v>81</v>
      </c>
      <c r="O91" s="426">
        <v>6210</v>
      </c>
      <c r="P91" s="448">
        <v>0.9642857142857143</v>
      </c>
      <c r="Q91" s="427">
        <v>76.666666666666671</v>
      </c>
    </row>
    <row r="92" spans="1:17" ht="14.4" customHeight="1" x14ac:dyDescent="0.3">
      <c r="A92" s="422" t="s">
        <v>1950</v>
      </c>
      <c r="B92" s="423" t="s">
        <v>449</v>
      </c>
      <c r="C92" s="423" t="s">
        <v>2022</v>
      </c>
      <c r="D92" s="423" t="s">
        <v>2054</v>
      </c>
      <c r="E92" s="423" t="s">
        <v>2055</v>
      </c>
      <c r="F92" s="426">
        <v>1</v>
      </c>
      <c r="G92" s="426">
        <v>0</v>
      </c>
      <c r="H92" s="423"/>
      <c r="I92" s="423">
        <v>0</v>
      </c>
      <c r="J92" s="426"/>
      <c r="K92" s="426"/>
      <c r="L92" s="423"/>
      <c r="M92" s="423"/>
      <c r="N92" s="426"/>
      <c r="O92" s="426"/>
      <c r="P92" s="448"/>
      <c r="Q92" s="427"/>
    </row>
    <row r="93" spans="1:17" ht="14.4" customHeight="1" x14ac:dyDescent="0.3">
      <c r="A93" s="422" t="s">
        <v>1950</v>
      </c>
      <c r="B93" s="423" t="s">
        <v>449</v>
      </c>
      <c r="C93" s="423" t="s">
        <v>2022</v>
      </c>
      <c r="D93" s="423" t="s">
        <v>2056</v>
      </c>
      <c r="E93" s="423" t="s">
        <v>2057</v>
      </c>
      <c r="F93" s="426">
        <v>943</v>
      </c>
      <c r="G93" s="426">
        <v>0</v>
      </c>
      <c r="H93" s="423"/>
      <c r="I93" s="423">
        <v>0</v>
      </c>
      <c r="J93" s="426">
        <v>916</v>
      </c>
      <c r="K93" s="426">
        <v>0</v>
      </c>
      <c r="L93" s="423"/>
      <c r="M93" s="423">
        <v>0</v>
      </c>
      <c r="N93" s="426">
        <v>922</v>
      </c>
      <c r="O93" s="426">
        <v>0</v>
      </c>
      <c r="P93" s="448"/>
      <c r="Q93" s="427">
        <v>0</v>
      </c>
    </row>
    <row r="94" spans="1:17" ht="14.4" customHeight="1" x14ac:dyDescent="0.3">
      <c r="A94" s="422" t="s">
        <v>1950</v>
      </c>
      <c r="B94" s="423" t="s">
        <v>449</v>
      </c>
      <c r="C94" s="423" t="s">
        <v>2022</v>
      </c>
      <c r="D94" s="423" t="s">
        <v>2058</v>
      </c>
      <c r="E94" s="423" t="s">
        <v>2059</v>
      </c>
      <c r="F94" s="426">
        <v>389</v>
      </c>
      <c r="G94" s="426">
        <v>118861.12</v>
      </c>
      <c r="H94" s="423">
        <v>1</v>
      </c>
      <c r="I94" s="423">
        <v>305.55557840616967</v>
      </c>
      <c r="J94" s="426">
        <v>360</v>
      </c>
      <c r="K94" s="426">
        <v>110000.01</v>
      </c>
      <c r="L94" s="423">
        <v>0.92544988638841696</v>
      </c>
      <c r="M94" s="423">
        <v>305.55558333333335</v>
      </c>
      <c r="N94" s="426">
        <v>336</v>
      </c>
      <c r="O94" s="426">
        <v>102666.66</v>
      </c>
      <c r="P94" s="448">
        <v>0.86375309268497558</v>
      </c>
      <c r="Q94" s="427">
        <v>305.55553571428572</v>
      </c>
    </row>
    <row r="95" spans="1:17" ht="14.4" customHeight="1" x14ac:dyDescent="0.3">
      <c r="A95" s="422" t="s">
        <v>1950</v>
      </c>
      <c r="B95" s="423" t="s">
        <v>449</v>
      </c>
      <c r="C95" s="423" t="s">
        <v>2022</v>
      </c>
      <c r="D95" s="423" t="s">
        <v>2060</v>
      </c>
      <c r="E95" s="423" t="s">
        <v>2061</v>
      </c>
      <c r="F95" s="426">
        <v>449</v>
      </c>
      <c r="G95" s="426">
        <v>0</v>
      </c>
      <c r="H95" s="423"/>
      <c r="I95" s="423">
        <v>0</v>
      </c>
      <c r="J95" s="426">
        <v>305</v>
      </c>
      <c r="K95" s="426">
        <v>0</v>
      </c>
      <c r="L95" s="423"/>
      <c r="M95" s="423">
        <v>0</v>
      </c>
      <c r="N95" s="426">
        <v>283</v>
      </c>
      <c r="O95" s="426">
        <v>6766.67</v>
      </c>
      <c r="P95" s="448"/>
      <c r="Q95" s="427">
        <v>23.910494699646645</v>
      </c>
    </row>
    <row r="96" spans="1:17" ht="14.4" customHeight="1" x14ac:dyDescent="0.3">
      <c r="A96" s="422" t="s">
        <v>1950</v>
      </c>
      <c r="B96" s="423" t="s">
        <v>449</v>
      </c>
      <c r="C96" s="423" t="s">
        <v>2022</v>
      </c>
      <c r="D96" s="423" t="s">
        <v>2062</v>
      </c>
      <c r="E96" s="423" t="s">
        <v>2063</v>
      </c>
      <c r="F96" s="426">
        <v>471</v>
      </c>
      <c r="G96" s="426">
        <v>214566.66</v>
      </c>
      <c r="H96" s="423">
        <v>1</v>
      </c>
      <c r="I96" s="423">
        <v>455.5555414012739</v>
      </c>
      <c r="J96" s="426">
        <v>296</v>
      </c>
      <c r="K96" s="426">
        <v>130288.89</v>
      </c>
      <c r="L96" s="423">
        <v>0.60721870769671293</v>
      </c>
      <c r="M96" s="423">
        <v>440.16516891891894</v>
      </c>
      <c r="N96" s="426">
        <v>328</v>
      </c>
      <c r="O96" s="426">
        <v>149422.22000000003</v>
      </c>
      <c r="P96" s="448">
        <v>0.69639066945442518</v>
      </c>
      <c r="Q96" s="427">
        <v>455.55554878048792</v>
      </c>
    </row>
    <row r="97" spans="1:17" ht="14.4" customHeight="1" x14ac:dyDescent="0.3">
      <c r="A97" s="422" t="s">
        <v>1950</v>
      </c>
      <c r="B97" s="423" t="s">
        <v>449</v>
      </c>
      <c r="C97" s="423" t="s">
        <v>2022</v>
      </c>
      <c r="D97" s="423" t="s">
        <v>2064</v>
      </c>
      <c r="E97" s="423" t="s">
        <v>2065</v>
      </c>
      <c r="F97" s="426">
        <v>375</v>
      </c>
      <c r="G97" s="426">
        <v>29166.670000000002</v>
      </c>
      <c r="H97" s="423">
        <v>1</v>
      </c>
      <c r="I97" s="423">
        <v>77.777786666666671</v>
      </c>
      <c r="J97" s="426">
        <v>383</v>
      </c>
      <c r="K97" s="426">
        <v>29788.890000000003</v>
      </c>
      <c r="L97" s="423">
        <v>1.0213332547047709</v>
      </c>
      <c r="M97" s="423">
        <v>77.777780678851187</v>
      </c>
      <c r="N97" s="426">
        <v>356</v>
      </c>
      <c r="O97" s="426">
        <v>27688.89</v>
      </c>
      <c r="P97" s="448">
        <v>0.9493332629333413</v>
      </c>
      <c r="Q97" s="427">
        <v>77.777780898876401</v>
      </c>
    </row>
    <row r="98" spans="1:17" ht="14.4" customHeight="1" x14ac:dyDescent="0.3">
      <c r="A98" s="422" t="s">
        <v>1950</v>
      </c>
      <c r="B98" s="423" t="s">
        <v>449</v>
      </c>
      <c r="C98" s="423" t="s">
        <v>2022</v>
      </c>
      <c r="D98" s="423" t="s">
        <v>2066</v>
      </c>
      <c r="E98" s="423" t="s">
        <v>2067</v>
      </c>
      <c r="F98" s="426">
        <v>0</v>
      </c>
      <c r="G98" s="426">
        <v>0</v>
      </c>
      <c r="H98" s="423"/>
      <c r="I98" s="423"/>
      <c r="J98" s="426"/>
      <c r="K98" s="426"/>
      <c r="L98" s="423"/>
      <c r="M98" s="423"/>
      <c r="N98" s="426">
        <v>0</v>
      </c>
      <c r="O98" s="426">
        <v>0</v>
      </c>
      <c r="P98" s="448"/>
      <c r="Q98" s="427"/>
    </row>
    <row r="99" spans="1:17" ht="14.4" customHeight="1" x14ac:dyDescent="0.3">
      <c r="A99" s="422" t="s">
        <v>1950</v>
      </c>
      <c r="B99" s="423" t="s">
        <v>449</v>
      </c>
      <c r="C99" s="423" t="s">
        <v>2022</v>
      </c>
      <c r="D99" s="423" t="s">
        <v>2068</v>
      </c>
      <c r="E99" s="423" t="s">
        <v>2069</v>
      </c>
      <c r="F99" s="426">
        <v>1</v>
      </c>
      <c r="G99" s="426">
        <v>270</v>
      </c>
      <c r="H99" s="423">
        <v>1</v>
      </c>
      <c r="I99" s="423">
        <v>270</v>
      </c>
      <c r="J99" s="426">
        <v>10</v>
      </c>
      <c r="K99" s="426">
        <v>2700</v>
      </c>
      <c r="L99" s="423">
        <v>10</v>
      </c>
      <c r="M99" s="423">
        <v>270</v>
      </c>
      <c r="N99" s="426">
        <v>3</v>
      </c>
      <c r="O99" s="426">
        <v>810</v>
      </c>
      <c r="P99" s="448">
        <v>3</v>
      </c>
      <c r="Q99" s="427">
        <v>270</v>
      </c>
    </row>
    <row r="100" spans="1:17" ht="14.4" customHeight="1" x14ac:dyDescent="0.3">
      <c r="A100" s="422" t="s">
        <v>1950</v>
      </c>
      <c r="B100" s="423" t="s">
        <v>449</v>
      </c>
      <c r="C100" s="423" t="s">
        <v>2022</v>
      </c>
      <c r="D100" s="423" t="s">
        <v>2070</v>
      </c>
      <c r="E100" s="423" t="s">
        <v>2071</v>
      </c>
      <c r="F100" s="426">
        <v>653</v>
      </c>
      <c r="G100" s="426">
        <v>58044.439999999995</v>
      </c>
      <c r="H100" s="423">
        <v>1</v>
      </c>
      <c r="I100" s="423">
        <v>88.888882082695247</v>
      </c>
      <c r="J100" s="426">
        <v>589</v>
      </c>
      <c r="K100" s="426">
        <v>52000</v>
      </c>
      <c r="L100" s="423">
        <v>0.89586530596212155</v>
      </c>
      <c r="M100" s="423">
        <v>88.285229202037357</v>
      </c>
      <c r="N100" s="426">
        <v>546</v>
      </c>
      <c r="O100" s="426">
        <v>48533.34</v>
      </c>
      <c r="P100" s="448">
        <v>0.8361410670858398</v>
      </c>
      <c r="Q100" s="427">
        <v>88.888901098901087</v>
      </c>
    </row>
    <row r="101" spans="1:17" ht="14.4" customHeight="1" x14ac:dyDescent="0.3">
      <c r="A101" s="422" t="s">
        <v>1950</v>
      </c>
      <c r="B101" s="423" t="s">
        <v>449</v>
      </c>
      <c r="C101" s="423" t="s">
        <v>2022</v>
      </c>
      <c r="D101" s="423" t="s">
        <v>2072</v>
      </c>
      <c r="E101" s="423" t="s">
        <v>2073</v>
      </c>
      <c r="F101" s="426">
        <v>305</v>
      </c>
      <c r="G101" s="426">
        <v>13216.67</v>
      </c>
      <c r="H101" s="423">
        <v>1</v>
      </c>
      <c r="I101" s="423">
        <v>43.333344262295086</v>
      </c>
      <c r="J101" s="426">
        <v>335</v>
      </c>
      <c r="K101" s="426">
        <v>14516.67</v>
      </c>
      <c r="L101" s="423">
        <v>1.0983606309304841</v>
      </c>
      <c r="M101" s="423">
        <v>43.333343283582089</v>
      </c>
      <c r="N101" s="426">
        <v>256</v>
      </c>
      <c r="O101" s="426">
        <v>11093.34</v>
      </c>
      <c r="P101" s="448">
        <v>0.83934455502028882</v>
      </c>
      <c r="Q101" s="427">
        <v>43.333359375000001</v>
      </c>
    </row>
    <row r="102" spans="1:17" ht="14.4" customHeight="1" x14ac:dyDescent="0.3">
      <c r="A102" s="422" t="s">
        <v>1950</v>
      </c>
      <c r="B102" s="423" t="s">
        <v>449</v>
      </c>
      <c r="C102" s="423" t="s">
        <v>2022</v>
      </c>
      <c r="D102" s="423" t="s">
        <v>2074</v>
      </c>
      <c r="E102" s="423" t="s">
        <v>2075</v>
      </c>
      <c r="F102" s="426">
        <v>11</v>
      </c>
      <c r="G102" s="426">
        <v>1063.33</v>
      </c>
      <c r="H102" s="423">
        <v>1</v>
      </c>
      <c r="I102" s="423">
        <v>96.666363636363627</v>
      </c>
      <c r="J102" s="426">
        <v>12</v>
      </c>
      <c r="K102" s="426">
        <v>1160</v>
      </c>
      <c r="L102" s="423">
        <v>1.0909125106975257</v>
      </c>
      <c r="M102" s="423">
        <v>96.666666666666671</v>
      </c>
      <c r="N102" s="426">
        <v>4</v>
      </c>
      <c r="O102" s="426">
        <v>386.67</v>
      </c>
      <c r="P102" s="448">
        <v>0.36364063837190719</v>
      </c>
      <c r="Q102" s="427">
        <v>96.667500000000004</v>
      </c>
    </row>
    <row r="103" spans="1:17" ht="14.4" customHeight="1" x14ac:dyDescent="0.3">
      <c r="A103" s="422" t="s">
        <v>1950</v>
      </c>
      <c r="B103" s="423" t="s">
        <v>449</v>
      </c>
      <c r="C103" s="423" t="s">
        <v>2022</v>
      </c>
      <c r="D103" s="423" t="s">
        <v>2076</v>
      </c>
      <c r="E103" s="423" t="s">
        <v>2077</v>
      </c>
      <c r="F103" s="426">
        <v>1</v>
      </c>
      <c r="G103" s="426">
        <v>201.11</v>
      </c>
      <c r="H103" s="423">
        <v>1</v>
      </c>
      <c r="I103" s="423">
        <v>201.11</v>
      </c>
      <c r="J103" s="426">
        <v>1</v>
      </c>
      <c r="K103" s="426">
        <v>201.11</v>
      </c>
      <c r="L103" s="423">
        <v>1</v>
      </c>
      <c r="M103" s="423">
        <v>201.11</v>
      </c>
      <c r="N103" s="426"/>
      <c r="O103" s="426"/>
      <c r="P103" s="448"/>
      <c r="Q103" s="427"/>
    </row>
    <row r="104" spans="1:17" ht="14.4" customHeight="1" x14ac:dyDescent="0.3">
      <c r="A104" s="422" t="s">
        <v>1950</v>
      </c>
      <c r="B104" s="423" t="s">
        <v>449</v>
      </c>
      <c r="C104" s="423" t="s">
        <v>2022</v>
      </c>
      <c r="D104" s="423" t="s">
        <v>2078</v>
      </c>
      <c r="E104" s="423" t="s">
        <v>2079</v>
      </c>
      <c r="F104" s="426">
        <v>14</v>
      </c>
      <c r="G104" s="426">
        <v>1960</v>
      </c>
      <c r="H104" s="423">
        <v>1</v>
      </c>
      <c r="I104" s="423">
        <v>140</v>
      </c>
      <c r="J104" s="426">
        <v>2</v>
      </c>
      <c r="K104" s="426">
        <v>280</v>
      </c>
      <c r="L104" s="423">
        <v>0.14285714285714285</v>
      </c>
      <c r="M104" s="423">
        <v>140</v>
      </c>
      <c r="N104" s="426">
        <v>5</v>
      </c>
      <c r="O104" s="426">
        <v>700</v>
      </c>
      <c r="P104" s="448">
        <v>0.35714285714285715</v>
      </c>
      <c r="Q104" s="427">
        <v>140</v>
      </c>
    </row>
    <row r="105" spans="1:17" ht="14.4" customHeight="1" x14ac:dyDescent="0.3">
      <c r="A105" s="422" t="s">
        <v>1950</v>
      </c>
      <c r="B105" s="423" t="s">
        <v>449</v>
      </c>
      <c r="C105" s="423" t="s">
        <v>2022</v>
      </c>
      <c r="D105" s="423" t="s">
        <v>2080</v>
      </c>
      <c r="E105" s="423" t="s">
        <v>2081</v>
      </c>
      <c r="F105" s="426">
        <v>4</v>
      </c>
      <c r="G105" s="426">
        <v>466.67</v>
      </c>
      <c r="H105" s="423">
        <v>1</v>
      </c>
      <c r="I105" s="423">
        <v>116.6675</v>
      </c>
      <c r="J105" s="426">
        <v>11</v>
      </c>
      <c r="K105" s="426">
        <v>1283.33</v>
      </c>
      <c r="L105" s="423">
        <v>2.749973214477039</v>
      </c>
      <c r="M105" s="423">
        <v>116.66636363636363</v>
      </c>
      <c r="N105" s="426">
        <v>5</v>
      </c>
      <c r="O105" s="426">
        <v>583.34</v>
      </c>
      <c r="P105" s="448">
        <v>1.2500053571045922</v>
      </c>
      <c r="Q105" s="427">
        <v>116.66800000000001</v>
      </c>
    </row>
    <row r="106" spans="1:17" ht="14.4" customHeight="1" x14ac:dyDescent="0.3">
      <c r="A106" s="422" t="s">
        <v>1950</v>
      </c>
      <c r="B106" s="423" t="s">
        <v>449</v>
      </c>
      <c r="C106" s="423" t="s">
        <v>2022</v>
      </c>
      <c r="D106" s="423" t="s">
        <v>2082</v>
      </c>
      <c r="E106" s="423" t="s">
        <v>2083</v>
      </c>
      <c r="F106" s="426">
        <v>35</v>
      </c>
      <c r="G106" s="426">
        <v>1711.12</v>
      </c>
      <c r="H106" s="423">
        <v>1</v>
      </c>
      <c r="I106" s="423">
        <v>48.889142857142851</v>
      </c>
      <c r="J106" s="426">
        <v>8</v>
      </c>
      <c r="K106" s="426">
        <v>391.11</v>
      </c>
      <c r="L106" s="423">
        <v>0.22856959184627615</v>
      </c>
      <c r="M106" s="423">
        <v>48.888750000000002</v>
      </c>
      <c r="N106" s="426">
        <v>36</v>
      </c>
      <c r="O106" s="426">
        <v>1760</v>
      </c>
      <c r="P106" s="448">
        <v>1.0285660853709853</v>
      </c>
      <c r="Q106" s="427">
        <v>48.888888888888886</v>
      </c>
    </row>
    <row r="107" spans="1:17" ht="14.4" customHeight="1" x14ac:dyDescent="0.3">
      <c r="A107" s="422" t="s">
        <v>1950</v>
      </c>
      <c r="B107" s="423" t="s">
        <v>449</v>
      </c>
      <c r="C107" s="423" t="s">
        <v>2022</v>
      </c>
      <c r="D107" s="423" t="s">
        <v>2084</v>
      </c>
      <c r="E107" s="423" t="s">
        <v>2085</v>
      </c>
      <c r="F107" s="426">
        <v>1</v>
      </c>
      <c r="G107" s="426">
        <v>327.78</v>
      </c>
      <c r="H107" s="423">
        <v>1</v>
      </c>
      <c r="I107" s="423">
        <v>327.78</v>
      </c>
      <c r="J107" s="426">
        <v>3</v>
      </c>
      <c r="K107" s="426">
        <v>983.33999999999992</v>
      </c>
      <c r="L107" s="423">
        <v>3</v>
      </c>
      <c r="M107" s="423">
        <v>327.78</v>
      </c>
      <c r="N107" s="426">
        <v>3</v>
      </c>
      <c r="O107" s="426">
        <v>983.33999999999992</v>
      </c>
      <c r="P107" s="448">
        <v>3</v>
      </c>
      <c r="Q107" s="427">
        <v>327.78</v>
      </c>
    </row>
    <row r="108" spans="1:17" ht="14.4" customHeight="1" x14ac:dyDescent="0.3">
      <c r="A108" s="422" t="s">
        <v>1950</v>
      </c>
      <c r="B108" s="423" t="s">
        <v>449</v>
      </c>
      <c r="C108" s="423" t="s">
        <v>2022</v>
      </c>
      <c r="D108" s="423" t="s">
        <v>2086</v>
      </c>
      <c r="E108" s="423" t="s">
        <v>2087</v>
      </c>
      <c r="F108" s="426">
        <v>88</v>
      </c>
      <c r="G108" s="426">
        <v>25715.55</v>
      </c>
      <c r="H108" s="423">
        <v>1</v>
      </c>
      <c r="I108" s="423">
        <v>292.22215909090909</v>
      </c>
      <c r="J108" s="426">
        <v>73</v>
      </c>
      <c r="K108" s="426">
        <v>21332.23</v>
      </c>
      <c r="L108" s="423">
        <v>0.82954593621369177</v>
      </c>
      <c r="M108" s="423">
        <v>292.22232876712326</v>
      </c>
      <c r="N108" s="426">
        <v>70</v>
      </c>
      <c r="O108" s="426">
        <v>20455.55</v>
      </c>
      <c r="P108" s="448">
        <v>0.79545450126479889</v>
      </c>
      <c r="Q108" s="427">
        <v>292.22214285714284</v>
      </c>
    </row>
    <row r="109" spans="1:17" ht="14.4" customHeight="1" x14ac:dyDescent="0.3">
      <c r="A109" s="422" t="s">
        <v>1950</v>
      </c>
      <c r="B109" s="423" t="s">
        <v>449</v>
      </c>
      <c r="C109" s="423" t="s">
        <v>2022</v>
      </c>
      <c r="D109" s="423" t="s">
        <v>2088</v>
      </c>
      <c r="E109" s="423" t="s">
        <v>2089</v>
      </c>
      <c r="F109" s="426">
        <v>5</v>
      </c>
      <c r="G109" s="426">
        <v>1794.45</v>
      </c>
      <c r="H109" s="423">
        <v>1</v>
      </c>
      <c r="I109" s="423">
        <v>358.89</v>
      </c>
      <c r="J109" s="426">
        <v>3</v>
      </c>
      <c r="K109" s="426">
        <v>1076.67</v>
      </c>
      <c r="L109" s="423">
        <v>0.6</v>
      </c>
      <c r="M109" s="423">
        <v>358.89000000000004</v>
      </c>
      <c r="N109" s="426">
        <v>10</v>
      </c>
      <c r="O109" s="426">
        <v>3588.8999999999996</v>
      </c>
      <c r="P109" s="448">
        <v>1.9999999999999998</v>
      </c>
      <c r="Q109" s="427">
        <v>358.89</v>
      </c>
    </row>
    <row r="110" spans="1:17" ht="14.4" customHeight="1" x14ac:dyDescent="0.3">
      <c r="A110" s="422" t="s">
        <v>1950</v>
      </c>
      <c r="B110" s="423" t="s">
        <v>1942</v>
      </c>
      <c r="C110" s="423" t="s">
        <v>1951</v>
      </c>
      <c r="D110" s="423" t="s">
        <v>1966</v>
      </c>
      <c r="E110" s="423"/>
      <c r="F110" s="426">
        <v>1</v>
      </c>
      <c r="G110" s="426">
        <v>1172</v>
      </c>
      <c r="H110" s="423">
        <v>1</v>
      </c>
      <c r="I110" s="423">
        <v>1172</v>
      </c>
      <c r="J110" s="426">
        <v>2</v>
      </c>
      <c r="K110" s="426">
        <v>2344</v>
      </c>
      <c r="L110" s="423">
        <v>2</v>
      </c>
      <c r="M110" s="423">
        <v>1172</v>
      </c>
      <c r="N110" s="426"/>
      <c r="O110" s="426"/>
      <c r="P110" s="448"/>
      <c r="Q110" s="427"/>
    </row>
    <row r="111" spans="1:17" ht="14.4" customHeight="1" x14ac:dyDescent="0.3">
      <c r="A111" s="422" t="s">
        <v>1950</v>
      </c>
      <c r="B111" s="423" t="s">
        <v>1942</v>
      </c>
      <c r="C111" s="423" t="s">
        <v>1951</v>
      </c>
      <c r="D111" s="423" t="s">
        <v>1967</v>
      </c>
      <c r="E111" s="423"/>
      <c r="F111" s="426"/>
      <c r="G111" s="426"/>
      <c r="H111" s="423"/>
      <c r="I111" s="423"/>
      <c r="J111" s="426">
        <v>4</v>
      </c>
      <c r="K111" s="426">
        <v>3200</v>
      </c>
      <c r="L111" s="423"/>
      <c r="M111" s="423">
        <v>800</v>
      </c>
      <c r="N111" s="426"/>
      <c r="O111" s="426"/>
      <c r="P111" s="448"/>
      <c r="Q111" s="427"/>
    </row>
    <row r="112" spans="1:17" ht="14.4" customHeight="1" x14ac:dyDescent="0.3">
      <c r="A112" s="422" t="s">
        <v>1950</v>
      </c>
      <c r="B112" s="423" t="s">
        <v>1942</v>
      </c>
      <c r="C112" s="423" t="s">
        <v>1951</v>
      </c>
      <c r="D112" s="423" t="s">
        <v>1973</v>
      </c>
      <c r="E112" s="423"/>
      <c r="F112" s="426">
        <v>3</v>
      </c>
      <c r="G112" s="426">
        <v>1557</v>
      </c>
      <c r="H112" s="423">
        <v>1</v>
      </c>
      <c r="I112" s="423">
        <v>519</v>
      </c>
      <c r="J112" s="426"/>
      <c r="K112" s="426"/>
      <c r="L112" s="423"/>
      <c r="M112" s="423"/>
      <c r="N112" s="426"/>
      <c r="O112" s="426"/>
      <c r="P112" s="448"/>
      <c r="Q112" s="427"/>
    </row>
    <row r="113" spans="1:17" ht="14.4" customHeight="1" x14ac:dyDescent="0.3">
      <c r="A113" s="422" t="s">
        <v>1950</v>
      </c>
      <c r="B113" s="423" t="s">
        <v>1942</v>
      </c>
      <c r="C113" s="423" t="s">
        <v>1951</v>
      </c>
      <c r="D113" s="423" t="s">
        <v>1976</v>
      </c>
      <c r="E113" s="423"/>
      <c r="F113" s="426">
        <v>1</v>
      </c>
      <c r="G113" s="426">
        <v>321</v>
      </c>
      <c r="H113" s="423">
        <v>1</v>
      </c>
      <c r="I113" s="423">
        <v>321</v>
      </c>
      <c r="J113" s="426"/>
      <c r="K113" s="426"/>
      <c r="L113" s="423"/>
      <c r="M113" s="423"/>
      <c r="N113" s="426"/>
      <c r="O113" s="426"/>
      <c r="P113" s="448"/>
      <c r="Q113" s="427"/>
    </row>
    <row r="114" spans="1:17" ht="14.4" customHeight="1" x14ac:dyDescent="0.3">
      <c r="A114" s="422" t="s">
        <v>1950</v>
      </c>
      <c r="B114" s="423" t="s">
        <v>1942</v>
      </c>
      <c r="C114" s="423" t="s">
        <v>1951</v>
      </c>
      <c r="D114" s="423" t="s">
        <v>1978</v>
      </c>
      <c r="E114" s="423"/>
      <c r="F114" s="426">
        <v>2</v>
      </c>
      <c r="G114" s="426">
        <v>564</v>
      </c>
      <c r="H114" s="423">
        <v>1</v>
      </c>
      <c r="I114" s="423">
        <v>282</v>
      </c>
      <c r="J114" s="426">
        <v>2</v>
      </c>
      <c r="K114" s="426">
        <v>564</v>
      </c>
      <c r="L114" s="423">
        <v>1</v>
      </c>
      <c r="M114" s="423">
        <v>282</v>
      </c>
      <c r="N114" s="426"/>
      <c r="O114" s="426"/>
      <c r="P114" s="448"/>
      <c r="Q114" s="427"/>
    </row>
    <row r="115" spans="1:17" ht="14.4" customHeight="1" x14ac:dyDescent="0.3">
      <c r="A115" s="422" t="s">
        <v>1950</v>
      </c>
      <c r="B115" s="423" t="s">
        <v>1942</v>
      </c>
      <c r="C115" s="423" t="s">
        <v>1951</v>
      </c>
      <c r="D115" s="423" t="s">
        <v>1979</v>
      </c>
      <c r="E115" s="423"/>
      <c r="F115" s="426"/>
      <c r="G115" s="426"/>
      <c r="H115" s="423"/>
      <c r="I115" s="423"/>
      <c r="J115" s="426"/>
      <c r="K115" s="426"/>
      <c r="L115" s="423"/>
      <c r="M115" s="423"/>
      <c r="N115" s="426">
        <v>1</v>
      </c>
      <c r="O115" s="426">
        <v>679</v>
      </c>
      <c r="P115" s="448"/>
      <c r="Q115" s="427">
        <v>679</v>
      </c>
    </row>
    <row r="116" spans="1:17" ht="14.4" customHeight="1" x14ac:dyDescent="0.3">
      <c r="A116" s="422" t="s">
        <v>1950</v>
      </c>
      <c r="B116" s="423" t="s">
        <v>1942</v>
      </c>
      <c r="C116" s="423" t="s">
        <v>1951</v>
      </c>
      <c r="D116" s="423" t="s">
        <v>1983</v>
      </c>
      <c r="E116" s="423"/>
      <c r="F116" s="426"/>
      <c r="G116" s="426"/>
      <c r="H116" s="423"/>
      <c r="I116" s="423"/>
      <c r="J116" s="426">
        <v>1</v>
      </c>
      <c r="K116" s="426">
        <v>1740</v>
      </c>
      <c r="L116" s="423"/>
      <c r="M116" s="423">
        <v>1740</v>
      </c>
      <c r="N116" s="426"/>
      <c r="O116" s="426"/>
      <c r="P116" s="448"/>
      <c r="Q116" s="427"/>
    </row>
    <row r="117" spans="1:17" ht="14.4" customHeight="1" x14ac:dyDescent="0.3">
      <c r="A117" s="422" t="s">
        <v>1950</v>
      </c>
      <c r="B117" s="423" t="s">
        <v>1942</v>
      </c>
      <c r="C117" s="423" t="s">
        <v>1951</v>
      </c>
      <c r="D117" s="423" t="s">
        <v>1984</v>
      </c>
      <c r="E117" s="423"/>
      <c r="F117" s="426"/>
      <c r="G117" s="426"/>
      <c r="H117" s="423"/>
      <c r="I117" s="423"/>
      <c r="J117" s="426">
        <v>1</v>
      </c>
      <c r="K117" s="426">
        <v>2024</v>
      </c>
      <c r="L117" s="423"/>
      <c r="M117" s="423">
        <v>2024</v>
      </c>
      <c r="N117" s="426"/>
      <c r="O117" s="426"/>
      <c r="P117" s="448"/>
      <c r="Q117" s="427"/>
    </row>
    <row r="118" spans="1:17" ht="14.4" customHeight="1" x14ac:dyDescent="0.3">
      <c r="A118" s="422" t="s">
        <v>1950</v>
      </c>
      <c r="B118" s="423" t="s">
        <v>1942</v>
      </c>
      <c r="C118" s="423" t="s">
        <v>2022</v>
      </c>
      <c r="D118" s="423" t="s">
        <v>2023</v>
      </c>
      <c r="E118" s="423" t="s">
        <v>2024</v>
      </c>
      <c r="F118" s="426">
        <v>24</v>
      </c>
      <c r="G118" s="426">
        <v>10613.32</v>
      </c>
      <c r="H118" s="423">
        <v>1</v>
      </c>
      <c r="I118" s="423">
        <v>442.22166666666664</v>
      </c>
      <c r="J118" s="426">
        <v>10</v>
      </c>
      <c r="K118" s="426">
        <v>4422.22</v>
      </c>
      <c r="L118" s="423">
        <v>0.41666698073741304</v>
      </c>
      <c r="M118" s="423">
        <v>442.22200000000004</v>
      </c>
      <c r="N118" s="426">
        <v>35</v>
      </c>
      <c r="O118" s="426">
        <v>15477.78</v>
      </c>
      <c r="P118" s="448">
        <v>1.4583353747931844</v>
      </c>
      <c r="Q118" s="427">
        <v>442.22228571428576</v>
      </c>
    </row>
    <row r="119" spans="1:17" ht="14.4" customHeight="1" x14ac:dyDescent="0.3">
      <c r="A119" s="422" t="s">
        <v>1950</v>
      </c>
      <c r="B119" s="423" t="s">
        <v>1942</v>
      </c>
      <c r="C119" s="423" t="s">
        <v>2022</v>
      </c>
      <c r="D119" s="423" t="s">
        <v>2025</v>
      </c>
      <c r="E119" s="423" t="s">
        <v>2026</v>
      </c>
      <c r="F119" s="426">
        <v>895</v>
      </c>
      <c r="G119" s="426">
        <v>365955.54999999993</v>
      </c>
      <c r="H119" s="423">
        <v>1</v>
      </c>
      <c r="I119" s="423">
        <v>408.88888268156416</v>
      </c>
      <c r="J119" s="426">
        <v>776</v>
      </c>
      <c r="K119" s="426">
        <v>317297.77999999997</v>
      </c>
      <c r="L119" s="423">
        <v>0.86703912538011796</v>
      </c>
      <c r="M119" s="423">
        <v>408.88889175257731</v>
      </c>
      <c r="N119" s="426">
        <v>691</v>
      </c>
      <c r="O119" s="426">
        <v>314788.89</v>
      </c>
      <c r="P119" s="448">
        <v>0.86018340205524979</v>
      </c>
      <c r="Q119" s="427">
        <v>455.55555716353115</v>
      </c>
    </row>
    <row r="120" spans="1:17" ht="14.4" customHeight="1" x14ac:dyDescent="0.3">
      <c r="A120" s="422" t="s">
        <v>1950</v>
      </c>
      <c r="B120" s="423" t="s">
        <v>1942</v>
      </c>
      <c r="C120" s="423" t="s">
        <v>2022</v>
      </c>
      <c r="D120" s="423" t="s">
        <v>2090</v>
      </c>
      <c r="E120" s="423" t="s">
        <v>2091</v>
      </c>
      <c r="F120" s="426">
        <v>104</v>
      </c>
      <c r="G120" s="426">
        <v>10977.78</v>
      </c>
      <c r="H120" s="423">
        <v>1</v>
      </c>
      <c r="I120" s="423">
        <v>105.55557692307693</v>
      </c>
      <c r="J120" s="426">
        <v>87</v>
      </c>
      <c r="K120" s="426">
        <v>9183.34</v>
      </c>
      <c r="L120" s="423">
        <v>0.83653889948605265</v>
      </c>
      <c r="M120" s="423">
        <v>105.55563218390805</v>
      </c>
      <c r="N120" s="426">
        <v>211</v>
      </c>
      <c r="O120" s="426">
        <v>22272.219999999998</v>
      </c>
      <c r="P120" s="448">
        <v>2.0288455407195256</v>
      </c>
      <c r="Q120" s="427">
        <v>105.55554502369667</v>
      </c>
    </row>
    <row r="121" spans="1:17" ht="14.4" customHeight="1" x14ac:dyDescent="0.3">
      <c r="A121" s="422" t="s">
        <v>1950</v>
      </c>
      <c r="B121" s="423" t="s">
        <v>1942</v>
      </c>
      <c r="C121" s="423" t="s">
        <v>2022</v>
      </c>
      <c r="D121" s="423" t="s">
        <v>2027</v>
      </c>
      <c r="E121" s="423" t="s">
        <v>2028</v>
      </c>
      <c r="F121" s="426">
        <v>3832</v>
      </c>
      <c r="G121" s="426">
        <v>298044.45</v>
      </c>
      <c r="H121" s="423">
        <v>1</v>
      </c>
      <c r="I121" s="423">
        <v>77.777779227557417</v>
      </c>
      <c r="J121" s="426">
        <v>3935</v>
      </c>
      <c r="K121" s="426">
        <v>305122.21999999997</v>
      </c>
      <c r="L121" s="423">
        <v>1.0237473638579748</v>
      </c>
      <c r="M121" s="423">
        <v>77.540589580686145</v>
      </c>
      <c r="N121" s="426">
        <v>4119</v>
      </c>
      <c r="O121" s="426">
        <v>320366.67000000004</v>
      </c>
      <c r="P121" s="448">
        <v>1.074895607014323</v>
      </c>
      <c r="Q121" s="427">
        <v>77.777778587035698</v>
      </c>
    </row>
    <row r="122" spans="1:17" ht="14.4" customHeight="1" x14ac:dyDescent="0.3">
      <c r="A122" s="422" t="s">
        <v>1950</v>
      </c>
      <c r="B122" s="423" t="s">
        <v>1942</v>
      </c>
      <c r="C122" s="423" t="s">
        <v>2022</v>
      </c>
      <c r="D122" s="423" t="s">
        <v>2029</v>
      </c>
      <c r="E122" s="423" t="s">
        <v>2030</v>
      </c>
      <c r="F122" s="426">
        <v>6</v>
      </c>
      <c r="G122" s="426">
        <v>1500</v>
      </c>
      <c r="H122" s="423">
        <v>1</v>
      </c>
      <c r="I122" s="423">
        <v>250</v>
      </c>
      <c r="J122" s="426">
        <v>6</v>
      </c>
      <c r="K122" s="426">
        <v>1500</v>
      </c>
      <c r="L122" s="423">
        <v>1</v>
      </c>
      <c r="M122" s="423">
        <v>250</v>
      </c>
      <c r="N122" s="426">
        <v>7</v>
      </c>
      <c r="O122" s="426">
        <v>1750</v>
      </c>
      <c r="P122" s="448">
        <v>1.1666666666666667</v>
      </c>
      <c r="Q122" s="427">
        <v>250</v>
      </c>
    </row>
    <row r="123" spans="1:17" ht="14.4" customHeight="1" x14ac:dyDescent="0.3">
      <c r="A123" s="422" t="s">
        <v>1950</v>
      </c>
      <c r="B123" s="423" t="s">
        <v>1942</v>
      </c>
      <c r="C123" s="423" t="s">
        <v>2022</v>
      </c>
      <c r="D123" s="423" t="s">
        <v>2031</v>
      </c>
      <c r="E123" s="423" t="s">
        <v>2032</v>
      </c>
      <c r="F123" s="426">
        <v>1134</v>
      </c>
      <c r="G123" s="426">
        <v>126000</v>
      </c>
      <c r="H123" s="423">
        <v>1</v>
      </c>
      <c r="I123" s="423">
        <v>111.11111111111111</v>
      </c>
      <c r="J123" s="426">
        <v>1134</v>
      </c>
      <c r="K123" s="426">
        <v>125333.33</v>
      </c>
      <c r="L123" s="423">
        <v>0.99470896825396826</v>
      </c>
      <c r="M123" s="423">
        <v>110.52321869488536</v>
      </c>
      <c r="N123" s="426">
        <v>1378</v>
      </c>
      <c r="O123" s="426">
        <v>153111.12</v>
      </c>
      <c r="P123" s="448">
        <v>1.2151676190476191</v>
      </c>
      <c r="Q123" s="427">
        <v>111.1111175616836</v>
      </c>
    </row>
    <row r="124" spans="1:17" ht="14.4" customHeight="1" x14ac:dyDescent="0.3">
      <c r="A124" s="422" t="s">
        <v>1950</v>
      </c>
      <c r="B124" s="423" t="s">
        <v>1942</v>
      </c>
      <c r="C124" s="423" t="s">
        <v>2022</v>
      </c>
      <c r="D124" s="423" t="s">
        <v>2033</v>
      </c>
      <c r="E124" s="423" t="s">
        <v>2034</v>
      </c>
      <c r="F124" s="426"/>
      <c r="G124" s="426"/>
      <c r="H124" s="423"/>
      <c r="I124" s="423"/>
      <c r="J124" s="426">
        <v>2</v>
      </c>
      <c r="K124" s="426">
        <v>0</v>
      </c>
      <c r="L124" s="423"/>
      <c r="M124" s="423">
        <v>0</v>
      </c>
      <c r="N124" s="426">
        <v>14</v>
      </c>
      <c r="O124" s="426">
        <v>4900</v>
      </c>
      <c r="P124" s="448"/>
      <c r="Q124" s="427">
        <v>350</v>
      </c>
    </row>
    <row r="125" spans="1:17" ht="14.4" customHeight="1" x14ac:dyDescent="0.3">
      <c r="A125" s="422" t="s">
        <v>1950</v>
      </c>
      <c r="B125" s="423" t="s">
        <v>1942</v>
      </c>
      <c r="C125" s="423" t="s">
        <v>2022</v>
      </c>
      <c r="D125" s="423" t="s">
        <v>2035</v>
      </c>
      <c r="E125" s="423" t="s">
        <v>2036</v>
      </c>
      <c r="F125" s="426">
        <v>2075</v>
      </c>
      <c r="G125" s="426">
        <v>507222.23</v>
      </c>
      <c r="H125" s="423">
        <v>1</v>
      </c>
      <c r="I125" s="423">
        <v>244.44444819277106</v>
      </c>
      <c r="J125" s="426">
        <v>2018</v>
      </c>
      <c r="K125" s="426">
        <v>521546.67</v>
      </c>
      <c r="L125" s="423">
        <v>1.0282409546600511</v>
      </c>
      <c r="M125" s="423">
        <v>258.44730921704655</v>
      </c>
      <c r="N125" s="426">
        <v>1714</v>
      </c>
      <c r="O125" s="426">
        <v>460875.56000000006</v>
      </c>
      <c r="P125" s="448">
        <v>0.90862650085348207</v>
      </c>
      <c r="Q125" s="427">
        <v>268.88889148191367</v>
      </c>
    </row>
    <row r="126" spans="1:17" ht="14.4" customHeight="1" x14ac:dyDescent="0.3">
      <c r="A126" s="422" t="s">
        <v>1950</v>
      </c>
      <c r="B126" s="423" t="s">
        <v>1942</v>
      </c>
      <c r="C126" s="423" t="s">
        <v>2022</v>
      </c>
      <c r="D126" s="423" t="s">
        <v>2037</v>
      </c>
      <c r="E126" s="423" t="s">
        <v>2038</v>
      </c>
      <c r="F126" s="426">
        <v>739</v>
      </c>
      <c r="G126" s="426">
        <v>217594.45999999996</v>
      </c>
      <c r="H126" s="423">
        <v>1</v>
      </c>
      <c r="I126" s="423">
        <v>294.44446549391063</v>
      </c>
      <c r="J126" s="426">
        <v>898</v>
      </c>
      <c r="K126" s="426">
        <v>262055.56000000003</v>
      </c>
      <c r="L126" s="423">
        <v>1.2043301102426969</v>
      </c>
      <c r="M126" s="423">
        <v>291.82133630289536</v>
      </c>
      <c r="N126" s="426">
        <v>585</v>
      </c>
      <c r="O126" s="426">
        <v>172250</v>
      </c>
      <c r="P126" s="448">
        <v>0.79161022757656618</v>
      </c>
      <c r="Q126" s="427">
        <v>294.44444444444446</v>
      </c>
    </row>
    <row r="127" spans="1:17" ht="14.4" customHeight="1" x14ac:dyDescent="0.3">
      <c r="A127" s="422" t="s">
        <v>1950</v>
      </c>
      <c r="B127" s="423" t="s">
        <v>1942</v>
      </c>
      <c r="C127" s="423" t="s">
        <v>2022</v>
      </c>
      <c r="D127" s="423" t="s">
        <v>2039</v>
      </c>
      <c r="E127" s="423" t="s">
        <v>2040</v>
      </c>
      <c r="F127" s="426"/>
      <c r="G127" s="426"/>
      <c r="H127" s="423"/>
      <c r="I127" s="423"/>
      <c r="J127" s="426"/>
      <c r="K127" s="426"/>
      <c r="L127" s="423"/>
      <c r="M127" s="423"/>
      <c r="N127" s="426">
        <v>12</v>
      </c>
      <c r="O127" s="426">
        <v>133.32</v>
      </c>
      <c r="P127" s="448"/>
      <c r="Q127" s="427">
        <v>11.11</v>
      </c>
    </row>
    <row r="128" spans="1:17" ht="14.4" customHeight="1" x14ac:dyDescent="0.3">
      <c r="A128" s="422" t="s">
        <v>1950</v>
      </c>
      <c r="B128" s="423" t="s">
        <v>1942</v>
      </c>
      <c r="C128" s="423" t="s">
        <v>2022</v>
      </c>
      <c r="D128" s="423" t="s">
        <v>2041</v>
      </c>
      <c r="E128" s="423" t="s">
        <v>2026</v>
      </c>
      <c r="F128" s="426">
        <v>850</v>
      </c>
      <c r="G128" s="426">
        <v>317333.33</v>
      </c>
      <c r="H128" s="423">
        <v>1</v>
      </c>
      <c r="I128" s="423">
        <v>373.33332941176474</v>
      </c>
      <c r="J128" s="426">
        <v>806</v>
      </c>
      <c r="K128" s="426">
        <v>300160.00000000006</v>
      </c>
      <c r="L128" s="423">
        <v>0.94588236287691574</v>
      </c>
      <c r="M128" s="423">
        <v>372.40694789081891</v>
      </c>
      <c r="N128" s="426">
        <v>1094</v>
      </c>
      <c r="O128" s="426">
        <v>408426.67</v>
      </c>
      <c r="P128" s="448">
        <v>1.287058847553139</v>
      </c>
      <c r="Q128" s="427">
        <v>373.3333363802559</v>
      </c>
    </row>
    <row r="129" spans="1:17" ht="14.4" customHeight="1" x14ac:dyDescent="0.3">
      <c r="A129" s="422" t="s">
        <v>1950</v>
      </c>
      <c r="B129" s="423" t="s">
        <v>1942</v>
      </c>
      <c r="C129" s="423" t="s">
        <v>2022</v>
      </c>
      <c r="D129" s="423" t="s">
        <v>2042</v>
      </c>
      <c r="E129" s="423" t="s">
        <v>2043</v>
      </c>
      <c r="F129" s="426">
        <v>130</v>
      </c>
      <c r="G129" s="426">
        <v>24266.67</v>
      </c>
      <c r="H129" s="423">
        <v>1</v>
      </c>
      <c r="I129" s="423">
        <v>186.6666923076923</v>
      </c>
      <c r="J129" s="426">
        <v>60</v>
      </c>
      <c r="K129" s="426">
        <v>10826.67</v>
      </c>
      <c r="L129" s="423">
        <v>0.44615392223160411</v>
      </c>
      <c r="M129" s="423">
        <v>180.44450000000001</v>
      </c>
      <c r="N129" s="426">
        <v>82</v>
      </c>
      <c r="O129" s="426">
        <v>15306.67</v>
      </c>
      <c r="P129" s="448">
        <v>0.63076928148773614</v>
      </c>
      <c r="Q129" s="427">
        <v>186.66670731707316</v>
      </c>
    </row>
    <row r="130" spans="1:17" ht="14.4" customHeight="1" x14ac:dyDescent="0.3">
      <c r="A130" s="422" t="s">
        <v>1950</v>
      </c>
      <c r="B130" s="423" t="s">
        <v>1942</v>
      </c>
      <c r="C130" s="423" t="s">
        <v>2022</v>
      </c>
      <c r="D130" s="423" t="s">
        <v>2044</v>
      </c>
      <c r="E130" s="423" t="s">
        <v>2045</v>
      </c>
      <c r="F130" s="426">
        <v>61</v>
      </c>
      <c r="G130" s="426">
        <v>35583.33</v>
      </c>
      <c r="H130" s="423">
        <v>1</v>
      </c>
      <c r="I130" s="423">
        <v>583.33327868852462</v>
      </c>
      <c r="J130" s="426">
        <v>48</v>
      </c>
      <c r="K130" s="426">
        <v>25666.660000000003</v>
      </c>
      <c r="L130" s="423">
        <v>0.72131135562635651</v>
      </c>
      <c r="M130" s="423">
        <v>534.72208333333344</v>
      </c>
      <c r="N130" s="426">
        <v>48</v>
      </c>
      <c r="O130" s="426">
        <v>28000</v>
      </c>
      <c r="P130" s="448">
        <v>0.78688531961454977</v>
      </c>
      <c r="Q130" s="427">
        <v>583.33333333333337</v>
      </c>
    </row>
    <row r="131" spans="1:17" ht="14.4" customHeight="1" x14ac:dyDescent="0.3">
      <c r="A131" s="422" t="s">
        <v>1950</v>
      </c>
      <c r="B131" s="423" t="s">
        <v>1942</v>
      </c>
      <c r="C131" s="423" t="s">
        <v>2022</v>
      </c>
      <c r="D131" s="423" t="s">
        <v>2046</v>
      </c>
      <c r="E131" s="423" t="s">
        <v>2047</v>
      </c>
      <c r="F131" s="426">
        <v>155</v>
      </c>
      <c r="G131" s="426">
        <v>72333.349999999991</v>
      </c>
      <c r="H131" s="423">
        <v>1</v>
      </c>
      <c r="I131" s="423">
        <v>466.66677419354835</v>
      </c>
      <c r="J131" s="426">
        <v>202</v>
      </c>
      <c r="K131" s="426">
        <v>93333.34</v>
      </c>
      <c r="L131" s="423">
        <v>1.290322375501757</v>
      </c>
      <c r="M131" s="423">
        <v>462.04623762376235</v>
      </c>
      <c r="N131" s="426">
        <v>276</v>
      </c>
      <c r="O131" s="426">
        <v>128799.99</v>
      </c>
      <c r="P131" s="448">
        <v>1.7806446127546978</v>
      </c>
      <c r="Q131" s="427">
        <v>466.66663043478263</v>
      </c>
    </row>
    <row r="132" spans="1:17" ht="14.4" customHeight="1" x14ac:dyDescent="0.3">
      <c r="A132" s="422" t="s">
        <v>1950</v>
      </c>
      <c r="B132" s="423" t="s">
        <v>1942</v>
      </c>
      <c r="C132" s="423" t="s">
        <v>2022</v>
      </c>
      <c r="D132" s="423" t="s">
        <v>2048</v>
      </c>
      <c r="E132" s="423" t="s">
        <v>2049</v>
      </c>
      <c r="F132" s="426">
        <v>110</v>
      </c>
      <c r="G132" s="426">
        <v>5500</v>
      </c>
      <c r="H132" s="423">
        <v>1</v>
      </c>
      <c r="I132" s="423">
        <v>50</v>
      </c>
      <c r="J132" s="426">
        <v>86</v>
      </c>
      <c r="K132" s="426">
        <v>4300</v>
      </c>
      <c r="L132" s="423">
        <v>0.78181818181818186</v>
      </c>
      <c r="M132" s="423">
        <v>50</v>
      </c>
      <c r="N132" s="426">
        <v>79</v>
      </c>
      <c r="O132" s="426">
        <v>3950</v>
      </c>
      <c r="P132" s="448">
        <v>0.71818181818181814</v>
      </c>
      <c r="Q132" s="427">
        <v>50</v>
      </c>
    </row>
    <row r="133" spans="1:17" ht="14.4" customHeight="1" x14ac:dyDescent="0.3">
      <c r="A133" s="422" t="s">
        <v>1950</v>
      </c>
      <c r="B133" s="423" t="s">
        <v>1942</v>
      </c>
      <c r="C133" s="423" t="s">
        <v>2022</v>
      </c>
      <c r="D133" s="423" t="s">
        <v>2050</v>
      </c>
      <c r="E133" s="423" t="s">
        <v>2051</v>
      </c>
      <c r="F133" s="426">
        <v>31</v>
      </c>
      <c r="G133" s="426">
        <v>3134.44</v>
      </c>
      <c r="H133" s="423">
        <v>1</v>
      </c>
      <c r="I133" s="423">
        <v>101.11096774193548</v>
      </c>
      <c r="J133" s="426">
        <v>10</v>
      </c>
      <c r="K133" s="426">
        <v>1011.11</v>
      </c>
      <c r="L133" s="423">
        <v>0.3225807480762114</v>
      </c>
      <c r="M133" s="423">
        <v>101.111</v>
      </c>
      <c r="N133" s="426">
        <v>26</v>
      </c>
      <c r="O133" s="426">
        <v>2628.8900000000003</v>
      </c>
      <c r="P133" s="448">
        <v>0.83871122114317076</v>
      </c>
      <c r="Q133" s="427">
        <v>101.11115384615385</v>
      </c>
    </row>
    <row r="134" spans="1:17" ht="14.4" customHeight="1" x14ac:dyDescent="0.3">
      <c r="A134" s="422" t="s">
        <v>1950</v>
      </c>
      <c r="B134" s="423" t="s">
        <v>1942</v>
      </c>
      <c r="C134" s="423" t="s">
        <v>2022</v>
      </c>
      <c r="D134" s="423" t="s">
        <v>2052</v>
      </c>
      <c r="E134" s="423" t="s">
        <v>2053</v>
      </c>
      <c r="F134" s="426"/>
      <c r="G134" s="426"/>
      <c r="H134" s="423"/>
      <c r="I134" s="423"/>
      <c r="J134" s="426"/>
      <c r="K134" s="426"/>
      <c r="L134" s="423"/>
      <c r="M134" s="423"/>
      <c r="N134" s="426">
        <v>1</v>
      </c>
      <c r="O134" s="426">
        <v>76.67</v>
      </c>
      <c r="P134" s="448"/>
      <c r="Q134" s="427">
        <v>76.67</v>
      </c>
    </row>
    <row r="135" spans="1:17" ht="14.4" customHeight="1" x14ac:dyDescent="0.3">
      <c r="A135" s="422" t="s">
        <v>1950</v>
      </c>
      <c r="B135" s="423" t="s">
        <v>1942</v>
      </c>
      <c r="C135" s="423" t="s">
        <v>2022</v>
      </c>
      <c r="D135" s="423" t="s">
        <v>2054</v>
      </c>
      <c r="E135" s="423" t="s">
        <v>2055</v>
      </c>
      <c r="F135" s="426">
        <v>1</v>
      </c>
      <c r="G135" s="426">
        <v>0</v>
      </c>
      <c r="H135" s="423"/>
      <c r="I135" s="423">
        <v>0</v>
      </c>
      <c r="J135" s="426">
        <v>2</v>
      </c>
      <c r="K135" s="426">
        <v>0</v>
      </c>
      <c r="L135" s="423"/>
      <c r="M135" s="423">
        <v>0</v>
      </c>
      <c r="N135" s="426">
        <v>1</v>
      </c>
      <c r="O135" s="426">
        <v>0</v>
      </c>
      <c r="P135" s="448"/>
      <c r="Q135" s="427">
        <v>0</v>
      </c>
    </row>
    <row r="136" spans="1:17" ht="14.4" customHeight="1" x14ac:dyDescent="0.3">
      <c r="A136" s="422" t="s">
        <v>1950</v>
      </c>
      <c r="B136" s="423" t="s">
        <v>1942</v>
      </c>
      <c r="C136" s="423" t="s">
        <v>2022</v>
      </c>
      <c r="D136" s="423" t="s">
        <v>2056</v>
      </c>
      <c r="E136" s="423" t="s">
        <v>2057</v>
      </c>
      <c r="F136" s="426">
        <v>5</v>
      </c>
      <c r="G136" s="426">
        <v>0</v>
      </c>
      <c r="H136" s="423"/>
      <c r="I136" s="423">
        <v>0</v>
      </c>
      <c r="J136" s="426">
        <v>6</v>
      </c>
      <c r="K136" s="426">
        <v>0</v>
      </c>
      <c r="L136" s="423"/>
      <c r="M136" s="423">
        <v>0</v>
      </c>
      <c r="N136" s="426">
        <v>1</v>
      </c>
      <c r="O136" s="426">
        <v>0</v>
      </c>
      <c r="P136" s="448"/>
      <c r="Q136" s="427">
        <v>0</v>
      </c>
    </row>
    <row r="137" spans="1:17" ht="14.4" customHeight="1" x14ac:dyDescent="0.3">
      <c r="A137" s="422" t="s">
        <v>1950</v>
      </c>
      <c r="B137" s="423" t="s">
        <v>1942</v>
      </c>
      <c r="C137" s="423" t="s">
        <v>2022</v>
      </c>
      <c r="D137" s="423" t="s">
        <v>2058</v>
      </c>
      <c r="E137" s="423" t="s">
        <v>2059</v>
      </c>
      <c r="F137" s="426">
        <v>735</v>
      </c>
      <c r="G137" s="426">
        <v>224583.32</v>
      </c>
      <c r="H137" s="423">
        <v>1</v>
      </c>
      <c r="I137" s="423">
        <v>305.55553741496601</v>
      </c>
      <c r="J137" s="426">
        <v>624</v>
      </c>
      <c r="K137" s="426">
        <v>190666.66</v>
      </c>
      <c r="L137" s="423">
        <v>0.84897961255537591</v>
      </c>
      <c r="M137" s="423">
        <v>305.55554487179489</v>
      </c>
      <c r="N137" s="426">
        <v>599</v>
      </c>
      <c r="O137" s="426">
        <v>183027.79</v>
      </c>
      <c r="P137" s="448">
        <v>0.81496608920021307</v>
      </c>
      <c r="Q137" s="427">
        <v>305.55557595993321</v>
      </c>
    </row>
    <row r="138" spans="1:17" ht="14.4" customHeight="1" x14ac:dyDescent="0.3">
      <c r="A138" s="422" t="s">
        <v>1950</v>
      </c>
      <c r="B138" s="423" t="s">
        <v>1942</v>
      </c>
      <c r="C138" s="423" t="s">
        <v>2022</v>
      </c>
      <c r="D138" s="423" t="s">
        <v>2060</v>
      </c>
      <c r="E138" s="423" t="s">
        <v>2061</v>
      </c>
      <c r="F138" s="426">
        <v>985</v>
      </c>
      <c r="G138" s="426">
        <v>0</v>
      </c>
      <c r="H138" s="423"/>
      <c r="I138" s="423">
        <v>0</v>
      </c>
      <c r="J138" s="426">
        <v>972</v>
      </c>
      <c r="K138" s="426">
        <v>0</v>
      </c>
      <c r="L138" s="423"/>
      <c r="M138" s="423">
        <v>0</v>
      </c>
      <c r="N138" s="426">
        <v>1007</v>
      </c>
      <c r="O138" s="426">
        <v>18099.989999999998</v>
      </c>
      <c r="P138" s="448"/>
      <c r="Q138" s="427">
        <v>17.974170804369411</v>
      </c>
    </row>
    <row r="139" spans="1:17" ht="14.4" customHeight="1" x14ac:dyDescent="0.3">
      <c r="A139" s="422" t="s">
        <v>1950</v>
      </c>
      <c r="B139" s="423" t="s">
        <v>1942</v>
      </c>
      <c r="C139" s="423" t="s">
        <v>2022</v>
      </c>
      <c r="D139" s="423" t="s">
        <v>2062</v>
      </c>
      <c r="E139" s="423" t="s">
        <v>2063</v>
      </c>
      <c r="F139" s="426">
        <v>759</v>
      </c>
      <c r="G139" s="426">
        <v>345766.68</v>
      </c>
      <c r="H139" s="423">
        <v>1</v>
      </c>
      <c r="I139" s="423">
        <v>455.55557312252961</v>
      </c>
      <c r="J139" s="426">
        <v>730</v>
      </c>
      <c r="K139" s="426">
        <v>323444.43999999994</v>
      </c>
      <c r="L139" s="423">
        <v>0.93544132129793411</v>
      </c>
      <c r="M139" s="423">
        <v>443.07457534246566</v>
      </c>
      <c r="N139" s="426">
        <v>829</v>
      </c>
      <c r="O139" s="426">
        <v>377655.55999999994</v>
      </c>
      <c r="P139" s="448">
        <v>1.092226584701568</v>
      </c>
      <c r="Q139" s="427">
        <v>455.55556091676709</v>
      </c>
    </row>
    <row r="140" spans="1:17" ht="14.4" customHeight="1" x14ac:dyDescent="0.3">
      <c r="A140" s="422" t="s">
        <v>1950</v>
      </c>
      <c r="B140" s="423" t="s">
        <v>1942</v>
      </c>
      <c r="C140" s="423" t="s">
        <v>2022</v>
      </c>
      <c r="D140" s="423" t="s">
        <v>2092</v>
      </c>
      <c r="E140" s="423" t="s">
        <v>2093</v>
      </c>
      <c r="F140" s="426">
        <v>1</v>
      </c>
      <c r="G140" s="426">
        <v>58.89</v>
      </c>
      <c r="H140" s="423">
        <v>1</v>
      </c>
      <c r="I140" s="423">
        <v>58.89</v>
      </c>
      <c r="J140" s="426"/>
      <c r="K140" s="426"/>
      <c r="L140" s="423"/>
      <c r="M140" s="423"/>
      <c r="N140" s="426">
        <v>1</v>
      </c>
      <c r="O140" s="426">
        <v>58.89</v>
      </c>
      <c r="P140" s="448">
        <v>1</v>
      </c>
      <c r="Q140" s="427">
        <v>58.89</v>
      </c>
    </row>
    <row r="141" spans="1:17" ht="14.4" customHeight="1" x14ac:dyDescent="0.3">
      <c r="A141" s="422" t="s">
        <v>1950</v>
      </c>
      <c r="B141" s="423" t="s">
        <v>1942</v>
      </c>
      <c r="C141" s="423" t="s">
        <v>2022</v>
      </c>
      <c r="D141" s="423" t="s">
        <v>2064</v>
      </c>
      <c r="E141" s="423" t="s">
        <v>2065</v>
      </c>
      <c r="F141" s="426">
        <v>737</v>
      </c>
      <c r="G141" s="426">
        <v>57322.229999999996</v>
      </c>
      <c r="H141" s="423">
        <v>1</v>
      </c>
      <c r="I141" s="423">
        <v>77.777788331071903</v>
      </c>
      <c r="J141" s="426">
        <v>625</v>
      </c>
      <c r="K141" s="426">
        <v>48611.11</v>
      </c>
      <c r="L141" s="423">
        <v>0.84803243000141493</v>
      </c>
      <c r="M141" s="423">
        <v>77.777776000000003</v>
      </c>
      <c r="N141" s="426">
        <v>608</v>
      </c>
      <c r="O141" s="426">
        <v>47288.89</v>
      </c>
      <c r="P141" s="448">
        <v>0.82496598614534022</v>
      </c>
      <c r="Q141" s="427">
        <v>77.777779605263163</v>
      </c>
    </row>
    <row r="142" spans="1:17" ht="14.4" customHeight="1" x14ac:dyDescent="0.3">
      <c r="A142" s="422" t="s">
        <v>1950</v>
      </c>
      <c r="B142" s="423" t="s">
        <v>1942</v>
      </c>
      <c r="C142" s="423" t="s">
        <v>2022</v>
      </c>
      <c r="D142" s="423" t="s">
        <v>2068</v>
      </c>
      <c r="E142" s="423" t="s">
        <v>2069</v>
      </c>
      <c r="F142" s="426">
        <v>9</v>
      </c>
      <c r="G142" s="426">
        <v>2430</v>
      </c>
      <c r="H142" s="423">
        <v>1</v>
      </c>
      <c r="I142" s="423">
        <v>270</v>
      </c>
      <c r="J142" s="426">
        <v>3</v>
      </c>
      <c r="K142" s="426">
        <v>810</v>
      </c>
      <c r="L142" s="423">
        <v>0.33333333333333331</v>
      </c>
      <c r="M142" s="423">
        <v>270</v>
      </c>
      <c r="N142" s="426">
        <v>11</v>
      </c>
      <c r="O142" s="426">
        <v>2970</v>
      </c>
      <c r="P142" s="448">
        <v>1.2222222222222223</v>
      </c>
      <c r="Q142" s="427">
        <v>270</v>
      </c>
    </row>
    <row r="143" spans="1:17" ht="14.4" customHeight="1" x14ac:dyDescent="0.3">
      <c r="A143" s="422" t="s">
        <v>1950</v>
      </c>
      <c r="B143" s="423" t="s">
        <v>1942</v>
      </c>
      <c r="C143" s="423" t="s">
        <v>2022</v>
      </c>
      <c r="D143" s="423" t="s">
        <v>2070</v>
      </c>
      <c r="E143" s="423" t="s">
        <v>2071</v>
      </c>
      <c r="F143" s="426">
        <v>1111</v>
      </c>
      <c r="G143" s="426">
        <v>98755.56</v>
      </c>
      <c r="H143" s="423">
        <v>1</v>
      </c>
      <c r="I143" s="423">
        <v>88.888892889288925</v>
      </c>
      <c r="J143" s="426">
        <v>1084</v>
      </c>
      <c r="K143" s="426">
        <v>95466.66</v>
      </c>
      <c r="L143" s="423">
        <v>0.96669655865452042</v>
      </c>
      <c r="M143" s="423">
        <v>88.068874538745391</v>
      </c>
      <c r="N143" s="426">
        <v>847</v>
      </c>
      <c r="O143" s="426">
        <v>75288.89</v>
      </c>
      <c r="P143" s="448">
        <v>0.76237621456452676</v>
      </c>
      <c r="Q143" s="427">
        <v>88.888890200708389</v>
      </c>
    </row>
    <row r="144" spans="1:17" ht="14.4" customHeight="1" x14ac:dyDescent="0.3">
      <c r="A144" s="422" t="s">
        <v>1950</v>
      </c>
      <c r="B144" s="423" t="s">
        <v>1942</v>
      </c>
      <c r="C144" s="423" t="s">
        <v>2022</v>
      </c>
      <c r="D144" s="423" t="s">
        <v>2074</v>
      </c>
      <c r="E144" s="423" t="s">
        <v>2075</v>
      </c>
      <c r="F144" s="426"/>
      <c r="G144" s="426"/>
      <c r="H144" s="423"/>
      <c r="I144" s="423"/>
      <c r="J144" s="426"/>
      <c r="K144" s="426"/>
      <c r="L144" s="423"/>
      <c r="M144" s="423"/>
      <c r="N144" s="426">
        <v>120</v>
      </c>
      <c r="O144" s="426">
        <v>11599.99</v>
      </c>
      <c r="P144" s="448"/>
      <c r="Q144" s="427">
        <v>96.666583333333335</v>
      </c>
    </row>
    <row r="145" spans="1:17" ht="14.4" customHeight="1" x14ac:dyDescent="0.3">
      <c r="A145" s="422" t="s">
        <v>1950</v>
      </c>
      <c r="B145" s="423" t="s">
        <v>1942</v>
      </c>
      <c r="C145" s="423" t="s">
        <v>2022</v>
      </c>
      <c r="D145" s="423" t="s">
        <v>2078</v>
      </c>
      <c r="E145" s="423" t="s">
        <v>2079</v>
      </c>
      <c r="F145" s="426">
        <v>2</v>
      </c>
      <c r="G145" s="426">
        <v>280</v>
      </c>
      <c r="H145" s="423">
        <v>1</v>
      </c>
      <c r="I145" s="423">
        <v>140</v>
      </c>
      <c r="J145" s="426">
        <v>1</v>
      </c>
      <c r="K145" s="426">
        <v>140</v>
      </c>
      <c r="L145" s="423">
        <v>0.5</v>
      </c>
      <c r="M145" s="423">
        <v>140</v>
      </c>
      <c r="N145" s="426">
        <v>164</v>
      </c>
      <c r="O145" s="426">
        <v>22960</v>
      </c>
      <c r="P145" s="448">
        <v>82</v>
      </c>
      <c r="Q145" s="427">
        <v>140</v>
      </c>
    </row>
    <row r="146" spans="1:17" ht="14.4" customHeight="1" x14ac:dyDescent="0.3">
      <c r="A146" s="422" t="s">
        <v>1950</v>
      </c>
      <c r="B146" s="423" t="s">
        <v>1942</v>
      </c>
      <c r="C146" s="423" t="s">
        <v>2022</v>
      </c>
      <c r="D146" s="423" t="s">
        <v>2094</v>
      </c>
      <c r="E146" s="423" t="s">
        <v>2095</v>
      </c>
      <c r="F146" s="426"/>
      <c r="G146" s="426"/>
      <c r="H146" s="423"/>
      <c r="I146" s="423"/>
      <c r="J146" s="426"/>
      <c r="K146" s="426"/>
      <c r="L146" s="423"/>
      <c r="M146" s="423"/>
      <c r="N146" s="426">
        <v>123</v>
      </c>
      <c r="O146" s="426">
        <v>9293.33</v>
      </c>
      <c r="P146" s="448"/>
      <c r="Q146" s="427">
        <v>75.555528455284559</v>
      </c>
    </row>
    <row r="147" spans="1:17" ht="14.4" customHeight="1" x14ac:dyDescent="0.3">
      <c r="A147" s="422" t="s">
        <v>1950</v>
      </c>
      <c r="B147" s="423" t="s">
        <v>1942</v>
      </c>
      <c r="C147" s="423" t="s">
        <v>2022</v>
      </c>
      <c r="D147" s="423" t="s">
        <v>2080</v>
      </c>
      <c r="E147" s="423" t="s">
        <v>2081</v>
      </c>
      <c r="F147" s="426">
        <v>24</v>
      </c>
      <c r="G147" s="426">
        <v>2800</v>
      </c>
      <c r="H147" s="423">
        <v>1</v>
      </c>
      <c r="I147" s="423">
        <v>116.66666666666667</v>
      </c>
      <c r="J147" s="426">
        <v>17</v>
      </c>
      <c r="K147" s="426">
        <v>1516.68</v>
      </c>
      <c r="L147" s="423">
        <v>0.54167142857142858</v>
      </c>
      <c r="M147" s="423">
        <v>89.216470588235296</v>
      </c>
      <c r="N147" s="426">
        <v>14</v>
      </c>
      <c r="O147" s="426">
        <v>1633.3300000000002</v>
      </c>
      <c r="P147" s="448">
        <v>0.58333214285714297</v>
      </c>
      <c r="Q147" s="427">
        <v>116.66642857142858</v>
      </c>
    </row>
    <row r="148" spans="1:17" ht="14.4" customHeight="1" x14ac:dyDescent="0.3">
      <c r="A148" s="422" t="s">
        <v>1950</v>
      </c>
      <c r="B148" s="423" t="s">
        <v>1942</v>
      </c>
      <c r="C148" s="423" t="s">
        <v>2022</v>
      </c>
      <c r="D148" s="423" t="s">
        <v>2082</v>
      </c>
      <c r="E148" s="423" t="s">
        <v>2083</v>
      </c>
      <c r="F148" s="426">
        <v>3</v>
      </c>
      <c r="G148" s="426">
        <v>146.66999999999999</v>
      </c>
      <c r="H148" s="423">
        <v>1</v>
      </c>
      <c r="I148" s="423">
        <v>48.889999999999993</v>
      </c>
      <c r="J148" s="426"/>
      <c r="K148" s="426"/>
      <c r="L148" s="423"/>
      <c r="M148" s="423"/>
      <c r="N148" s="426"/>
      <c r="O148" s="426"/>
      <c r="P148" s="448"/>
      <c r="Q148" s="427"/>
    </row>
    <row r="149" spans="1:17" ht="14.4" customHeight="1" x14ac:dyDescent="0.3">
      <c r="A149" s="422" t="s">
        <v>1950</v>
      </c>
      <c r="B149" s="423" t="s">
        <v>1942</v>
      </c>
      <c r="C149" s="423" t="s">
        <v>2022</v>
      </c>
      <c r="D149" s="423" t="s">
        <v>2096</v>
      </c>
      <c r="E149" s="423" t="s">
        <v>2097</v>
      </c>
      <c r="F149" s="426">
        <v>1</v>
      </c>
      <c r="G149" s="426">
        <v>466.67</v>
      </c>
      <c r="H149" s="423">
        <v>1</v>
      </c>
      <c r="I149" s="423">
        <v>466.67</v>
      </c>
      <c r="J149" s="426">
        <v>1</v>
      </c>
      <c r="K149" s="426">
        <v>466.67</v>
      </c>
      <c r="L149" s="423">
        <v>1</v>
      </c>
      <c r="M149" s="423">
        <v>466.67</v>
      </c>
      <c r="N149" s="426"/>
      <c r="O149" s="426"/>
      <c r="P149" s="448"/>
      <c r="Q149" s="427"/>
    </row>
    <row r="150" spans="1:17" ht="14.4" customHeight="1" x14ac:dyDescent="0.3">
      <c r="A150" s="422" t="s">
        <v>1950</v>
      </c>
      <c r="B150" s="423" t="s">
        <v>1942</v>
      </c>
      <c r="C150" s="423" t="s">
        <v>2022</v>
      </c>
      <c r="D150" s="423" t="s">
        <v>2084</v>
      </c>
      <c r="E150" s="423" t="s">
        <v>2085</v>
      </c>
      <c r="F150" s="426">
        <v>1</v>
      </c>
      <c r="G150" s="426">
        <v>327.78</v>
      </c>
      <c r="H150" s="423">
        <v>1</v>
      </c>
      <c r="I150" s="423">
        <v>327.78</v>
      </c>
      <c r="J150" s="426">
        <v>1</v>
      </c>
      <c r="K150" s="426">
        <v>327.78</v>
      </c>
      <c r="L150" s="423">
        <v>1</v>
      </c>
      <c r="M150" s="423">
        <v>327.78</v>
      </c>
      <c r="N150" s="426">
        <v>4</v>
      </c>
      <c r="O150" s="426">
        <v>1311.12</v>
      </c>
      <c r="P150" s="448">
        <v>4</v>
      </c>
      <c r="Q150" s="427">
        <v>327.78</v>
      </c>
    </row>
    <row r="151" spans="1:17" ht="14.4" customHeight="1" x14ac:dyDescent="0.3">
      <c r="A151" s="422" t="s">
        <v>1950</v>
      </c>
      <c r="B151" s="423" t="s">
        <v>1942</v>
      </c>
      <c r="C151" s="423" t="s">
        <v>2022</v>
      </c>
      <c r="D151" s="423" t="s">
        <v>2086</v>
      </c>
      <c r="E151" s="423" t="s">
        <v>2087</v>
      </c>
      <c r="F151" s="426">
        <v>170</v>
      </c>
      <c r="G151" s="426">
        <v>49677.78</v>
      </c>
      <c r="H151" s="423">
        <v>1</v>
      </c>
      <c r="I151" s="423">
        <v>292.22223529411764</v>
      </c>
      <c r="J151" s="426">
        <v>180</v>
      </c>
      <c r="K151" s="426">
        <v>52600.01</v>
      </c>
      <c r="L151" s="423">
        <v>1.0588236833449483</v>
      </c>
      <c r="M151" s="423">
        <v>292.22227777777778</v>
      </c>
      <c r="N151" s="426">
        <v>183</v>
      </c>
      <c r="O151" s="426">
        <v>53476.66</v>
      </c>
      <c r="P151" s="448">
        <v>1.0764704058836769</v>
      </c>
      <c r="Q151" s="427">
        <v>292.22218579234976</v>
      </c>
    </row>
    <row r="152" spans="1:17" ht="14.4" customHeight="1" x14ac:dyDescent="0.3">
      <c r="A152" s="422" t="s">
        <v>1950</v>
      </c>
      <c r="B152" s="423" t="s">
        <v>1942</v>
      </c>
      <c r="C152" s="423" t="s">
        <v>2022</v>
      </c>
      <c r="D152" s="423" t="s">
        <v>2098</v>
      </c>
      <c r="E152" s="423" t="s">
        <v>2099</v>
      </c>
      <c r="F152" s="426"/>
      <c r="G152" s="426"/>
      <c r="H152" s="423"/>
      <c r="I152" s="423"/>
      <c r="J152" s="426"/>
      <c r="K152" s="426"/>
      <c r="L152" s="423"/>
      <c r="M152" s="423"/>
      <c r="N152" s="426">
        <v>7</v>
      </c>
      <c r="O152" s="426">
        <v>816.67</v>
      </c>
      <c r="P152" s="448"/>
      <c r="Q152" s="427">
        <v>116.66714285714285</v>
      </c>
    </row>
    <row r="153" spans="1:17" ht="14.4" customHeight="1" x14ac:dyDescent="0.3">
      <c r="A153" s="422" t="s">
        <v>1950</v>
      </c>
      <c r="B153" s="423" t="s">
        <v>1942</v>
      </c>
      <c r="C153" s="423" t="s">
        <v>2022</v>
      </c>
      <c r="D153" s="423" t="s">
        <v>2088</v>
      </c>
      <c r="E153" s="423" t="s">
        <v>2089</v>
      </c>
      <c r="F153" s="426">
        <v>158</v>
      </c>
      <c r="G153" s="426">
        <v>56704.45</v>
      </c>
      <c r="H153" s="423">
        <v>1</v>
      </c>
      <c r="I153" s="423">
        <v>358.88892405063291</v>
      </c>
      <c r="J153" s="426">
        <v>124</v>
      </c>
      <c r="K153" s="426">
        <v>44502.229999999996</v>
      </c>
      <c r="L153" s="423">
        <v>0.78481018685482351</v>
      </c>
      <c r="M153" s="423">
        <v>358.88895161290321</v>
      </c>
      <c r="N153" s="426">
        <v>116</v>
      </c>
      <c r="O153" s="426">
        <v>41631.130000000005</v>
      </c>
      <c r="P153" s="448">
        <v>0.73417747637090225</v>
      </c>
      <c r="Q153" s="427">
        <v>358.88905172413797</v>
      </c>
    </row>
    <row r="154" spans="1:17" ht="14.4" customHeight="1" x14ac:dyDescent="0.3">
      <c r="A154" s="422" t="s">
        <v>1950</v>
      </c>
      <c r="B154" s="423" t="s">
        <v>1943</v>
      </c>
      <c r="C154" s="423" t="s">
        <v>1951</v>
      </c>
      <c r="D154" s="423" t="s">
        <v>2100</v>
      </c>
      <c r="E154" s="423"/>
      <c r="F154" s="426"/>
      <c r="G154" s="426"/>
      <c r="H154" s="423"/>
      <c r="I154" s="423"/>
      <c r="J154" s="426">
        <v>2</v>
      </c>
      <c r="K154" s="426">
        <v>226</v>
      </c>
      <c r="L154" s="423"/>
      <c r="M154" s="423">
        <v>113</v>
      </c>
      <c r="N154" s="426"/>
      <c r="O154" s="426"/>
      <c r="P154" s="448"/>
      <c r="Q154" s="427"/>
    </row>
    <row r="155" spans="1:17" ht="14.4" customHeight="1" x14ac:dyDescent="0.3">
      <c r="A155" s="422" t="s">
        <v>1950</v>
      </c>
      <c r="B155" s="423" t="s">
        <v>1943</v>
      </c>
      <c r="C155" s="423" t="s">
        <v>1951</v>
      </c>
      <c r="D155" s="423" t="s">
        <v>2101</v>
      </c>
      <c r="E155" s="423"/>
      <c r="F155" s="426">
        <v>2</v>
      </c>
      <c r="G155" s="426">
        <v>1600</v>
      </c>
      <c r="H155" s="423">
        <v>1</v>
      </c>
      <c r="I155" s="423">
        <v>800</v>
      </c>
      <c r="J155" s="426"/>
      <c r="K155" s="426"/>
      <c r="L155" s="423"/>
      <c r="M155" s="423"/>
      <c r="N155" s="426"/>
      <c r="O155" s="426"/>
      <c r="P155" s="448"/>
      <c r="Q155" s="427"/>
    </row>
    <row r="156" spans="1:17" ht="14.4" customHeight="1" x14ac:dyDescent="0.3">
      <c r="A156" s="422" t="s">
        <v>1950</v>
      </c>
      <c r="B156" s="423" t="s">
        <v>1943</v>
      </c>
      <c r="C156" s="423" t="s">
        <v>1951</v>
      </c>
      <c r="D156" s="423" t="s">
        <v>2102</v>
      </c>
      <c r="E156" s="423"/>
      <c r="F156" s="426">
        <v>6</v>
      </c>
      <c r="G156" s="426">
        <v>9942</v>
      </c>
      <c r="H156" s="423">
        <v>1</v>
      </c>
      <c r="I156" s="423">
        <v>1657</v>
      </c>
      <c r="J156" s="426">
        <v>2</v>
      </c>
      <c r="K156" s="426">
        <v>3314</v>
      </c>
      <c r="L156" s="423">
        <v>0.33333333333333331</v>
      </c>
      <c r="M156" s="423">
        <v>1657</v>
      </c>
      <c r="N156" s="426">
        <v>1</v>
      </c>
      <c r="O156" s="426">
        <v>1657</v>
      </c>
      <c r="P156" s="448">
        <v>0.16666666666666666</v>
      </c>
      <c r="Q156" s="427">
        <v>1657</v>
      </c>
    </row>
    <row r="157" spans="1:17" ht="14.4" customHeight="1" x14ac:dyDescent="0.3">
      <c r="A157" s="422" t="s">
        <v>1950</v>
      </c>
      <c r="B157" s="423" t="s">
        <v>1943</v>
      </c>
      <c r="C157" s="423" t="s">
        <v>1951</v>
      </c>
      <c r="D157" s="423" t="s">
        <v>2103</v>
      </c>
      <c r="E157" s="423"/>
      <c r="F157" s="426">
        <v>3</v>
      </c>
      <c r="G157" s="426">
        <v>3537</v>
      </c>
      <c r="H157" s="423">
        <v>1</v>
      </c>
      <c r="I157" s="423">
        <v>1179</v>
      </c>
      <c r="J157" s="426">
        <v>3</v>
      </c>
      <c r="K157" s="426">
        <v>3537</v>
      </c>
      <c r="L157" s="423">
        <v>1</v>
      </c>
      <c r="M157" s="423">
        <v>1179</v>
      </c>
      <c r="N157" s="426">
        <v>3</v>
      </c>
      <c r="O157" s="426">
        <v>3537</v>
      </c>
      <c r="P157" s="448">
        <v>1</v>
      </c>
      <c r="Q157" s="427">
        <v>1179</v>
      </c>
    </row>
    <row r="158" spans="1:17" ht="14.4" customHeight="1" x14ac:dyDescent="0.3">
      <c r="A158" s="422" t="s">
        <v>1950</v>
      </c>
      <c r="B158" s="423" t="s">
        <v>1943</v>
      </c>
      <c r="C158" s="423" t="s">
        <v>1951</v>
      </c>
      <c r="D158" s="423" t="s">
        <v>2104</v>
      </c>
      <c r="E158" s="423"/>
      <c r="F158" s="426"/>
      <c r="G158" s="426"/>
      <c r="H158" s="423"/>
      <c r="I158" s="423"/>
      <c r="J158" s="426"/>
      <c r="K158" s="426"/>
      <c r="L158" s="423"/>
      <c r="M158" s="423"/>
      <c r="N158" s="426">
        <v>1</v>
      </c>
      <c r="O158" s="426">
        <v>185</v>
      </c>
      <c r="P158" s="448"/>
      <c r="Q158" s="427">
        <v>185</v>
      </c>
    </row>
    <row r="159" spans="1:17" ht="14.4" customHeight="1" x14ac:dyDescent="0.3">
      <c r="A159" s="422" t="s">
        <v>1950</v>
      </c>
      <c r="B159" s="423" t="s">
        <v>1943</v>
      </c>
      <c r="C159" s="423" t="s">
        <v>1951</v>
      </c>
      <c r="D159" s="423" t="s">
        <v>2105</v>
      </c>
      <c r="E159" s="423"/>
      <c r="F159" s="426">
        <v>1</v>
      </c>
      <c r="G159" s="426">
        <v>1281</v>
      </c>
      <c r="H159" s="423">
        <v>1</v>
      </c>
      <c r="I159" s="423">
        <v>1281</v>
      </c>
      <c r="J159" s="426">
        <v>2</v>
      </c>
      <c r="K159" s="426">
        <v>2562</v>
      </c>
      <c r="L159" s="423">
        <v>2</v>
      </c>
      <c r="M159" s="423">
        <v>1281</v>
      </c>
      <c r="N159" s="426">
        <v>1</v>
      </c>
      <c r="O159" s="426">
        <v>1281</v>
      </c>
      <c r="P159" s="448">
        <v>1</v>
      </c>
      <c r="Q159" s="427">
        <v>1281</v>
      </c>
    </row>
    <row r="160" spans="1:17" ht="14.4" customHeight="1" x14ac:dyDescent="0.3">
      <c r="A160" s="422" t="s">
        <v>1950</v>
      </c>
      <c r="B160" s="423" t="s">
        <v>1943</v>
      </c>
      <c r="C160" s="423" t="s">
        <v>1951</v>
      </c>
      <c r="D160" s="423" t="s">
        <v>2106</v>
      </c>
      <c r="E160" s="423"/>
      <c r="F160" s="426">
        <v>1</v>
      </c>
      <c r="G160" s="426">
        <v>579</v>
      </c>
      <c r="H160" s="423">
        <v>1</v>
      </c>
      <c r="I160" s="423">
        <v>579</v>
      </c>
      <c r="J160" s="426"/>
      <c r="K160" s="426"/>
      <c r="L160" s="423"/>
      <c r="M160" s="423"/>
      <c r="N160" s="426"/>
      <c r="O160" s="426"/>
      <c r="P160" s="448"/>
      <c r="Q160" s="427"/>
    </row>
    <row r="161" spans="1:17" ht="14.4" customHeight="1" x14ac:dyDescent="0.3">
      <c r="A161" s="422" t="s">
        <v>1950</v>
      </c>
      <c r="B161" s="423" t="s">
        <v>1943</v>
      </c>
      <c r="C161" s="423" t="s">
        <v>1951</v>
      </c>
      <c r="D161" s="423" t="s">
        <v>1994</v>
      </c>
      <c r="E161" s="423"/>
      <c r="F161" s="426"/>
      <c r="G161" s="426"/>
      <c r="H161" s="423"/>
      <c r="I161" s="423"/>
      <c r="J161" s="426"/>
      <c r="K161" s="426"/>
      <c r="L161" s="423"/>
      <c r="M161" s="423"/>
      <c r="N161" s="426">
        <v>1</v>
      </c>
      <c r="O161" s="426">
        <v>225</v>
      </c>
      <c r="P161" s="448"/>
      <c r="Q161" s="427">
        <v>225</v>
      </c>
    </row>
    <row r="162" spans="1:17" ht="14.4" customHeight="1" x14ac:dyDescent="0.3">
      <c r="A162" s="422" t="s">
        <v>1950</v>
      </c>
      <c r="B162" s="423" t="s">
        <v>1943</v>
      </c>
      <c r="C162" s="423" t="s">
        <v>1951</v>
      </c>
      <c r="D162" s="423" t="s">
        <v>2107</v>
      </c>
      <c r="E162" s="423"/>
      <c r="F162" s="426"/>
      <c r="G162" s="426"/>
      <c r="H162" s="423"/>
      <c r="I162" s="423"/>
      <c r="J162" s="426">
        <v>2</v>
      </c>
      <c r="K162" s="426">
        <v>516</v>
      </c>
      <c r="L162" s="423"/>
      <c r="M162" s="423">
        <v>258</v>
      </c>
      <c r="N162" s="426">
        <v>1</v>
      </c>
      <c r="O162" s="426">
        <v>258</v>
      </c>
      <c r="P162" s="448"/>
      <c r="Q162" s="427">
        <v>258</v>
      </c>
    </row>
    <row r="163" spans="1:17" ht="14.4" customHeight="1" x14ac:dyDescent="0.3">
      <c r="A163" s="422" t="s">
        <v>1950</v>
      </c>
      <c r="B163" s="423" t="s">
        <v>1943</v>
      </c>
      <c r="C163" s="423" t="s">
        <v>1951</v>
      </c>
      <c r="D163" s="423" t="s">
        <v>2108</v>
      </c>
      <c r="E163" s="423"/>
      <c r="F163" s="426"/>
      <c r="G163" s="426"/>
      <c r="H163" s="423"/>
      <c r="I163" s="423"/>
      <c r="J163" s="426">
        <v>2</v>
      </c>
      <c r="K163" s="426">
        <v>1484</v>
      </c>
      <c r="L163" s="423"/>
      <c r="M163" s="423">
        <v>742</v>
      </c>
      <c r="N163" s="426"/>
      <c r="O163" s="426"/>
      <c r="P163" s="448"/>
      <c r="Q163" s="427"/>
    </row>
    <row r="164" spans="1:17" ht="14.4" customHeight="1" x14ac:dyDescent="0.3">
      <c r="A164" s="422" t="s">
        <v>1950</v>
      </c>
      <c r="B164" s="423" t="s">
        <v>1943</v>
      </c>
      <c r="C164" s="423" t="s">
        <v>2022</v>
      </c>
      <c r="D164" s="423" t="s">
        <v>2023</v>
      </c>
      <c r="E164" s="423" t="s">
        <v>2024</v>
      </c>
      <c r="F164" s="426">
        <v>85</v>
      </c>
      <c r="G164" s="426">
        <v>37588.9</v>
      </c>
      <c r="H164" s="423">
        <v>1</v>
      </c>
      <c r="I164" s="423">
        <v>442.2223529411765</v>
      </c>
      <c r="J164" s="426">
        <v>97</v>
      </c>
      <c r="K164" s="426">
        <v>42895.560000000005</v>
      </c>
      <c r="L164" s="423">
        <v>1.1411762514997779</v>
      </c>
      <c r="M164" s="423">
        <v>442.22226804123716</v>
      </c>
      <c r="N164" s="426">
        <v>129</v>
      </c>
      <c r="O164" s="426">
        <v>57046.670000000006</v>
      </c>
      <c r="P164" s="448">
        <v>1.5176466988924924</v>
      </c>
      <c r="Q164" s="427">
        <v>442.22224806201552</v>
      </c>
    </row>
    <row r="165" spans="1:17" ht="14.4" customHeight="1" x14ac:dyDescent="0.3">
      <c r="A165" s="422" t="s">
        <v>1950</v>
      </c>
      <c r="B165" s="423" t="s">
        <v>1943</v>
      </c>
      <c r="C165" s="423" t="s">
        <v>2022</v>
      </c>
      <c r="D165" s="423" t="s">
        <v>2025</v>
      </c>
      <c r="E165" s="423" t="s">
        <v>2026</v>
      </c>
      <c r="F165" s="426">
        <v>233</v>
      </c>
      <c r="G165" s="426">
        <v>95271.11</v>
      </c>
      <c r="H165" s="423">
        <v>1</v>
      </c>
      <c r="I165" s="423">
        <v>408.88888412017167</v>
      </c>
      <c r="J165" s="426">
        <v>195</v>
      </c>
      <c r="K165" s="426">
        <v>79733.33</v>
      </c>
      <c r="L165" s="423">
        <v>0.83690984601732887</v>
      </c>
      <c r="M165" s="423">
        <v>408.88887179487182</v>
      </c>
      <c r="N165" s="426">
        <v>216</v>
      </c>
      <c r="O165" s="426">
        <v>98400.01</v>
      </c>
      <c r="P165" s="448">
        <v>1.032842065133911</v>
      </c>
      <c r="Q165" s="427">
        <v>455.5556018518518</v>
      </c>
    </row>
    <row r="166" spans="1:17" ht="14.4" customHeight="1" x14ac:dyDescent="0.3">
      <c r="A166" s="422" t="s">
        <v>1950</v>
      </c>
      <c r="B166" s="423" t="s">
        <v>1943</v>
      </c>
      <c r="C166" s="423" t="s">
        <v>2022</v>
      </c>
      <c r="D166" s="423" t="s">
        <v>2090</v>
      </c>
      <c r="E166" s="423" t="s">
        <v>2091</v>
      </c>
      <c r="F166" s="426">
        <v>1093</v>
      </c>
      <c r="G166" s="426">
        <v>115372.23</v>
      </c>
      <c r="H166" s="423">
        <v>1</v>
      </c>
      <c r="I166" s="423">
        <v>105.5555626715462</v>
      </c>
      <c r="J166" s="426">
        <v>1117</v>
      </c>
      <c r="K166" s="426">
        <v>116427.79</v>
      </c>
      <c r="L166" s="423">
        <v>1.0091491687384391</v>
      </c>
      <c r="M166" s="423">
        <v>104.23257833482542</v>
      </c>
      <c r="N166" s="426">
        <v>821</v>
      </c>
      <c r="O166" s="426">
        <v>86661.11</v>
      </c>
      <c r="P166" s="448">
        <v>0.75114358108532708</v>
      </c>
      <c r="Q166" s="427">
        <v>105.55555420219245</v>
      </c>
    </row>
    <row r="167" spans="1:17" ht="14.4" customHeight="1" x14ac:dyDescent="0.3">
      <c r="A167" s="422" t="s">
        <v>1950</v>
      </c>
      <c r="B167" s="423" t="s">
        <v>1943</v>
      </c>
      <c r="C167" s="423" t="s">
        <v>2022</v>
      </c>
      <c r="D167" s="423" t="s">
        <v>2027</v>
      </c>
      <c r="E167" s="423" t="s">
        <v>2028</v>
      </c>
      <c r="F167" s="426">
        <v>313</v>
      </c>
      <c r="G167" s="426">
        <v>24344.450000000004</v>
      </c>
      <c r="H167" s="423">
        <v>1</v>
      </c>
      <c r="I167" s="423">
        <v>77.77779552715657</v>
      </c>
      <c r="J167" s="426">
        <v>370</v>
      </c>
      <c r="K167" s="426">
        <v>28466.67</v>
      </c>
      <c r="L167" s="423">
        <v>1.169328943557977</v>
      </c>
      <c r="M167" s="423">
        <v>76.936945945945936</v>
      </c>
      <c r="N167" s="426">
        <v>383</v>
      </c>
      <c r="O167" s="426">
        <v>29788.879999999997</v>
      </c>
      <c r="P167" s="448">
        <v>1.2236415281511799</v>
      </c>
      <c r="Q167" s="427">
        <v>77.777754569190591</v>
      </c>
    </row>
    <row r="168" spans="1:17" ht="14.4" customHeight="1" x14ac:dyDescent="0.3">
      <c r="A168" s="422" t="s">
        <v>1950</v>
      </c>
      <c r="B168" s="423" t="s">
        <v>1943</v>
      </c>
      <c r="C168" s="423" t="s">
        <v>2022</v>
      </c>
      <c r="D168" s="423" t="s">
        <v>2031</v>
      </c>
      <c r="E168" s="423" t="s">
        <v>2032</v>
      </c>
      <c r="F168" s="426">
        <v>483</v>
      </c>
      <c r="G168" s="426">
        <v>53666.66</v>
      </c>
      <c r="H168" s="423">
        <v>1</v>
      </c>
      <c r="I168" s="423">
        <v>111.11109730848862</v>
      </c>
      <c r="J168" s="426">
        <v>549</v>
      </c>
      <c r="K168" s="426">
        <v>60555.56</v>
      </c>
      <c r="L168" s="423">
        <v>1.1283646122192064</v>
      </c>
      <c r="M168" s="423">
        <v>110.30156648451729</v>
      </c>
      <c r="N168" s="426">
        <v>458</v>
      </c>
      <c r="O168" s="426">
        <v>50888.89</v>
      </c>
      <c r="P168" s="448">
        <v>0.94824030412923022</v>
      </c>
      <c r="Q168" s="427">
        <v>111.1111135371179</v>
      </c>
    </row>
    <row r="169" spans="1:17" ht="14.4" customHeight="1" x14ac:dyDescent="0.3">
      <c r="A169" s="422" t="s">
        <v>1950</v>
      </c>
      <c r="B169" s="423" t="s">
        <v>1943</v>
      </c>
      <c r="C169" s="423" t="s">
        <v>2022</v>
      </c>
      <c r="D169" s="423" t="s">
        <v>2033</v>
      </c>
      <c r="E169" s="423" t="s">
        <v>2034</v>
      </c>
      <c r="F169" s="426">
        <v>171</v>
      </c>
      <c r="G169" s="426">
        <v>59850</v>
      </c>
      <c r="H169" s="423">
        <v>1</v>
      </c>
      <c r="I169" s="423">
        <v>350</v>
      </c>
      <c r="J169" s="426">
        <v>108</v>
      </c>
      <c r="K169" s="426">
        <v>37800</v>
      </c>
      <c r="L169" s="423">
        <v>0.63157894736842102</v>
      </c>
      <c r="M169" s="423">
        <v>350</v>
      </c>
      <c r="N169" s="426">
        <v>105</v>
      </c>
      <c r="O169" s="426">
        <v>36750</v>
      </c>
      <c r="P169" s="448">
        <v>0.61403508771929827</v>
      </c>
      <c r="Q169" s="427">
        <v>350</v>
      </c>
    </row>
    <row r="170" spans="1:17" ht="14.4" customHeight="1" x14ac:dyDescent="0.3">
      <c r="A170" s="422" t="s">
        <v>1950</v>
      </c>
      <c r="B170" s="423" t="s">
        <v>1943</v>
      </c>
      <c r="C170" s="423" t="s">
        <v>2022</v>
      </c>
      <c r="D170" s="423" t="s">
        <v>2035</v>
      </c>
      <c r="E170" s="423" t="s">
        <v>2036</v>
      </c>
      <c r="F170" s="426">
        <v>1169</v>
      </c>
      <c r="G170" s="426">
        <v>285755.56</v>
      </c>
      <c r="H170" s="423">
        <v>1</v>
      </c>
      <c r="I170" s="423">
        <v>244.4444482463644</v>
      </c>
      <c r="J170" s="426">
        <v>1105</v>
      </c>
      <c r="K170" s="426">
        <v>287833.32999999996</v>
      </c>
      <c r="L170" s="423">
        <v>1.0072711446104494</v>
      </c>
      <c r="M170" s="423">
        <v>260.48265158371038</v>
      </c>
      <c r="N170" s="426">
        <v>776</v>
      </c>
      <c r="O170" s="426">
        <v>208657.78</v>
      </c>
      <c r="P170" s="448">
        <v>0.73019674577810489</v>
      </c>
      <c r="Q170" s="427">
        <v>268.88889175257731</v>
      </c>
    </row>
    <row r="171" spans="1:17" ht="14.4" customHeight="1" x14ac:dyDescent="0.3">
      <c r="A171" s="422" t="s">
        <v>1950</v>
      </c>
      <c r="B171" s="423" t="s">
        <v>1943</v>
      </c>
      <c r="C171" s="423" t="s">
        <v>2022</v>
      </c>
      <c r="D171" s="423" t="s">
        <v>2037</v>
      </c>
      <c r="E171" s="423" t="s">
        <v>2038</v>
      </c>
      <c r="F171" s="426">
        <v>88</v>
      </c>
      <c r="G171" s="426">
        <v>25911.120000000003</v>
      </c>
      <c r="H171" s="423">
        <v>1</v>
      </c>
      <c r="I171" s="423">
        <v>294.4445454545455</v>
      </c>
      <c r="J171" s="426">
        <v>46</v>
      </c>
      <c r="K171" s="426">
        <v>13544.43</v>
      </c>
      <c r="L171" s="423">
        <v>0.52272653594286922</v>
      </c>
      <c r="M171" s="423">
        <v>294.44413043478261</v>
      </c>
      <c r="N171" s="426">
        <v>44</v>
      </c>
      <c r="O171" s="426">
        <v>12955.560000000001</v>
      </c>
      <c r="P171" s="448">
        <v>0.5</v>
      </c>
      <c r="Q171" s="427">
        <v>294.4445454545455</v>
      </c>
    </row>
    <row r="172" spans="1:17" ht="14.4" customHeight="1" x14ac:dyDescent="0.3">
      <c r="A172" s="422" t="s">
        <v>1950</v>
      </c>
      <c r="B172" s="423" t="s">
        <v>1943</v>
      </c>
      <c r="C172" s="423" t="s">
        <v>2022</v>
      </c>
      <c r="D172" s="423" t="s">
        <v>2039</v>
      </c>
      <c r="E172" s="423" t="s">
        <v>2040</v>
      </c>
      <c r="F172" s="426">
        <v>1</v>
      </c>
      <c r="G172" s="426">
        <v>11.11</v>
      </c>
      <c r="H172" s="423">
        <v>1</v>
      </c>
      <c r="I172" s="423">
        <v>11.11</v>
      </c>
      <c r="J172" s="426">
        <v>3</v>
      </c>
      <c r="K172" s="426">
        <v>33.33</v>
      </c>
      <c r="L172" s="423">
        <v>3</v>
      </c>
      <c r="M172" s="423">
        <v>11.11</v>
      </c>
      <c r="N172" s="426"/>
      <c r="O172" s="426"/>
      <c r="P172" s="448"/>
      <c r="Q172" s="427"/>
    </row>
    <row r="173" spans="1:17" ht="14.4" customHeight="1" x14ac:dyDescent="0.3">
      <c r="A173" s="422" t="s">
        <v>1950</v>
      </c>
      <c r="B173" s="423" t="s">
        <v>1943</v>
      </c>
      <c r="C173" s="423" t="s">
        <v>2022</v>
      </c>
      <c r="D173" s="423" t="s">
        <v>2041</v>
      </c>
      <c r="E173" s="423" t="s">
        <v>2026</v>
      </c>
      <c r="F173" s="426">
        <v>1764</v>
      </c>
      <c r="G173" s="426">
        <v>658560</v>
      </c>
      <c r="H173" s="423">
        <v>1</v>
      </c>
      <c r="I173" s="423">
        <v>373.33333333333331</v>
      </c>
      <c r="J173" s="426">
        <v>1684</v>
      </c>
      <c r="K173" s="426">
        <v>624213.34</v>
      </c>
      <c r="L173" s="423">
        <v>0.94784581511175892</v>
      </c>
      <c r="M173" s="423">
        <v>370.6730047505938</v>
      </c>
      <c r="N173" s="426">
        <v>1335</v>
      </c>
      <c r="O173" s="426">
        <v>498400</v>
      </c>
      <c r="P173" s="448">
        <v>0.75680272108843538</v>
      </c>
      <c r="Q173" s="427">
        <v>373.33333333333331</v>
      </c>
    </row>
    <row r="174" spans="1:17" ht="14.4" customHeight="1" x14ac:dyDescent="0.3">
      <c r="A174" s="422" t="s">
        <v>1950</v>
      </c>
      <c r="B174" s="423" t="s">
        <v>1943</v>
      </c>
      <c r="C174" s="423" t="s">
        <v>2022</v>
      </c>
      <c r="D174" s="423" t="s">
        <v>2042</v>
      </c>
      <c r="E174" s="423" t="s">
        <v>2043</v>
      </c>
      <c r="F174" s="426">
        <v>107</v>
      </c>
      <c r="G174" s="426">
        <v>19973.330000000002</v>
      </c>
      <c r="H174" s="423">
        <v>1</v>
      </c>
      <c r="I174" s="423">
        <v>186.66663551401871</v>
      </c>
      <c r="J174" s="426">
        <v>101</v>
      </c>
      <c r="K174" s="426">
        <v>17733.34</v>
      </c>
      <c r="L174" s="423">
        <v>0.88785094924081254</v>
      </c>
      <c r="M174" s="423">
        <v>175.57762376237625</v>
      </c>
      <c r="N174" s="426">
        <v>75</v>
      </c>
      <c r="O174" s="426">
        <v>13999.99</v>
      </c>
      <c r="P174" s="448">
        <v>0.70093419575003257</v>
      </c>
      <c r="Q174" s="427">
        <v>186.66653333333332</v>
      </c>
    </row>
    <row r="175" spans="1:17" ht="14.4" customHeight="1" x14ac:dyDescent="0.3">
      <c r="A175" s="422" t="s">
        <v>1950</v>
      </c>
      <c r="B175" s="423" t="s">
        <v>1943</v>
      </c>
      <c r="C175" s="423" t="s">
        <v>2022</v>
      </c>
      <c r="D175" s="423" t="s">
        <v>2044</v>
      </c>
      <c r="E175" s="423" t="s">
        <v>2045</v>
      </c>
      <c r="F175" s="426">
        <v>56</v>
      </c>
      <c r="G175" s="426">
        <v>32666.67</v>
      </c>
      <c r="H175" s="423">
        <v>1</v>
      </c>
      <c r="I175" s="423">
        <v>583.33339285714283</v>
      </c>
      <c r="J175" s="426">
        <v>59</v>
      </c>
      <c r="K175" s="426">
        <v>33250</v>
      </c>
      <c r="L175" s="423">
        <v>1.0178570389941797</v>
      </c>
      <c r="M175" s="423">
        <v>563.5593220338983</v>
      </c>
      <c r="N175" s="426">
        <v>68</v>
      </c>
      <c r="O175" s="426">
        <v>39666.68</v>
      </c>
      <c r="P175" s="448">
        <v>1.2142859985422452</v>
      </c>
      <c r="Q175" s="427">
        <v>583.33352941176474</v>
      </c>
    </row>
    <row r="176" spans="1:17" ht="14.4" customHeight="1" x14ac:dyDescent="0.3">
      <c r="A176" s="422" t="s">
        <v>1950</v>
      </c>
      <c r="B176" s="423" t="s">
        <v>1943</v>
      </c>
      <c r="C176" s="423" t="s">
        <v>2022</v>
      </c>
      <c r="D176" s="423" t="s">
        <v>2046</v>
      </c>
      <c r="E176" s="423" t="s">
        <v>2047</v>
      </c>
      <c r="F176" s="426">
        <v>30</v>
      </c>
      <c r="G176" s="426">
        <v>14000</v>
      </c>
      <c r="H176" s="423">
        <v>1</v>
      </c>
      <c r="I176" s="423">
        <v>466.66666666666669</v>
      </c>
      <c r="J176" s="426">
        <v>38</v>
      </c>
      <c r="K176" s="426">
        <v>17733.34</v>
      </c>
      <c r="L176" s="423">
        <v>1.2666671428571428</v>
      </c>
      <c r="M176" s="423">
        <v>466.66684210526319</v>
      </c>
      <c r="N176" s="426">
        <v>23</v>
      </c>
      <c r="O176" s="426">
        <v>10733.34</v>
      </c>
      <c r="P176" s="448">
        <v>0.76666714285714288</v>
      </c>
      <c r="Q176" s="427">
        <v>466.66695652173911</v>
      </c>
    </row>
    <row r="177" spans="1:17" ht="14.4" customHeight="1" x14ac:dyDescent="0.3">
      <c r="A177" s="422" t="s">
        <v>1950</v>
      </c>
      <c r="B177" s="423" t="s">
        <v>1943</v>
      </c>
      <c r="C177" s="423" t="s">
        <v>2022</v>
      </c>
      <c r="D177" s="423" t="s">
        <v>2109</v>
      </c>
      <c r="E177" s="423" t="s">
        <v>2047</v>
      </c>
      <c r="F177" s="426">
        <v>4</v>
      </c>
      <c r="G177" s="426">
        <v>4000</v>
      </c>
      <c r="H177" s="423">
        <v>1</v>
      </c>
      <c r="I177" s="423">
        <v>1000</v>
      </c>
      <c r="J177" s="426">
        <v>6</v>
      </c>
      <c r="K177" s="426">
        <v>6000</v>
      </c>
      <c r="L177" s="423">
        <v>1.5</v>
      </c>
      <c r="M177" s="423">
        <v>1000</v>
      </c>
      <c r="N177" s="426">
        <v>8</v>
      </c>
      <c r="O177" s="426">
        <v>8000</v>
      </c>
      <c r="P177" s="448">
        <v>2</v>
      </c>
      <c r="Q177" s="427">
        <v>1000</v>
      </c>
    </row>
    <row r="178" spans="1:17" ht="14.4" customHeight="1" x14ac:dyDescent="0.3">
      <c r="A178" s="422" t="s">
        <v>1950</v>
      </c>
      <c r="B178" s="423" t="s">
        <v>1943</v>
      </c>
      <c r="C178" s="423" t="s">
        <v>2022</v>
      </c>
      <c r="D178" s="423" t="s">
        <v>2110</v>
      </c>
      <c r="E178" s="423" t="s">
        <v>2111</v>
      </c>
      <c r="F178" s="426">
        <v>1</v>
      </c>
      <c r="G178" s="426">
        <v>666.67</v>
      </c>
      <c r="H178" s="423">
        <v>1</v>
      </c>
      <c r="I178" s="423">
        <v>666.67</v>
      </c>
      <c r="J178" s="426"/>
      <c r="K178" s="426"/>
      <c r="L178" s="423"/>
      <c r="M178" s="423"/>
      <c r="N178" s="426">
        <v>1</v>
      </c>
      <c r="O178" s="426">
        <v>666.67</v>
      </c>
      <c r="P178" s="448">
        <v>1</v>
      </c>
      <c r="Q178" s="427">
        <v>666.67</v>
      </c>
    </row>
    <row r="179" spans="1:17" ht="14.4" customHeight="1" x14ac:dyDescent="0.3">
      <c r="A179" s="422" t="s">
        <v>1950</v>
      </c>
      <c r="B179" s="423" t="s">
        <v>1943</v>
      </c>
      <c r="C179" s="423" t="s">
        <v>2022</v>
      </c>
      <c r="D179" s="423" t="s">
        <v>2048</v>
      </c>
      <c r="E179" s="423" t="s">
        <v>2049</v>
      </c>
      <c r="F179" s="426">
        <v>211</v>
      </c>
      <c r="G179" s="426">
        <v>10550</v>
      </c>
      <c r="H179" s="423">
        <v>1</v>
      </c>
      <c r="I179" s="423">
        <v>50</v>
      </c>
      <c r="J179" s="426">
        <v>222</v>
      </c>
      <c r="K179" s="426">
        <v>11100</v>
      </c>
      <c r="L179" s="423">
        <v>1.0521327014218009</v>
      </c>
      <c r="M179" s="423">
        <v>50</v>
      </c>
      <c r="N179" s="426">
        <v>199</v>
      </c>
      <c r="O179" s="426">
        <v>9950</v>
      </c>
      <c r="P179" s="448">
        <v>0.94312796208530802</v>
      </c>
      <c r="Q179" s="427">
        <v>50</v>
      </c>
    </row>
    <row r="180" spans="1:17" ht="14.4" customHeight="1" x14ac:dyDescent="0.3">
      <c r="A180" s="422" t="s">
        <v>1950</v>
      </c>
      <c r="B180" s="423" t="s">
        <v>1943</v>
      </c>
      <c r="C180" s="423" t="s">
        <v>2022</v>
      </c>
      <c r="D180" s="423" t="s">
        <v>2054</v>
      </c>
      <c r="E180" s="423" t="s">
        <v>2055</v>
      </c>
      <c r="F180" s="426">
        <v>1</v>
      </c>
      <c r="G180" s="426">
        <v>0</v>
      </c>
      <c r="H180" s="423"/>
      <c r="I180" s="423">
        <v>0</v>
      </c>
      <c r="J180" s="426"/>
      <c r="K180" s="426"/>
      <c r="L180" s="423"/>
      <c r="M180" s="423"/>
      <c r="N180" s="426">
        <v>1</v>
      </c>
      <c r="O180" s="426">
        <v>0</v>
      </c>
      <c r="P180" s="448"/>
      <c r="Q180" s="427">
        <v>0</v>
      </c>
    </row>
    <row r="181" spans="1:17" ht="14.4" customHeight="1" x14ac:dyDescent="0.3">
      <c r="A181" s="422" t="s">
        <v>1950</v>
      </c>
      <c r="B181" s="423" t="s">
        <v>1943</v>
      </c>
      <c r="C181" s="423" t="s">
        <v>2022</v>
      </c>
      <c r="D181" s="423" t="s">
        <v>2056</v>
      </c>
      <c r="E181" s="423" t="s">
        <v>2057</v>
      </c>
      <c r="F181" s="426">
        <v>14</v>
      </c>
      <c r="G181" s="426">
        <v>0</v>
      </c>
      <c r="H181" s="423"/>
      <c r="I181" s="423">
        <v>0</v>
      </c>
      <c r="J181" s="426">
        <v>13</v>
      </c>
      <c r="K181" s="426">
        <v>0</v>
      </c>
      <c r="L181" s="423"/>
      <c r="M181" s="423">
        <v>0</v>
      </c>
      <c r="N181" s="426">
        <v>13</v>
      </c>
      <c r="O181" s="426">
        <v>0</v>
      </c>
      <c r="P181" s="448"/>
      <c r="Q181" s="427">
        <v>0</v>
      </c>
    </row>
    <row r="182" spans="1:17" ht="14.4" customHeight="1" x14ac:dyDescent="0.3">
      <c r="A182" s="422" t="s">
        <v>1950</v>
      </c>
      <c r="B182" s="423" t="s">
        <v>1943</v>
      </c>
      <c r="C182" s="423" t="s">
        <v>2022</v>
      </c>
      <c r="D182" s="423" t="s">
        <v>2058</v>
      </c>
      <c r="E182" s="423" t="s">
        <v>2059</v>
      </c>
      <c r="F182" s="426">
        <v>518</v>
      </c>
      <c r="G182" s="426">
        <v>158277.78</v>
      </c>
      <c r="H182" s="423">
        <v>1</v>
      </c>
      <c r="I182" s="423">
        <v>305.55555984555986</v>
      </c>
      <c r="J182" s="426">
        <v>539</v>
      </c>
      <c r="K182" s="426">
        <v>164083.33999999997</v>
      </c>
      <c r="L182" s="423">
        <v>1.036679564244583</v>
      </c>
      <c r="M182" s="423">
        <v>304.42178107606674</v>
      </c>
      <c r="N182" s="426">
        <v>348</v>
      </c>
      <c r="O182" s="426">
        <v>106333.32</v>
      </c>
      <c r="P182" s="448">
        <v>0.6718145781423015</v>
      </c>
      <c r="Q182" s="427">
        <v>305.55551724137933</v>
      </c>
    </row>
    <row r="183" spans="1:17" ht="14.4" customHeight="1" x14ac:dyDescent="0.3">
      <c r="A183" s="422" t="s">
        <v>1950</v>
      </c>
      <c r="B183" s="423" t="s">
        <v>1943</v>
      </c>
      <c r="C183" s="423" t="s">
        <v>2022</v>
      </c>
      <c r="D183" s="423" t="s">
        <v>2060</v>
      </c>
      <c r="E183" s="423" t="s">
        <v>2061</v>
      </c>
      <c r="F183" s="426">
        <v>276</v>
      </c>
      <c r="G183" s="426">
        <v>0</v>
      </c>
      <c r="H183" s="423"/>
      <c r="I183" s="423">
        <v>0</v>
      </c>
      <c r="J183" s="426">
        <v>317</v>
      </c>
      <c r="K183" s="426">
        <v>0</v>
      </c>
      <c r="L183" s="423"/>
      <c r="M183" s="423">
        <v>0</v>
      </c>
      <c r="N183" s="426">
        <v>236</v>
      </c>
      <c r="O183" s="426">
        <v>4233.34</v>
      </c>
      <c r="P183" s="448"/>
      <c r="Q183" s="427">
        <v>17.937881355932205</v>
      </c>
    </row>
    <row r="184" spans="1:17" ht="14.4" customHeight="1" x14ac:dyDescent="0.3">
      <c r="A184" s="422" t="s">
        <v>1950</v>
      </c>
      <c r="B184" s="423" t="s">
        <v>1943</v>
      </c>
      <c r="C184" s="423" t="s">
        <v>2022</v>
      </c>
      <c r="D184" s="423" t="s">
        <v>2062</v>
      </c>
      <c r="E184" s="423" t="s">
        <v>2063</v>
      </c>
      <c r="F184" s="426">
        <v>1475</v>
      </c>
      <c r="G184" s="426">
        <v>671944.45</v>
      </c>
      <c r="H184" s="423">
        <v>1</v>
      </c>
      <c r="I184" s="423">
        <v>455.55555932203384</v>
      </c>
      <c r="J184" s="426">
        <v>1583</v>
      </c>
      <c r="K184" s="426">
        <v>709300.00999999989</v>
      </c>
      <c r="L184" s="423">
        <v>1.0555932264936483</v>
      </c>
      <c r="M184" s="423">
        <v>448.07328490208459</v>
      </c>
      <c r="N184" s="426">
        <v>1276</v>
      </c>
      <c r="O184" s="426">
        <v>581288.89000000013</v>
      </c>
      <c r="P184" s="448">
        <v>0.86508474026387172</v>
      </c>
      <c r="Q184" s="427">
        <v>455.55555642633237</v>
      </c>
    </row>
    <row r="185" spans="1:17" ht="14.4" customHeight="1" x14ac:dyDescent="0.3">
      <c r="A185" s="422" t="s">
        <v>1950</v>
      </c>
      <c r="B185" s="423" t="s">
        <v>1943</v>
      </c>
      <c r="C185" s="423" t="s">
        <v>2022</v>
      </c>
      <c r="D185" s="423" t="s">
        <v>2092</v>
      </c>
      <c r="E185" s="423" t="s">
        <v>2093</v>
      </c>
      <c r="F185" s="426">
        <v>1</v>
      </c>
      <c r="G185" s="426">
        <v>58.89</v>
      </c>
      <c r="H185" s="423">
        <v>1</v>
      </c>
      <c r="I185" s="423">
        <v>58.89</v>
      </c>
      <c r="J185" s="426"/>
      <c r="K185" s="426"/>
      <c r="L185" s="423"/>
      <c r="M185" s="423"/>
      <c r="N185" s="426"/>
      <c r="O185" s="426"/>
      <c r="P185" s="448"/>
      <c r="Q185" s="427"/>
    </row>
    <row r="186" spans="1:17" ht="14.4" customHeight="1" x14ac:dyDescent="0.3">
      <c r="A186" s="422" t="s">
        <v>1950</v>
      </c>
      <c r="B186" s="423" t="s">
        <v>1943</v>
      </c>
      <c r="C186" s="423" t="s">
        <v>2022</v>
      </c>
      <c r="D186" s="423" t="s">
        <v>2064</v>
      </c>
      <c r="E186" s="423" t="s">
        <v>2065</v>
      </c>
      <c r="F186" s="426">
        <v>631</v>
      </c>
      <c r="G186" s="426">
        <v>49077.789999999994</v>
      </c>
      <c r="H186" s="423">
        <v>1</v>
      </c>
      <c r="I186" s="423">
        <v>77.777797147385087</v>
      </c>
      <c r="J186" s="426">
        <v>665</v>
      </c>
      <c r="K186" s="426">
        <v>51411.1</v>
      </c>
      <c r="L186" s="423">
        <v>1.0475430943406376</v>
      </c>
      <c r="M186" s="423">
        <v>77.309924812030076</v>
      </c>
      <c r="N186" s="426">
        <v>473</v>
      </c>
      <c r="O186" s="426">
        <v>36788.880000000005</v>
      </c>
      <c r="P186" s="448">
        <v>0.7496034356885265</v>
      </c>
      <c r="Q186" s="427">
        <v>77.777758985200862</v>
      </c>
    </row>
    <row r="187" spans="1:17" ht="14.4" customHeight="1" x14ac:dyDescent="0.3">
      <c r="A187" s="422" t="s">
        <v>1950</v>
      </c>
      <c r="B187" s="423" t="s">
        <v>1943</v>
      </c>
      <c r="C187" s="423" t="s">
        <v>2022</v>
      </c>
      <c r="D187" s="423" t="s">
        <v>2112</v>
      </c>
      <c r="E187" s="423" t="s">
        <v>2113</v>
      </c>
      <c r="F187" s="426">
        <v>60</v>
      </c>
      <c r="G187" s="426">
        <v>42000</v>
      </c>
      <c r="H187" s="423">
        <v>1</v>
      </c>
      <c r="I187" s="423">
        <v>700</v>
      </c>
      <c r="J187" s="426">
        <v>52</v>
      </c>
      <c r="K187" s="426">
        <v>35000</v>
      </c>
      <c r="L187" s="423">
        <v>0.83333333333333337</v>
      </c>
      <c r="M187" s="423">
        <v>673.07692307692309</v>
      </c>
      <c r="N187" s="426">
        <v>36</v>
      </c>
      <c r="O187" s="426">
        <v>25200</v>
      </c>
      <c r="P187" s="448">
        <v>0.6</v>
      </c>
      <c r="Q187" s="427">
        <v>700</v>
      </c>
    </row>
    <row r="188" spans="1:17" ht="14.4" customHeight="1" x14ac:dyDescent="0.3">
      <c r="A188" s="422" t="s">
        <v>1950</v>
      </c>
      <c r="B188" s="423" t="s">
        <v>1943</v>
      </c>
      <c r="C188" s="423" t="s">
        <v>2022</v>
      </c>
      <c r="D188" s="423" t="s">
        <v>2068</v>
      </c>
      <c r="E188" s="423" t="s">
        <v>2069</v>
      </c>
      <c r="F188" s="426"/>
      <c r="G188" s="426"/>
      <c r="H188" s="423"/>
      <c r="I188" s="423"/>
      <c r="J188" s="426"/>
      <c r="K188" s="426"/>
      <c r="L188" s="423"/>
      <c r="M188" s="423"/>
      <c r="N188" s="426">
        <v>1</v>
      </c>
      <c r="O188" s="426">
        <v>270</v>
      </c>
      <c r="P188" s="448"/>
      <c r="Q188" s="427">
        <v>270</v>
      </c>
    </row>
    <row r="189" spans="1:17" ht="14.4" customHeight="1" x14ac:dyDescent="0.3">
      <c r="A189" s="422" t="s">
        <v>1950</v>
      </c>
      <c r="B189" s="423" t="s">
        <v>1943</v>
      </c>
      <c r="C189" s="423" t="s">
        <v>2022</v>
      </c>
      <c r="D189" s="423" t="s">
        <v>2070</v>
      </c>
      <c r="E189" s="423" t="s">
        <v>2071</v>
      </c>
      <c r="F189" s="426">
        <v>839</v>
      </c>
      <c r="G189" s="426">
        <v>74577.77</v>
      </c>
      <c r="H189" s="423">
        <v>1</v>
      </c>
      <c r="I189" s="423">
        <v>88.888879618593563</v>
      </c>
      <c r="J189" s="426">
        <v>1048</v>
      </c>
      <c r="K189" s="426">
        <v>91733.32</v>
      </c>
      <c r="L189" s="423">
        <v>1.2300357063505654</v>
      </c>
      <c r="M189" s="423">
        <v>87.531793893129773</v>
      </c>
      <c r="N189" s="426">
        <v>829</v>
      </c>
      <c r="O189" s="426">
        <v>73688.89</v>
      </c>
      <c r="P189" s="448">
        <v>0.98808116681418601</v>
      </c>
      <c r="Q189" s="427">
        <v>88.888890229191801</v>
      </c>
    </row>
    <row r="190" spans="1:17" ht="14.4" customHeight="1" x14ac:dyDescent="0.3">
      <c r="A190" s="422" t="s">
        <v>1950</v>
      </c>
      <c r="B190" s="423" t="s">
        <v>1943</v>
      </c>
      <c r="C190" s="423" t="s">
        <v>2022</v>
      </c>
      <c r="D190" s="423" t="s">
        <v>2072</v>
      </c>
      <c r="E190" s="423" t="s">
        <v>2073</v>
      </c>
      <c r="F190" s="426">
        <v>1</v>
      </c>
      <c r="G190" s="426">
        <v>43.33</v>
      </c>
      <c r="H190" s="423">
        <v>1</v>
      </c>
      <c r="I190" s="423">
        <v>43.33</v>
      </c>
      <c r="J190" s="426">
        <v>4</v>
      </c>
      <c r="K190" s="426">
        <v>173.33</v>
      </c>
      <c r="L190" s="423">
        <v>4.0002307869836145</v>
      </c>
      <c r="M190" s="423">
        <v>43.332500000000003</v>
      </c>
      <c r="N190" s="426"/>
      <c r="O190" s="426"/>
      <c r="P190" s="448"/>
      <c r="Q190" s="427"/>
    </row>
    <row r="191" spans="1:17" ht="14.4" customHeight="1" x14ac:dyDescent="0.3">
      <c r="A191" s="422" t="s">
        <v>1950</v>
      </c>
      <c r="B191" s="423" t="s">
        <v>1943</v>
      </c>
      <c r="C191" s="423" t="s">
        <v>2022</v>
      </c>
      <c r="D191" s="423" t="s">
        <v>2074</v>
      </c>
      <c r="E191" s="423" t="s">
        <v>2075</v>
      </c>
      <c r="F191" s="426">
        <v>890</v>
      </c>
      <c r="G191" s="426">
        <v>86033.34</v>
      </c>
      <c r="H191" s="423">
        <v>1</v>
      </c>
      <c r="I191" s="423">
        <v>96.666674157303362</v>
      </c>
      <c r="J191" s="426">
        <v>1034</v>
      </c>
      <c r="K191" s="426">
        <v>98406.67</v>
      </c>
      <c r="L191" s="423">
        <v>1.1438201748298973</v>
      </c>
      <c r="M191" s="423">
        <v>95.170860735009668</v>
      </c>
      <c r="N191" s="426">
        <v>831</v>
      </c>
      <c r="O191" s="426">
        <v>80329.990000000005</v>
      </c>
      <c r="P191" s="448">
        <v>0.93370767658212517</v>
      </c>
      <c r="Q191" s="427">
        <v>96.666654632972325</v>
      </c>
    </row>
    <row r="192" spans="1:17" ht="14.4" customHeight="1" x14ac:dyDescent="0.3">
      <c r="A192" s="422" t="s">
        <v>1950</v>
      </c>
      <c r="B192" s="423" t="s">
        <v>1943</v>
      </c>
      <c r="C192" s="423" t="s">
        <v>2022</v>
      </c>
      <c r="D192" s="423" t="s">
        <v>2114</v>
      </c>
      <c r="E192" s="423" t="s">
        <v>2115</v>
      </c>
      <c r="F192" s="426">
        <v>1</v>
      </c>
      <c r="G192" s="426">
        <v>333.33</v>
      </c>
      <c r="H192" s="423">
        <v>1</v>
      </c>
      <c r="I192" s="423">
        <v>333.33</v>
      </c>
      <c r="J192" s="426"/>
      <c r="K192" s="426"/>
      <c r="L192" s="423"/>
      <c r="M192" s="423"/>
      <c r="N192" s="426"/>
      <c r="O192" s="426"/>
      <c r="P192" s="448"/>
      <c r="Q192" s="427"/>
    </row>
    <row r="193" spans="1:17" ht="14.4" customHeight="1" x14ac:dyDescent="0.3">
      <c r="A193" s="422" t="s">
        <v>1950</v>
      </c>
      <c r="B193" s="423" t="s">
        <v>1943</v>
      </c>
      <c r="C193" s="423" t="s">
        <v>2022</v>
      </c>
      <c r="D193" s="423" t="s">
        <v>2078</v>
      </c>
      <c r="E193" s="423" t="s">
        <v>2079</v>
      </c>
      <c r="F193" s="426">
        <v>1517</v>
      </c>
      <c r="G193" s="426">
        <v>212380</v>
      </c>
      <c r="H193" s="423">
        <v>1</v>
      </c>
      <c r="I193" s="423">
        <v>140</v>
      </c>
      <c r="J193" s="426">
        <v>1408</v>
      </c>
      <c r="K193" s="426">
        <v>195440</v>
      </c>
      <c r="L193" s="423">
        <v>0.92023731048121293</v>
      </c>
      <c r="M193" s="423">
        <v>138.80681818181819</v>
      </c>
      <c r="N193" s="426">
        <v>983</v>
      </c>
      <c r="O193" s="426">
        <v>137620</v>
      </c>
      <c r="P193" s="448">
        <v>0.64798945286750165</v>
      </c>
      <c r="Q193" s="427">
        <v>140</v>
      </c>
    </row>
    <row r="194" spans="1:17" ht="14.4" customHeight="1" x14ac:dyDescent="0.3">
      <c r="A194" s="422" t="s">
        <v>1950</v>
      </c>
      <c r="B194" s="423" t="s">
        <v>1943</v>
      </c>
      <c r="C194" s="423" t="s">
        <v>2022</v>
      </c>
      <c r="D194" s="423" t="s">
        <v>2094</v>
      </c>
      <c r="E194" s="423" t="s">
        <v>2095</v>
      </c>
      <c r="F194" s="426">
        <v>1399</v>
      </c>
      <c r="G194" s="426">
        <v>105702.22</v>
      </c>
      <c r="H194" s="423">
        <v>1</v>
      </c>
      <c r="I194" s="423">
        <v>75.555553967119366</v>
      </c>
      <c r="J194" s="426">
        <v>1379</v>
      </c>
      <c r="K194" s="426">
        <v>103133.33</v>
      </c>
      <c r="L194" s="423">
        <v>0.9756969153533388</v>
      </c>
      <c r="M194" s="423">
        <v>74.788491660623635</v>
      </c>
      <c r="N194" s="426">
        <v>1153</v>
      </c>
      <c r="O194" s="426">
        <v>87115.56</v>
      </c>
      <c r="P194" s="448">
        <v>0.824160173740911</v>
      </c>
      <c r="Q194" s="427">
        <v>75.555559410234167</v>
      </c>
    </row>
    <row r="195" spans="1:17" ht="14.4" customHeight="1" x14ac:dyDescent="0.3">
      <c r="A195" s="422" t="s">
        <v>1950</v>
      </c>
      <c r="B195" s="423" t="s">
        <v>1943</v>
      </c>
      <c r="C195" s="423" t="s">
        <v>2022</v>
      </c>
      <c r="D195" s="423" t="s">
        <v>2116</v>
      </c>
      <c r="E195" s="423" t="s">
        <v>2117</v>
      </c>
      <c r="F195" s="426">
        <v>62</v>
      </c>
      <c r="G195" s="426">
        <v>79566.67</v>
      </c>
      <c r="H195" s="423">
        <v>1</v>
      </c>
      <c r="I195" s="423">
        <v>1283.3333870967742</v>
      </c>
      <c r="J195" s="426">
        <v>82</v>
      </c>
      <c r="K195" s="426">
        <v>105233.33</v>
      </c>
      <c r="L195" s="423">
        <v>1.3225805478600525</v>
      </c>
      <c r="M195" s="423">
        <v>1283.3332926829269</v>
      </c>
      <c r="N195" s="426">
        <v>83</v>
      </c>
      <c r="O195" s="426">
        <v>106516.66</v>
      </c>
      <c r="P195" s="448">
        <v>1.3387095375488254</v>
      </c>
      <c r="Q195" s="427">
        <v>1283.3332530120483</v>
      </c>
    </row>
    <row r="196" spans="1:17" ht="14.4" customHeight="1" x14ac:dyDescent="0.3">
      <c r="A196" s="422" t="s">
        <v>1950</v>
      </c>
      <c r="B196" s="423" t="s">
        <v>1943</v>
      </c>
      <c r="C196" s="423" t="s">
        <v>2022</v>
      </c>
      <c r="D196" s="423" t="s">
        <v>2118</v>
      </c>
      <c r="E196" s="423" t="s">
        <v>2119</v>
      </c>
      <c r="F196" s="426"/>
      <c r="G196" s="426"/>
      <c r="H196" s="423"/>
      <c r="I196" s="423"/>
      <c r="J196" s="426">
        <v>2</v>
      </c>
      <c r="K196" s="426">
        <v>933.34</v>
      </c>
      <c r="L196" s="423"/>
      <c r="M196" s="423">
        <v>466.67</v>
      </c>
      <c r="N196" s="426"/>
      <c r="O196" s="426"/>
      <c r="P196" s="448"/>
      <c r="Q196" s="427"/>
    </row>
    <row r="197" spans="1:17" ht="14.4" customHeight="1" x14ac:dyDescent="0.3">
      <c r="A197" s="422" t="s">
        <v>1950</v>
      </c>
      <c r="B197" s="423" t="s">
        <v>1943</v>
      </c>
      <c r="C197" s="423" t="s">
        <v>2022</v>
      </c>
      <c r="D197" s="423" t="s">
        <v>2080</v>
      </c>
      <c r="E197" s="423" t="s">
        <v>2081</v>
      </c>
      <c r="F197" s="426"/>
      <c r="G197" s="426"/>
      <c r="H197" s="423"/>
      <c r="I197" s="423"/>
      <c r="J197" s="426">
        <v>2</v>
      </c>
      <c r="K197" s="426">
        <v>233.34</v>
      </c>
      <c r="L197" s="423"/>
      <c r="M197" s="423">
        <v>116.67</v>
      </c>
      <c r="N197" s="426">
        <v>2</v>
      </c>
      <c r="O197" s="426">
        <v>233.34</v>
      </c>
      <c r="P197" s="448"/>
      <c r="Q197" s="427">
        <v>116.67</v>
      </c>
    </row>
    <row r="198" spans="1:17" ht="14.4" customHeight="1" x14ac:dyDescent="0.3">
      <c r="A198" s="422" t="s">
        <v>1950</v>
      </c>
      <c r="B198" s="423" t="s">
        <v>1943</v>
      </c>
      <c r="C198" s="423" t="s">
        <v>2022</v>
      </c>
      <c r="D198" s="423" t="s">
        <v>2096</v>
      </c>
      <c r="E198" s="423" t="s">
        <v>2097</v>
      </c>
      <c r="F198" s="426">
        <v>3</v>
      </c>
      <c r="G198" s="426">
        <v>1400</v>
      </c>
      <c r="H198" s="423">
        <v>1</v>
      </c>
      <c r="I198" s="423">
        <v>466.66666666666669</v>
      </c>
      <c r="J198" s="426">
        <v>1</v>
      </c>
      <c r="K198" s="426">
        <v>466.67</v>
      </c>
      <c r="L198" s="423">
        <v>0.33333571428571429</v>
      </c>
      <c r="M198" s="423">
        <v>466.67</v>
      </c>
      <c r="N198" s="426"/>
      <c r="O198" s="426"/>
      <c r="P198" s="448"/>
      <c r="Q198" s="427"/>
    </row>
    <row r="199" spans="1:17" ht="14.4" customHeight="1" x14ac:dyDescent="0.3">
      <c r="A199" s="422" t="s">
        <v>1950</v>
      </c>
      <c r="B199" s="423" t="s">
        <v>1943</v>
      </c>
      <c r="C199" s="423" t="s">
        <v>2022</v>
      </c>
      <c r="D199" s="423" t="s">
        <v>2084</v>
      </c>
      <c r="E199" s="423" t="s">
        <v>2085</v>
      </c>
      <c r="F199" s="426">
        <v>6</v>
      </c>
      <c r="G199" s="426">
        <v>1966.67</v>
      </c>
      <c r="H199" s="423">
        <v>1</v>
      </c>
      <c r="I199" s="423">
        <v>327.77833333333336</v>
      </c>
      <c r="J199" s="426">
        <v>32</v>
      </c>
      <c r="K199" s="426">
        <v>10488.89</v>
      </c>
      <c r="L199" s="423">
        <v>5.3333248587714257</v>
      </c>
      <c r="M199" s="423">
        <v>327.77781249999998</v>
      </c>
      <c r="N199" s="426">
        <v>3</v>
      </c>
      <c r="O199" s="426">
        <v>983.33</v>
      </c>
      <c r="P199" s="448">
        <v>0.49999745763142772</v>
      </c>
      <c r="Q199" s="427">
        <v>327.7766666666667</v>
      </c>
    </row>
    <row r="200" spans="1:17" ht="14.4" customHeight="1" x14ac:dyDescent="0.3">
      <c r="A200" s="422" t="s">
        <v>1950</v>
      </c>
      <c r="B200" s="423" t="s">
        <v>1943</v>
      </c>
      <c r="C200" s="423" t="s">
        <v>2022</v>
      </c>
      <c r="D200" s="423" t="s">
        <v>2086</v>
      </c>
      <c r="E200" s="423" t="s">
        <v>2087</v>
      </c>
      <c r="F200" s="426">
        <v>16</v>
      </c>
      <c r="G200" s="426">
        <v>4675.5600000000004</v>
      </c>
      <c r="H200" s="423">
        <v>1</v>
      </c>
      <c r="I200" s="423">
        <v>292.22250000000003</v>
      </c>
      <c r="J200" s="426">
        <v>16</v>
      </c>
      <c r="K200" s="426">
        <v>4675.55</v>
      </c>
      <c r="L200" s="423">
        <v>0.99999786121876311</v>
      </c>
      <c r="M200" s="423">
        <v>292.22187500000001</v>
      </c>
      <c r="N200" s="426">
        <v>15</v>
      </c>
      <c r="O200" s="426">
        <v>4383.33</v>
      </c>
      <c r="P200" s="448">
        <v>0.93749839591407225</v>
      </c>
      <c r="Q200" s="427">
        <v>292.22199999999998</v>
      </c>
    </row>
    <row r="201" spans="1:17" ht="14.4" customHeight="1" x14ac:dyDescent="0.3">
      <c r="A201" s="422" t="s">
        <v>1950</v>
      </c>
      <c r="B201" s="423" t="s">
        <v>1943</v>
      </c>
      <c r="C201" s="423" t="s">
        <v>2022</v>
      </c>
      <c r="D201" s="423" t="s">
        <v>2120</v>
      </c>
      <c r="E201" s="423" t="s">
        <v>2121</v>
      </c>
      <c r="F201" s="426">
        <v>2</v>
      </c>
      <c r="G201" s="426">
        <v>1291.1099999999999</v>
      </c>
      <c r="H201" s="423">
        <v>1</v>
      </c>
      <c r="I201" s="423">
        <v>645.55499999999995</v>
      </c>
      <c r="J201" s="426"/>
      <c r="K201" s="426"/>
      <c r="L201" s="423"/>
      <c r="M201" s="423"/>
      <c r="N201" s="426"/>
      <c r="O201" s="426"/>
      <c r="P201" s="448"/>
      <c r="Q201" s="427"/>
    </row>
    <row r="202" spans="1:17" ht="14.4" customHeight="1" x14ac:dyDescent="0.3">
      <c r="A202" s="422" t="s">
        <v>1950</v>
      </c>
      <c r="B202" s="423" t="s">
        <v>1943</v>
      </c>
      <c r="C202" s="423" t="s">
        <v>2022</v>
      </c>
      <c r="D202" s="423" t="s">
        <v>2098</v>
      </c>
      <c r="E202" s="423" t="s">
        <v>2099</v>
      </c>
      <c r="F202" s="426">
        <v>83</v>
      </c>
      <c r="G202" s="426">
        <v>9683.33</v>
      </c>
      <c r="H202" s="423">
        <v>1</v>
      </c>
      <c r="I202" s="423">
        <v>116.6666265060241</v>
      </c>
      <c r="J202" s="426">
        <v>75</v>
      </c>
      <c r="K202" s="426">
        <v>8749.99</v>
      </c>
      <c r="L202" s="423">
        <v>0.9036137361837302</v>
      </c>
      <c r="M202" s="423">
        <v>116.66653333333333</v>
      </c>
      <c r="N202" s="426">
        <v>46</v>
      </c>
      <c r="O202" s="426">
        <v>5366.67</v>
      </c>
      <c r="P202" s="448">
        <v>0.55421740248447593</v>
      </c>
      <c r="Q202" s="427">
        <v>116.66673913043478</v>
      </c>
    </row>
    <row r="203" spans="1:17" ht="14.4" customHeight="1" x14ac:dyDescent="0.3">
      <c r="A203" s="422" t="s">
        <v>1950</v>
      </c>
      <c r="B203" s="423" t="s">
        <v>1943</v>
      </c>
      <c r="C203" s="423" t="s">
        <v>2022</v>
      </c>
      <c r="D203" s="423" t="s">
        <v>2122</v>
      </c>
      <c r="E203" s="423" t="s">
        <v>2123</v>
      </c>
      <c r="F203" s="426"/>
      <c r="G203" s="426"/>
      <c r="H203" s="423"/>
      <c r="I203" s="423"/>
      <c r="J203" s="426">
        <v>1</v>
      </c>
      <c r="K203" s="426">
        <v>195.56</v>
      </c>
      <c r="L203" s="423"/>
      <c r="M203" s="423">
        <v>195.56</v>
      </c>
      <c r="N203" s="426">
        <v>0</v>
      </c>
      <c r="O203" s="426">
        <v>0</v>
      </c>
      <c r="P203" s="448"/>
      <c r="Q203" s="427"/>
    </row>
    <row r="204" spans="1:17" ht="14.4" customHeight="1" x14ac:dyDescent="0.3">
      <c r="A204" s="422" t="s">
        <v>1950</v>
      </c>
      <c r="B204" s="423" t="s">
        <v>1943</v>
      </c>
      <c r="C204" s="423" t="s">
        <v>2022</v>
      </c>
      <c r="D204" s="423" t="s">
        <v>2088</v>
      </c>
      <c r="E204" s="423" t="s">
        <v>2089</v>
      </c>
      <c r="F204" s="426">
        <v>11</v>
      </c>
      <c r="G204" s="426">
        <v>3947.7799999999997</v>
      </c>
      <c r="H204" s="423">
        <v>1</v>
      </c>
      <c r="I204" s="423">
        <v>358.8890909090909</v>
      </c>
      <c r="J204" s="426">
        <v>5</v>
      </c>
      <c r="K204" s="426">
        <v>1794.4499999999998</v>
      </c>
      <c r="L204" s="423">
        <v>0.4545466059405539</v>
      </c>
      <c r="M204" s="423">
        <v>358.89</v>
      </c>
      <c r="N204" s="426">
        <v>3</v>
      </c>
      <c r="O204" s="426">
        <v>1076.67</v>
      </c>
      <c r="P204" s="448">
        <v>0.27272796356433238</v>
      </c>
      <c r="Q204" s="427">
        <v>358.89000000000004</v>
      </c>
    </row>
    <row r="205" spans="1:17" ht="14.4" customHeight="1" x14ac:dyDescent="0.3">
      <c r="A205" s="422" t="s">
        <v>1950</v>
      </c>
      <c r="B205" s="423" t="s">
        <v>1944</v>
      </c>
      <c r="C205" s="423" t="s">
        <v>1951</v>
      </c>
      <c r="D205" s="423" t="s">
        <v>2001</v>
      </c>
      <c r="E205" s="423"/>
      <c r="F205" s="426">
        <v>2</v>
      </c>
      <c r="G205" s="426">
        <v>2016</v>
      </c>
      <c r="H205" s="423">
        <v>1</v>
      </c>
      <c r="I205" s="423">
        <v>1008</v>
      </c>
      <c r="J205" s="426"/>
      <c r="K205" s="426"/>
      <c r="L205" s="423"/>
      <c r="M205" s="423"/>
      <c r="N205" s="426"/>
      <c r="O205" s="426"/>
      <c r="P205" s="448"/>
      <c r="Q205" s="427"/>
    </row>
    <row r="206" spans="1:17" ht="14.4" customHeight="1" x14ac:dyDescent="0.3">
      <c r="A206" s="422" t="s">
        <v>1950</v>
      </c>
      <c r="B206" s="423" t="s">
        <v>1944</v>
      </c>
      <c r="C206" s="423" t="s">
        <v>2022</v>
      </c>
      <c r="D206" s="423" t="s">
        <v>2023</v>
      </c>
      <c r="E206" s="423" t="s">
        <v>2024</v>
      </c>
      <c r="F206" s="426"/>
      <c r="G206" s="426"/>
      <c r="H206" s="423"/>
      <c r="I206" s="423"/>
      <c r="J206" s="426"/>
      <c r="K206" s="426"/>
      <c r="L206" s="423"/>
      <c r="M206" s="423"/>
      <c r="N206" s="426">
        <v>1</v>
      </c>
      <c r="O206" s="426">
        <v>442.22</v>
      </c>
      <c r="P206" s="448"/>
      <c r="Q206" s="427">
        <v>442.22</v>
      </c>
    </row>
    <row r="207" spans="1:17" ht="14.4" customHeight="1" x14ac:dyDescent="0.3">
      <c r="A207" s="422" t="s">
        <v>1950</v>
      </c>
      <c r="B207" s="423" t="s">
        <v>1944</v>
      </c>
      <c r="C207" s="423" t="s">
        <v>2022</v>
      </c>
      <c r="D207" s="423" t="s">
        <v>2025</v>
      </c>
      <c r="E207" s="423" t="s">
        <v>2026</v>
      </c>
      <c r="F207" s="426"/>
      <c r="G207" s="426"/>
      <c r="H207" s="423"/>
      <c r="I207" s="423"/>
      <c r="J207" s="426">
        <v>1</v>
      </c>
      <c r="K207" s="426">
        <v>408.89</v>
      </c>
      <c r="L207" s="423"/>
      <c r="M207" s="423">
        <v>408.89</v>
      </c>
      <c r="N207" s="426"/>
      <c r="O207" s="426"/>
      <c r="P207" s="448"/>
      <c r="Q207" s="427"/>
    </row>
    <row r="208" spans="1:17" ht="14.4" customHeight="1" x14ac:dyDescent="0.3">
      <c r="A208" s="422" t="s">
        <v>1950</v>
      </c>
      <c r="B208" s="423" t="s">
        <v>1944</v>
      </c>
      <c r="C208" s="423" t="s">
        <v>2022</v>
      </c>
      <c r="D208" s="423" t="s">
        <v>2027</v>
      </c>
      <c r="E208" s="423" t="s">
        <v>2028</v>
      </c>
      <c r="F208" s="426">
        <v>93</v>
      </c>
      <c r="G208" s="426">
        <v>7233.33</v>
      </c>
      <c r="H208" s="423">
        <v>1</v>
      </c>
      <c r="I208" s="423">
        <v>77.777741935483874</v>
      </c>
      <c r="J208" s="426">
        <v>138</v>
      </c>
      <c r="K208" s="426">
        <v>10422.219999999999</v>
      </c>
      <c r="L208" s="423">
        <v>1.4408605718251482</v>
      </c>
      <c r="M208" s="423">
        <v>75.523333333333326</v>
      </c>
      <c r="N208" s="426">
        <v>214</v>
      </c>
      <c r="O208" s="426">
        <v>16644.43</v>
      </c>
      <c r="P208" s="448">
        <v>2.3010743322923193</v>
      </c>
      <c r="Q208" s="427">
        <v>77.777710280373839</v>
      </c>
    </row>
    <row r="209" spans="1:17" ht="14.4" customHeight="1" x14ac:dyDescent="0.3">
      <c r="A209" s="422" t="s">
        <v>1950</v>
      </c>
      <c r="B209" s="423" t="s">
        <v>1944</v>
      </c>
      <c r="C209" s="423" t="s">
        <v>2022</v>
      </c>
      <c r="D209" s="423" t="s">
        <v>2029</v>
      </c>
      <c r="E209" s="423" t="s">
        <v>2030</v>
      </c>
      <c r="F209" s="426">
        <v>24</v>
      </c>
      <c r="G209" s="426">
        <v>6000</v>
      </c>
      <c r="H209" s="423">
        <v>1</v>
      </c>
      <c r="I209" s="423">
        <v>250</v>
      </c>
      <c r="J209" s="426">
        <v>15</v>
      </c>
      <c r="K209" s="426">
        <v>3750</v>
      </c>
      <c r="L209" s="423">
        <v>0.625</v>
      </c>
      <c r="M209" s="423">
        <v>250</v>
      </c>
      <c r="N209" s="426">
        <v>6</v>
      </c>
      <c r="O209" s="426">
        <v>1500</v>
      </c>
      <c r="P209" s="448">
        <v>0.25</v>
      </c>
      <c r="Q209" s="427">
        <v>250</v>
      </c>
    </row>
    <row r="210" spans="1:17" ht="14.4" customHeight="1" x14ac:dyDescent="0.3">
      <c r="A210" s="422" t="s">
        <v>1950</v>
      </c>
      <c r="B210" s="423" t="s">
        <v>1944</v>
      </c>
      <c r="C210" s="423" t="s">
        <v>2022</v>
      </c>
      <c r="D210" s="423" t="s">
        <v>2124</v>
      </c>
      <c r="E210" s="423" t="s">
        <v>2125</v>
      </c>
      <c r="F210" s="426"/>
      <c r="G210" s="426"/>
      <c r="H210" s="423"/>
      <c r="I210" s="423"/>
      <c r="J210" s="426">
        <v>3</v>
      </c>
      <c r="K210" s="426">
        <v>900</v>
      </c>
      <c r="L210" s="423"/>
      <c r="M210" s="423">
        <v>300</v>
      </c>
      <c r="N210" s="426"/>
      <c r="O210" s="426"/>
      <c r="P210" s="448"/>
      <c r="Q210" s="427"/>
    </row>
    <row r="211" spans="1:17" ht="14.4" customHeight="1" x14ac:dyDescent="0.3">
      <c r="A211" s="422" t="s">
        <v>1950</v>
      </c>
      <c r="B211" s="423" t="s">
        <v>1944</v>
      </c>
      <c r="C211" s="423" t="s">
        <v>2022</v>
      </c>
      <c r="D211" s="423" t="s">
        <v>2031</v>
      </c>
      <c r="E211" s="423" t="s">
        <v>2032</v>
      </c>
      <c r="F211" s="426">
        <v>302</v>
      </c>
      <c r="G211" s="426">
        <v>33555.550000000003</v>
      </c>
      <c r="H211" s="423">
        <v>1</v>
      </c>
      <c r="I211" s="423">
        <v>111.11109271523179</v>
      </c>
      <c r="J211" s="426">
        <v>370</v>
      </c>
      <c r="K211" s="426">
        <v>40222.229999999996</v>
      </c>
      <c r="L211" s="423">
        <v>1.1986759269331002</v>
      </c>
      <c r="M211" s="423">
        <v>108.70872972972973</v>
      </c>
      <c r="N211" s="426">
        <v>271</v>
      </c>
      <c r="O211" s="426">
        <v>30111.11</v>
      </c>
      <c r="P211" s="448">
        <v>0.89735110883296498</v>
      </c>
      <c r="Q211" s="427">
        <v>111.11110701107012</v>
      </c>
    </row>
    <row r="212" spans="1:17" ht="14.4" customHeight="1" x14ac:dyDescent="0.3">
      <c r="A212" s="422" t="s">
        <v>1950</v>
      </c>
      <c r="B212" s="423" t="s">
        <v>1944</v>
      </c>
      <c r="C212" s="423" t="s">
        <v>2022</v>
      </c>
      <c r="D212" s="423" t="s">
        <v>2035</v>
      </c>
      <c r="E212" s="423" t="s">
        <v>2036</v>
      </c>
      <c r="F212" s="426">
        <v>27</v>
      </c>
      <c r="G212" s="426">
        <v>6599.9900000000007</v>
      </c>
      <c r="H212" s="423">
        <v>1</v>
      </c>
      <c r="I212" s="423">
        <v>244.44407407407411</v>
      </c>
      <c r="J212" s="426">
        <v>14</v>
      </c>
      <c r="K212" s="426">
        <v>3520</v>
      </c>
      <c r="L212" s="423">
        <v>0.53333414141536573</v>
      </c>
      <c r="M212" s="423">
        <v>251.42857142857142</v>
      </c>
      <c r="N212" s="426">
        <v>29</v>
      </c>
      <c r="O212" s="426">
        <v>7797.77</v>
      </c>
      <c r="P212" s="448">
        <v>1.1814820931546866</v>
      </c>
      <c r="Q212" s="427">
        <v>268.88862068965517</v>
      </c>
    </row>
    <row r="213" spans="1:17" ht="14.4" customHeight="1" x14ac:dyDescent="0.3">
      <c r="A213" s="422" t="s">
        <v>1950</v>
      </c>
      <c r="B213" s="423" t="s">
        <v>1944</v>
      </c>
      <c r="C213" s="423" t="s">
        <v>2022</v>
      </c>
      <c r="D213" s="423" t="s">
        <v>2037</v>
      </c>
      <c r="E213" s="423" t="s">
        <v>2038</v>
      </c>
      <c r="F213" s="426">
        <v>4</v>
      </c>
      <c r="G213" s="426">
        <v>1177.77</v>
      </c>
      <c r="H213" s="423">
        <v>1</v>
      </c>
      <c r="I213" s="423">
        <v>294.4425</v>
      </c>
      <c r="J213" s="426">
        <v>6</v>
      </c>
      <c r="K213" s="426">
        <v>1766.66</v>
      </c>
      <c r="L213" s="423">
        <v>1.500004245311054</v>
      </c>
      <c r="M213" s="423">
        <v>294.44333333333333</v>
      </c>
      <c r="N213" s="426">
        <v>14</v>
      </c>
      <c r="O213" s="426">
        <v>4122.21</v>
      </c>
      <c r="P213" s="448">
        <v>3.5000127359331619</v>
      </c>
      <c r="Q213" s="427">
        <v>294.44357142857143</v>
      </c>
    </row>
    <row r="214" spans="1:17" ht="14.4" customHeight="1" x14ac:dyDescent="0.3">
      <c r="A214" s="422" t="s">
        <v>1950</v>
      </c>
      <c r="B214" s="423" t="s">
        <v>1944</v>
      </c>
      <c r="C214" s="423" t="s">
        <v>2022</v>
      </c>
      <c r="D214" s="423" t="s">
        <v>2126</v>
      </c>
      <c r="E214" s="423" t="s">
        <v>2127</v>
      </c>
      <c r="F214" s="426">
        <v>3305</v>
      </c>
      <c r="G214" s="426">
        <v>2570555.56</v>
      </c>
      <c r="H214" s="423">
        <v>1</v>
      </c>
      <c r="I214" s="423">
        <v>777.77777912254157</v>
      </c>
      <c r="J214" s="426">
        <v>3408</v>
      </c>
      <c r="K214" s="426">
        <v>2635111.1199999996</v>
      </c>
      <c r="L214" s="423">
        <v>1.0251134661333676</v>
      </c>
      <c r="M214" s="423">
        <v>773.21335680751167</v>
      </c>
      <c r="N214" s="426">
        <v>3218</v>
      </c>
      <c r="O214" s="426">
        <v>2502888.89</v>
      </c>
      <c r="P214" s="448">
        <v>0.9736762468577026</v>
      </c>
      <c r="Q214" s="427">
        <v>777.77777812305783</v>
      </c>
    </row>
    <row r="215" spans="1:17" ht="14.4" customHeight="1" x14ac:dyDescent="0.3">
      <c r="A215" s="422" t="s">
        <v>1950</v>
      </c>
      <c r="B215" s="423" t="s">
        <v>1944</v>
      </c>
      <c r="C215" s="423" t="s">
        <v>2022</v>
      </c>
      <c r="D215" s="423" t="s">
        <v>2128</v>
      </c>
      <c r="E215" s="423" t="s">
        <v>2129</v>
      </c>
      <c r="F215" s="426">
        <v>3180</v>
      </c>
      <c r="G215" s="426">
        <v>296799.99000000005</v>
      </c>
      <c r="H215" s="423">
        <v>1</v>
      </c>
      <c r="I215" s="423">
        <v>93.333330188679255</v>
      </c>
      <c r="J215" s="426">
        <v>5053</v>
      </c>
      <c r="K215" s="426">
        <v>454253.35</v>
      </c>
      <c r="L215" s="423">
        <v>1.5305032523754463</v>
      </c>
      <c r="M215" s="423">
        <v>89.897753809618038</v>
      </c>
      <c r="N215" s="426">
        <v>2834</v>
      </c>
      <c r="O215" s="426">
        <v>264506.67000000004</v>
      </c>
      <c r="P215" s="448">
        <v>0.89119500981115263</v>
      </c>
      <c r="Q215" s="427">
        <v>93.333334509527191</v>
      </c>
    </row>
    <row r="216" spans="1:17" ht="14.4" customHeight="1" x14ac:dyDescent="0.3">
      <c r="A216" s="422" t="s">
        <v>1950</v>
      </c>
      <c r="B216" s="423" t="s">
        <v>1944</v>
      </c>
      <c r="C216" s="423" t="s">
        <v>2022</v>
      </c>
      <c r="D216" s="423" t="s">
        <v>2130</v>
      </c>
      <c r="E216" s="423" t="s">
        <v>2131</v>
      </c>
      <c r="F216" s="426">
        <v>54</v>
      </c>
      <c r="G216" s="426">
        <v>36000.009999999995</v>
      </c>
      <c r="H216" s="423">
        <v>1</v>
      </c>
      <c r="I216" s="423">
        <v>666.66685185185179</v>
      </c>
      <c r="J216" s="426">
        <v>71</v>
      </c>
      <c r="K216" s="426">
        <v>46000</v>
      </c>
      <c r="L216" s="423">
        <v>1.277777422839605</v>
      </c>
      <c r="M216" s="423">
        <v>647.88732394366195</v>
      </c>
      <c r="N216" s="426">
        <v>64</v>
      </c>
      <c r="O216" s="426">
        <v>42666.67</v>
      </c>
      <c r="P216" s="448">
        <v>1.1851849485597366</v>
      </c>
      <c r="Q216" s="427">
        <v>666.66671874999997</v>
      </c>
    </row>
    <row r="217" spans="1:17" ht="14.4" customHeight="1" x14ac:dyDescent="0.3">
      <c r="A217" s="422" t="s">
        <v>1950</v>
      </c>
      <c r="B217" s="423" t="s">
        <v>1944</v>
      </c>
      <c r="C217" s="423" t="s">
        <v>2022</v>
      </c>
      <c r="D217" s="423" t="s">
        <v>2132</v>
      </c>
      <c r="E217" s="423" t="s">
        <v>2133</v>
      </c>
      <c r="F217" s="426">
        <v>270</v>
      </c>
      <c r="G217" s="426">
        <v>210000</v>
      </c>
      <c r="H217" s="423">
        <v>1</v>
      </c>
      <c r="I217" s="423">
        <v>777.77777777777783</v>
      </c>
      <c r="J217" s="426">
        <v>319</v>
      </c>
      <c r="K217" s="426">
        <v>245000</v>
      </c>
      <c r="L217" s="423">
        <v>1.1666666666666667</v>
      </c>
      <c r="M217" s="423">
        <v>768.02507836990594</v>
      </c>
      <c r="N217" s="426">
        <v>270</v>
      </c>
      <c r="O217" s="426">
        <v>210000</v>
      </c>
      <c r="P217" s="448">
        <v>1</v>
      </c>
      <c r="Q217" s="427">
        <v>777.77777777777783</v>
      </c>
    </row>
    <row r="218" spans="1:17" ht="14.4" customHeight="1" x14ac:dyDescent="0.3">
      <c r="A218" s="422" t="s">
        <v>1950</v>
      </c>
      <c r="B218" s="423" t="s">
        <v>1944</v>
      </c>
      <c r="C218" s="423" t="s">
        <v>2022</v>
      </c>
      <c r="D218" s="423" t="s">
        <v>2134</v>
      </c>
      <c r="E218" s="423" t="s">
        <v>2135</v>
      </c>
      <c r="F218" s="426">
        <v>281</v>
      </c>
      <c r="G218" s="426">
        <v>93666.67</v>
      </c>
      <c r="H218" s="423">
        <v>1</v>
      </c>
      <c r="I218" s="423">
        <v>333.33334519572952</v>
      </c>
      <c r="J218" s="426">
        <v>180</v>
      </c>
      <c r="K218" s="426">
        <v>59999.990000000005</v>
      </c>
      <c r="L218" s="423">
        <v>0.64056926546016857</v>
      </c>
      <c r="M218" s="423">
        <v>333.33327777777782</v>
      </c>
      <c r="N218" s="426">
        <v>182</v>
      </c>
      <c r="O218" s="426">
        <v>60666.679999999993</v>
      </c>
      <c r="P218" s="448">
        <v>0.64768695203961013</v>
      </c>
      <c r="Q218" s="427">
        <v>333.33340659340655</v>
      </c>
    </row>
    <row r="219" spans="1:17" ht="14.4" customHeight="1" x14ac:dyDescent="0.3">
      <c r="A219" s="422" t="s">
        <v>1950</v>
      </c>
      <c r="B219" s="423" t="s">
        <v>1944</v>
      </c>
      <c r="C219" s="423" t="s">
        <v>2022</v>
      </c>
      <c r="D219" s="423" t="s">
        <v>2041</v>
      </c>
      <c r="E219" s="423" t="s">
        <v>2026</v>
      </c>
      <c r="F219" s="426">
        <v>1</v>
      </c>
      <c r="G219" s="426">
        <v>373.33</v>
      </c>
      <c r="H219" s="423">
        <v>1</v>
      </c>
      <c r="I219" s="423">
        <v>373.33</v>
      </c>
      <c r="J219" s="426"/>
      <c r="K219" s="426"/>
      <c r="L219" s="423"/>
      <c r="M219" s="423"/>
      <c r="N219" s="426">
        <v>3</v>
      </c>
      <c r="O219" s="426">
        <v>1120</v>
      </c>
      <c r="P219" s="448">
        <v>3.000026785953446</v>
      </c>
      <c r="Q219" s="427">
        <v>373.33333333333331</v>
      </c>
    </row>
    <row r="220" spans="1:17" ht="14.4" customHeight="1" x14ac:dyDescent="0.3">
      <c r="A220" s="422" t="s">
        <v>1950</v>
      </c>
      <c r="B220" s="423" t="s">
        <v>1944</v>
      </c>
      <c r="C220" s="423" t="s">
        <v>2022</v>
      </c>
      <c r="D220" s="423" t="s">
        <v>2042</v>
      </c>
      <c r="E220" s="423" t="s">
        <v>2043</v>
      </c>
      <c r="F220" s="426">
        <v>137</v>
      </c>
      <c r="G220" s="426">
        <v>25573.34</v>
      </c>
      <c r="H220" s="423">
        <v>1</v>
      </c>
      <c r="I220" s="423">
        <v>186.66671532846715</v>
      </c>
      <c r="J220" s="426">
        <v>104</v>
      </c>
      <c r="K220" s="426">
        <v>18666.660000000003</v>
      </c>
      <c r="L220" s="423">
        <v>0.7299265563278009</v>
      </c>
      <c r="M220" s="423">
        <v>179.48711538461541</v>
      </c>
      <c r="N220" s="426">
        <v>71</v>
      </c>
      <c r="O220" s="426">
        <v>13253.33</v>
      </c>
      <c r="P220" s="448">
        <v>0.51824790973724977</v>
      </c>
      <c r="Q220" s="427">
        <v>186.66661971830985</v>
      </c>
    </row>
    <row r="221" spans="1:17" ht="14.4" customHeight="1" x14ac:dyDescent="0.3">
      <c r="A221" s="422" t="s">
        <v>1950</v>
      </c>
      <c r="B221" s="423" t="s">
        <v>1944</v>
      </c>
      <c r="C221" s="423" t="s">
        <v>2022</v>
      </c>
      <c r="D221" s="423" t="s">
        <v>2044</v>
      </c>
      <c r="E221" s="423" t="s">
        <v>2045</v>
      </c>
      <c r="F221" s="426">
        <v>92</v>
      </c>
      <c r="G221" s="426">
        <v>53666.66</v>
      </c>
      <c r="H221" s="423">
        <v>1</v>
      </c>
      <c r="I221" s="423">
        <v>583.33326086956527</v>
      </c>
      <c r="J221" s="426">
        <v>86</v>
      </c>
      <c r="K221" s="426">
        <v>47833.34</v>
      </c>
      <c r="L221" s="423">
        <v>0.89130458277075553</v>
      </c>
      <c r="M221" s="423">
        <v>556.20162790697668</v>
      </c>
      <c r="N221" s="426">
        <v>88</v>
      </c>
      <c r="O221" s="426">
        <v>51333.33</v>
      </c>
      <c r="P221" s="448">
        <v>0.95652179584121688</v>
      </c>
      <c r="Q221" s="427">
        <v>583.33329545454546</v>
      </c>
    </row>
    <row r="222" spans="1:17" ht="14.4" customHeight="1" x14ac:dyDescent="0.3">
      <c r="A222" s="422" t="s">
        <v>1950</v>
      </c>
      <c r="B222" s="423" t="s">
        <v>1944</v>
      </c>
      <c r="C222" s="423" t="s">
        <v>2022</v>
      </c>
      <c r="D222" s="423" t="s">
        <v>2046</v>
      </c>
      <c r="E222" s="423" t="s">
        <v>2047</v>
      </c>
      <c r="F222" s="426">
        <v>50</v>
      </c>
      <c r="G222" s="426">
        <v>23333.33</v>
      </c>
      <c r="H222" s="423">
        <v>1</v>
      </c>
      <c r="I222" s="423">
        <v>466.66660000000002</v>
      </c>
      <c r="J222" s="426">
        <v>161</v>
      </c>
      <c r="K222" s="426">
        <v>73266.67</v>
      </c>
      <c r="L222" s="423">
        <v>3.1400005914286555</v>
      </c>
      <c r="M222" s="423">
        <v>455.07248447204967</v>
      </c>
      <c r="N222" s="426">
        <v>117</v>
      </c>
      <c r="O222" s="426">
        <v>54600</v>
      </c>
      <c r="P222" s="448">
        <v>2.340000334285762</v>
      </c>
      <c r="Q222" s="427">
        <v>466.66666666666669</v>
      </c>
    </row>
    <row r="223" spans="1:17" ht="14.4" customHeight="1" x14ac:dyDescent="0.3">
      <c r="A223" s="422" t="s">
        <v>1950</v>
      </c>
      <c r="B223" s="423" t="s">
        <v>1944</v>
      </c>
      <c r="C223" s="423" t="s">
        <v>2022</v>
      </c>
      <c r="D223" s="423" t="s">
        <v>2109</v>
      </c>
      <c r="E223" s="423" t="s">
        <v>2047</v>
      </c>
      <c r="F223" s="426">
        <v>74</v>
      </c>
      <c r="G223" s="426">
        <v>74000</v>
      </c>
      <c r="H223" s="423">
        <v>1</v>
      </c>
      <c r="I223" s="423">
        <v>1000</v>
      </c>
      <c r="J223" s="426">
        <v>87</v>
      </c>
      <c r="K223" s="426">
        <v>85000</v>
      </c>
      <c r="L223" s="423">
        <v>1.1486486486486487</v>
      </c>
      <c r="M223" s="423">
        <v>977.0114942528736</v>
      </c>
      <c r="N223" s="426">
        <v>65</v>
      </c>
      <c r="O223" s="426">
        <v>65000</v>
      </c>
      <c r="P223" s="448">
        <v>0.8783783783783784</v>
      </c>
      <c r="Q223" s="427">
        <v>1000</v>
      </c>
    </row>
    <row r="224" spans="1:17" ht="14.4" customHeight="1" x14ac:dyDescent="0.3">
      <c r="A224" s="422" t="s">
        <v>1950</v>
      </c>
      <c r="B224" s="423" t="s">
        <v>1944</v>
      </c>
      <c r="C224" s="423" t="s">
        <v>2022</v>
      </c>
      <c r="D224" s="423" t="s">
        <v>2048</v>
      </c>
      <c r="E224" s="423" t="s">
        <v>2049</v>
      </c>
      <c r="F224" s="426">
        <v>536</v>
      </c>
      <c r="G224" s="426">
        <v>26800</v>
      </c>
      <c r="H224" s="423">
        <v>1</v>
      </c>
      <c r="I224" s="423">
        <v>50</v>
      </c>
      <c r="J224" s="426">
        <v>609</v>
      </c>
      <c r="K224" s="426">
        <v>30150</v>
      </c>
      <c r="L224" s="423">
        <v>1.125</v>
      </c>
      <c r="M224" s="423">
        <v>49.507389162561573</v>
      </c>
      <c r="N224" s="426">
        <v>595</v>
      </c>
      <c r="O224" s="426">
        <v>29750</v>
      </c>
      <c r="P224" s="448">
        <v>1.1100746268656716</v>
      </c>
      <c r="Q224" s="427">
        <v>50</v>
      </c>
    </row>
    <row r="225" spans="1:17" ht="14.4" customHeight="1" x14ac:dyDescent="0.3">
      <c r="A225" s="422" t="s">
        <v>1950</v>
      </c>
      <c r="B225" s="423" t="s">
        <v>1944</v>
      </c>
      <c r="C225" s="423" t="s">
        <v>2022</v>
      </c>
      <c r="D225" s="423" t="s">
        <v>2050</v>
      </c>
      <c r="E225" s="423" t="s">
        <v>2051</v>
      </c>
      <c r="F225" s="426"/>
      <c r="G225" s="426"/>
      <c r="H225" s="423"/>
      <c r="I225" s="423"/>
      <c r="J225" s="426">
        <v>3</v>
      </c>
      <c r="K225" s="426">
        <v>303.33</v>
      </c>
      <c r="L225" s="423"/>
      <c r="M225" s="423">
        <v>101.11</v>
      </c>
      <c r="N225" s="426"/>
      <c r="O225" s="426"/>
      <c r="P225" s="448"/>
      <c r="Q225" s="427"/>
    </row>
    <row r="226" spans="1:17" ht="14.4" customHeight="1" x14ac:dyDescent="0.3">
      <c r="A226" s="422" t="s">
        <v>1950</v>
      </c>
      <c r="B226" s="423" t="s">
        <v>1944</v>
      </c>
      <c r="C226" s="423" t="s">
        <v>2022</v>
      </c>
      <c r="D226" s="423" t="s">
        <v>2054</v>
      </c>
      <c r="E226" s="423" t="s">
        <v>2055</v>
      </c>
      <c r="F226" s="426">
        <v>14</v>
      </c>
      <c r="G226" s="426">
        <v>0</v>
      </c>
      <c r="H226" s="423"/>
      <c r="I226" s="423">
        <v>0</v>
      </c>
      <c r="J226" s="426">
        <v>18</v>
      </c>
      <c r="K226" s="426">
        <v>0</v>
      </c>
      <c r="L226" s="423"/>
      <c r="M226" s="423">
        <v>0</v>
      </c>
      <c r="N226" s="426">
        <v>4</v>
      </c>
      <c r="O226" s="426">
        <v>0</v>
      </c>
      <c r="P226" s="448"/>
      <c r="Q226" s="427">
        <v>0</v>
      </c>
    </row>
    <row r="227" spans="1:17" ht="14.4" customHeight="1" x14ac:dyDescent="0.3">
      <c r="A227" s="422" t="s">
        <v>1950</v>
      </c>
      <c r="B227" s="423" t="s">
        <v>1944</v>
      </c>
      <c r="C227" s="423" t="s">
        <v>2022</v>
      </c>
      <c r="D227" s="423" t="s">
        <v>2056</v>
      </c>
      <c r="E227" s="423" t="s">
        <v>2057</v>
      </c>
      <c r="F227" s="426">
        <v>1</v>
      </c>
      <c r="G227" s="426">
        <v>0</v>
      </c>
      <c r="H227" s="423"/>
      <c r="I227" s="423">
        <v>0</v>
      </c>
      <c r="J227" s="426"/>
      <c r="K227" s="426"/>
      <c r="L227" s="423"/>
      <c r="M227" s="423"/>
      <c r="N227" s="426"/>
      <c r="O227" s="426"/>
      <c r="P227" s="448"/>
      <c r="Q227" s="427"/>
    </row>
    <row r="228" spans="1:17" ht="14.4" customHeight="1" x14ac:dyDescent="0.3">
      <c r="A228" s="422" t="s">
        <v>1950</v>
      </c>
      <c r="B228" s="423" t="s">
        <v>1944</v>
      </c>
      <c r="C228" s="423" t="s">
        <v>2022</v>
      </c>
      <c r="D228" s="423" t="s">
        <v>2058</v>
      </c>
      <c r="E228" s="423" t="s">
        <v>2059</v>
      </c>
      <c r="F228" s="426">
        <v>818</v>
      </c>
      <c r="G228" s="426">
        <v>249944.44999999998</v>
      </c>
      <c r="H228" s="423">
        <v>1</v>
      </c>
      <c r="I228" s="423">
        <v>305.55556234718824</v>
      </c>
      <c r="J228" s="426">
        <v>734</v>
      </c>
      <c r="K228" s="426">
        <v>223055.55000000002</v>
      </c>
      <c r="L228" s="423">
        <v>0.89242049583417449</v>
      </c>
      <c r="M228" s="423">
        <v>303.89039509536786</v>
      </c>
      <c r="N228" s="426">
        <v>681</v>
      </c>
      <c r="O228" s="426">
        <v>208083.34000000003</v>
      </c>
      <c r="P228" s="448">
        <v>0.83251834557638726</v>
      </c>
      <c r="Q228" s="427">
        <v>305.55556534508082</v>
      </c>
    </row>
    <row r="229" spans="1:17" ht="14.4" customHeight="1" x14ac:dyDescent="0.3">
      <c r="A229" s="422" t="s">
        <v>1950</v>
      </c>
      <c r="B229" s="423" t="s">
        <v>1944</v>
      </c>
      <c r="C229" s="423" t="s">
        <v>2022</v>
      </c>
      <c r="D229" s="423" t="s">
        <v>2060</v>
      </c>
      <c r="E229" s="423" t="s">
        <v>2061</v>
      </c>
      <c r="F229" s="426">
        <v>5117</v>
      </c>
      <c r="G229" s="426">
        <v>0</v>
      </c>
      <c r="H229" s="423"/>
      <c r="I229" s="423">
        <v>0</v>
      </c>
      <c r="J229" s="426">
        <v>5341</v>
      </c>
      <c r="K229" s="426">
        <v>0</v>
      </c>
      <c r="L229" s="423"/>
      <c r="M229" s="423">
        <v>0</v>
      </c>
      <c r="N229" s="426">
        <v>4457</v>
      </c>
      <c r="O229" s="426">
        <v>78600</v>
      </c>
      <c r="P229" s="448"/>
      <c r="Q229" s="427">
        <v>17.635180614763293</v>
      </c>
    </row>
    <row r="230" spans="1:17" ht="14.4" customHeight="1" x14ac:dyDescent="0.3">
      <c r="A230" s="422" t="s">
        <v>1950</v>
      </c>
      <c r="B230" s="423" t="s">
        <v>1944</v>
      </c>
      <c r="C230" s="423" t="s">
        <v>2022</v>
      </c>
      <c r="D230" s="423" t="s">
        <v>2062</v>
      </c>
      <c r="E230" s="423" t="s">
        <v>2063</v>
      </c>
      <c r="F230" s="426">
        <v>423</v>
      </c>
      <c r="G230" s="426">
        <v>192699.99999999997</v>
      </c>
      <c r="H230" s="423">
        <v>1</v>
      </c>
      <c r="I230" s="423">
        <v>455.55555555555549</v>
      </c>
      <c r="J230" s="426">
        <v>385</v>
      </c>
      <c r="K230" s="426">
        <v>170833.33</v>
      </c>
      <c r="L230" s="423">
        <v>0.88652480539699019</v>
      </c>
      <c r="M230" s="423">
        <v>443.72293506493503</v>
      </c>
      <c r="N230" s="426">
        <v>361</v>
      </c>
      <c r="O230" s="426">
        <v>164455.54999999999</v>
      </c>
      <c r="P230" s="448">
        <v>0.85342786715101204</v>
      </c>
      <c r="Q230" s="427">
        <v>455.55554016620493</v>
      </c>
    </row>
    <row r="231" spans="1:17" ht="14.4" customHeight="1" x14ac:dyDescent="0.3">
      <c r="A231" s="422" t="s">
        <v>1950</v>
      </c>
      <c r="B231" s="423" t="s">
        <v>1944</v>
      </c>
      <c r="C231" s="423" t="s">
        <v>2022</v>
      </c>
      <c r="D231" s="423" t="s">
        <v>2092</v>
      </c>
      <c r="E231" s="423" t="s">
        <v>2093</v>
      </c>
      <c r="F231" s="426">
        <v>174</v>
      </c>
      <c r="G231" s="426">
        <v>10246.67</v>
      </c>
      <c r="H231" s="423">
        <v>1</v>
      </c>
      <c r="I231" s="423">
        <v>58.888908045977011</v>
      </c>
      <c r="J231" s="426">
        <v>263</v>
      </c>
      <c r="K231" s="426">
        <v>15252.220000000001</v>
      </c>
      <c r="L231" s="423">
        <v>1.4885050460295883</v>
      </c>
      <c r="M231" s="423">
        <v>57.9932319391635</v>
      </c>
      <c r="N231" s="426">
        <v>206</v>
      </c>
      <c r="O231" s="426">
        <v>12131.109999999999</v>
      </c>
      <c r="P231" s="448">
        <v>1.1839075524048299</v>
      </c>
      <c r="Q231" s="427">
        <v>58.888883495145627</v>
      </c>
    </row>
    <row r="232" spans="1:17" ht="14.4" customHeight="1" x14ac:dyDescent="0.3">
      <c r="A232" s="422" t="s">
        <v>1950</v>
      </c>
      <c r="B232" s="423" t="s">
        <v>1944</v>
      </c>
      <c r="C232" s="423" t="s">
        <v>2022</v>
      </c>
      <c r="D232" s="423" t="s">
        <v>2064</v>
      </c>
      <c r="E232" s="423" t="s">
        <v>2065</v>
      </c>
      <c r="F232" s="426">
        <v>865</v>
      </c>
      <c r="G232" s="426">
        <v>67277.77</v>
      </c>
      <c r="H232" s="423">
        <v>1</v>
      </c>
      <c r="I232" s="423">
        <v>77.777768786127169</v>
      </c>
      <c r="J232" s="426">
        <v>757</v>
      </c>
      <c r="K232" s="426">
        <v>58566.679999999993</v>
      </c>
      <c r="L232" s="423">
        <v>0.87052053003540386</v>
      </c>
      <c r="M232" s="423">
        <v>77.366816380449137</v>
      </c>
      <c r="N232" s="426">
        <v>709</v>
      </c>
      <c r="O232" s="426">
        <v>55144.45</v>
      </c>
      <c r="P232" s="448">
        <v>0.81965335652474802</v>
      </c>
      <c r="Q232" s="427">
        <v>77.777785613540189</v>
      </c>
    </row>
    <row r="233" spans="1:17" ht="14.4" customHeight="1" x14ac:dyDescent="0.3">
      <c r="A233" s="422" t="s">
        <v>1950</v>
      </c>
      <c r="B233" s="423" t="s">
        <v>1944</v>
      </c>
      <c r="C233" s="423" t="s">
        <v>2022</v>
      </c>
      <c r="D233" s="423" t="s">
        <v>2136</v>
      </c>
      <c r="E233" s="423" t="s">
        <v>2137</v>
      </c>
      <c r="F233" s="426">
        <v>215</v>
      </c>
      <c r="G233" s="426">
        <v>238888.88000000003</v>
      </c>
      <c r="H233" s="423">
        <v>1</v>
      </c>
      <c r="I233" s="423">
        <v>1111.1110697674419</v>
      </c>
      <c r="J233" s="426">
        <v>220</v>
      </c>
      <c r="K233" s="426">
        <v>242222.22999999998</v>
      </c>
      <c r="L233" s="423">
        <v>1.0139535586587369</v>
      </c>
      <c r="M233" s="423">
        <v>1101.0101363636363</v>
      </c>
      <c r="N233" s="426">
        <v>272</v>
      </c>
      <c r="O233" s="426">
        <v>302222.21999999997</v>
      </c>
      <c r="P233" s="448">
        <v>1.2651163168415371</v>
      </c>
      <c r="Q233" s="427">
        <v>1111.1111029411763</v>
      </c>
    </row>
    <row r="234" spans="1:17" ht="14.4" customHeight="1" x14ac:dyDescent="0.3">
      <c r="A234" s="422" t="s">
        <v>1950</v>
      </c>
      <c r="B234" s="423" t="s">
        <v>1944</v>
      </c>
      <c r="C234" s="423" t="s">
        <v>2022</v>
      </c>
      <c r="D234" s="423" t="s">
        <v>2068</v>
      </c>
      <c r="E234" s="423" t="s">
        <v>2069</v>
      </c>
      <c r="F234" s="426">
        <v>1749</v>
      </c>
      <c r="G234" s="426">
        <v>472230</v>
      </c>
      <c r="H234" s="423">
        <v>1</v>
      </c>
      <c r="I234" s="423">
        <v>270</v>
      </c>
      <c r="J234" s="426">
        <v>1254</v>
      </c>
      <c r="K234" s="426">
        <v>336960</v>
      </c>
      <c r="L234" s="423">
        <v>0.71355060034305318</v>
      </c>
      <c r="M234" s="423">
        <v>268.70813397129189</v>
      </c>
      <c r="N234" s="426">
        <v>979</v>
      </c>
      <c r="O234" s="426">
        <v>264330</v>
      </c>
      <c r="P234" s="448">
        <v>0.55974842767295596</v>
      </c>
      <c r="Q234" s="427">
        <v>270</v>
      </c>
    </row>
    <row r="235" spans="1:17" ht="14.4" customHeight="1" x14ac:dyDescent="0.3">
      <c r="A235" s="422" t="s">
        <v>1950</v>
      </c>
      <c r="B235" s="423" t="s">
        <v>1944</v>
      </c>
      <c r="C235" s="423" t="s">
        <v>2022</v>
      </c>
      <c r="D235" s="423" t="s">
        <v>2070</v>
      </c>
      <c r="E235" s="423" t="s">
        <v>2071</v>
      </c>
      <c r="F235" s="426">
        <v>986</v>
      </c>
      <c r="G235" s="426">
        <v>87644.45</v>
      </c>
      <c r="H235" s="423">
        <v>1</v>
      </c>
      <c r="I235" s="423">
        <v>88.88889452332657</v>
      </c>
      <c r="J235" s="426">
        <v>1352</v>
      </c>
      <c r="K235" s="426">
        <v>116622.23</v>
      </c>
      <c r="L235" s="423">
        <v>1.3306288076426973</v>
      </c>
      <c r="M235" s="423">
        <v>86.259045857988156</v>
      </c>
      <c r="N235" s="426">
        <v>1024</v>
      </c>
      <c r="O235" s="426">
        <v>91022.23</v>
      </c>
      <c r="P235" s="448">
        <v>1.0385395766645806</v>
      </c>
      <c r="Q235" s="427">
        <v>88.888896484374996</v>
      </c>
    </row>
    <row r="236" spans="1:17" ht="14.4" customHeight="1" x14ac:dyDescent="0.3">
      <c r="A236" s="422" t="s">
        <v>1950</v>
      </c>
      <c r="B236" s="423" t="s">
        <v>1944</v>
      </c>
      <c r="C236" s="423" t="s">
        <v>2022</v>
      </c>
      <c r="D236" s="423" t="s">
        <v>2072</v>
      </c>
      <c r="E236" s="423" t="s">
        <v>2073</v>
      </c>
      <c r="F236" s="426">
        <v>1</v>
      </c>
      <c r="G236" s="426">
        <v>43.33</v>
      </c>
      <c r="H236" s="423">
        <v>1</v>
      </c>
      <c r="I236" s="423">
        <v>43.33</v>
      </c>
      <c r="J236" s="426"/>
      <c r="K236" s="426"/>
      <c r="L236" s="423"/>
      <c r="M236" s="423"/>
      <c r="N236" s="426"/>
      <c r="O236" s="426"/>
      <c r="P236" s="448"/>
      <c r="Q236" s="427"/>
    </row>
    <row r="237" spans="1:17" ht="14.4" customHeight="1" x14ac:dyDescent="0.3">
      <c r="A237" s="422" t="s">
        <v>1950</v>
      </c>
      <c r="B237" s="423" t="s">
        <v>1944</v>
      </c>
      <c r="C237" s="423" t="s">
        <v>2022</v>
      </c>
      <c r="D237" s="423" t="s">
        <v>2074</v>
      </c>
      <c r="E237" s="423" t="s">
        <v>2075</v>
      </c>
      <c r="F237" s="426">
        <v>4</v>
      </c>
      <c r="G237" s="426">
        <v>386.66</v>
      </c>
      <c r="H237" s="423">
        <v>1</v>
      </c>
      <c r="I237" s="423">
        <v>96.665000000000006</v>
      </c>
      <c r="J237" s="426">
        <v>6</v>
      </c>
      <c r="K237" s="426">
        <v>580</v>
      </c>
      <c r="L237" s="423">
        <v>1.5000258625148708</v>
      </c>
      <c r="M237" s="423">
        <v>96.666666666666671</v>
      </c>
      <c r="N237" s="426">
        <v>10</v>
      </c>
      <c r="O237" s="426">
        <v>966.67</v>
      </c>
      <c r="P237" s="448">
        <v>2.5000517250297416</v>
      </c>
      <c r="Q237" s="427">
        <v>96.667000000000002</v>
      </c>
    </row>
    <row r="238" spans="1:17" ht="14.4" customHeight="1" x14ac:dyDescent="0.3">
      <c r="A238" s="422" t="s">
        <v>1950</v>
      </c>
      <c r="B238" s="423" t="s">
        <v>1944</v>
      </c>
      <c r="C238" s="423" t="s">
        <v>2022</v>
      </c>
      <c r="D238" s="423" t="s">
        <v>2076</v>
      </c>
      <c r="E238" s="423" t="s">
        <v>2077</v>
      </c>
      <c r="F238" s="426">
        <v>7</v>
      </c>
      <c r="G238" s="426">
        <v>1407.7800000000002</v>
      </c>
      <c r="H238" s="423">
        <v>1</v>
      </c>
      <c r="I238" s="423">
        <v>201.1114285714286</v>
      </c>
      <c r="J238" s="426"/>
      <c r="K238" s="426"/>
      <c r="L238" s="423"/>
      <c r="M238" s="423"/>
      <c r="N238" s="426"/>
      <c r="O238" s="426"/>
      <c r="P238" s="448"/>
      <c r="Q238" s="427"/>
    </row>
    <row r="239" spans="1:17" ht="14.4" customHeight="1" x14ac:dyDescent="0.3">
      <c r="A239" s="422" t="s">
        <v>1950</v>
      </c>
      <c r="B239" s="423" t="s">
        <v>1944</v>
      </c>
      <c r="C239" s="423" t="s">
        <v>2022</v>
      </c>
      <c r="D239" s="423" t="s">
        <v>2078</v>
      </c>
      <c r="E239" s="423" t="s">
        <v>2079</v>
      </c>
      <c r="F239" s="426">
        <v>1</v>
      </c>
      <c r="G239" s="426">
        <v>140</v>
      </c>
      <c r="H239" s="423">
        <v>1</v>
      </c>
      <c r="I239" s="423">
        <v>140</v>
      </c>
      <c r="J239" s="426">
        <v>1</v>
      </c>
      <c r="K239" s="426">
        <v>140</v>
      </c>
      <c r="L239" s="423">
        <v>1</v>
      </c>
      <c r="M239" s="423">
        <v>140</v>
      </c>
      <c r="N239" s="426"/>
      <c r="O239" s="426"/>
      <c r="P239" s="448"/>
      <c r="Q239" s="427"/>
    </row>
    <row r="240" spans="1:17" ht="14.4" customHeight="1" x14ac:dyDescent="0.3">
      <c r="A240" s="422" t="s">
        <v>1950</v>
      </c>
      <c r="B240" s="423" t="s">
        <v>1944</v>
      </c>
      <c r="C240" s="423" t="s">
        <v>2022</v>
      </c>
      <c r="D240" s="423" t="s">
        <v>2116</v>
      </c>
      <c r="E240" s="423" t="s">
        <v>2117</v>
      </c>
      <c r="F240" s="426">
        <v>26</v>
      </c>
      <c r="G240" s="426">
        <v>33366.67</v>
      </c>
      <c r="H240" s="423">
        <v>1</v>
      </c>
      <c r="I240" s="423">
        <v>1283.3334615384615</v>
      </c>
      <c r="J240" s="426">
        <v>33</v>
      </c>
      <c r="K240" s="426">
        <v>42349.990000000005</v>
      </c>
      <c r="L240" s="423">
        <v>1.2692303427342317</v>
      </c>
      <c r="M240" s="423">
        <v>1283.3330303030305</v>
      </c>
      <c r="N240" s="426">
        <v>44</v>
      </c>
      <c r="O240" s="426">
        <v>56466.67</v>
      </c>
      <c r="P240" s="448">
        <v>1.6923076231460916</v>
      </c>
      <c r="Q240" s="427">
        <v>1283.3334090909091</v>
      </c>
    </row>
    <row r="241" spans="1:17" ht="14.4" customHeight="1" x14ac:dyDescent="0.3">
      <c r="A241" s="422" t="s">
        <v>1950</v>
      </c>
      <c r="B241" s="423" t="s">
        <v>1944</v>
      </c>
      <c r="C241" s="423" t="s">
        <v>2022</v>
      </c>
      <c r="D241" s="423" t="s">
        <v>2080</v>
      </c>
      <c r="E241" s="423" t="s">
        <v>2081</v>
      </c>
      <c r="F241" s="426">
        <v>7</v>
      </c>
      <c r="G241" s="426">
        <v>816.68</v>
      </c>
      <c r="H241" s="423">
        <v>1</v>
      </c>
      <c r="I241" s="423">
        <v>116.66857142857143</v>
      </c>
      <c r="J241" s="426">
        <v>8</v>
      </c>
      <c r="K241" s="426">
        <v>933.33</v>
      </c>
      <c r="L241" s="423">
        <v>1.1428344027036295</v>
      </c>
      <c r="M241" s="423">
        <v>116.66625000000001</v>
      </c>
      <c r="N241" s="426">
        <v>9</v>
      </c>
      <c r="O241" s="426">
        <v>1050</v>
      </c>
      <c r="P241" s="448">
        <v>1.2856932948033502</v>
      </c>
      <c r="Q241" s="427">
        <v>116.66666666666667</v>
      </c>
    </row>
    <row r="242" spans="1:17" ht="14.4" customHeight="1" x14ac:dyDescent="0.3">
      <c r="A242" s="422" t="s">
        <v>1950</v>
      </c>
      <c r="B242" s="423" t="s">
        <v>1944</v>
      </c>
      <c r="C242" s="423" t="s">
        <v>2022</v>
      </c>
      <c r="D242" s="423" t="s">
        <v>2082</v>
      </c>
      <c r="E242" s="423" t="s">
        <v>2083</v>
      </c>
      <c r="F242" s="426">
        <v>91</v>
      </c>
      <c r="G242" s="426">
        <v>4448.8899999999994</v>
      </c>
      <c r="H242" s="423">
        <v>1</v>
      </c>
      <c r="I242" s="423">
        <v>48.888901098901094</v>
      </c>
      <c r="J242" s="426">
        <v>76</v>
      </c>
      <c r="K242" s="426">
        <v>3715.5499999999997</v>
      </c>
      <c r="L242" s="423">
        <v>0.83516337783132422</v>
      </c>
      <c r="M242" s="423">
        <v>48.888815789473682</v>
      </c>
      <c r="N242" s="426">
        <v>90</v>
      </c>
      <c r="O242" s="426">
        <v>4400</v>
      </c>
      <c r="P242" s="448">
        <v>0.98901074200530936</v>
      </c>
      <c r="Q242" s="427">
        <v>48.888888888888886</v>
      </c>
    </row>
    <row r="243" spans="1:17" ht="14.4" customHeight="1" x14ac:dyDescent="0.3">
      <c r="A243" s="422" t="s">
        <v>1950</v>
      </c>
      <c r="B243" s="423" t="s">
        <v>1944</v>
      </c>
      <c r="C243" s="423" t="s">
        <v>2022</v>
      </c>
      <c r="D243" s="423" t="s">
        <v>2096</v>
      </c>
      <c r="E243" s="423" t="s">
        <v>2097</v>
      </c>
      <c r="F243" s="426">
        <v>8</v>
      </c>
      <c r="G243" s="426">
        <v>3733.32</v>
      </c>
      <c r="H243" s="423">
        <v>1</v>
      </c>
      <c r="I243" s="423">
        <v>466.66500000000002</v>
      </c>
      <c r="J243" s="426">
        <v>4</v>
      </c>
      <c r="K243" s="426">
        <v>1866.68</v>
      </c>
      <c r="L243" s="423">
        <v>0.50000535716198991</v>
      </c>
      <c r="M243" s="423">
        <v>466.67</v>
      </c>
      <c r="N243" s="426">
        <v>11</v>
      </c>
      <c r="O243" s="426">
        <v>5133.33</v>
      </c>
      <c r="P243" s="448">
        <v>1.3750040178714924</v>
      </c>
      <c r="Q243" s="427">
        <v>466.66636363636366</v>
      </c>
    </row>
    <row r="244" spans="1:17" ht="14.4" customHeight="1" x14ac:dyDescent="0.3">
      <c r="A244" s="422" t="s">
        <v>1950</v>
      </c>
      <c r="B244" s="423" t="s">
        <v>1944</v>
      </c>
      <c r="C244" s="423" t="s">
        <v>2022</v>
      </c>
      <c r="D244" s="423" t="s">
        <v>2084</v>
      </c>
      <c r="E244" s="423" t="s">
        <v>2085</v>
      </c>
      <c r="F244" s="426">
        <v>3</v>
      </c>
      <c r="G244" s="426">
        <v>983.33999999999992</v>
      </c>
      <c r="H244" s="423">
        <v>1</v>
      </c>
      <c r="I244" s="423">
        <v>327.78</v>
      </c>
      <c r="J244" s="426"/>
      <c r="K244" s="426"/>
      <c r="L244" s="423"/>
      <c r="M244" s="423"/>
      <c r="N244" s="426">
        <v>1</v>
      </c>
      <c r="O244" s="426">
        <v>327.78</v>
      </c>
      <c r="P244" s="448">
        <v>0.33333333333333331</v>
      </c>
      <c r="Q244" s="427">
        <v>327.78</v>
      </c>
    </row>
    <row r="245" spans="1:17" ht="14.4" customHeight="1" x14ac:dyDescent="0.3">
      <c r="A245" s="422" t="s">
        <v>1950</v>
      </c>
      <c r="B245" s="423" t="s">
        <v>1944</v>
      </c>
      <c r="C245" s="423" t="s">
        <v>2022</v>
      </c>
      <c r="D245" s="423" t="s">
        <v>2138</v>
      </c>
      <c r="E245" s="423" t="s">
        <v>2139</v>
      </c>
      <c r="F245" s="426">
        <v>27</v>
      </c>
      <c r="G245" s="426">
        <v>12600.01</v>
      </c>
      <c r="H245" s="423">
        <v>1</v>
      </c>
      <c r="I245" s="423">
        <v>466.66703703703706</v>
      </c>
      <c r="J245" s="426">
        <v>145</v>
      </c>
      <c r="K245" s="426">
        <v>67666.66</v>
      </c>
      <c r="L245" s="423">
        <v>5.3703655790749378</v>
      </c>
      <c r="M245" s="423">
        <v>466.66662068965519</v>
      </c>
      <c r="N245" s="426">
        <v>183</v>
      </c>
      <c r="O245" s="426">
        <v>85399.99</v>
      </c>
      <c r="P245" s="448">
        <v>6.7777716049431707</v>
      </c>
      <c r="Q245" s="427">
        <v>466.66661202185793</v>
      </c>
    </row>
    <row r="246" spans="1:17" ht="14.4" customHeight="1" x14ac:dyDescent="0.3">
      <c r="A246" s="422" t="s">
        <v>1950</v>
      </c>
      <c r="B246" s="423" t="s">
        <v>1944</v>
      </c>
      <c r="C246" s="423" t="s">
        <v>2022</v>
      </c>
      <c r="D246" s="423" t="s">
        <v>2140</v>
      </c>
      <c r="E246" s="423" t="s">
        <v>2141</v>
      </c>
      <c r="F246" s="426">
        <v>36</v>
      </c>
      <c r="G246" s="426">
        <v>3520.0000000000005</v>
      </c>
      <c r="H246" s="423">
        <v>1</v>
      </c>
      <c r="I246" s="423">
        <v>97.777777777777786</v>
      </c>
      <c r="J246" s="426">
        <v>44</v>
      </c>
      <c r="K246" s="426">
        <v>4106.67</v>
      </c>
      <c r="L246" s="423">
        <v>1.1666676136363634</v>
      </c>
      <c r="M246" s="423">
        <v>93.333409090909086</v>
      </c>
      <c r="N246" s="426">
        <v>38</v>
      </c>
      <c r="O246" s="426">
        <v>3715.5499999999997</v>
      </c>
      <c r="P246" s="448">
        <v>1.0555539772727272</v>
      </c>
      <c r="Q246" s="427">
        <v>97.777631578947364</v>
      </c>
    </row>
    <row r="247" spans="1:17" ht="14.4" customHeight="1" x14ac:dyDescent="0.3">
      <c r="A247" s="422" t="s">
        <v>1950</v>
      </c>
      <c r="B247" s="423" t="s">
        <v>1944</v>
      </c>
      <c r="C247" s="423" t="s">
        <v>2022</v>
      </c>
      <c r="D247" s="423" t="s">
        <v>2142</v>
      </c>
      <c r="E247" s="423" t="s">
        <v>2143</v>
      </c>
      <c r="F247" s="426">
        <v>1</v>
      </c>
      <c r="G247" s="426">
        <v>222.22</v>
      </c>
      <c r="H247" s="423">
        <v>1</v>
      </c>
      <c r="I247" s="423">
        <v>222.22</v>
      </c>
      <c r="J247" s="426"/>
      <c r="K247" s="426"/>
      <c r="L247" s="423"/>
      <c r="M247" s="423"/>
      <c r="N247" s="426"/>
      <c r="O247" s="426"/>
      <c r="P247" s="448"/>
      <c r="Q247" s="427"/>
    </row>
    <row r="248" spans="1:17" ht="14.4" customHeight="1" x14ac:dyDescent="0.3">
      <c r="A248" s="422" t="s">
        <v>1950</v>
      </c>
      <c r="B248" s="423" t="s">
        <v>1944</v>
      </c>
      <c r="C248" s="423" t="s">
        <v>2022</v>
      </c>
      <c r="D248" s="423" t="s">
        <v>2144</v>
      </c>
      <c r="E248" s="423" t="s">
        <v>2145</v>
      </c>
      <c r="F248" s="426"/>
      <c r="G248" s="426"/>
      <c r="H248" s="423"/>
      <c r="I248" s="423"/>
      <c r="J248" s="426"/>
      <c r="K248" s="426"/>
      <c r="L248" s="423"/>
      <c r="M248" s="423"/>
      <c r="N248" s="426">
        <v>3</v>
      </c>
      <c r="O248" s="426">
        <v>1443.33</v>
      </c>
      <c r="P248" s="448"/>
      <c r="Q248" s="427">
        <v>481.10999999999996</v>
      </c>
    </row>
    <row r="249" spans="1:17" ht="14.4" customHeight="1" x14ac:dyDescent="0.3">
      <c r="A249" s="422" t="s">
        <v>2146</v>
      </c>
      <c r="B249" s="423" t="s">
        <v>1941</v>
      </c>
      <c r="C249" s="423" t="s">
        <v>1951</v>
      </c>
      <c r="D249" s="423" t="s">
        <v>2100</v>
      </c>
      <c r="E249" s="423"/>
      <c r="F249" s="426">
        <v>3</v>
      </c>
      <c r="G249" s="426">
        <v>339</v>
      </c>
      <c r="H249" s="423">
        <v>1</v>
      </c>
      <c r="I249" s="423">
        <v>113</v>
      </c>
      <c r="J249" s="426">
        <v>7</v>
      </c>
      <c r="K249" s="426">
        <v>791</v>
      </c>
      <c r="L249" s="423">
        <v>2.3333333333333335</v>
      </c>
      <c r="M249" s="423">
        <v>113</v>
      </c>
      <c r="N249" s="426">
        <v>11</v>
      </c>
      <c r="O249" s="426">
        <v>1243</v>
      </c>
      <c r="P249" s="448">
        <v>3.6666666666666665</v>
      </c>
      <c r="Q249" s="427">
        <v>113</v>
      </c>
    </row>
    <row r="250" spans="1:17" ht="14.4" customHeight="1" x14ac:dyDescent="0.3">
      <c r="A250" s="422" t="s">
        <v>2146</v>
      </c>
      <c r="B250" s="423" t="s">
        <v>1941</v>
      </c>
      <c r="C250" s="423" t="s">
        <v>1951</v>
      </c>
      <c r="D250" s="423" t="s">
        <v>2102</v>
      </c>
      <c r="E250" s="423"/>
      <c r="F250" s="426">
        <v>2</v>
      </c>
      <c r="G250" s="426">
        <v>3314</v>
      </c>
      <c r="H250" s="423">
        <v>1</v>
      </c>
      <c r="I250" s="423">
        <v>1657</v>
      </c>
      <c r="J250" s="426">
        <v>4</v>
      </c>
      <c r="K250" s="426">
        <v>6628</v>
      </c>
      <c r="L250" s="423">
        <v>2</v>
      </c>
      <c r="M250" s="423">
        <v>1657</v>
      </c>
      <c r="N250" s="426">
        <v>2</v>
      </c>
      <c r="O250" s="426">
        <v>3314</v>
      </c>
      <c r="P250" s="448">
        <v>1</v>
      </c>
      <c r="Q250" s="427">
        <v>1657</v>
      </c>
    </row>
    <row r="251" spans="1:17" ht="14.4" customHeight="1" x14ac:dyDescent="0.3">
      <c r="A251" s="422" t="s">
        <v>2146</v>
      </c>
      <c r="B251" s="423" t="s">
        <v>1941</v>
      </c>
      <c r="C251" s="423" t="s">
        <v>1951</v>
      </c>
      <c r="D251" s="423" t="s">
        <v>2147</v>
      </c>
      <c r="E251" s="423"/>
      <c r="F251" s="426">
        <v>5</v>
      </c>
      <c r="G251" s="426">
        <v>5040</v>
      </c>
      <c r="H251" s="423">
        <v>1</v>
      </c>
      <c r="I251" s="423">
        <v>1008</v>
      </c>
      <c r="J251" s="426">
        <v>3</v>
      </c>
      <c r="K251" s="426">
        <v>3024</v>
      </c>
      <c r="L251" s="423">
        <v>0.6</v>
      </c>
      <c r="M251" s="423">
        <v>1008</v>
      </c>
      <c r="N251" s="426">
        <v>13</v>
      </c>
      <c r="O251" s="426">
        <v>13104</v>
      </c>
      <c r="P251" s="448">
        <v>2.6</v>
      </c>
      <c r="Q251" s="427">
        <v>1008</v>
      </c>
    </row>
    <row r="252" spans="1:17" ht="14.4" customHeight="1" x14ac:dyDescent="0.3">
      <c r="A252" s="422" t="s">
        <v>2146</v>
      </c>
      <c r="B252" s="423" t="s">
        <v>1941</v>
      </c>
      <c r="C252" s="423" t="s">
        <v>1951</v>
      </c>
      <c r="D252" s="423" t="s">
        <v>2148</v>
      </c>
      <c r="E252" s="423"/>
      <c r="F252" s="426">
        <v>420</v>
      </c>
      <c r="G252" s="426">
        <v>91140</v>
      </c>
      <c r="H252" s="423">
        <v>1</v>
      </c>
      <c r="I252" s="423">
        <v>217</v>
      </c>
      <c r="J252" s="426">
        <v>553</v>
      </c>
      <c r="K252" s="426">
        <v>118265</v>
      </c>
      <c r="L252" s="423">
        <v>1.2976190476190477</v>
      </c>
      <c r="M252" s="423">
        <v>213.86075949367088</v>
      </c>
      <c r="N252" s="426">
        <v>452</v>
      </c>
      <c r="O252" s="426">
        <v>98084</v>
      </c>
      <c r="P252" s="448">
        <v>1.0761904761904761</v>
      </c>
      <c r="Q252" s="427">
        <v>217</v>
      </c>
    </row>
    <row r="253" spans="1:17" ht="14.4" customHeight="1" x14ac:dyDescent="0.3">
      <c r="A253" s="422" t="s">
        <v>2146</v>
      </c>
      <c r="B253" s="423" t="s">
        <v>1941</v>
      </c>
      <c r="C253" s="423" t="s">
        <v>1951</v>
      </c>
      <c r="D253" s="423" t="s">
        <v>2149</v>
      </c>
      <c r="E253" s="423"/>
      <c r="F253" s="426">
        <v>3</v>
      </c>
      <c r="G253" s="426">
        <v>3867</v>
      </c>
      <c r="H253" s="423">
        <v>1</v>
      </c>
      <c r="I253" s="423">
        <v>1289</v>
      </c>
      <c r="J253" s="426"/>
      <c r="K253" s="426"/>
      <c r="L253" s="423"/>
      <c r="M253" s="423"/>
      <c r="N253" s="426">
        <v>1</v>
      </c>
      <c r="O253" s="426">
        <v>1289</v>
      </c>
      <c r="P253" s="448">
        <v>0.33333333333333331</v>
      </c>
      <c r="Q253" s="427">
        <v>1289</v>
      </c>
    </row>
    <row r="254" spans="1:17" ht="14.4" customHeight="1" x14ac:dyDescent="0.3">
      <c r="A254" s="422" t="s">
        <v>2146</v>
      </c>
      <c r="B254" s="423" t="s">
        <v>1941</v>
      </c>
      <c r="C254" s="423" t="s">
        <v>1951</v>
      </c>
      <c r="D254" s="423" t="s">
        <v>2150</v>
      </c>
      <c r="E254" s="423"/>
      <c r="F254" s="426">
        <v>1</v>
      </c>
      <c r="G254" s="426">
        <v>806</v>
      </c>
      <c r="H254" s="423">
        <v>1</v>
      </c>
      <c r="I254" s="423">
        <v>806</v>
      </c>
      <c r="J254" s="426"/>
      <c r="K254" s="426"/>
      <c r="L254" s="423"/>
      <c r="M254" s="423"/>
      <c r="N254" s="426"/>
      <c r="O254" s="426"/>
      <c r="P254" s="448"/>
      <c r="Q254" s="427"/>
    </row>
    <row r="255" spans="1:17" ht="14.4" customHeight="1" x14ac:dyDescent="0.3">
      <c r="A255" s="422" t="s">
        <v>2146</v>
      </c>
      <c r="B255" s="423" t="s">
        <v>1941</v>
      </c>
      <c r="C255" s="423" t="s">
        <v>1951</v>
      </c>
      <c r="D255" s="423" t="s">
        <v>2151</v>
      </c>
      <c r="E255" s="423"/>
      <c r="F255" s="426">
        <v>3</v>
      </c>
      <c r="G255" s="426">
        <v>5310</v>
      </c>
      <c r="H255" s="423">
        <v>1</v>
      </c>
      <c r="I255" s="423">
        <v>1770</v>
      </c>
      <c r="J255" s="426">
        <v>1</v>
      </c>
      <c r="K255" s="426">
        <v>1770</v>
      </c>
      <c r="L255" s="423">
        <v>0.33333333333333331</v>
      </c>
      <c r="M255" s="423">
        <v>1770</v>
      </c>
      <c r="N255" s="426"/>
      <c r="O255" s="426"/>
      <c r="P255" s="448"/>
      <c r="Q255" s="427"/>
    </row>
    <row r="256" spans="1:17" ht="14.4" customHeight="1" x14ac:dyDescent="0.3">
      <c r="A256" s="422" t="s">
        <v>2146</v>
      </c>
      <c r="B256" s="423" t="s">
        <v>1941</v>
      </c>
      <c r="C256" s="423" t="s">
        <v>1951</v>
      </c>
      <c r="D256" s="423" t="s">
        <v>2152</v>
      </c>
      <c r="E256" s="423"/>
      <c r="F256" s="426">
        <v>3</v>
      </c>
      <c r="G256" s="426">
        <v>7350</v>
      </c>
      <c r="H256" s="423">
        <v>1</v>
      </c>
      <c r="I256" s="423">
        <v>2450</v>
      </c>
      <c r="J256" s="426">
        <v>4</v>
      </c>
      <c r="K256" s="426">
        <v>9800</v>
      </c>
      <c r="L256" s="423">
        <v>1.3333333333333333</v>
      </c>
      <c r="M256" s="423">
        <v>2450</v>
      </c>
      <c r="N256" s="426">
        <v>4</v>
      </c>
      <c r="O256" s="426">
        <v>9800</v>
      </c>
      <c r="P256" s="448">
        <v>1.3333333333333333</v>
      </c>
      <c r="Q256" s="427">
        <v>2450</v>
      </c>
    </row>
    <row r="257" spans="1:17" ht="14.4" customHeight="1" x14ac:dyDescent="0.3">
      <c r="A257" s="422" t="s">
        <v>2146</v>
      </c>
      <c r="B257" s="423" t="s">
        <v>1941</v>
      </c>
      <c r="C257" s="423" t="s">
        <v>1951</v>
      </c>
      <c r="D257" s="423" t="s">
        <v>2153</v>
      </c>
      <c r="E257" s="423"/>
      <c r="F257" s="426">
        <v>1</v>
      </c>
      <c r="G257" s="426">
        <v>1303</v>
      </c>
      <c r="H257" s="423">
        <v>1</v>
      </c>
      <c r="I257" s="423">
        <v>1303</v>
      </c>
      <c r="J257" s="426"/>
      <c r="K257" s="426"/>
      <c r="L257" s="423"/>
      <c r="M257" s="423"/>
      <c r="N257" s="426">
        <v>2</v>
      </c>
      <c r="O257" s="426">
        <v>2606</v>
      </c>
      <c r="P257" s="448">
        <v>2</v>
      </c>
      <c r="Q257" s="427">
        <v>1303</v>
      </c>
    </row>
    <row r="258" spans="1:17" ht="14.4" customHeight="1" x14ac:dyDescent="0.3">
      <c r="A258" s="422" t="s">
        <v>2146</v>
      </c>
      <c r="B258" s="423" t="s">
        <v>1941</v>
      </c>
      <c r="C258" s="423" t="s">
        <v>1951</v>
      </c>
      <c r="D258" s="423" t="s">
        <v>2154</v>
      </c>
      <c r="E258" s="423"/>
      <c r="F258" s="426">
        <v>283</v>
      </c>
      <c r="G258" s="426">
        <v>295169</v>
      </c>
      <c r="H258" s="423">
        <v>1</v>
      </c>
      <c r="I258" s="423">
        <v>1043</v>
      </c>
      <c r="J258" s="426">
        <v>266</v>
      </c>
      <c r="K258" s="426">
        <v>273266</v>
      </c>
      <c r="L258" s="423">
        <v>0.9257950530035336</v>
      </c>
      <c r="M258" s="423">
        <v>1027.3157894736842</v>
      </c>
      <c r="N258" s="426">
        <v>192</v>
      </c>
      <c r="O258" s="426">
        <v>200256</v>
      </c>
      <c r="P258" s="448">
        <v>0.67844522968197885</v>
      </c>
      <c r="Q258" s="427">
        <v>1043</v>
      </c>
    </row>
    <row r="259" spans="1:17" ht="14.4" customHeight="1" x14ac:dyDescent="0.3">
      <c r="A259" s="422" t="s">
        <v>2146</v>
      </c>
      <c r="B259" s="423" t="s">
        <v>1941</v>
      </c>
      <c r="C259" s="423" t="s">
        <v>1951</v>
      </c>
      <c r="D259" s="423" t="s">
        <v>2155</v>
      </c>
      <c r="E259" s="423"/>
      <c r="F259" s="426">
        <v>2</v>
      </c>
      <c r="G259" s="426">
        <v>3308</v>
      </c>
      <c r="H259" s="423">
        <v>1</v>
      </c>
      <c r="I259" s="423">
        <v>1654</v>
      </c>
      <c r="J259" s="426">
        <v>1</v>
      </c>
      <c r="K259" s="426">
        <v>1654</v>
      </c>
      <c r="L259" s="423">
        <v>0.5</v>
      </c>
      <c r="M259" s="423">
        <v>1654</v>
      </c>
      <c r="N259" s="426">
        <v>1</v>
      </c>
      <c r="O259" s="426">
        <v>1654</v>
      </c>
      <c r="P259" s="448">
        <v>0.5</v>
      </c>
      <c r="Q259" s="427">
        <v>1654</v>
      </c>
    </row>
    <row r="260" spans="1:17" ht="14.4" customHeight="1" x14ac:dyDescent="0.3">
      <c r="A260" s="422" t="s">
        <v>2146</v>
      </c>
      <c r="B260" s="423" t="s">
        <v>1941</v>
      </c>
      <c r="C260" s="423" t="s">
        <v>1951</v>
      </c>
      <c r="D260" s="423" t="s">
        <v>2156</v>
      </c>
      <c r="E260" s="423"/>
      <c r="F260" s="426">
        <v>22</v>
      </c>
      <c r="G260" s="426">
        <v>29106</v>
      </c>
      <c r="H260" s="423">
        <v>1</v>
      </c>
      <c r="I260" s="423">
        <v>1323</v>
      </c>
      <c r="J260" s="426">
        <v>44</v>
      </c>
      <c r="K260" s="426">
        <v>58212</v>
      </c>
      <c r="L260" s="423">
        <v>2</v>
      </c>
      <c r="M260" s="423">
        <v>1323</v>
      </c>
      <c r="N260" s="426">
        <v>35</v>
      </c>
      <c r="O260" s="426">
        <v>46305</v>
      </c>
      <c r="P260" s="448">
        <v>1.5909090909090908</v>
      </c>
      <c r="Q260" s="427">
        <v>1323</v>
      </c>
    </row>
    <row r="261" spans="1:17" ht="14.4" customHeight="1" x14ac:dyDescent="0.3">
      <c r="A261" s="422" t="s">
        <v>2146</v>
      </c>
      <c r="B261" s="423" t="s">
        <v>1941</v>
      </c>
      <c r="C261" s="423" t="s">
        <v>1951</v>
      </c>
      <c r="D261" s="423" t="s">
        <v>2157</v>
      </c>
      <c r="E261" s="423"/>
      <c r="F261" s="426"/>
      <c r="G261" s="426"/>
      <c r="H261" s="423"/>
      <c r="I261" s="423"/>
      <c r="J261" s="426">
        <v>1</v>
      </c>
      <c r="K261" s="426">
        <v>965</v>
      </c>
      <c r="L261" s="423"/>
      <c r="M261" s="423">
        <v>965</v>
      </c>
      <c r="N261" s="426"/>
      <c r="O261" s="426"/>
      <c r="P261" s="448"/>
      <c r="Q261" s="427"/>
    </row>
    <row r="262" spans="1:17" ht="14.4" customHeight="1" x14ac:dyDescent="0.3">
      <c r="A262" s="422" t="s">
        <v>2146</v>
      </c>
      <c r="B262" s="423" t="s">
        <v>1941</v>
      </c>
      <c r="C262" s="423" t="s">
        <v>1951</v>
      </c>
      <c r="D262" s="423" t="s">
        <v>2158</v>
      </c>
      <c r="E262" s="423"/>
      <c r="F262" s="426">
        <v>5</v>
      </c>
      <c r="G262" s="426">
        <v>9665</v>
      </c>
      <c r="H262" s="423">
        <v>1</v>
      </c>
      <c r="I262" s="423">
        <v>1933</v>
      </c>
      <c r="J262" s="426">
        <v>6</v>
      </c>
      <c r="K262" s="426">
        <v>11598</v>
      </c>
      <c r="L262" s="423">
        <v>1.2</v>
      </c>
      <c r="M262" s="423">
        <v>1933</v>
      </c>
      <c r="N262" s="426">
        <v>5</v>
      </c>
      <c r="O262" s="426">
        <v>9665</v>
      </c>
      <c r="P262" s="448">
        <v>1</v>
      </c>
      <c r="Q262" s="427">
        <v>1933</v>
      </c>
    </row>
    <row r="263" spans="1:17" ht="14.4" customHeight="1" x14ac:dyDescent="0.3">
      <c r="A263" s="422" t="s">
        <v>2146</v>
      </c>
      <c r="B263" s="423" t="s">
        <v>1941</v>
      </c>
      <c r="C263" s="423" t="s">
        <v>1951</v>
      </c>
      <c r="D263" s="423" t="s">
        <v>2159</v>
      </c>
      <c r="E263" s="423"/>
      <c r="F263" s="426">
        <v>2</v>
      </c>
      <c r="G263" s="426">
        <v>1356</v>
      </c>
      <c r="H263" s="423">
        <v>1</v>
      </c>
      <c r="I263" s="423">
        <v>678</v>
      </c>
      <c r="J263" s="426"/>
      <c r="K263" s="426"/>
      <c r="L263" s="423"/>
      <c r="M263" s="423"/>
      <c r="N263" s="426"/>
      <c r="O263" s="426"/>
      <c r="P263" s="448"/>
      <c r="Q263" s="427"/>
    </row>
    <row r="264" spans="1:17" ht="14.4" customHeight="1" x14ac:dyDescent="0.3">
      <c r="A264" s="422" t="s">
        <v>2146</v>
      </c>
      <c r="B264" s="423" t="s">
        <v>1941</v>
      </c>
      <c r="C264" s="423" t="s">
        <v>1951</v>
      </c>
      <c r="D264" s="423" t="s">
        <v>2160</v>
      </c>
      <c r="E264" s="423"/>
      <c r="F264" s="426">
        <v>94</v>
      </c>
      <c r="G264" s="426">
        <v>50948</v>
      </c>
      <c r="H264" s="423">
        <v>1</v>
      </c>
      <c r="I264" s="423">
        <v>542</v>
      </c>
      <c r="J264" s="426">
        <v>145</v>
      </c>
      <c r="K264" s="426">
        <v>77506</v>
      </c>
      <c r="L264" s="423">
        <v>1.5212765957446808</v>
      </c>
      <c r="M264" s="423">
        <v>534.52413793103449</v>
      </c>
      <c r="N264" s="426">
        <v>93</v>
      </c>
      <c r="O264" s="426">
        <v>50406</v>
      </c>
      <c r="P264" s="448">
        <v>0.98936170212765961</v>
      </c>
      <c r="Q264" s="427">
        <v>542</v>
      </c>
    </row>
    <row r="265" spans="1:17" ht="14.4" customHeight="1" x14ac:dyDescent="0.3">
      <c r="A265" s="422" t="s">
        <v>2146</v>
      </c>
      <c r="B265" s="423" t="s">
        <v>1941</v>
      </c>
      <c r="C265" s="423" t="s">
        <v>1951</v>
      </c>
      <c r="D265" s="423" t="s">
        <v>2161</v>
      </c>
      <c r="E265" s="423"/>
      <c r="F265" s="426"/>
      <c r="G265" s="426"/>
      <c r="H265" s="423"/>
      <c r="I265" s="423"/>
      <c r="J265" s="426">
        <v>1</v>
      </c>
      <c r="K265" s="426">
        <v>298</v>
      </c>
      <c r="L265" s="423"/>
      <c r="M265" s="423">
        <v>298</v>
      </c>
      <c r="N265" s="426">
        <v>1</v>
      </c>
      <c r="O265" s="426">
        <v>298</v>
      </c>
      <c r="P265" s="448"/>
      <c r="Q265" s="427">
        <v>298</v>
      </c>
    </row>
    <row r="266" spans="1:17" ht="14.4" customHeight="1" x14ac:dyDescent="0.3">
      <c r="A266" s="422" t="s">
        <v>2146</v>
      </c>
      <c r="B266" s="423" t="s">
        <v>1941</v>
      </c>
      <c r="C266" s="423" t="s">
        <v>1951</v>
      </c>
      <c r="D266" s="423" t="s">
        <v>2106</v>
      </c>
      <c r="E266" s="423"/>
      <c r="F266" s="426">
        <v>69</v>
      </c>
      <c r="G266" s="426">
        <v>39951</v>
      </c>
      <c r="H266" s="423">
        <v>1</v>
      </c>
      <c r="I266" s="423">
        <v>579</v>
      </c>
      <c r="J266" s="426">
        <v>51</v>
      </c>
      <c r="K266" s="426">
        <v>29529</v>
      </c>
      <c r="L266" s="423">
        <v>0.73913043478260865</v>
      </c>
      <c r="M266" s="423">
        <v>579</v>
      </c>
      <c r="N266" s="426">
        <v>62</v>
      </c>
      <c r="O266" s="426">
        <v>35898</v>
      </c>
      <c r="P266" s="448">
        <v>0.89855072463768115</v>
      </c>
      <c r="Q266" s="427">
        <v>579</v>
      </c>
    </row>
    <row r="267" spans="1:17" ht="14.4" customHeight="1" x14ac:dyDescent="0.3">
      <c r="A267" s="422" t="s">
        <v>2146</v>
      </c>
      <c r="B267" s="423" t="s">
        <v>1941</v>
      </c>
      <c r="C267" s="423" t="s">
        <v>1951</v>
      </c>
      <c r="D267" s="423" t="s">
        <v>1954</v>
      </c>
      <c r="E267" s="423"/>
      <c r="F267" s="426">
        <v>18</v>
      </c>
      <c r="G267" s="426">
        <v>2034</v>
      </c>
      <c r="H267" s="423">
        <v>1</v>
      </c>
      <c r="I267" s="423">
        <v>113</v>
      </c>
      <c r="J267" s="426">
        <v>13</v>
      </c>
      <c r="K267" s="426">
        <v>1469</v>
      </c>
      <c r="L267" s="423">
        <v>0.72222222222222221</v>
      </c>
      <c r="M267" s="423">
        <v>113</v>
      </c>
      <c r="N267" s="426">
        <v>15</v>
      </c>
      <c r="O267" s="426">
        <v>1695</v>
      </c>
      <c r="P267" s="448">
        <v>0.83333333333333337</v>
      </c>
      <c r="Q267" s="427">
        <v>113</v>
      </c>
    </row>
    <row r="268" spans="1:17" ht="14.4" customHeight="1" x14ac:dyDescent="0.3">
      <c r="A268" s="422" t="s">
        <v>2146</v>
      </c>
      <c r="B268" s="423" t="s">
        <v>1941</v>
      </c>
      <c r="C268" s="423" t="s">
        <v>1951</v>
      </c>
      <c r="D268" s="423" t="s">
        <v>1955</v>
      </c>
      <c r="E268" s="423"/>
      <c r="F268" s="426">
        <v>1</v>
      </c>
      <c r="G268" s="426">
        <v>132</v>
      </c>
      <c r="H268" s="423">
        <v>1</v>
      </c>
      <c r="I268" s="423">
        <v>132</v>
      </c>
      <c r="J268" s="426"/>
      <c r="K268" s="426"/>
      <c r="L268" s="423"/>
      <c r="M268" s="423"/>
      <c r="N268" s="426">
        <v>3</v>
      </c>
      <c r="O268" s="426">
        <v>396</v>
      </c>
      <c r="P268" s="448">
        <v>3</v>
      </c>
      <c r="Q268" s="427">
        <v>132</v>
      </c>
    </row>
    <row r="269" spans="1:17" ht="14.4" customHeight="1" x14ac:dyDescent="0.3">
      <c r="A269" s="422" t="s">
        <v>2146</v>
      </c>
      <c r="B269" s="423" t="s">
        <v>1941</v>
      </c>
      <c r="C269" s="423" t="s">
        <v>1951</v>
      </c>
      <c r="D269" s="423" t="s">
        <v>2162</v>
      </c>
      <c r="E269" s="423"/>
      <c r="F269" s="426">
        <v>1</v>
      </c>
      <c r="G269" s="426">
        <v>156</v>
      </c>
      <c r="H269" s="423">
        <v>1</v>
      </c>
      <c r="I269" s="423">
        <v>156</v>
      </c>
      <c r="J269" s="426"/>
      <c r="K269" s="426"/>
      <c r="L269" s="423"/>
      <c r="M269" s="423"/>
      <c r="N269" s="426">
        <v>2</v>
      </c>
      <c r="O269" s="426">
        <v>312</v>
      </c>
      <c r="P269" s="448">
        <v>2</v>
      </c>
      <c r="Q269" s="427">
        <v>156</v>
      </c>
    </row>
    <row r="270" spans="1:17" ht="14.4" customHeight="1" x14ac:dyDescent="0.3">
      <c r="A270" s="422" t="s">
        <v>2146</v>
      </c>
      <c r="B270" s="423" t="s">
        <v>1941</v>
      </c>
      <c r="C270" s="423" t="s">
        <v>1951</v>
      </c>
      <c r="D270" s="423" t="s">
        <v>1983</v>
      </c>
      <c r="E270" s="423"/>
      <c r="F270" s="426">
        <v>6</v>
      </c>
      <c r="G270" s="426">
        <v>10440</v>
      </c>
      <c r="H270" s="423">
        <v>1</v>
      </c>
      <c r="I270" s="423">
        <v>1740</v>
      </c>
      <c r="J270" s="426">
        <v>4</v>
      </c>
      <c r="K270" s="426">
        <v>6960</v>
      </c>
      <c r="L270" s="423">
        <v>0.66666666666666663</v>
      </c>
      <c r="M270" s="423">
        <v>1740</v>
      </c>
      <c r="N270" s="426">
        <v>8</v>
      </c>
      <c r="O270" s="426">
        <v>13920</v>
      </c>
      <c r="P270" s="448">
        <v>1.3333333333333333</v>
      </c>
      <c r="Q270" s="427">
        <v>1740</v>
      </c>
    </row>
    <row r="271" spans="1:17" ht="14.4" customHeight="1" x14ac:dyDescent="0.3">
      <c r="A271" s="422" t="s">
        <v>2146</v>
      </c>
      <c r="B271" s="423" t="s">
        <v>1941</v>
      </c>
      <c r="C271" s="423" t="s">
        <v>1951</v>
      </c>
      <c r="D271" s="423" t="s">
        <v>2001</v>
      </c>
      <c r="E271" s="423"/>
      <c r="F271" s="426">
        <v>6</v>
      </c>
      <c r="G271" s="426">
        <v>6048</v>
      </c>
      <c r="H271" s="423">
        <v>1</v>
      </c>
      <c r="I271" s="423">
        <v>1008</v>
      </c>
      <c r="J271" s="426">
        <v>3</v>
      </c>
      <c r="K271" s="426">
        <v>3024</v>
      </c>
      <c r="L271" s="423">
        <v>0.5</v>
      </c>
      <c r="M271" s="423">
        <v>1008</v>
      </c>
      <c r="N271" s="426">
        <v>1</v>
      </c>
      <c r="O271" s="426">
        <v>1008</v>
      </c>
      <c r="P271" s="448">
        <v>0.16666666666666666</v>
      </c>
      <c r="Q271" s="427">
        <v>1008</v>
      </c>
    </row>
    <row r="272" spans="1:17" ht="14.4" customHeight="1" x14ac:dyDescent="0.3">
      <c r="A272" s="422" t="s">
        <v>2146</v>
      </c>
      <c r="B272" s="423" t="s">
        <v>1941</v>
      </c>
      <c r="C272" s="423" t="s">
        <v>1951</v>
      </c>
      <c r="D272" s="423" t="s">
        <v>2163</v>
      </c>
      <c r="E272" s="423"/>
      <c r="F272" s="426">
        <v>262</v>
      </c>
      <c r="G272" s="426">
        <v>56854</v>
      </c>
      <c r="H272" s="423">
        <v>1</v>
      </c>
      <c r="I272" s="423">
        <v>217</v>
      </c>
      <c r="J272" s="426">
        <v>270</v>
      </c>
      <c r="K272" s="426">
        <v>57722</v>
      </c>
      <c r="L272" s="423">
        <v>1.0152671755725191</v>
      </c>
      <c r="M272" s="423">
        <v>213.78518518518518</v>
      </c>
      <c r="N272" s="426">
        <v>229</v>
      </c>
      <c r="O272" s="426">
        <v>49693</v>
      </c>
      <c r="P272" s="448">
        <v>0.87404580152671751</v>
      </c>
      <c r="Q272" s="427">
        <v>217</v>
      </c>
    </row>
    <row r="273" spans="1:17" ht="14.4" customHeight="1" x14ac:dyDescent="0.3">
      <c r="A273" s="422" t="s">
        <v>2146</v>
      </c>
      <c r="B273" s="423" t="s">
        <v>1941</v>
      </c>
      <c r="C273" s="423" t="s">
        <v>1951</v>
      </c>
      <c r="D273" s="423" t="s">
        <v>2164</v>
      </c>
      <c r="E273" s="423"/>
      <c r="F273" s="426">
        <v>1</v>
      </c>
      <c r="G273" s="426">
        <v>3258</v>
      </c>
      <c r="H273" s="423">
        <v>1</v>
      </c>
      <c r="I273" s="423">
        <v>3258</v>
      </c>
      <c r="J273" s="426"/>
      <c r="K273" s="426"/>
      <c r="L273" s="423"/>
      <c r="M273" s="423"/>
      <c r="N273" s="426"/>
      <c r="O273" s="426"/>
      <c r="P273" s="448"/>
      <c r="Q273" s="427"/>
    </row>
    <row r="274" spans="1:17" ht="14.4" customHeight="1" x14ac:dyDescent="0.3">
      <c r="A274" s="422" t="s">
        <v>2146</v>
      </c>
      <c r="B274" s="423" t="s">
        <v>1941</v>
      </c>
      <c r="C274" s="423" t="s">
        <v>1951</v>
      </c>
      <c r="D274" s="423" t="s">
        <v>2165</v>
      </c>
      <c r="E274" s="423"/>
      <c r="F274" s="426">
        <v>218</v>
      </c>
      <c r="G274" s="426">
        <v>227374</v>
      </c>
      <c r="H274" s="423">
        <v>1</v>
      </c>
      <c r="I274" s="423">
        <v>1043</v>
      </c>
      <c r="J274" s="426">
        <v>232</v>
      </c>
      <c r="K274" s="426">
        <v>237804</v>
      </c>
      <c r="L274" s="423">
        <v>1.0458715596330275</v>
      </c>
      <c r="M274" s="423">
        <v>1025.0172413793102</v>
      </c>
      <c r="N274" s="426">
        <v>147</v>
      </c>
      <c r="O274" s="426">
        <v>153321</v>
      </c>
      <c r="P274" s="448">
        <v>0.67431192660550454</v>
      </c>
      <c r="Q274" s="427">
        <v>1043</v>
      </c>
    </row>
    <row r="275" spans="1:17" ht="14.4" customHeight="1" x14ac:dyDescent="0.3">
      <c r="A275" s="422" t="s">
        <v>2146</v>
      </c>
      <c r="B275" s="423" t="s">
        <v>1941</v>
      </c>
      <c r="C275" s="423" t="s">
        <v>1951</v>
      </c>
      <c r="D275" s="423" t="s">
        <v>2166</v>
      </c>
      <c r="E275" s="423"/>
      <c r="F275" s="426">
        <v>7</v>
      </c>
      <c r="G275" s="426">
        <v>9261</v>
      </c>
      <c r="H275" s="423">
        <v>1</v>
      </c>
      <c r="I275" s="423">
        <v>1323</v>
      </c>
      <c r="J275" s="426">
        <v>2</v>
      </c>
      <c r="K275" s="426">
        <v>2646</v>
      </c>
      <c r="L275" s="423">
        <v>0.2857142857142857</v>
      </c>
      <c r="M275" s="423">
        <v>1323</v>
      </c>
      <c r="N275" s="426">
        <v>4</v>
      </c>
      <c r="O275" s="426">
        <v>5292</v>
      </c>
      <c r="P275" s="448">
        <v>0.5714285714285714</v>
      </c>
      <c r="Q275" s="427">
        <v>1323</v>
      </c>
    </row>
    <row r="276" spans="1:17" ht="14.4" customHeight="1" x14ac:dyDescent="0.3">
      <c r="A276" s="422" t="s">
        <v>2146</v>
      </c>
      <c r="B276" s="423" t="s">
        <v>1941</v>
      </c>
      <c r="C276" s="423" t="s">
        <v>1951</v>
      </c>
      <c r="D276" s="423" t="s">
        <v>2167</v>
      </c>
      <c r="E276" s="423"/>
      <c r="F276" s="426">
        <v>1</v>
      </c>
      <c r="G276" s="426">
        <v>965</v>
      </c>
      <c r="H276" s="423">
        <v>1</v>
      </c>
      <c r="I276" s="423">
        <v>965</v>
      </c>
      <c r="J276" s="426"/>
      <c r="K276" s="426"/>
      <c r="L276" s="423"/>
      <c r="M276" s="423"/>
      <c r="N276" s="426"/>
      <c r="O276" s="426"/>
      <c r="P276" s="448"/>
      <c r="Q276" s="427"/>
    </row>
    <row r="277" spans="1:17" ht="14.4" customHeight="1" x14ac:dyDescent="0.3">
      <c r="A277" s="422" t="s">
        <v>2146</v>
      </c>
      <c r="B277" s="423" t="s">
        <v>1941</v>
      </c>
      <c r="C277" s="423" t="s">
        <v>1951</v>
      </c>
      <c r="D277" s="423" t="s">
        <v>2168</v>
      </c>
      <c r="E277" s="423"/>
      <c r="F277" s="426">
        <v>1</v>
      </c>
      <c r="G277" s="426">
        <v>1933</v>
      </c>
      <c r="H277" s="423">
        <v>1</v>
      </c>
      <c r="I277" s="423">
        <v>1933</v>
      </c>
      <c r="J277" s="426">
        <v>1</v>
      </c>
      <c r="K277" s="426">
        <v>1933</v>
      </c>
      <c r="L277" s="423">
        <v>1</v>
      </c>
      <c r="M277" s="423">
        <v>1933</v>
      </c>
      <c r="N277" s="426"/>
      <c r="O277" s="426"/>
      <c r="P277" s="448"/>
      <c r="Q277" s="427"/>
    </row>
    <row r="278" spans="1:17" ht="14.4" customHeight="1" x14ac:dyDescent="0.3">
      <c r="A278" s="422" t="s">
        <v>2146</v>
      </c>
      <c r="B278" s="423" t="s">
        <v>1941</v>
      </c>
      <c r="C278" s="423" t="s">
        <v>1951</v>
      </c>
      <c r="D278" s="423" t="s">
        <v>2169</v>
      </c>
      <c r="E278" s="423"/>
      <c r="F278" s="426">
        <v>30</v>
      </c>
      <c r="G278" s="426">
        <v>16260</v>
      </c>
      <c r="H278" s="423">
        <v>1</v>
      </c>
      <c r="I278" s="423">
        <v>542</v>
      </c>
      <c r="J278" s="426">
        <v>38</v>
      </c>
      <c r="K278" s="426">
        <v>20596</v>
      </c>
      <c r="L278" s="423">
        <v>1.2666666666666666</v>
      </c>
      <c r="M278" s="423">
        <v>542</v>
      </c>
      <c r="N278" s="426">
        <v>27</v>
      </c>
      <c r="O278" s="426">
        <v>14634</v>
      </c>
      <c r="P278" s="448">
        <v>0.9</v>
      </c>
      <c r="Q278" s="427">
        <v>542</v>
      </c>
    </row>
    <row r="279" spans="1:17" ht="14.4" customHeight="1" x14ac:dyDescent="0.3">
      <c r="A279" s="422" t="s">
        <v>2146</v>
      </c>
      <c r="B279" s="423" t="s">
        <v>1941</v>
      </c>
      <c r="C279" s="423" t="s">
        <v>1951</v>
      </c>
      <c r="D279" s="423" t="s">
        <v>2170</v>
      </c>
      <c r="E279" s="423"/>
      <c r="F279" s="426">
        <v>1</v>
      </c>
      <c r="G279" s="426">
        <v>298</v>
      </c>
      <c r="H279" s="423">
        <v>1</v>
      </c>
      <c r="I279" s="423">
        <v>298</v>
      </c>
      <c r="J279" s="426"/>
      <c r="K279" s="426"/>
      <c r="L279" s="423"/>
      <c r="M279" s="423"/>
      <c r="N279" s="426"/>
      <c r="O279" s="426"/>
      <c r="P279" s="448"/>
      <c r="Q279" s="427"/>
    </row>
    <row r="280" spans="1:17" ht="14.4" customHeight="1" x14ac:dyDescent="0.3">
      <c r="A280" s="422" t="s">
        <v>2146</v>
      </c>
      <c r="B280" s="423" t="s">
        <v>1941</v>
      </c>
      <c r="C280" s="423" t="s">
        <v>1951</v>
      </c>
      <c r="D280" s="423" t="s">
        <v>2171</v>
      </c>
      <c r="E280" s="423"/>
      <c r="F280" s="426">
        <v>78</v>
      </c>
      <c r="G280" s="426">
        <v>45162</v>
      </c>
      <c r="H280" s="423">
        <v>1</v>
      </c>
      <c r="I280" s="423">
        <v>579</v>
      </c>
      <c r="J280" s="426">
        <v>87</v>
      </c>
      <c r="K280" s="426">
        <v>50373</v>
      </c>
      <c r="L280" s="423">
        <v>1.1153846153846154</v>
      </c>
      <c r="M280" s="423">
        <v>579</v>
      </c>
      <c r="N280" s="426">
        <v>103</v>
      </c>
      <c r="O280" s="426">
        <v>59637</v>
      </c>
      <c r="P280" s="448">
        <v>1.3205128205128205</v>
      </c>
      <c r="Q280" s="427">
        <v>579</v>
      </c>
    </row>
    <row r="281" spans="1:17" ht="14.4" customHeight="1" x14ac:dyDescent="0.3">
      <c r="A281" s="422" t="s">
        <v>2146</v>
      </c>
      <c r="B281" s="423" t="s">
        <v>1941</v>
      </c>
      <c r="C281" s="423" t="s">
        <v>1951</v>
      </c>
      <c r="D281" s="423" t="s">
        <v>2172</v>
      </c>
      <c r="E281" s="423"/>
      <c r="F281" s="426"/>
      <c r="G281" s="426"/>
      <c r="H281" s="423"/>
      <c r="I281" s="423"/>
      <c r="J281" s="426">
        <v>1</v>
      </c>
      <c r="K281" s="426">
        <v>1612</v>
      </c>
      <c r="L281" s="423"/>
      <c r="M281" s="423">
        <v>1612</v>
      </c>
      <c r="N281" s="426"/>
      <c r="O281" s="426"/>
      <c r="P281" s="448"/>
      <c r="Q281" s="427"/>
    </row>
    <row r="282" spans="1:17" ht="14.4" customHeight="1" x14ac:dyDescent="0.3">
      <c r="A282" s="422" t="s">
        <v>2146</v>
      </c>
      <c r="B282" s="423" t="s">
        <v>1941</v>
      </c>
      <c r="C282" s="423" t="s">
        <v>1951</v>
      </c>
      <c r="D282" s="423" t="s">
        <v>2173</v>
      </c>
      <c r="E282" s="423"/>
      <c r="F282" s="426"/>
      <c r="G282" s="426"/>
      <c r="H282" s="423"/>
      <c r="I282" s="423"/>
      <c r="J282" s="426"/>
      <c r="K282" s="426"/>
      <c r="L282" s="423"/>
      <c r="M282" s="423"/>
      <c r="N282" s="426">
        <v>1</v>
      </c>
      <c r="O282" s="426">
        <v>678</v>
      </c>
      <c r="P282" s="448"/>
      <c r="Q282" s="427">
        <v>678</v>
      </c>
    </row>
    <row r="283" spans="1:17" ht="14.4" customHeight="1" x14ac:dyDescent="0.3">
      <c r="A283" s="422" t="s">
        <v>2146</v>
      </c>
      <c r="B283" s="423" t="s">
        <v>1941</v>
      </c>
      <c r="C283" s="423" t="s">
        <v>1951</v>
      </c>
      <c r="D283" s="423" t="s">
        <v>2174</v>
      </c>
      <c r="E283" s="423"/>
      <c r="F283" s="426"/>
      <c r="G283" s="426"/>
      <c r="H283" s="423"/>
      <c r="I283" s="423"/>
      <c r="J283" s="426"/>
      <c r="K283" s="426"/>
      <c r="L283" s="423"/>
      <c r="M283" s="423"/>
      <c r="N283" s="426">
        <v>3</v>
      </c>
      <c r="O283" s="426">
        <v>3909</v>
      </c>
      <c r="P283" s="448"/>
      <c r="Q283" s="427">
        <v>1303</v>
      </c>
    </row>
    <row r="284" spans="1:17" ht="14.4" customHeight="1" x14ac:dyDescent="0.3">
      <c r="A284" s="422" t="s">
        <v>2146</v>
      </c>
      <c r="B284" s="423" t="s">
        <v>1941</v>
      </c>
      <c r="C284" s="423" t="s">
        <v>2022</v>
      </c>
      <c r="D284" s="423" t="s">
        <v>2027</v>
      </c>
      <c r="E284" s="423" t="s">
        <v>2028</v>
      </c>
      <c r="F284" s="426">
        <v>12</v>
      </c>
      <c r="G284" s="426">
        <v>933.34</v>
      </c>
      <c r="H284" s="423">
        <v>1</v>
      </c>
      <c r="I284" s="423">
        <v>77.778333333333336</v>
      </c>
      <c r="J284" s="426">
        <v>19</v>
      </c>
      <c r="K284" s="426">
        <v>1477.79</v>
      </c>
      <c r="L284" s="423">
        <v>1.5833351190348639</v>
      </c>
      <c r="M284" s="423">
        <v>77.778421052631572</v>
      </c>
      <c r="N284" s="426">
        <v>27</v>
      </c>
      <c r="O284" s="426">
        <v>2100</v>
      </c>
      <c r="P284" s="448">
        <v>2.2499839286862238</v>
      </c>
      <c r="Q284" s="427">
        <v>77.777777777777771</v>
      </c>
    </row>
    <row r="285" spans="1:17" ht="14.4" customHeight="1" x14ac:dyDescent="0.3">
      <c r="A285" s="422" t="s">
        <v>2146</v>
      </c>
      <c r="B285" s="423" t="s">
        <v>1941</v>
      </c>
      <c r="C285" s="423" t="s">
        <v>2022</v>
      </c>
      <c r="D285" s="423" t="s">
        <v>2029</v>
      </c>
      <c r="E285" s="423" t="s">
        <v>2030</v>
      </c>
      <c r="F285" s="426">
        <v>65</v>
      </c>
      <c r="G285" s="426">
        <v>16250</v>
      </c>
      <c r="H285" s="423">
        <v>1</v>
      </c>
      <c r="I285" s="423">
        <v>250</v>
      </c>
      <c r="J285" s="426">
        <v>73</v>
      </c>
      <c r="K285" s="426">
        <v>17750</v>
      </c>
      <c r="L285" s="423">
        <v>1.0923076923076922</v>
      </c>
      <c r="M285" s="423">
        <v>243.15068493150685</v>
      </c>
      <c r="N285" s="426">
        <v>50</v>
      </c>
      <c r="O285" s="426">
        <v>12500</v>
      </c>
      <c r="P285" s="448">
        <v>0.76923076923076927</v>
      </c>
      <c r="Q285" s="427">
        <v>250</v>
      </c>
    </row>
    <row r="286" spans="1:17" ht="14.4" customHeight="1" x14ac:dyDescent="0.3">
      <c r="A286" s="422" t="s">
        <v>2146</v>
      </c>
      <c r="B286" s="423" t="s">
        <v>1941</v>
      </c>
      <c r="C286" s="423" t="s">
        <v>2022</v>
      </c>
      <c r="D286" s="423" t="s">
        <v>2124</v>
      </c>
      <c r="E286" s="423" t="s">
        <v>2125</v>
      </c>
      <c r="F286" s="426">
        <v>635</v>
      </c>
      <c r="G286" s="426">
        <v>190500</v>
      </c>
      <c r="H286" s="423">
        <v>1</v>
      </c>
      <c r="I286" s="423">
        <v>300</v>
      </c>
      <c r="J286" s="426">
        <v>802</v>
      </c>
      <c r="K286" s="426">
        <v>235800</v>
      </c>
      <c r="L286" s="423">
        <v>1.2377952755905512</v>
      </c>
      <c r="M286" s="423">
        <v>294.0149625935162</v>
      </c>
      <c r="N286" s="426">
        <v>651</v>
      </c>
      <c r="O286" s="426">
        <v>195300</v>
      </c>
      <c r="P286" s="448">
        <v>1.0251968503937008</v>
      </c>
      <c r="Q286" s="427">
        <v>300</v>
      </c>
    </row>
    <row r="287" spans="1:17" ht="14.4" customHeight="1" x14ac:dyDescent="0.3">
      <c r="A287" s="422" t="s">
        <v>2146</v>
      </c>
      <c r="B287" s="423" t="s">
        <v>1941</v>
      </c>
      <c r="C287" s="423" t="s">
        <v>2022</v>
      </c>
      <c r="D287" s="423" t="s">
        <v>2175</v>
      </c>
      <c r="E287" s="423" t="s">
        <v>2176</v>
      </c>
      <c r="F287" s="426">
        <v>302</v>
      </c>
      <c r="G287" s="426">
        <v>201333.34</v>
      </c>
      <c r="H287" s="423">
        <v>1</v>
      </c>
      <c r="I287" s="423">
        <v>666.66668874172183</v>
      </c>
      <c r="J287" s="426">
        <v>455</v>
      </c>
      <c r="K287" s="426">
        <v>300666.67</v>
      </c>
      <c r="L287" s="423">
        <v>1.4933774505504156</v>
      </c>
      <c r="M287" s="423">
        <v>660.80586813186812</v>
      </c>
      <c r="N287" s="426">
        <v>365</v>
      </c>
      <c r="O287" s="426">
        <v>243333.33999999997</v>
      </c>
      <c r="P287" s="448">
        <v>1.208609264615587</v>
      </c>
      <c r="Q287" s="427">
        <v>666.66668493150678</v>
      </c>
    </row>
    <row r="288" spans="1:17" ht="14.4" customHeight="1" x14ac:dyDescent="0.3">
      <c r="A288" s="422" t="s">
        <v>2146</v>
      </c>
      <c r="B288" s="423" t="s">
        <v>1941</v>
      </c>
      <c r="C288" s="423" t="s">
        <v>2022</v>
      </c>
      <c r="D288" s="423" t="s">
        <v>2177</v>
      </c>
      <c r="E288" s="423" t="s">
        <v>2178</v>
      </c>
      <c r="F288" s="426">
        <v>524</v>
      </c>
      <c r="G288" s="426">
        <v>122266.67</v>
      </c>
      <c r="H288" s="423">
        <v>1</v>
      </c>
      <c r="I288" s="423">
        <v>233.33333969465647</v>
      </c>
      <c r="J288" s="426">
        <v>534</v>
      </c>
      <c r="K288" s="426">
        <v>124133.33</v>
      </c>
      <c r="L288" s="423">
        <v>1.0152671206306674</v>
      </c>
      <c r="M288" s="423">
        <v>232.45941947565544</v>
      </c>
      <c r="N288" s="426">
        <v>642</v>
      </c>
      <c r="O288" s="426">
        <v>149800</v>
      </c>
      <c r="P288" s="448">
        <v>1.2251908062925081</v>
      </c>
      <c r="Q288" s="427">
        <v>233.33333333333334</v>
      </c>
    </row>
    <row r="289" spans="1:17" ht="14.4" customHeight="1" x14ac:dyDescent="0.3">
      <c r="A289" s="422" t="s">
        <v>2146</v>
      </c>
      <c r="B289" s="423" t="s">
        <v>1941</v>
      </c>
      <c r="C289" s="423" t="s">
        <v>2022</v>
      </c>
      <c r="D289" s="423" t="s">
        <v>2179</v>
      </c>
      <c r="E289" s="423" t="s">
        <v>2180</v>
      </c>
      <c r="F289" s="426">
        <v>526</v>
      </c>
      <c r="G289" s="426">
        <v>409111.11</v>
      </c>
      <c r="H289" s="423">
        <v>1</v>
      </c>
      <c r="I289" s="423">
        <v>777.77777566539919</v>
      </c>
      <c r="J289" s="426">
        <v>501</v>
      </c>
      <c r="K289" s="426">
        <v>383444.45</v>
      </c>
      <c r="L289" s="423">
        <v>0.93726237353955022</v>
      </c>
      <c r="M289" s="423">
        <v>765.35818363273461</v>
      </c>
      <c r="N289" s="426">
        <v>389</v>
      </c>
      <c r="O289" s="426">
        <v>302555.56</v>
      </c>
      <c r="P289" s="448">
        <v>0.73954373910794069</v>
      </c>
      <c r="Q289" s="427">
        <v>777.77778920308481</v>
      </c>
    </row>
    <row r="290" spans="1:17" ht="14.4" customHeight="1" x14ac:dyDescent="0.3">
      <c r="A290" s="422" t="s">
        <v>2146</v>
      </c>
      <c r="B290" s="423" t="s">
        <v>1941</v>
      </c>
      <c r="C290" s="423" t="s">
        <v>2022</v>
      </c>
      <c r="D290" s="423" t="s">
        <v>2181</v>
      </c>
      <c r="E290" s="423" t="s">
        <v>2182</v>
      </c>
      <c r="F290" s="426">
        <v>1544</v>
      </c>
      <c r="G290" s="426">
        <v>377422.22</v>
      </c>
      <c r="H290" s="423">
        <v>1</v>
      </c>
      <c r="I290" s="423">
        <v>244.44444300518134</v>
      </c>
      <c r="J290" s="426">
        <v>1469</v>
      </c>
      <c r="K290" s="426">
        <v>357622.22</v>
      </c>
      <c r="L290" s="423">
        <v>0.94753885979474128</v>
      </c>
      <c r="M290" s="423">
        <v>243.44603131381891</v>
      </c>
      <c r="N290" s="426">
        <v>1306</v>
      </c>
      <c r="O290" s="426">
        <v>319244.45999999996</v>
      </c>
      <c r="P290" s="448">
        <v>0.8458549684753589</v>
      </c>
      <c r="Q290" s="427">
        <v>244.44445635528328</v>
      </c>
    </row>
    <row r="291" spans="1:17" ht="14.4" customHeight="1" x14ac:dyDescent="0.3">
      <c r="A291" s="422" t="s">
        <v>2146</v>
      </c>
      <c r="B291" s="423" t="s">
        <v>1941</v>
      </c>
      <c r="C291" s="423" t="s">
        <v>2022</v>
      </c>
      <c r="D291" s="423" t="s">
        <v>2183</v>
      </c>
      <c r="E291" s="423" t="s">
        <v>2184</v>
      </c>
      <c r="F291" s="426">
        <v>7</v>
      </c>
      <c r="G291" s="426">
        <v>3678.8899999999994</v>
      </c>
      <c r="H291" s="423">
        <v>1</v>
      </c>
      <c r="I291" s="423">
        <v>525.5557142857142</v>
      </c>
      <c r="J291" s="426">
        <v>7</v>
      </c>
      <c r="K291" s="426">
        <v>3678.8899999999994</v>
      </c>
      <c r="L291" s="423">
        <v>1</v>
      </c>
      <c r="M291" s="423">
        <v>525.5557142857142</v>
      </c>
      <c r="N291" s="426">
        <v>8</v>
      </c>
      <c r="O291" s="426">
        <v>4204.4499999999989</v>
      </c>
      <c r="P291" s="448">
        <v>1.1428583078047998</v>
      </c>
      <c r="Q291" s="427">
        <v>525.55624999999986</v>
      </c>
    </row>
    <row r="292" spans="1:17" ht="14.4" customHeight="1" x14ac:dyDescent="0.3">
      <c r="A292" s="422" t="s">
        <v>2146</v>
      </c>
      <c r="B292" s="423" t="s">
        <v>1941</v>
      </c>
      <c r="C292" s="423" t="s">
        <v>2022</v>
      </c>
      <c r="D292" s="423" t="s">
        <v>2185</v>
      </c>
      <c r="E292" s="423" t="s">
        <v>2186</v>
      </c>
      <c r="F292" s="426">
        <v>4</v>
      </c>
      <c r="G292" s="426">
        <v>4000</v>
      </c>
      <c r="H292" s="423">
        <v>1</v>
      </c>
      <c r="I292" s="423">
        <v>1000</v>
      </c>
      <c r="J292" s="426"/>
      <c r="K292" s="426"/>
      <c r="L292" s="423"/>
      <c r="M292" s="423"/>
      <c r="N292" s="426">
        <v>10</v>
      </c>
      <c r="O292" s="426">
        <v>10000</v>
      </c>
      <c r="P292" s="448">
        <v>2.5</v>
      </c>
      <c r="Q292" s="427">
        <v>1000</v>
      </c>
    </row>
    <row r="293" spans="1:17" ht="14.4" customHeight="1" x14ac:dyDescent="0.3">
      <c r="A293" s="422" t="s">
        <v>2146</v>
      </c>
      <c r="B293" s="423" t="s">
        <v>1941</v>
      </c>
      <c r="C293" s="423" t="s">
        <v>2022</v>
      </c>
      <c r="D293" s="423" t="s">
        <v>2054</v>
      </c>
      <c r="E293" s="423" t="s">
        <v>2055</v>
      </c>
      <c r="F293" s="426">
        <v>14</v>
      </c>
      <c r="G293" s="426">
        <v>0</v>
      </c>
      <c r="H293" s="423"/>
      <c r="I293" s="423">
        <v>0</v>
      </c>
      <c r="J293" s="426">
        <v>26</v>
      </c>
      <c r="K293" s="426">
        <v>0</v>
      </c>
      <c r="L293" s="423"/>
      <c r="M293" s="423">
        <v>0</v>
      </c>
      <c r="N293" s="426">
        <v>5</v>
      </c>
      <c r="O293" s="426">
        <v>0</v>
      </c>
      <c r="P293" s="448"/>
      <c r="Q293" s="427">
        <v>0</v>
      </c>
    </row>
    <row r="294" spans="1:17" ht="14.4" customHeight="1" x14ac:dyDescent="0.3">
      <c r="A294" s="422" t="s">
        <v>2146</v>
      </c>
      <c r="B294" s="423" t="s">
        <v>1941</v>
      </c>
      <c r="C294" s="423" t="s">
        <v>2022</v>
      </c>
      <c r="D294" s="423" t="s">
        <v>2056</v>
      </c>
      <c r="E294" s="423" t="s">
        <v>2057</v>
      </c>
      <c r="F294" s="426">
        <v>1056</v>
      </c>
      <c r="G294" s="426">
        <v>0</v>
      </c>
      <c r="H294" s="423"/>
      <c r="I294" s="423">
        <v>0</v>
      </c>
      <c r="J294" s="426">
        <v>1264</v>
      </c>
      <c r="K294" s="426">
        <v>0</v>
      </c>
      <c r="L294" s="423"/>
      <c r="M294" s="423">
        <v>0</v>
      </c>
      <c r="N294" s="426">
        <v>1082</v>
      </c>
      <c r="O294" s="426">
        <v>0</v>
      </c>
      <c r="P294" s="448"/>
      <c r="Q294" s="427">
        <v>0</v>
      </c>
    </row>
    <row r="295" spans="1:17" ht="14.4" customHeight="1" x14ac:dyDescent="0.3">
      <c r="A295" s="422" t="s">
        <v>2146</v>
      </c>
      <c r="B295" s="423" t="s">
        <v>1941</v>
      </c>
      <c r="C295" s="423" t="s">
        <v>2022</v>
      </c>
      <c r="D295" s="423" t="s">
        <v>2058</v>
      </c>
      <c r="E295" s="423" t="s">
        <v>2059</v>
      </c>
      <c r="F295" s="426">
        <v>778</v>
      </c>
      <c r="G295" s="426">
        <v>237722.22999999998</v>
      </c>
      <c r="H295" s="423">
        <v>1</v>
      </c>
      <c r="I295" s="423">
        <v>305.55556555269919</v>
      </c>
      <c r="J295" s="426">
        <v>927</v>
      </c>
      <c r="K295" s="426">
        <v>282638.89</v>
      </c>
      <c r="L295" s="423">
        <v>1.1889459811983087</v>
      </c>
      <c r="M295" s="423">
        <v>304.89632146709818</v>
      </c>
      <c r="N295" s="426">
        <v>806</v>
      </c>
      <c r="O295" s="426">
        <v>246277.78999999998</v>
      </c>
      <c r="P295" s="448">
        <v>1.0359897347420979</v>
      </c>
      <c r="Q295" s="427">
        <v>305.55557071960294</v>
      </c>
    </row>
    <row r="296" spans="1:17" ht="14.4" customHeight="1" x14ac:dyDescent="0.3">
      <c r="A296" s="422" t="s">
        <v>2146</v>
      </c>
      <c r="B296" s="423" t="s">
        <v>1941</v>
      </c>
      <c r="C296" s="423" t="s">
        <v>2022</v>
      </c>
      <c r="D296" s="423" t="s">
        <v>2060</v>
      </c>
      <c r="E296" s="423" t="s">
        <v>2061</v>
      </c>
      <c r="F296" s="426">
        <v>2190</v>
      </c>
      <c r="G296" s="426">
        <v>0</v>
      </c>
      <c r="H296" s="423"/>
      <c r="I296" s="423">
        <v>0</v>
      </c>
      <c r="J296" s="426">
        <v>2289</v>
      </c>
      <c r="K296" s="426">
        <v>0</v>
      </c>
      <c r="L296" s="423"/>
      <c r="M296" s="423">
        <v>0</v>
      </c>
      <c r="N296" s="426">
        <v>1794</v>
      </c>
      <c r="O296" s="426">
        <v>28633.33</v>
      </c>
      <c r="P296" s="448"/>
      <c r="Q296" s="427">
        <v>15.960607580824973</v>
      </c>
    </row>
    <row r="297" spans="1:17" ht="14.4" customHeight="1" x14ac:dyDescent="0.3">
      <c r="A297" s="422" t="s">
        <v>2146</v>
      </c>
      <c r="B297" s="423" t="s">
        <v>1941</v>
      </c>
      <c r="C297" s="423" t="s">
        <v>2022</v>
      </c>
      <c r="D297" s="423" t="s">
        <v>2062</v>
      </c>
      <c r="E297" s="423" t="s">
        <v>2063</v>
      </c>
      <c r="F297" s="426">
        <v>743</v>
      </c>
      <c r="G297" s="426">
        <v>338477.77</v>
      </c>
      <c r="H297" s="423">
        <v>1</v>
      </c>
      <c r="I297" s="423">
        <v>455.55554508748321</v>
      </c>
      <c r="J297" s="426">
        <v>913</v>
      </c>
      <c r="K297" s="426">
        <v>405900.01</v>
      </c>
      <c r="L297" s="423">
        <v>1.1991925200878037</v>
      </c>
      <c r="M297" s="423">
        <v>444.57832420591456</v>
      </c>
      <c r="N297" s="426">
        <v>766</v>
      </c>
      <c r="O297" s="426">
        <v>348955.56</v>
      </c>
      <c r="P297" s="448">
        <v>1.0309556222850322</v>
      </c>
      <c r="Q297" s="427">
        <v>455.55556135770235</v>
      </c>
    </row>
    <row r="298" spans="1:17" ht="14.4" customHeight="1" x14ac:dyDescent="0.3">
      <c r="A298" s="422" t="s">
        <v>2146</v>
      </c>
      <c r="B298" s="423" t="s">
        <v>1941</v>
      </c>
      <c r="C298" s="423" t="s">
        <v>2022</v>
      </c>
      <c r="D298" s="423" t="s">
        <v>2064</v>
      </c>
      <c r="E298" s="423" t="s">
        <v>2065</v>
      </c>
      <c r="F298" s="426">
        <v>820</v>
      </c>
      <c r="G298" s="426">
        <v>63777.770000000004</v>
      </c>
      <c r="H298" s="423">
        <v>1</v>
      </c>
      <c r="I298" s="423">
        <v>77.777768292682936</v>
      </c>
      <c r="J298" s="426">
        <v>957</v>
      </c>
      <c r="K298" s="426">
        <v>74122.22</v>
      </c>
      <c r="L298" s="423">
        <v>1.1621952288391393</v>
      </c>
      <c r="M298" s="423">
        <v>77.452685475444099</v>
      </c>
      <c r="N298" s="426">
        <v>840</v>
      </c>
      <c r="O298" s="426">
        <v>65333.33</v>
      </c>
      <c r="P298" s="448">
        <v>1.0243903165632791</v>
      </c>
      <c r="Q298" s="427">
        <v>77.777773809523808</v>
      </c>
    </row>
    <row r="299" spans="1:17" ht="14.4" customHeight="1" x14ac:dyDescent="0.3">
      <c r="A299" s="422" t="s">
        <v>2146</v>
      </c>
      <c r="B299" s="423" t="s">
        <v>1941</v>
      </c>
      <c r="C299" s="423" t="s">
        <v>2022</v>
      </c>
      <c r="D299" s="423" t="s">
        <v>2187</v>
      </c>
      <c r="E299" s="423" t="s">
        <v>2188</v>
      </c>
      <c r="F299" s="426">
        <v>463</v>
      </c>
      <c r="G299" s="426">
        <v>668777.77999999991</v>
      </c>
      <c r="H299" s="423">
        <v>1</v>
      </c>
      <c r="I299" s="423">
        <v>1444.4444492440603</v>
      </c>
      <c r="J299" s="426">
        <v>483</v>
      </c>
      <c r="K299" s="426">
        <v>689000.01</v>
      </c>
      <c r="L299" s="423">
        <v>1.0302375925228857</v>
      </c>
      <c r="M299" s="423">
        <v>1426.5010559006212</v>
      </c>
      <c r="N299" s="426">
        <v>404</v>
      </c>
      <c r="O299" s="426">
        <v>583555.55000000005</v>
      </c>
      <c r="P299" s="448">
        <v>0.87257018317803581</v>
      </c>
      <c r="Q299" s="427">
        <v>1444.4444306930695</v>
      </c>
    </row>
    <row r="300" spans="1:17" ht="14.4" customHeight="1" x14ac:dyDescent="0.3">
      <c r="A300" s="422" t="s">
        <v>2146</v>
      </c>
      <c r="B300" s="423" t="s">
        <v>1941</v>
      </c>
      <c r="C300" s="423" t="s">
        <v>2022</v>
      </c>
      <c r="D300" s="423" t="s">
        <v>2070</v>
      </c>
      <c r="E300" s="423" t="s">
        <v>2071</v>
      </c>
      <c r="F300" s="426">
        <v>1</v>
      </c>
      <c r="G300" s="426">
        <v>88.89</v>
      </c>
      <c r="H300" s="423">
        <v>1</v>
      </c>
      <c r="I300" s="423">
        <v>88.89</v>
      </c>
      <c r="J300" s="426"/>
      <c r="K300" s="426"/>
      <c r="L300" s="423"/>
      <c r="M300" s="423"/>
      <c r="N300" s="426">
        <v>6</v>
      </c>
      <c r="O300" s="426">
        <v>533.34</v>
      </c>
      <c r="P300" s="448">
        <v>6</v>
      </c>
      <c r="Q300" s="427">
        <v>88.89</v>
      </c>
    </row>
    <row r="301" spans="1:17" ht="14.4" customHeight="1" x14ac:dyDescent="0.3">
      <c r="A301" s="422" t="s">
        <v>2146</v>
      </c>
      <c r="B301" s="423" t="s">
        <v>1941</v>
      </c>
      <c r="C301" s="423" t="s">
        <v>2022</v>
      </c>
      <c r="D301" s="423" t="s">
        <v>2074</v>
      </c>
      <c r="E301" s="423" t="s">
        <v>2075</v>
      </c>
      <c r="F301" s="426">
        <v>5</v>
      </c>
      <c r="G301" s="426">
        <v>483.33000000000004</v>
      </c>
      <c r="H301" s="423">
        <v>1</v>
      </c>
      <c r="I301" s="423">
        <v>96.666000000000011</v>
      </c>
      <c r="J301" s="426">
        <v>2</v>
      </c>
      <c r="K301" s="426">
        <v>193.34</v>
      </c>
      <c r="L301" s="423">
        <v>0.40001655183828849</v>
      </c>
      <c r="M301" s="423">
        <v>96.67</v>
      </c>
      <c r="N301" s="426">
        <v>8</v>
      </c>
      <c r="O301" s="426">
        <v>773.34</v>
      </c>
      <c r="P301" s="448">
        <v>1.6000248277574327</v>
      </c>
      <c r="Q301" s="427">
        <v>96.667500000000004</v>
      </c>
    </row>
    <row r="302" spans="1:17" ht="14.4" customHeight="1" x14ac:dyDescent="0.3">
      <c r="A302" s="422" t="s">
        <v>2146</v>
      </c>
      <c r="B302" s="423" t="s">
        <v>1941</v>
      </c>
      <c r="C302" s="423" t="s">
        <v>2022</v>
      </c>
      <c r="D302" s="423" t="s">
        <v>2189</v>
      </c>
      <c r="E302" s="423" t="s">
        <v>2190</v>
      </c>
      <c r="F302" s="426">
        <v>398</v>
      </c>
      <c r="G302" s="426">
        <v>139300</v>
      </c>
      <c r="H302" s="423">
        <v>1</v>
      </c>
      <c r="I302" s="423">
        <v>350</v>
      </c>
      <c r="J302" s="426">
        <v>541</v>
      </c>
      <c r="K302" s="426">
        <v>187950</v>
      </c>
      <c r="L302" s="423">
        <v>1.3492462311557789</v>
      </c>
      <c r="M302" s="423">
        <v>347.41219963031421</v>
      </c>
      <c r="N302" s="426">
        <v>470</v>
      </c>
      <c r="O302" s="426">
        <v>164500</v>
      </c>
      <c r="P302" s="448">
        <v>1.1809045226130652</v>
      </c>
      <c r="Q302" s="427">
        <v>350</v>
      </c>
    </row>
    <row r="303" spans="1:17" ht="14.4" customHeight="1" x14ac:dyDescent="0.3">
      <c r="A303" s="422" t="s">
        <v>2146</v>
      </c>
      <c r="B303" s="423" t="s">
        <v>1941</v>
      </c>
      <c r="C303" s="423" t="s">
        <v>2022</v>
      </c>
      <c r="D303" s="423" t="s">
        <v>2191</v>
      </c>
      <c r="E303" s="423" t="s">
        <v>2192</v>
      </c>
      <c r="F303" s="426">
        <v>66</v>
      </c>
      <c r="G303" s="426">
        <v>3886.6700000000005</v>
      </c>
      <c r="H303" s="423">
        <v>1</v>
      </c>
      <c r="I303" s="423">
        <v>58.888939393939403</v>
      </c>
      <c r="J303" s="426">
        <v>73</v>
      </c>
      <c r="K303" s="426">
        <v>4181.1099999999997</v>
      </c>
      <c r="L303" s="423">
        <v>1.0757563672758426</v>
      </c>
      <c r="M303" s="423">
        <v>57.275479452054789</v>
      </c>
      <c r="N303" s="426">
        <v>45</v>
      </c>
      <c r="O303" s="426">
        <v>2650</v>
      </c>
      <c r="P303" s="448">
        <v>0.68181759706895606</v>
      </c>
      <c r="Q303" s="427">
        <v>58.888888888888886</v>
      </c>
    </row>
    <row r="304" spans="1:17" ht="14.4" customHeight="1" x14ac:dyDescent="0.3">
      <c r="A304" s="422" t="s">
        <v>2146</v>
      </c>
      <c r="B304" s="423" t="s">
        <v>1941</v>
      </c>
      <c r="C304" s="423" t="s">
        <v>2022</v>
      </c>
      <c r="D304" s="423" t="s">
        <v>2193</v>
      </c>
      <c r="E304" s="423" t="s">
        <v>2194</v>
      </c>
      <c r="F304" s="426">
        <v>637</v>
      </c>
      <c r="G304" s="426">
        <v>82102.23</v>
      </c>
      <c r="H304" s="423">
        <v>1</v>
      </c>
      <c r="I304" s="423">
        <v>128.8889010989011</v>
      </c>
      <c r="J304" s="426">
        <v>794</v>
      </c>
      <c r="K304" s="426">
        <v>101306.67</v>
      </c>
      <c r="L304" s="423">
        <v>1.2339088719027487</v>
      </c>
      <c r="M304" s="423">
        <v>127.59026448362721</v>
      </c>
      <c r="N304" s="426">
        <v>650</v>
      </c>
      <c r="O304" s="426">
        <v>83777.77</v>
      </c>
      <c r="P304" s="448">
        <v>1.0204079718662942</v>
      </c>
      <c r="Q304" s="427">
        <v>128.88887692307694</v>
      </c>
    </row>
    <row r="305" spans="1:17" ht="14.4" customHeight="1" x14ac:dyDescent="0.3">
      <c r="A305" s="422" t="s">
        <v>2146</v>
      </c>
      <c r="B305" s="423" t="s">
        <v>1941</v>
      </c>
      <c r="C305" s="423" t="s">
        <v>2022</v>
      </c>
      <c r="D305" s="423" t="s">
        <v>2082</v>
      </c>
      <c r="E305" s="423" t="s">
        <v>2083</v>
      </c>
      <c r="F305" s="426">
        <v>2309</v>
      </c>
      <c r="G305" s="426">
        <v>112884.44</v>
      </c>
      <c r="H305" s="423">
        <v>1</v>
      </c>
      <c r="I305" s="423">
        <v>48.888886964053704</v>
      </c>
      <c r="J305" s="426">
        <v>2258</v>
      </c>
      <c r="K305" s="426">
        <v>110391.11</v>
      </c>
      <c r="L305" s="423">
        <v>0.97791254489989943</v>
      </c>
      <c r="M305" s="423">
        <v>48.888888396811339</v>
      </c>
      <c r="N305" s="426">
        <v>1809</v>
      </c>
      <c r="O305" s="426">
        <v>88440</v>
      </c>
      <c r="P305" s="448">
        <v>0.78345607242238169</v>
      </c>
      <c r="Q305" s="427">
        <v>48.888888888888886</v>
      </c>
    </row>
    <row r="306" spans="1:17" ht="14.4" customHeight="1" x14ac:dyDescent="0.3">
      <c r="A306" s="422" t="s">
        <v>2146</v>
      </c>
      <c r="B306" s="423" t="s">
        <v>1941</v>
      </c>
      <c r="C306" s="423" t="s">
        <v>2022</v>
      </c>
      <c r="D306" s="423" t="s">
        <v>2195</v>
      </c>
      <c r="E306" s="423" t="s">
        <v>2196</v>
      </c>
      <c r="F306" s="426">
        <v>2644</v>
      </c>
      <c r="G306" s="426">
        <v>2350222.23</v>
      </c>
      <c r="H306" s="423">
        <v>1</v>
      </c>
      <c r="I306" s="423">
        <v>888.88889183055971</v>
      </c>
      <c r="J306" s="426">
        <v>2489</v>
      </c>
      <c r="K306" s="426">
        <v>2205333.34</v>
      </c>
      <c r="L306" s="423">
        <v>0.93835098308979903</v>
      </c>
      <c r="M306" s="423">
        <v>886.03187625552425</v>
      </c>
      <c r="N306" s="426">
        <v>2392</v>
      </c>
      <c r="O306" s="426">
        <v>2126222.2200000002</v>
      </c>
      <c r="P306" s="448">
        <v>0.90468985990316342</v>
      </c>
      <c r="Q306" s="427">
        <v>888.88888795986634</v>
      </c>
    </row>
    <row r="307" spans="1:17" ht="14.4" customHeight="1" thickBot="1" x14ac:dyDescent="0.35">
      <c r="A307" s="428" t="s">
        <v>2146</v>
      </c>
      <c r="B307" s="429" t="s">
        <v>1941</v>
      </c>
      <c r="C307" s="429" t="s">
        <v>2022</v>
      </c>
      <c r="D307" s="429" t="s">
        <v>2197</v>
      </c>
      <c r="E307" s="429" t="s">
        <v>2198</v>
      </c>
      <c r="F307" s="432">
        <v>61</v>
      </c>
      <c r="G307" s="432">
        <v>20333.330000000002</v>
      </c>
      <c r="H307" s="429">
        <v>1</v>
      </c>
      <c r="I307" s="429">
        <v>333.33327868852462</v>
      </c>
      <c r="J307" s="432">
        <v>58</v>
      </c>
      <c r="K307" s="432">
        <v>19333.32</v>
      </c>
      <c r="L307" s="429">
        <v>0.950819172265438</v>
      </c>
      <c r="M307" s="429">
        <v>333.33310344827584</v>
      </c>
      <c r="N307" s="432">
        <v>49</v>
      </c>
      <c r="O307" s="432">
        <v>16333.33</v>
      </c>
      <c r="P307" s="440">
        <v>0.80327865627518946</v>
      </c>
      <c r="Q307" s="433">
        <v>333.33326530612243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4" bestFit="1" customWidth="1"/>
    <col min="2" max="2" width="11.6640625" style="134" hidden="1" customWidth="1"/>
    <col min="3" max="4" width="11" style="136" customWidth="1"/>
    <col min="5" max="5" width="11" style="137" customWidth="1"/>
    <col min="6" max="16384" width="8.88671875" style="134"/>
  </cols>
  <sheetData>
    <row r="1" spans="1:5" ht="18.600000000000001" thickBot="1" x14ac:dyDescent="0.4">
      <c r="A1" s="302" t="s">
        <v>104</v>
      </c>
      <c r="B1" s="302"/>
      <c r="C1" s="303"/>
      <c r="D1" s="303"/>
      <c r="E1" s="303"/>
    </row>
    <row r="2" spans="1:5" ht="14.4" customHeight="1" thickBot="1" x14ac:dyDescent="0.35">
      <c r="A2" s="211" t="s">
        <v>255</v>
      </c>
      <c r="B2" s="135"/>
    </row>
    <row r="3" spans="1:5" ht="14.4" customHeight="1" thickBot="1" x14ac:dyDescent="0.35">
      <c r="A3" s="138"/>
      <c r="C3" s="139" t="s">
        <v>92</v>
      </c>
      <c r="D3" s="140" t="s">
        <v>60</v>
      </c>
      <c r="E3" s="141" t="s">
        <v>62</v>
      </c>
    </row>
    <row r="4" spans="1:5" ht="14.4" customHeight="1" thickBot="1" x14ac:dyDescent="0.3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35027.892592578668</v>
      </c>
      <c r="D4" s="144">
        <f ca="1">IF(ISERROR(VLOOKUP("Náklady celkem",INDIRECT("HI!$A:$G"),5,0)),0,VLOOKUP("Náklady celkem",INDIRECT("HI!$A:$G"),5,0))</f>
        <v>31490.003610000007</v>
      </c>
      <c r="E4" s="145">
        <f ca="1">IF(C4=0,0,D4/C4)</f>
        <v>0.89899794932772426</v>
      </c>
    </row>
    <row r="5" spans="1:5" ht="14.4" customHeight="1" x14ac:dyDescent="0.3">
      <c r="A5" s="146" t="s">
        <v>126</v>
      </c>
      <c r="B5" s="147"/>
      <c r="C5" s="148"/>
      <c r="D5" s="148"/>
      <c r="E5" s="149"/>
    </row>
    <row r="6" spans="1:5" ht="14.4" customHeight="1" x14ac:dyDescent="0.3">
      <c r="A6" s="150" t="s">
        <v>131</v>
      </c>
      <c r="B6" s="151"/>
      <c r="C6" s="152"/>
      <c r="D6" s="152"/>
      <c r="E6" s="149"/>
    </row>
    <row r="7" spans="1:5" ht="14.4" customHeight="1" x14ac:dyDescent="0.3">
      <c r="A7" s="28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96</v>
      </c>
      <c r="C7" s="152">
        <f>IF(ISERROR(HI!F5),"",HI!F5)</f>
        <v>254.47979871593915</v>
      </c>
      <c r="D7" s="152">
        <f>IF(ISERROR(HI!E5),"",HI!E5)</f>
        <v>241.31862999999998</v>
      </c>
      <c r="E7" s="149">
        <f t="shared" ref="E7:E13" si="0">IF(C7=0,0,D7/C7)</f>
        <v>0.94828206882295518</v>
      </c>
    </row>
    <row r="8" spans="1:5" ht="14.4" customHeight="1" x14ac:dyDescent="0.3">
      <c r="A8" s="288" t="str">
        <f>HYPERLINK("#'LŽ PL'!A1","Plnění pozitivního listu (min. 90%)")</f>
        <v>Plnění pozitivního listu (min. 90%)</v>
      </c>
      <c r="B8" s="151" t="s">
        <v>124</v>
      </c>
      <c r="C8" s="153">
        <v>0.9</v>
      </c>
      <c r="D8" s="153">
        <f>IF(ISERROR(VLOOKUP("celkem",'LŽ PL'!$A:$F,5,0)),0,VLOOKUP("celkem",'LŽ PL'!$A:$F,5,0))</f>
        <v>1</v>
      </c>
      <c r="E8" s="149">
        <f t="shared" si="0"/>
        <v>1.1111111111111112</v>
      </c>
    </row>
    <row r="9" spans="1:5" ht="14.4" customHeight="1" x14ac:dyDescent="0.3">
      <c r="A9" s="288" t="str">
        <f>HYPERLINK("#'LŽ Statim'!A1","Podíl statimových žádanek (max. 30%)")</f>
        <v>Podíl statimových žádanek (max. 30%)</v>
      </c>
      <c r="B9" s="286" t="s">
        <v>228</v>
      </c>
      <c r="C9" s="287">
        <v>0.3</v>
      </c>
      <c r="D9" s="287">
        <f>IF('LŽ Statim'!G3="",0,'LŽ Statim'!G3)</f>
        <v>0</v>
      </c>
      <c r="E9" s="149">
        <f>IF(C9=0,0,D9/C9)</f>
        <v>0</v>
      </c>
    </row>
    <row r="10" spans="1:5" ht="14.4" customHeight="1" x14ac:dyDescent="0.3">
      <c r="A10" s="154" t="s">
        <v>127</v>
      </c>
      <c r="B10" s="151"/>
      <c r="C10" s="152"/>
      <c r="D10" s="152"/>
      <c r="E10" s="149"/>
    </row>
    <row r="11" spans="1:5" ht="14.4" customHeight="1" x14ac:dyDescent="0.3">
      <c r="A11" s="154" t="s">
        <v>128</v>
      </c>
      <c r="B11" s="151"/>
      <c r="C11" s="152"/>
      <c r="D11" s="152"/>
      <c r="E11" s="149"/>
    </row>
    <row r="12" spans="1:5" ht="14.4" customHeight="1" x14ac:dyDescent="0.3">
      <c r="A12" s="155" t="s">
        <v>132</v>
      </c>
      <c r="B12" s="151"/>
      <c r="C12" s="148"/>
      <c r="D12" s="148"/>
      <c r="E12" s="149"/>
    </row>
    <row r="13" spans="1:5" ht="14.4" customHeight="1" x14ac:dyDescent="0.3">
      <c r="A13" s="1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96</v>
      </c>
      <c r="C13" s="152">
        <f>IF(ISERROR(HI!F6),"",HI!F6)</f>
        <v>3239.8125896204165</v>
      </c>
      <c r="D13" s="152">
        <f>IF(ISERROR(HI!E6),"",HI!E6)</f>
        <v>3038.1919400000015</v>
      </c>
      <c r="E13" s="149">
        <f t="shared" si="0"/>
        <v>0.9377678047593373</v>
      </c>
    </row>
    <row r="14" spans="1:5" ht="14.4" customHeight="1" thickBot="1" x14ac:dyDescent="0.35">
      <c r="A14" s="157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23845.832587496992</v>
      </c>
      <c r="D14" s="148">
        <f ca="1">IF(ISERROR(VLOOKUP("Osobní náklady (Kč) *",INDIRECT("HI!$A:$G"),5,0)),0,VLOOKUP("Osobní náklady (Kč) *",INDIRECT("HI!$A:$G"),5,0))</f>
        <v>22586.340380000001</v>
      </c>
      <c r="E14" s="149">
        <f ca="1">IF(C14=0,0,D14/C14)</f>
        <v>0.94718187327384928</v>
      </c>
    </row>
    <row r="15" spans="1:5" ht="14.4" customHeight="1" thickBot="1" x14ac:dyDescent="0.35">
      <c r="A15" s="161"/>
      <c r="B15" s="162"/>
      <c r="C15" s="163"/>
      <c r="D15" s="163"/>
      <c r="E15" s="164"/>
    </row>
    <row r="16" spans="1:5" ht="14.4" customHeight="1" thickBot="1" x14ac:dyDescent="0.35">
      <c r="A16" s="165" t="str">
        <f>HYPERLINK("#HI!A1","VÝNOSY CELKEM (v tisících)")</f>
        <v>VÝNOSY CELKEM (v tisících)</v>
      </c>
      <c r="B16" s="166"/>
      <c r="C16" s="167">
        <f ca="1">IF(ISERROR(VLOOKUP("Výnosy celkem",INDIRECT("HI!$A:$G"),6,0)),0,VLOOKUP("Výnosy celkem",INDIRECT("HI!$A:$G"),6,0))</f>
        <v>17209.839050000002</v>
      </c>
      <c r="D16" s="167">
        <f ca="1">IF(ISERROR(VLOOKUP("Výnosy celkem",INDIRECT("HI!$A:$G"),5,0)),0,VLOOKUP("Výnosy celkem",INDIRECT("HI!$A:$G"),5,0))</f>
        <v>16060.463389999997</v>
      </c>
      <c r="E16" s="168">
        <f t="shared" ref="E16:E18" ca="1" si="1">IF(C16=0,0,D16/C16)</f>
        <v>0.93321403781518775</v>
      </c>
    </row>
    <row r="17" spans="1:5" ht="14.4" customHeight="1" x14ac:dyDescent="0.3">
      <c r="A17" s="169" t="str">
        <f>HYPERLINK("#HI!A1","Ambulance (body za výkony + Kč za ZUM a ZULP)")</f>
        <v>Ambulance (body za výkony + Kč za ZUM a ZULP)</v>
      </c>
      <c r="B17" s="147"/>
      <c r="C17" s="148">
        <f ca="1">IF(ISERROR(VLOOKUP("Ambulance *",INDIRECT("HI!$A:$G"),6,0)),0,VLOOKUP("Ambulance *",INDIRECT("HI!$A:$G"),6,0))</f>
        <v>17209.839050000002</v>
      </c>
      <c r="D17" s="148">
        <f ca="1">IF(ISERROR(VLOOKUP("Ambulance *",INDIRECT("HI!$A:$G"),5,0)),0,VLOOKUP("Ambulance *",INDIRECT("HI!$A:$G"),5,0))</f>
        <v>16060.463389999997</v>
      </c>
      <c r="E17" s="149">
        <f t="shared" ca="1" si="1"/>
        <v>0.93321403781518775</v>
      </c>
    </row>
    <row r="18" spans="1:5" ht="14.4" customHeight="1" x14ac:dyDescent="0.3">
      <c r="A18" s="170" t="str">
        <f>HYPERLINK("#'ZV Vykáz.-A'!A1","Zdravotní výkony vykázané u ambulantních pacientů (min. 100 %)")</f>
        <v>Zdravotní výkony vykázané u ambulantních pacientů (min. 100 %)</v>
      </c>
      <c r="B18" s="134" t="s">
        <v>106</v>
      </c>
      <c r="C18" s="153">
        <v>1</v>
      </c>
      <c r="D18" s="153">
        <f>IF(ISERROR(VLOOKUP("Celkem:",'ZV Vykáz.-A'!$A:$S,7,0)),"",VLOOKUP("Celkem:",'ZV Vykáz.-A'!$A:$S,7,0))</f>
        <v>0.93321403781518786</v>
      </c>
      <c r="E18" s="149">
        <f t="shared" si="1"/>
        <v>0.93321403781518786</v>
      </c>
    </row>
    <row r="19" spans="1:5" ht="14.4" customHeight="1" x14ac:dyDescent="0.3">
      <c r="A19" s="171" t="str">
        <f>HYPERLINK("#HI!A1","Hospitalizace (casemix * 30000)")</f>
        <v>Hospitalizace (casemix * 30000)</v>
      </c>
      <c r="B19" s="151"/>
      <c r="C19" s="148">
        <f ca="1">IF(ISERROR(VLOOKUP("Hospitalizace *",INDIRECT("HI!$A:$G"),6,0)),0,VLOOKUP("Hospitalizace *",INDIRECT("HI!$A:$G"),6,0))</f>
        <v>0</v>
      </c>
      <c r="D19" s="148">
        <f ca="1">IF(ISERROR(VLOOKUP("Hospitalizace *",INDIRECT("HI!$A:$G"),5,0)),0,VLOOKUP("Hospitalizace *",INDIRECT("HI!$A:$G"),5,0))</f>
        <v>0</v>
      </c>
      <c r="E19" s="149">
        <f ca="1">IF(C19=0,0,D19/C19)</f>
        <v>0</v>
      </c>
    </row>
    <row r="20" spans="1:5" ht="14.4" customHeight="1" thickBot="1" x14ac:dyDescent="0.35">
      <c r="A20" s="172" t="s">
        <v>129</v>
      </c>
      <c r="B20" s="158"/>
      <c r="C20" s="159"/>
      <c r="D20" s="159"/>
      <c r="E20" s="160"/>
    </row>
    <row r="21" spans="1:5" ht="14.4" customHeight="1" thickBot="1" x14ac:dyDescent="0.35">
      <c r="A21" s="173"/>
      <c r="B21" s="174"/>
      <c r="C21" s="175"/>
      <c r="D21" s="175"/>
      <c r="E21" s="176"/>
    </row>
    <row r="22" spans="1:5" ht="14.4" customHeight="1" thickBot="1" x14ac:dyDescent="0.35">
      <c r="A22" s="177" t="s">
        <v>130</v>
      </c>
      <c r="B22" s="178"/>
      <c r="C22" s="179"/>
      <c r="D22" s="179"/>
      <c r="E22" s="180"/>
    </row>
  </sheetData>
  <mergeCells count="1">
    <mergeCell ref="A1:E1"/>
  </mergeCells>
  <conditionalFormatting sqref="E5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1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9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48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cellIs" dxfId="46" priority="20" operator="lessThan">
      <formula>1</formula>
    </cfRule>
  </conditionalFormatting>
  <conditionalFormatting sqref="E9">
    <cfRule type="cellIs" dxfId="45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4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5" bestFit="1" customWidth="1"/>
    <col min="2" max="3" width="9.5546875" style="115" customWidth="1"/>
    <col min="4" max="4" width="2.21875" style="115" customWidth="1"/>
    <col min="5" max="8" width="9.5546875" style="115" customWidth="1"/>
    <col min="9" max="16384" width="8.88671875" style="115"/>
  </cols>
  <sheetData>
    <row r="1" spans="1:8" ht="18.600000000000001" customHeight="1" thickBot="1" x14ac:dyDescent="0.4">
      <c r="A1" s="302" t="s">
        <v>117</v>
      </c>
      <c r="B1" s="302"/>
      <c r="C1" s="302"/>
      <c r="D1" s="302"/>
      <c r="E1" s="302"/>
      <c r="F1" s="302"/>
      <c r="G1" s="303"/>
      <c r="H1" s="303"/>
    </row>
    <row r="2" spans="1:8" ht="14.4" customHeight="1" thickBot="1" x14ac:dyDescent="0.35">
      <c r="A2" s="211" t="s">
        <v>255</v>
      </c>
      <c r="B2" s="96"/>
      <c r="C2" s="96"/>
      <c r="D2" s="96"/>
      <c r="E2" s="96"/>
      <c r="F2" s="96"/>
    </row>
    <row r="3" spans="1:8" ht="14.4" customHeight="1" x14ac:dyDescent="0.3">
      <c r="A3" s="304"/>
      <c r="B3" s="92">
        <v>2013</v>
      </c>
      <c r="C3" s="40">
        <v>2014</v>
      </c>
      <c r="D3" s="7"/>
      <c r="E3" s="308">
        <v>2015</v>
      </c>
      <c r="F3" s="309"/>
      <c r="G3" s="309"/>
      <c r="H3" s="310"/>
    </row>
    <row r="4" spans="1:8" ht="14.4" customHeight="1" thickBot="1" x14ac:dyDescent="0.35">
      <c r="A4" s="305"/>
      <c r="B4" s="306" t="s">
        <v>60</v>
      </c>
      <c r="C4" s="307"/>
      <c r="D4" s="7"/>
      <c r="E4" s="113" t="s">
        <v>60</v>
      </c>
      <c r="F4" s="94" t="s">
        <v>61</v>
      </c>
      <c r="G4" s="94" t="s">
        <v>55</v>
      </c>
      <c r="H4" s="95" t="s">
        <v>62</v>
      </c>
    </row>
    <row r="5" spans="1:8" ht="14.4" customHeight="1" x14ac:dyDescent="0.3">
      <c r="A5" s="97" t="str">
        <f>HYPERLINK("#'Léky Žádanky'!A1","Léky (Kč)")</f>
        <v>Léky (Kč)</v>
      </c>
      <c r="B5" s="27">
        <v>217.87427</v>
      </c>
      <c r="C5" s="29">
        <v>242.81700999999998</v>
      </c>
      <c r="D5" s="8"/>
      <c r="E5" s="102">
        <v>241.31862999999998</v>
      </c>
      <c r="F5" s="28">
        <v>254.47979871593915</v>
      </c>
      <c r="G5" s="101">
        <f>E5-F5</f>
        <v>-13.161168715939169</v>
      </c>
      <c r="H5" s="107">
        <f>IF(F5&lt;0.00000001,"",E5/F5)</f>
        <v>0.94828206882295518</v>
      </c>
    </row>
    <row r="6" spans="1:8" ht="14.4" customHeight="1" x14ac:dyDescent="0.3">
      <c r="A6" s="97" t="str">
        <f>HYPERLINK("#'Materiál Žádanky'!A1","Materiál - SZM (Kč)")</f>
        <v>Materiál - SZM (Kč)</v>
      </c>
      <c r="B6" s="10">
        <v>3126.2547299999997</v>
      </c>
      <c r="C6" s="31">
        <v>3167.8773600000009</v>
      </c>
      <c r="D6" s="8"/>
      <c r="E6" s="103">
        <v>3038.1919400000015</v>
      </c>
      <c r="F6" s="30">
        <v>3239.8125896204165</v>
      </c>
      <c r="G6" s="104">
        <f>E6-F6</f>
        <v>-201.62064962041495</v>
      </c>
      <c r="H6" s="108">
        <f>IF(F6&lt;0.00000001,"",E6/F6)</f>
        <v>0.9377678047593373</v>
      </c>
    </row>
    <row r="7" spans="1:8" ht="14.4" customHeight="1" x14ac:dyDescent="0.3">
      <c r="A7" s="97" t="str">
        <f>HYPERLINK("#'Osobní náklady'!A1","Osobní náklady (Kč) *")</f>
        <v>Osobní náklady (Kč) *</v>
      </c>
      <c r="B7" s="10">
        <v>21715.228099999997</v>
      </c>
      <c r="C7" s="31">
        <v>21865.634620000012</v>
      </c>
      <c r="D7" s="8"/>
      <c r="E7" s="103">
        <v>22586.340380000001</v>
      </c>
      <c r="F7" s="30">
        <v>23845.832587496992</v>
      </c>
      <c r="G7" s="104">
        <f>E7-F7</f>
        <v>-1259.4922074969909</v>
      </c>
      <c r="H7" s="108">
        <f>IF(F7&lt;0.00000001,"",E7/F7)</f>
        <v>0.94718187327384928</v>
      </c>
    </row>
    <row r="8" spans="1:8" ht="14.4" customHeight="1" thickBot="1" x14ac:dyDescent="0.35">
      <c r="A8" s="1" t="s">
        <v>63</v>
      </c>
      <c r="B8" s="11">
        <v>5804.0574600000045</v>
      </c>
      <c r="C8" s="33">
        <v>5190.1500699999997</v>
      </c>
      <c r="D8" s="8"/>
      <c r="E8" s="105">
        <v>5624.1526600000043</v>
      </c>
      <c r="F8" s="32">
        <v>7687.7676167453192</v>
      </c>
      <c r="G8" s="106">
        <f>E8-F8</f>
        <v>-2063.6149567453149</v>
      </c>
      <c r="H8" s="109">
        <f>IF(F8&lt;0.00000001,"",E8/F8)</f>
        <v>0.73157162656030394</v>
      </c>
    </row>
    <row r="9" spans="1:8" ht="14.4" customHeight="1" thickBot="1" x14ac:dyDescent="0.35">
      <c r="A9" s="2" t="s">
        <v>64</v>
      </c>
      <c r="B9" s="3">
        <v>30863.414560000001</v>
      </c>
      <c r="C9" s="35">
        <v>30466.479060000012</v>
      </c>
      <c r="D9" s="8"/>
      <c r="E9" s="3">
        <v>31490.003610000007</v>
      </c>
      <c r="F9" s="34">
        <v>35027.892592578668</v>
      </c>
      <c r="G9" s="34">
        <f>E9-F9</f>
        <v>-3537.8889825786609</v>
      </c>
      <c r="H9" s="110">
        <f>IF(F9&lt;0.00000001,"",E9/F9)</f>
        <v>0.89899794932772426</v>
      </c>
    </row>
    <row r="10" spans="1:8" ht="14.4" customHeight="1" thickBot="1" x14ac:dyDescent="0.35">
      <c r="A10" s="12"/>
      <c r="B10" s="12"/>
      <c r="C10" s="93"/>
      <c r="D10" s="8"/>
      <c r="E10" s="12"/>
      <c r="F10" s="13"/>
    </row>
    <row r="11" spans="1:8" ht="14.4" customHeight="1" x14ac:dyDescent="0.3">
      <c r="A11" s="118" t="str">
        <f>HYPERLINK("#'ZV Vykáz.-A'!A1","Ambulance *")</f>
        <v>Ambulance *</v>
      </c>
      <c r="B11" s="9">
        <f>IF(ISERROR(VLOOKUP("Celkem:",'ZV Vykáz.-A'!A:F,2,0)),0,VLOOKUP("Celkem:",'ZV Vykáz.-A'!A:F,2,0)/1000)</f>
        <v>17209.839050000002</v>
      </c>
      <c r="C11" s="29">
        <f>IF(ISERROR(VLOOKUP("Celkem:",'ZV Vykáz.-A'!A:F,4,0)),0,VLOOKUP("Celkem:",'ZV Vykáz.-A'!A:F,4,0)/1000)</f>
        <v>17385.192319999998</v>
      </c>
      <c r="D11" s="8"/>
      <c r="E11" s="102">
        <f>IF(ISERROR(VLOOKUP("Celkem:",'ZV Vykáz.-A'!A:F,6,0)),0,VLOOKUP("Celkem:",'ZV Vykáz.-A'!A:F,6,0)/1000)</f>
        <v>16060.463389999997</v>
      </c>
      <c r="F11" s="28">
        <f>B11</f>
        <v>17209.839050000002</v>
      </c>
      <c r="G11" s="101">
        <f>E11-F11</f>
        <v>-1149.3756600000052</v>
      </c>
      <c r="H11" s="107">
        <f>IF(F11&lt;0.00000001,"",E11/F11)</f>
        <v>0.93321403781518775</v>
      </c>
    </row>
    <row r="12" spans="1:8" ht="14.4" customHeight="1" thickBot="1" x14ac:dyDescent="0.3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5">
        <f>IF(ISERROR(VLOOKUP("Celkem",#REF!,4,0)),0,VLOOKUP("Celkem",#REF!,4,0)*30)</f>
        <v>0</v>
      </c>
      <c r="F12" s="32">
        <f>B12</f>
        <v>0</v>
      </c>
      <c r="G12" s="106">
        <f>E12-F12</f>
        <v>0</v>
      </c>
      <c r="H12" s="109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17209.839050000002</v>
      </c>
      <c r="C13" s="37">
        <f>SUM(C11:C12)</f>
        <v>17385.192319999998</v>
      </c>
      <c r="D13" s="8"/>
      <c r="E13" s="5">
        <f>SUM(E11:E12)</f>
        <v>16060.463389999997</v>
      </c>
      <c r="F13" s="36">
        <f>SUM(F11:F12)</f>
        <v>17209.839050000002</v>
      </c>
      <c r="G13" s="36">
        <f>E13-F13</f>
        <v>-1149.3756600000052</v>
      </c>
      <c r="H13" s="111">
        <f>IF(F13&lt;0.00000001,"",E13/F13)</f>
        <v>0.93321403781518775</v>
      </c>
    </row>
    <row r="14" spans="1:8" ht="14.4" customHeight="1" thickBot="1" x14ac:dyDescent="0.35">
      <c r="A14" s="12"/>
      <c r="B14" s="12"/>
      <c r="C14" s="93"/>
      <c r="D14" s="8"/>
      <c r="E14" s="12"/>
      <c r="F14" s="13"/>
    </row>
    <row r="15" spans="1:8" ht="14.4" customHeight="1" thickBot="1" x14ac:dyDescent="0.35">
      <c r="A15" s="120" t="str">
        <f>HYPERLINK("#'HI Graf'!A1","Hospodářský index (Výnosy / Náklady) *")</f>
        <v>Hospodářský index (Výnosy / Náklady) *</v>
      </c>
      <c r="B15" s="6">
        <f>IF(B9=0,"",B13/B9)</f>
        <v>0.55761293088757968</v>
      </c>
      <c r="C15" s="39">
        <f>IF(C9=0,"",C13/C9)</f>
        <v>0.57063345868624937</v>
      </c>
      <c r="D15" s="8"/>
      <c r="E15" s="6">
        <f>IF(E9=0,"",E13/E9)</f>
        <v>0.51001783260830802</v>
      </c>
      <c r="F15" s="38">
        <f>IF(F9=0,"",F13/F9)</f>
        <v>0.49131814037953964</v>
      </c>
      <c r="G15" s="38">
        <f>IF(ISERROR(F15-E15),"",E15-F15)</f>
        <v>1.8699692228768383E-2</v>
      </c>
      <c r="H15" s="112">
        <f>IF(ISERROR(F15-E15),"",IF(F15&lt;0.00000001,"",E15/F15))</f>
        <v>1.0380602519872826</v>
      </c>
    </row>
    <row r="17" spans="1:8" ht="14.4" customHeight="1" x14ac:dyDescent="0.3">
      <c r="A17" s="98" t="s">
        <v>134</v>
      </c>
    </row>
    <row r="18" spans="1:8" ht="14.4" customHeight="1" x14ac:dyDescent="0.3">
      <c r="A18" s="264" t="s">
        <v>175</v>
      </c>
      <c r="B18" s="265"/>
      <c r="C18" s="265"/>
      <c r="D18" s="265"/>
      <c r="E18" s="265"/>
      <c r="F18" s="265"/>
      <c r="G18" s="265"/>
      <c r="H18" s="265"/>
    </row>
    <row r="19" spans="1:8" x14ac:dyDescent="0.3">
      <c r="A19" s="263" t="s">
        <v>174</v>
      </c>
      <c r="B19" s="265"/>
      <c r="C19" s="265"/>
      <c r="D19" s="265"/>
      <c r="E19" s="265"/>
      <c r="F19" s="265"/>
      <c r="G19" s="265"/>
      <c r="H19" s="265"/>
    </row>
    <row r="20" spans="1:8" ht="14.4" customHeight="1" x14ac:dyDescent="0.3">
      <c r="A20" s="99" t="s">
        <v>229</v>
      </c>
    </row>
    <row r="21" spans="1:8" ht="14.4" customHeight="1" x14ac:dyDescent="0.3">
      <c r="A21" s="99" t="s">
        <v>135</v>
      </c>
    </row>
    <row r="22" spans="1:8" ht="14.4" customHeight="1" x14ac:dyDescent="0.3">
      <c r="A22" s="100" t="s">
        <v>136</v>
      </c>
    </row>
    <row r="23" spans="1:8" ht="14.4" customHeight="1" x14ac:dyDescent="0.3">
      <c r="A23" s="100" t="s">
        <v>137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4" operator="greaterThan">
      <formula>0</formula>
    </cfRule>
  </conditionalFormatting>
  <conditionalFormatting sqref="G11:G13 G15">
    <cfRule type="cellIs" dxfId="42" priority="3" operator="lessThan">
      <formula>0</formula>
    </cfRule>
  </conditionalFormatting>
  <conditionalFormatting sqref="H5:H9">
    <cfRule type="cellIs" dxfId="41" priority="2" operator="greaterThan">
      <formula>1</formula>
    </cfRule>
  </conditionalFormatting>
  <conditionalFormatting sqref="H11:H13 H15">
    <cfRule type="cellIs" dxfId="4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5"/>
    <col min="2" max="13" width="8.88671875" style="115" customWidth="1"/>
    <col min="14" max="16384" width="8.88671875" style="115"/>
  </cols>
  <sheetData>
    <row r="1" spans="1:13" ht="18.600000000000001" customHeight="1" thickBot="1" x14ac:dyDescent="0.4">
      <c r="A1" s="302" t="s">
        <v>90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3" ht="14.4" customHeight="1" x14ac:dyDescent="0.3">
      <c r="A2" s="211" t="s">
        <v>255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" customHeight="1" x14ac:dyDescent="0.3">
      <c r="A3" s="181"/>
      <c r="B3" s="182" t="s">
        <v>69</v>
      </c>
      <c r="C3" s="183" t="s">
        <v>70</v>
      </c>
      <c r="D3" s="183" t="s">
        <v>71</v>
      </c>
      <c r="E3" s="182" t="s">
        <v>72</v>
      </c>
      <c r="F3" s="183" t="s">
        <v>73</v>
      </c>
      <c r="G3" s="183" t="s">
        <v>74</v>
      </c>
      <c r="H3" s="183" t="s">
        <v>75</v>
      </c>
      <c r="I3" s="183" t="s">
        <v>76</v>
      </c>
      <c r="J3" s="183" t="s">
        <v>77</v>
      </c>
      <c r="K3" s="183" t="s">
        <v>78</v>
      </c>
      <c r="L3" s="183" t="s">
        <v>79</v>
      </c>
      <c r="M3" s="183" t="s">
        <v>80</v>
      </c>
    </row>
    <row r="4" spans="1:13" ht="14.4" customHeight="1" x14ac:dyDescent="0.3">
      <c r="A4" s="181" t="s">
        <v>68</v>
      </c>
      <c r="B4" s="184">
        <f>(B10+B8)/B6</f>
        <v>0.58768195572452153</v>
      </c>
      <c r="C4" s="184">
        <f t="shared" ref="C4:M4" si="0">(C10+C8)/C6</f>
        <v>0.62247978835303841</v>
      </c>
      <c r="D4" s="184">
        <f t="shared" si="0"/>
        <v>0.61754975132631795</v>
      </c>
      <c r="E4" s="184">
        <f t="shared" si="0"/>
        <v>0.65428513571097879</v>
      </c>
      <c r="F4" s="184">
        <f t="shared" si="0"/>
        <v>0.63600361572313735</v>
      </c>
      <c r="G4" s="184">
        <f t="shared" si="0"/>
        <v>0.59154925526692781</v>
      </c>
      <c r="H4" s="184">
        <f t="shared" si="0"/>
        <v>0.54352079017866073</v>
      </c>
      <c r="I4" s="184">
        <f t="shared" si="0"/>
        <v>0.50417663278215907</v>
      </c>
      <c r="J4" s="184">
        <f t="shared" si="0"/>
        <v>0.49882231682003225</v>
      </c>
      <c r="K4" s="184">
        <f t="shared" si="0"/>
        <v>0.51001789262735475</v>
      </c>
      <c r="L4" s="184">
        <f t="shared" si="0"/>
        <v>0.51001789262735475</v>
      </c>
      <c r="M4" s="184">
        <f t="shared" si="0"/>
        <v>0.51001789262735475</v>
      </c>
    </row>
    <row r="5" spans="1:13" ht="14.4" customHeight="1" x14ac:dyDescent="0.3">
      <c r="A5" s="185" t="s">
        <v>40</v>
      </c>
      <c r="B5" s="184">
        <f>IF(ISERROR(VLOOKUP($A5,'Man Tab'!$A:$Q,COLUMN()+2,0)),0,VLOOKUP($A5,'Man Tab'!$A:$Q,COLUMN()+2,0))</f>
        <v>3001.3290400000001</v>
      </c>
      <c r="C5" s="184">
        <f>IF(ISERROR(VLOOKUP($A5,'Man Tab'!$A:$Q,COLUMN()+2,0)),0,VLOOKUP($A5,'Man Tab'!$A:$Q,COLUMN()+2,0))</f>
        <v>2959.68073000001</v>
      </c>
      <c r="D5" s="184">
        <f>IF(ISERROR(VLOOKUP($A5,'Man Tab'!$A:$Q,COLUMN()+2,0)),0,VLOOKUP($A5,'Man Tab'!$A:$Q,COLUMN()+2,0))</f>
        <v>3390.9931700000002</v>
      </c>
      <c r="E5" s="184">
        <f>IF(ISERROR(VLOOKUP($A5,'Man Tab'!$A:$Q,COLUMN()+2,0)),0,VLOOKUP($A5,'Man Tab'!$A:$Q,COLUMN()+2,0))</f>
        <v>2905.2109599999999</v>
      </c>
      <c r="F5" s="184">
        <f>IF(ISERROR(VLOOKUP($A5,'Man Tab'!$A:$Q,COLUMN()+2,0)),0,VLOOKUP($A5,'Man Tab'!$A:$Q,COLUMN()+2,0))</f>
        <v>2986.1545500000002</v>
      </c>
      <c r="G5" s="184">
        <f>IF(ISERROR(VLOOKUP($A5,'Man Tab'!$A:$Q,COLUMN()+2,0)),0,VLOOKUP($A5,'Man Tab'!$A:$Q,COLUMN()+2,0))</f>
        <v>3393.31565</v>
      </c>
      <c r="H5" s="184">
        <f>IF(ISERROR(VLOOKUP($A5,'Man Tab'!$A:$Q,COLUMN()+2,0)),0,VLOOKUP($A5,'Man Tab'!$A:$Q,COLUMN()+2,0))</f>
        <v>3800.12934</v>
      </c>
      <c r="I5" s="184">
        <f>IF(ISERROR(VLOOKUP($A5,'Man Tab'!$A:$Q,COLUMN()+2,0)),0,VLOOKUP($A5,'Man Tab'!$A:$Q,COLUMN()+2,0))</f>
        <v>3178.2862300000002</v>
      </c>
      <c r="J5" s="184">
        <f>IF(ISERROR(VLOOKUP($A5,'Man Tab'!$A:$Q,COLUMN()+2,0)),0,VLOOKUP($A5,'Man Tab'!$A:$Q,COLUMN()+2,0))</f>
        <v>3035.1524300000001</v>
      </c>
      <c r="K5" s="184">
        <f>IF(ISERROR(VLOOKUP($A5,'Man Tab'!$A:$Q,COLUMN()+2,0)),0,VLOOKUP($A5,'Man Tab'!$A:$Q,COLUMN()+2,0))</f>
        <v>2839.7515100000001</v>
      </c>
      <c r="L5" s="184">
        <f>IF(ISERROR(VLOOKUP($A5,'Man Tab'!$A:$Q,COLUMN()+2,0)),0,VLOOKUP($A5,'Man Tab'!$A:$Q,COLUMN()+2,0))</f>
        <v>0</v>
      </c>
      <c r="M5" s="184">
        <f>IF(ISERROR(VLOOKUP($A5,'Man Tab'!$A:$Q,COLUMN()+2,0)),0,VLOOKUP($A5,'Man Tab'!$A:$Q,COLUMN()+2,0))</f>
        <v>0</v>
      </c>
    </row>
    <row r="6" spans="1:13" ht="14.4" customHeight="1" x14ac:dyDescent="0.3">
      <c r="A6" s="185" t="s">
        <v>64</v>
      </c>
      <c r="B6" s="186">
        <f>B5</f>
        <v>3001.3290400000001</v>
      </c>
      <c r="C6" s="186">
        <f t="shared" ref="C6:M6" si="1">C5+B6</f>
        <v>5961.0097700000097</v>
      </c>
      <c r="D6" s="186">
        <f t="shared" si="1"/>
        <v>9352.0029400000094</v>
      </c>
      <c r="E6" s="186">
        <f t="shared" si="1"/>
        <v>12257.21390000001</v>
      </c>
      <c r="F6" s="186">
        <f t="shared" si="1"/>
        <v>15243.368450000009</v>
      </c>
      <c r="G6" s="186">
        <f t="shared" si="1"/>
        <v>18636.684100000009</v>
      </c>
      <c r="H6" s="186">
        <f t="shared" si="1"/>
        <v>22436.813440000009</v>
      </c>
      <c r="I6" s="186">
        <f t="shared" si="1"/>
        <v>25615.099670000011</v>
      </c>
      <c r="J6" s="186">
        <f t="shared" si="1"/>
        <v>28650.252100000012</v>
      </c>
      <c r="K6" s="186">
        <f t="shared" si="1"/>
        <v>31490.003610000014</v>
      </c>
      <c r="L6" s="186">
        <f t="shared" si="1"/>
        <v>31490.003610000014</v>
      </c>
      <c r="M6" s="186">
        <f t="shared" si="1"/>
        <v>31490.003610000014</v>
      </c>
    </row>
    <row r="7" spans="1:13" ht="14.4" customHeight="1" x14ac:dyDescent="0.3">
      <c r="A7" s="185" t="s">
        <v>88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</row>
    <row r="8" spans="1:13" ht="14.4" customHeight="1" x14ac:dyDescent="0.3">
      <c r="A8" s="185" t="s">
        <v>65</v>
      </c>
      <c r="B8" s="186">
        <f>B7*30</f>
        <v>0</v>
      </c>
      <c r="C8" s="186">
        <f t="shared" ref="C8:M8" si="2">C7*30</f>
        <v>0</v>
      </c>
      <c r="D8" s="186">
        <f t="shared" si="2"/>
        <v>0</v>
      </c>
      <c r="E8" s="186">
        <f t="shared" si="2"/>
        <v>0</v>
      </c>
      <c r="F8" s="186">
        <f t="shared" si="2"/>
        <v>0</v>
      </c>
      <c r="G8" s="186">
        <f t="shared" si="2"/>
        <v>0</v>
      </c>
      <c r="H8" s="186">
        <f t="shared" si="2"/>
        <v>0</v>
      </c>
      <c r="I8" s="186">
        <f t="shared" si="2"/>
        <v>0</v>
      </c>
      <c r="J8" s="186">
        <f t="shared" si="2"/>
        <v>0</v>
      </c>
      <c r="K8" s="186">
        <f t="shared" si="2"/>
        <v>0</v>
      </c>
      <c r="L8" s="186">
        <f t="shared" si="2"/>
        <v>0</v>
      </c>
      <c r="M8" s="186">
        <f t="shared" si="2"/>
        <v>0</v>
      </c>
    </row>
    <row r="9" spans="1:13" ht="14.4" customHeight="1" x14ac:dyDescent="0.3">
      <c r="A9" s="185" t="s">
        <v>89</v>
      </c>
      <c r="B9" s="185">
        <v>1763826.9200000006</v>
      </c>
      <c r="C9" s="185">
        <v>1946781.1799999992</v>
      </c>
      <c r="D9" s="185">
        <v>2064718.9900000007</v>
      </c>
      <c r="E9" s="185">
        <v>2244385.7700000009</v>
      </c>
      <c r="F9" s="185">
        <v>1675124.5899999999</v>
      </c>
      <c r="G9" s="185">
        <v>1329679.1499999999</v>
      </c>
      <c r="H9" s="185">
        <v>1170357.97</v>
      </c>
      <c r="I9" s="185">
        <v>719660.12999999989</v>
      </c>
      <c r="J9" s="185">
        <v>1376850.4300000002</v>
      </c>
      <c r="K9" s="185">
        <v>1769080.1500000011</v>
      </c>
      <c r="L9" s="185">
        <v>0</v>
      </c>
      <c r="M9" s="185">
        <v>0</v>
      </c>
    </row>
    <row r="10" spans="1:13" ht="14.4" customHeight="1" x14ac:dyDescent="0.3">
      <c r="A10" s="185" t="s">
        <v>66</v>
      </c>
      <c r="B10" s="186">
        <f>B9/1000</f>
        <v>1763.8269200000007</v>
      </c>
      <c r="C10" s="186">
        <f t="shared" ref="C10:M10" si="3">C9/1000+B10</f>
        <v>3710.6080999999999</v>
      </c>
      <c r="D10" s="186">
        <f t="shared" si="3"/>
        <v>5775.3270900000007</v>
      </c>
      <c r="E10" s="186">
        <f t="shared" si="3"/>
        <v>8019.7128600000015</v>
      </c>
      <c r="F10" s="186">
        <f t="shared" si="3"/>
        <v>9694.8374500000009</v>
      </c>
      <c r="G10" s="186">
        <f t="shared" si="3"/>
        <v>11024.516600000001</v>
      </c>
      <c r="H10" s="186">
        <f t="shared" si="3"/>
        <v>12194.87457</v>
      </c>
      <c r="I10" s="186">
        <f t="shared" si="3"/>
        <v>12914.5347</v>
      </c>
      <c r="J10" s="186">
        <f t="shared" si="3"/>
        <v>14291.385130000001</v>
      </c>
      <c r="K10" s="186">
        <f t="shared" si="3"/>
        <v>16060.465280000002</v>
      </c>
      <c r="L10" s="186">
        <f t="shared" si="3"/>
        <v>16060.465280000002</v>
      </c>
      <c r="M10" s="186">
        <f t="shared" si="3"/>
        <v>16060.465280000002</v>
      </c>
    </row>
    <row r="11" spans="1:13" ht="14.4" customHeight="1" x14ac:dyDescent="0.3">
      <c r="A11" s="181"/>
      <c r="B11" s="181" t="s">
        <v>81</v>
      </c>
      <c r="C11" s="181">
        <f ca="1">IF(MONTH(TODAY())=1,12,MONTH(TODAY())-1)</f>
        <v>10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</row>
    <row r="12" spans="1:13" ht="14.4" customHeight="1" x14ac:dyDescent="0.3">
      <c r="A12" s="181">
        <v>0</v>
      </c>
      <c r="B12" s="184">
        <f>IF(ISERROR(HI!F15),#REF!,HI!F15)</f>
        <v>0.49131814037953964</v>
      </c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</row>
    <row r="13" spans="1:13" ht="14.4" customHeight="1" x14ac:dyDescent="0.3">
      <c r="A13" s="181">
        <v>1</v>
      </c>
      <c r="B13" s="184">
        <f>IF(ISERROR(HI!F15),#REF!,HI!F15)</f>
        <v>0.49131814037953964</v>
      </c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5" bestFit="1" customWidth="1"/>
    <col min="2" max="2" width="12.77734375" style="115" bestFit="1" customWidth="1"/>
    <col min="3" max="3" width="13.6640625" style="115" bestFit="1" customWidth="1"/>
    <col min="4" max="15" width="7.77734375" style="115" bestFit="1" customWidth="1"/>
    <col min="16" max="16" width="8.88671875" style="115" customWidth="1"/>
    <col min="17" max="17" width="6.6640625" style="115" bestFit="1" customWidth="1"/>
    <col min="18" max="16384" width="8.88671875" style="115"/>
  </cols>
  <sheetData>
    <row r="1" spans="1:17" s="187" customFormat="1" ht="18.600000000000001" customHeight="1" thickBot="1" x14ac:dyDescent="0.4">
      <c r="A1" s="311" t="s">
        <v>257</v>
      </c>
      <c r="B1" s="311"/>
      <c r="C1" s="311"/>
      <c r="D1" s="311"/>
      <c r="E1" s="311"/>
      <c r="F1" s="311"/>
      <c r="G1" s="311"/>
      <c r="H1" s="302"/>
      <c r="I1" s="302"/>
      <c r="J1" s="302"/>
      <c r="K1" s="302"/>
      <c r="L1" s="302"/>
      <c r="M1" s="302"/>
      <c r="N1" s="302"/>
      <c r="O1" s="302"/>
      <c r="P1" s="302"/>
      <c r="Q1" s="302"/>
    </row>
    <row r="2" spans="1:17" s="187" customFormat="1" ht="14.4" customHeight="1" thickBot="1" x14ac:dyDescent="0.3">
      <c r="A2" s="211" t="s">
        <v>255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</row>
    <row r="3" spans="1:17" ht="14.4" customHeight="1" x14ac:dyDescent="0.3">
      <c r="A3" s="68"/>
      <c r="B3" s="312" t="s">
        <v>16</v>
      </c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123"/>
      <c r="Q3" s="125"/>
    </row>
    <row r="4" spans="1:17" ht="14.4" customHeight="1" x14ac:dyDescent="0.3">
      <c r="A4" s="69"/>
      <c r="B4" s="20">
        <v>2015</v>
      </c>
      <c r="C4" s="124" t="s">
        <v>17</v>
      </c>
      <c r="D4" s="114" t="s">
        <v>232</v>
      </c>
      <c r="E4" s="114" t="s">
        <v>233</v>
      </c>
      <c r="F4" s="114" t="s">
        <v>234</v>
      </c>
      <c r="G4" s="114" t="s">
        <v>235</v>
      </c>
      <c r="H4" s="114" t="s">
        <v>236</v>
      </c>
      <c r="I4" s="114" t="s">
        <v>237</v>
      </c>
      <c r="J4" s="114" t="s">
        <v>238</v>
      </c>
      <c r="K4" s="114" t="s">
        <v>239</v>
      </c>
      <c r="L4" s="114" t="s">
        <v>240</v>
      </c>
      <c r="M4" s="114" t="s">
        <v>241</v>
      </c>
      <c r="N4" s="114" t="s">
        <v>242</v>
      </c>
      <c r="O4" s="114" t="s">
        <v>243</v>
      </c>
      <c r="P4" s="314" t="s">
        <v>3</v>
      </c>
      <c r="Q4" s="315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256</v>
      </c>
    </row>
    <row r="7" spans="1:17" ht="14.4" customHeight="1" x14ac:dyDescent="0.3">
      <c r="A7" s="15" t="s">
        <v>22</v>
      </c>
      <c r="B7" s="51">
        <v>305.37575845912698</v>
      </c>
      <c r="C7" s="52">
        <v>25.447979871592999</v>
      </c>
      <c r="D7" s="52">
        <v>28.224019999999999</v>
      </c>
      <c r="E7" s="52">
        <v>25.475149999999999</v>
      </c>
      <c r="F7" s="52">
        <v>39.456000000000003</v>
      </c>
      <c r="G7" s="52">
        <v>13.895519999999999</v>
      </c>
      <c r="H7" s="52">
        <v>44.656860000000002</v>
      </c>
      <c r="I7" s="52">
        <v>16.065840000000001</v>
      </c>
      <c r="J7" s="52">
        <v>19.625920000000001</v>
      </c>
      <c r="K7" s="52">
        <v>5.6714599999999997</v>
      </c>
      <c r="L7" s="52">
        <v>42.825530000000001</v>
      </c>
      <c r="M7" s="52">
        <v>5.4223299999999997</v>
      </c>
      <c r="N7" s="52">
        <v>0</v>
      </c>
      <c r="O7" s="52">
        <v>0</v>
      </c>
      <c r="P7" s="53">
        <v>241.31863000000001</v>
      </c>
      <c r="Q7" s="81">
        <v>0.94828206882199995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256</v>
      </c>
    </row>
    <row r="9" spans="1:17" ht="14.4" customHeight="1" x14ac:dyDescent="0.3">
      <c r="A9" s="15" t="s">
        <v>24</v>
      </c>
      <c r="B9" s="51">
        <v>3887.7751075444999</v>
      </c>
      <c r="C9" s="52">
        <v>323.98125896204198</v>
      </c>
      <c r="D9" s="52">
        <v>266.19839999999999</v>
      </c>
      <c r="E9" s="52">
        <v>225.83394000000101</v>
      </c>
      <c r="F9" s="52">
        <v>430.37824000000001</v>
      </c>
      <c r="G9" s="52">
        <v>300.71794</v>
      </c>
      <c r="H9" s="52">
        <v>303.12191000000001</v>
      </c>
      <c r="I9" s="52">
        <v>307.88414999999998</v>
      </c>
      <c r="J9" s="52">
        <v>262.73502999999999</v>
      </c>
      <c r="K9" s="52">
        <v>205.06388000000001</v>
      </c>
      <c r="L9" s="52">
        <v>415.22570999999999</v>
      </c>
      <c r="M9" s="52">
        <v>321.03273999999999</v>
      </c>
      <c r="N9" s="52">
        <v>0</v>
      </c>
      <c r="O9" s="52">
        <v>0</v>
      </c>
      <c r="P9" s="53">
        <v>3038.1919400000002</v>
      </c>
      <c r="Q9" s="81">
        <v>0.93776780475900001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256</v>
      </c>
    </row>
    <row r="11" spans="1:17" ht="14.4" customHeight="1" x14ac:dyDescent="0.3">
      <c r="A11" s="15" t="s">
        <v>26</v>
      </c>
      <c r="B11" s="51">
        <v>505.02884351081298</v>
      </c>
      <c r="C11" s="52">
        <v>42.085736959233998</v>
      </c>
      <c r="D11" s="52">
        <v>47.029960000000003</v>
      </c>
      <c r="E11" s="52">
        <v>64.373909999999995</v>
      </c>
      <c r="F11" s="52">
        <v>29.69313</v>
      </c>
      <c r="G11" s="52">
        <v>43.394889999999997</v>
      </c>
      <c r="H11" s="52">
        <v>39.217700000000001</v>
      </c>
      <c r="I11" s="52">
        <v>43.978209999999997</v>
      </c>
      <c r="J11" s="52">
        <v>28.531500000000001</v>
      </c>
      <c r="K11" s="52">
        <v>30.335450000000002</v>
      </c>
      <c r="L11" s="52">
        <v>54.712310000000002</v>
      </c>
      <c r="M11" s="52">
        <v>28.84958</v>
      </c>
      <c r="N11" s="52">
        <v>0</v>
      </c>
      <c r="O11" s="52">
        <v>0</v>
      </c>
      <c r="P11" s="53">
        <v>410.11664000000002</v>
      </c>
      <c r="Q11" s="81">
        <v>0.97447893189300006</v>
      </c>
    </row>
    <row r="12" spans="1:17" ht="14.4" customHeight="1" x14ac:dyDescent="0.3">
      <c r="A12" s="15" t="s">
        <v>27</v>
      </c>
      <c r="B12" s="51">
        <v>41.383601235020997</v>
      </c>
      <c r="C12" s="52">
        <v>3.4486334362509998</v>
      </c>
      <c r="D12" s="52">
        <v>2.8283999999999998</v>
      </c>
      <c r="E12" s="52">
        <v>7.5080499999999999</v>
      </c>
      <c r="F12" s="52">
        <v>3.1823000000000001</v>
      </c>
      <c r="G12" s="52">
        <v>2.5409999999999999</v>
      </c>
      <c r="H12" s="52">
        <v>1.694</v>
      </c>
      <c r="I12" s="52">
        <v>12.79575</v>
      </c>
      <c r="J12" s="52">
        <v>9.7879000000000005</v>
      </c>
      <c r="K12" s="52">
        <v>1.694</v>
      </c>
      <c r="L12" s="52">
        <v>0.93140000000000001</v>
      </c>
      <c r="M12" s="52">
        <v>10.75065</v>
      </c>
      <c r="N12" s="52">
        <v>0</v>
      </c>
      <c r="O12" s="52">
        <v>0</v>
      </c>
      <c r="P12" s="53">
        <v>53.713450000000002</v>
      </c>
      <c r="Q12" s="81">
        <v>1.5575285397209999</v>
      </c>
    </row>
    <row r="13" spans="1:17" ht="14.4" customHeight="1" x14ac:dyDescent="0.3">
      <c r="A13" s="15" t="s">
        <v>28</v>
      </c>
      <c r="B13" s="51">
        <v>121.999996157295</v>
      </c>
      <c r="C13" s="52">
        <v>10.166666346441</v>
      </c>
      <c r="D13" s="52">
        <v>8.4880999999999993</v>
      </c>
      <c r="E13" s="52">
        <v>8.4623399999999993</v>
      </c>
      <c r="F13" s="52">
        <v>6.3129299999999997</v>
      </c>
      <c r="G13" s="52">
        <v>8.5094899999999996</v>
      </c>
      <c r="H13" s="52">
        <v>6.1792800000000003</v>
      </c>
      <c r="I13" s="52">
        <v>5.5399000000000003</v>
      </c>
      <c r="J13" s="52">
        <v>8.2619600000000002</v>
      </c>
      <c r="K13" s="52">
        <v>12.34942</v>
      </c>
      <c r="L13" s="52">
        <v>8.0472000000000001</v>
      </c>
      <c r="M13" s="52">
        <v>6.1956499999999997</v>
      </c>
      <c r="N13" s="52">
        <v>0</v>
      </c>
      <c r="O13" s="52">
        <v>0</v>
      </c>
      <c r="P13" s="53">
        <v>78.346270000000004</v>
      </c>
      <c r="Q13" s="81">
        <v>0.77061907345199998</v>
      </c>
    </row>
    <row r="14" spans="1:17" ht="14.4" customHeight="1" x14ac:dyDescent="0.3">
      <c r="A14" s="15" t="s">
        <v>29</v>
      </c>
      <c r="B14" s="51">
        <v>1437.00516722561</v>
      </c>
      <c r="C14" s="52">
        <v>119.750430602134</v>
      </c>
      <c r="D14" s="52">
        <v>169.251</v>
      </c>
      <c r="E14" s="52">
        <v>192.857</v>
      </c>
      <c r="F14" s="52">
        <v>166.85900000000001</v>
      </c>
      <c r="G14" s="52">
        <v>141.11099999999999</v>
      </c>
      <c r="H14" s="52">
        <v>97.324830000000006</v>
      </c>
      <c r="I14" s="52">
        <v>121.5454</v>
      </c>
      <c r="J14" s="52">
        <v>33.039630000000002</v>
      </c>
      <c r="K14" s="52">
        <v>28.579180000000001</v>
      </c>
      <c r="L14" s="52">
        <v>108.50020000000001</v>
      </c>
      <c r="M14" s="52">
        <v>90.727000000000004</v>
      </c>
      <c r="N14" s="52">
        <v>0</v>
      </c>
      <c r="O14" s="52">
        <v>0</v>
      </c>
      <c r="P14" s="53">
        <v>1149.7942399999999</v>
      </c>
      <c r="Q14" s="81">
        <v>0.96015875201300005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256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256</v>
      </c>
    </row>
    <row r="17" spans="1:17" ht="14.4" customHeight="1" x14ac:dyDescent="0.3">
      <c r="A17" s="15" t="s">
        <v>32</v>
      </c>
      <c r="B17" s="51">
        <v>3620.0084035507898</v>
      </c>
      <c r="C17" s="52">
        <v>301.66736696256601</v>
      </c>
      <c r="D17" s="52">
        <v>20.84601</v>
      </c>
      <c r="E17" s="52">
        <v>39.393470000000001</v>
      </c>
      <c r="F17" s="52">
        <v>159.72253000000001</v>
      </c>
      <c r="G17" s="52">
        <v>23.46143</v>
      </c>
      <c r="H17" s="52">
        <v>16.47165</v>
      </c>
      <c r="I17" s="52">
        <v>385.97498999999999</v>
      </c>
      <c r="J17" s="52">
        <v>23.003029999999999</v>
      </c>
      <c r="K17" s="52">
        <v>521.40328</v>
      </c>
      <c r="L17" s="52">
        <v>23.45589</v>
      </c>
      <c r="M17" s="52">
        <v>34.918729999999996</v>
      </c>
      <c r="N17" s="52">
        <v>0</v>
      </c>
      <c r="O17" s="52">
        <v>0</v>
      </c>
      <c r="P17" s="53">
        <v>1248.65101</v>
      </c>
      <c r="Q17" s="81">
        <v>0.41391650100299998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0.66100000000000003</v>
      </c>
      <c r="G18" s="52">
        <v>0</v>
      </c>
      <c r="H18" s="52">
        <v>0</v>
      </c>
      <c r="I18" s="52">
        <v>0.29099999999999998</v>
      </c>
      <c r="J18" s="52">
        <v>0</v>
      </c>
      <c r="K18" s="52">
        <v>0</v>
      </c>
      <c r="L18" s="52">
        <v>0</v>
      </c>
      <c r="M18" s="52">
        <v>0.84399999999999997</v>
      </c>
      <c r="N18" s="52">
        <v>0</v>
      </c>
      <c r="O18" s="52">
        <v>0</v>
      </c>
      <c r="P18" s="53">
        <v>1.796</v>
      </c>
      <c r="Q18" s="81" t="s">
        <v>256</v>
      </c>
    </row>
    <row r="19" spans="1:17" ht="14.4" customHeight="1" x14ac:dyDescent="0.3">
      <c r="A19" s="15" t="s">
        <v>34</v>
      </c>
      <c r="B19" s="51">
        <v>2689.7931447584901</v>
      </c>
      <c r="C19" s="52">
        <v>224.14942872987399</v>
      </c>
      <c r="D19" s="52">
        <v>137.61770000000001</v>
      </c>
      <c r="E19" s="52">
        <v>114.69521</v>
      </c>
      <c r="F19" s="52">
        <v>310.25722000000002</v>
      </c>
      <c r="G19" s="52">
        <v>170.56649999999999</v>
      </c>
      <c r="H19" s="52">
        <v>253.77673999999999</v>
      </c>
      <c r="I19" s="52">
        <v>310.72793000000001</v>
      </c>
      <c r="J19" s="52">
        <v>85.77722</v>
      </c>
      <c r="K19" s="52">
        <v>101.74578</v>
      </c>
      <c r="L19" s="52">
        <v>139.23795999999999</v>
      </c>
      <c r="M19" s="52">
        <v>164.90317999999999</v>
      </c>
      <c r="N19" s="52">
        <v>0</v>
      </c>
      <c r="O19" s="52">
        <v>0</v>
      </c>
      <c r="P19" s="53">
        <v>1789.3054400000001</v>
      </c>
      <c r="Q19" s="81">
        <v>0.79826455509500005</v>
      </c>
    </row>
    <row r="20" spans="1:17" ht="14.4" customHeight="1" x14ac:dyDescent="0.3">
      <c r="A20" s="15" t="s">
        <v>35</v>
      </c>
      <c r="B20" s="51">
        <v>28614.999104996401</v>
      </c>
      <c r="C20" s="52">
        <v>2384.5832587496998</v>
      </c>
      <c r="D20" s="52">
        <v>2246.0469699999999</v>
      </c>
      <c r="E20" s="52">
        <v>2206.94110000001</v>
      </c>
      <c r="F20" s="52">
        <v>2157.59926</v>
      </c>
      <c r="G20" s="52">
        <v>2124.7285700000002</v>
      </c>
      <c r="H20" s="52">
        <v>2116.81513</v>
      </c>
      <c r="I20" s="52">
        <v>2117.5095799999999</v>
      </c>
      <c r="J20" s="52">
        <v>3246.7355699999998</v>
      </c>
      <c r="K20" s="52">
        <v>2153.5157399999998</v>
      </c>
      <c r="L20" s="52">
        <v>2116.8825000000002</v>
      </c>
      <c r="M20" s="52">
        <v>2099.5659599999999</v>
      </c>
      <c r="N20" s="52">
        <v>0</v>
      </c>
      <c r="O20" s="52">
        <v>0</v>
      </c>
      <c r="P20" s="53">
        <v>22586.340380000001</v>
      </c>
      <c r="Q20" s="81">
        <v>0.94718187327299996</v>
      </c>
    </row>
    <row r="21" spans="1:17" ht="14.4" customHeight="1" x14ac:dyDescent="0.3">
      <c r="A21" s="16" t="s">
        <v>36</v>
      </c>
      <c r="B21" s="51">
        <v>809.99997448694501</v>
      </c>
      <c r="C21" s="52">
        <v>67.499997873911994</v>
      </c>
      <c r="D21" s="52">
        <v>74.69</v>
      </c>
      <c r="E21" s="52">
        <v>70.950999999999993</v>
      </c>
      <c r="F21" s="52">
        <v>86.522000000000006</v>
      </c>
      <c r="G21" s="52">
        <v>70.287000000000006</v>
      </c>
      <c r="H21" s="52">
        <v>72.826999999999998</v>
      </c>
      <c r="I21" s="52">
        <v>68.753</v>
      </c>
      <c r="J21" s="52">
        <v>68.753</v>
      </c>
      <c r="K21" s="52">
        <v>69.09</v>
      </c>
      <c r="L21" s="52">
        <v>66.516000000000005</v>
      </c>
      <c r="M21" s="52">
        <v>73.706999999999994</v>
      </c>
      <c r="N21" s="52">
        <v>0</v>
      </c>
      <c r="O21" s="52">
        <v>0</v>
      </c>
      <c r="P21" s="53">
        <v>722.096</v>
      </c>
      <c r="Q21" s="81">
        <v>1.069771885547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0</v>
      </c>
      <c r="E22" s="52">
        <v>3.19</v>
      </c>
      <c r="F22" s="52">
        <v>0</v>
      </c>
      <c r="G22" s="52">
        <v>0</v>
      </c>
      <c r="H22" s="52">
        <v>33.9405</v>
      </c>
      <c r="I22" s="52">
        <v>0</v>
      </c>
      <c r="J22" s="52">
        <v>11.38259</v>
      </c>
      <c r="K22" s="52">
        <v>48.551000000000002</v>
      </c>
      <c r="L22" s="52">
        <v>58.718980000000002</v>
      </c>
      <c r="M22" s="52">
        <v>2.36</v>
      </c>
      <c r="N22" s="52">
        <v>0</v>
      </c>
      <c r="O22" s="52">
        <v>0</v>
      </c>
      <c r="P22" s="53">
        <v>158.14306999999999</v>
      </c>
      <c r="Q22" s="81" t="s">
        <v>256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256</v>
      </c>
    </row>
    <row r="24" spans="1:17" ht="14.4" customHeight="1" x14ac:dyDescent="0.3">
      <c r="A24" s="16" t="s">
        <v>39</v>
      </c>
      <c r="B24" s="51">
        <v>0.102009169451</v>
      </c>
      <c r="C24" s="52">
        <v>8.5007641200000005E-3</v>
      </c>
      <c r="D24" s="52">
        <v>0.108479999999</v>
      </c>
      <c r="E24" s="52">
        <v>-4.3999999900000002E-4</v>
      </c>
      <c r="F24" s="52">
        <v>0.349559999999</v>
      </c>
      <c r="G24" s="52">
        <v>5.9976199999990003</v>
      </c>
      <c r="H24" s="52">
        <v>0.128949999998</v>
      </c>
      <c r="I24" s="52">
        <v>2.2498999999999998</v>
      </c>
      <c r="J24" s="52">
        <v>2.4959899999989998</v>
      </c>
      <c r="K24" s="52">
        <v>0.28704000000000002</v>
      </c>
      <c r="L24" s="52">
        <v>9.8749999998999999E-2</v>
      </c>
      <c r="M24" s="52">
        <v>0.47468999999900002</v>
      </c>
      <c r="N24" s="52">
        <v>0</v>
      </c>
      <c r="O24" s="52">
        <v>0</v>
      </c>
      <c r="P24" s="53">
        <v>12.190539999997</v>
      </c>
      <c r="Q24" s="81"/>
    </row>
    <row r="25" spans="1:17" ht="14.4" customHeight="1" x14ac:dyDescent="0.3">
      <c r="A25" s="17" t="s">
        <v>40</v>
      </c>
      <c r="B25" s="54">
        <v>42033.471111094397</v>
      </c>
      <c r="C25" s="55">
        <v>3502.7892592578701</v>
      </c>
      <c r="D25" s="55">
        <v>3001.3290400000001</v>
      </c>
      <c r="E25" s="55">
        <v>2959.68073000001</v>
      </c>
      <c r="F25" s="55">
        <v>3390.9931700000002</v>
      </c>
      <c r="G25" s="55">
        <v>2905.2109599999999</v>
      </c>
      <c r="H25" s="55">
        <v>2986.1545500000002</v>
      </c>
      <c r="I25" s="55">
        <v>3393.31565</v>
      </c>
      <c r="J25" s="55">
        <v>3800.12934</v>
      </c>
      <c r="K25" s="55">
        <v>3178.2862300000002</v>
      </c>
      <c r="L25" s="55">
        <v>3035.1524300000001</v>
      </c>
      <c r="M25" s="55">
        <v>2839.7515100000001</v>
      </c>
      <c r="N25" s="55">
        <v>0</v>
      </c>
      <c r="O25" s="55">
        <v>0</v>
      </c>
      <c r="P25" s="56">
        <v>31490.00361</v>
      </c>
      <c r="Q25" s="82">
        <v>0.89899794932699995</v>
      </c>
    </row>
    <row r="26" spans="1:17" ht="14.4" customHeight="1" x14ac:dyDescent="0.3">
      <c r="A26" s="15" t="s">
        <v>41</v>
      </c>
      <c r="B26" s="51">
        <v>3582.4806220491801</v>
      </c>
      <c r="C26" s="52">
        <v>298.54005183743197</v>
      </c>
      <c r="D26" s="52">
        <v>252.90146000000101</v>
      </c>
      <c r="E26" s="52">
        <v>297.85706000000101</v>
      </c>
      <c r="F26" s="52">
        <v>305.51240000000098</v>
      </c>
      <c r="G26" s="52">
        <v>273.50362000000098</v>
      </c>
      <c r="H26" s="52">
        <v>246.054</v>
      </c>
      <c r="I26" s="52">
        <v>277.37308000000002</v>
      </c>
      <c r="J26" s="52">
        <v>362.58600999999999</v>
      </c>
      <c r="K26" s="52">
        <v>227.12344999999999</v>
      </c>
      <c r="L26" s="52">
        <v>284.43889000000001</v>
      </c>
      <c r="M26" s="52">
        <v>275.51832000000002</v>
      </c>
      <c r="N26" s="52">
        <v>0</v>
      </c>
      <c r="O26" s="52">
        <v>0</v>
      </c>
      <c r="P26" s="53">
        <v>2802.8682899999999</v>
      </c>
      <c r="Q26" s="81">
        <v>0.93885837854800003</v>
      </c>
    </row>
    <row r="27" spans="1:17" ht="14.4" customHeight="1" x14ac:dyDescent="0.3">
      <c r="A27" s="18" t="s">
        <v>42</v>
      </c>
      <c r="B27" s="54">
        <v>45615.9517331436</v>
      </c>
      <c r="C27" s="55">
        <v>3801.3293110953</v>
      </c>
      <c r="D27" s="55">
        <v>3254.2305000000001</v>
      </c>
      <c r="E27" s="55">
        <v>3257.5377900000099</v>
      </c>
      <c r="F27" s="55">
        <v>3696.5055699999998</v>
      </c>
      <c r="G27" s="55">
        <v>3178.7145799999998</v>
      </c>
      <c r="H27" s="55">
        <v>3232.2085499999998</v>
      </c>
      <c r="I27" s="55">
        <v>3670.6887299999999</v>
      </c>
      <c r="J27" s="55">
        <v>4162.7153500000004</v>
      </c>
      <c r="K27" s="55">
        <v>3405.4096800000002</v>
      </c>
      <c r="L27" s="55">
        <v>3319.59132</v>
      </c>
      <c r="M27" s="55">
        <v>3115.2698300000002</v>
      </c>
      <c r="N27" s="55">
        <v>0</v>
      </c>
      <c r="O27" s="55">
        <v>0</v>
      </c>
      <c r="P27" s="56">
        <v>34292.871899999998</v>
      </c>
      <c r="Q27" s="82">
        <v>0.90212841597000004</v>
      </c>
    </row>
    <row r="28" spans="1:17" ht="14.4" customHeight="1" x14ac:dyDescent="0.3">
      <c r="A28" s="16" t="s">
        <v>43</v>
      </c>
      <c r="B28" s="51">
        <v>10546.551229000799</v>
      </c>
      <c r="C28" s="52">
        <v>878.87926908340205</v>
      </c>
      <c r="D28" s="52">
        <v>573.98527999999999</v>
      </c>
      <c r="E28" s="52">
        <v>708.24627999999996</v>
      </c>
      <c r="F28" s="52">
        <v>1310.97012</v>
      </c>
      <c r="G28" s="52">
        <v>1328.35148</v>
      </c>
      <c r="H28" s="52">
        <v>912.62627999999995</v>
      </c>
      <c r="I28" s="52">
        <v>905.58500000000004</v>
      </c>
      <c r="J28" s="52">
        <v>466.86799999999999</v>
      </c>
      <c r="K28" s="52">
        <v>515.79128000000003</v>
      </c>
      <c r="L28" s="52">
        <v>602.99400000000003</v>
      </c>
      <c r="M28" s="52">
        <v>731.86955999999998</v>
      </c>
      <c r="N28" s="52">
        <v>0</v>
      </c>
      <c r="O28" s="52">
        <v>0</v>
      </c>
      <c r="P28" s="53">
        <v>8057.2872799999996</v>
      </c>
      <c r="Q28" s="81">
        <v>0.91676838485400003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256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256</v>
      </c>
    </row>
    <row r="32" spans="1:17" ht="14.4" customHeight="1" x14ac:dyDescent="0.3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" customHeight="1" x14ac:dyDescent="0.3">
      <c r="A33" s="98" t="s">
        <v>134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" customHeight="1" x14ac:dyDescent="0.3">
      <c r="A34" s="121" t="s">
        <v>252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" customHeight="1" x14ac:dyDescent="0.3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5" customWidth="1"/>
    <col min="2" max="11" width="10" style="115" customWidth="1"/>
    <col min="12" max="16384" width="8.88671875" style="115"/>
  </cols>
  <sheetData>
    <row r="1" spans="1:11" s="60" customFormat="1" ht="18.600000000000001" customHeight="1" thickBot="1" x14ac:dyDescent="0.4">
      <c r="A1" s="311" t="s">
        <v>48</v>
      </c>
      <c r="B1" s="311"/>
      <c r="C1" s="311"/>
      <c r="D1" s="311"/>
      <c r="E1" s="311"/>
      <c r="F1" s="311"/>
      <c r="G1" s="311"/>
      <c r="H1" s="316"/>
      <c r="I1" s="316"/>
      <c r="J1" s="316"/>
      <c r="K1" s="316"/>
    </row>
    <row r="2" spans="1:11" s="60" customFormat="1" ht="14.4" customHeight="1" thickBot="1" x14ac:dyDescent="0.35">
      <c r="A2" s="211" t="s">
        <v>255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2" t="s">
        <v>49</v>
      </c>
      <c r="C3" s="313"/>
      <c r="D3" s="313"/>
      <c r="E3" s="313"/>
      <c r="F3" s="319" t="s">
        <v>50</v>
      </c>
      <c r="G3" s="313"/>
      <c r="H3" s="313"/>
      <c r="I3" s="313"/>
      <c r="J3" s="313"/>
      <c r="K3" s="320"/>
    </row>
    <row r="4" spans="1:11" ht="14.4" customHeight="1" x14ac:dyDescent="0.3">
      <c r="A4" s="69"/>
      <c r="B4" s="317"/>
      <c r="C4" s="318"/>
      <c r="D4" s="318"/>
      <c r="E4" s="318"/>
      <c r="F4" s="321" t="s">
        <v>248</v>
      </c>
      <c r="G4" s="323" t="s">
        <v>51</v>
      </c>
      <c r="H4" s="126" t="s">
        <v>121</v>
      </c>
      <c r="I4" s="321" t="s">
        <v>52</v>
      </c>
      <c r="J4" s="323" t="s">
        <v>250</v>
      </c>
      <c r="K4" s="324" t="s">
        <v>251</v>
      </c>
    </row>
    <row r="5" spans="1:11" ht="42" thickBot="1" x14ac:dyDescent="0.35">
      <c r="A5" s="70"/>
      <c r="B5" s="24" t="s">
        <v>244</v>
      </c>
      <c r="C5" s="25" t="s">
        <v>245</v>
      </c>
      <c r="D5" s="26" t="s">
        <v>246</v>
      </c>
      <c r="E5" s="26" t="s">
        <v>247</v>
      </c>
      <c r="F5" s="322"/>
      <c r="G5" s="322"/>
      <c r="H5" s="25" t="s">
        <v>249</v>
      </c>
      <c r="I5" s="322"/>
      <c r="J5" s="322"/>
      <c r="K5" s="325"/>
    </row>
    <row r="6" spans="1:11" ht="14.4" customHeight="1" thickBot="1" x14ac:dyDescent="0.35">
      <c r="A6" s="394" t="s">
        <v>258</v>
      </c>
      <c r="B6" s="376">
        <v>39241.978518844197</v>
      </c>
      <c r="C6" s="376">
        <v>38262.041570000001</v>
      </c>
      <c r="D6" s="377">
        <v>-979.93694884414401</v>
      </c>
      <c r="E6" s="378">
        <v>0.97502835010199995</v>
      </c>
      <c r="F6" s="376">
        <v>42033.471111094397</v>
      </c>
      <c r="G6" s="377">
        <v>35027.892592578697</v>
      </c>
      <c r="H6" s="379">
        <v>2839.7515100000001</v>
      </c>
      <c r="I6" s="376">
        <v>31490.00361</v>
      </c>
      <c r="J6" s="377">
        <v>-3537.88898257868</v>
      </c>
      <c r="K6" s="380">
        <v>0.74916495777299996</v>
      </c>
    </row>
    <row r="7" spans="1:11" ht="14.4" customHeight="1" thickBot="1" x14ac:dyDescent="0.35">
      <c r="A7" s="395" t="s">
        <v>259</v>
      </c>
      <c r="B7" s="376">
        <v>7008.8365489464804</v>
      </c>
      <c r="C7" s="376">
        <v>6369.9066599999996</v>
      </c>
      <c r="D7" s="377">
        <v>-638.92988894647897</v>
      </c>
      <c r="E7" s="378">
        <v>0.90883937947600002</v>
      </c>
      <c r="F7" s="376">
        <v>6298.5684741323703</v>
      </c>
      <c r="G7" s="377">
        <v>5248.8070617769799</v>
      </c>
      <c r="H7" s="379">
        <v>462.97748999999999</v>
      </c>
      <c r="I7" s="376">
        <v>4971.46101</v>
      </c>
      <c r="J7" s="377">
        <v>-277.34605177697699</v>
      </c>
      <c r="K7" s="380">
        <v>0.78930014501099999</v>
      </c>
    </row>
    <row r="8" spans="1:11" ht="14.4" customHeight="1" thickBot="1" x14ac:dyDescent="0.35">
      <c r="A8" s="396" t="s">
        <v>260</v>
      </c>
      <c r="B8" s="376">
        <v>5008.3498227577402</v>
      </c>
      <c r="C8" s="376">
        <v>4889.4956599999996</v>
      </c>
      <c r="D8" s="377">
        <v>-118.85416275774</v>
      </c>
      <c r="E8" s="378">
        <v>0.97626879771499997</v>
      </c>
      <c r="F8" s="376">
        <v>4861.5633069067599</v>
      </c>
      <c r="G8" s="377">
        <v>4051.3027557556302</v>
      </c>
      <c r="H8" s="379">
        <v>372.25049000000001</v>
      </c>
      <c r="I8" s="376">
        <v>3821.6667699999998</v>
      </c>
      <c r="J8" s="377">
        <v>-229.63598575563401</v>
      </c>
      <c r="K8" s="380">
        <v>0.78609832449700001</v>
      </c>
    </row>
    <row r="9" spans="1:11" ht="14.4" customHeight="1" thickBot="1" x14ac:dyDescent="0.35">
      <c r="A9" s="397" t="s">
        <v>261</v>
      </c>
      <c r="B9" s="381">
        <v>0</v>
      </c>
      <c r="C9" s="381">
        <v>-3.2899999999999999E-2</v>
      </c>
      <c r="D9" s="382">
        <v>-3.2899999999999999E-2</v>
      </c>
      <c r="E9" s="383" t="s">
        <v>256</v>
      </c>
      <c r="F9" s="381">
        <v>0</v>
      </c>
      <c r="G9" s="382">
        <v>0</v>
      </c>
      <c r="H9" s="384">
        <v>-4.6000000000000001E-4</v>
      </c>
      <c r="I9" s="381">
        <v>-2.0160000000000001E-2</v>
      </c>
      <c r="J9" s="382">
        <v>-2.0160000000000001E-2</v>
      </c>
      <c r="K9" s="385" t="s">
        <v>256</v>
      </c>
    </row>
    <row r="10" spans="1:11" ht="14.4" customHeight="1" thickBot="1" x14ac:dyDescent="0.35">
      <c r="A10" s="398" t="s">
        <v>262</v>
      </c>
      <c r="B10" s="376">
        <v>0</v>
      </c>
      <c r="C10" s="376">
        <v>-3.2899999999999999E-2</v>
      </c>
      <c r="D10" s="377">
        <v>-3.2899999999999999E-2</v>
      </c>
      <c r="E10" s="386" t="s">
        <v>256</v>
      </c>
      <c r="F10" s="376">
        <v>0</v>
      </c>
      <c r="G10" s="377">
        <v>0</v>
      </c>
      <c r="H10" s="379">
        <v>-4.6000000000000001E-4</v>
      </c>
      <c r="I10" s="376">
        <v>-2.0160000000000001E-2</v>
      </c>
      <c r="J10" s="377">
        <v>-2.0160000000000001E-2</v>
      </c>
      <c r="K10" s="387" t="s">
        <v>256</v>
      </c>
    </row>
    <row r="11" spans="1:11" ht="14.4" customHeight="1" thickBot="1" x14ac:dyDescent="0.35">
      <c r="A11" s="397" t="s">
        <v>263</v>
      </c>
      <c r="B11" s="381">
        <v>275.76606941463501</v>
      </c>
      <c r="C11" s="381">
        <v>294.83587999999997</v>
      </c>
      <c r="D11" s="382">
        <v>19.069810585365001</v>
      </c>
      <c r="E11" s="388">
        <v>1.069152128199</v>
      </c>
      <c r="F11" s="381">
        <v>305.37575845912698</v>
      </c>
      <c r="G11" s="382">
        <v>254.47979871593901</v>
      </c>
      <c r="H11" s="384">
        <v>5.4223299999999997</v>
      </c>
      <c r="I11" s="381">
        <v>241.31863000000001</v>
      </c>
      <c r="J11" s="382">
        <v>-13.161168715939001</v>
      </c>
      <c r="K11" s="389">
        <v>0.79023505735199995</v>
      </c>
    </row>
    <row r="12" spans="1:11" ht="14.4" customHeight="1" thickBot="1" x14ac:dyDescent="0.35">
      <c r="A12" s="398" t="s">
        <v>264</v>
      </c>
      <c r="B12" s="376">
        <v>254.21004598163501</v>
      </c>
      <c r="C12" s="376">
        <v>249.32192000000001</v>
      </c>
      <c r="D12" s="377">
        <v>-4.8881259816349996</v>
      </c>
      <c r="E12" s="378">
        <v>0.98077131073699997</v>
      </c>
      <c r="F12" s="376">
        <v>255.99999193662001</v>
      </c>
      <c r="G12" s="377">
        <v>213.33332661385001</v>
      </c>
      <c r="H12" s="379">
        <v>-2.1676700000000002</v>
      </c>
      <c r="I12" s="376">
        <v>193.60938999999999</v>
      </c>
      <c r="J12" s="377">
        <v>-19.72393661385</v>
      </c>
      <c r="K12" s="380">
        <v>0.75628670350799998</v>
      </c>
    </row>
    <row r="13" spans="1:11" ht="14.4" customHeight="1" thickBot="1" x14ac:dyDescent="0.35">
      <c r="A13" s="398" t="s">
        <v>265</v>
      </c>
      <c r="B13" s="376">
        <v>3.9215472014869999</v>
      </c>
      <c r="C13" s="376">
        <v>1.69896</v>
      </c>
      <c r="D13" s="377">
        <v>-2.2225872014869998</v>
      </c>
      <c r="E13" s="378">
        <v>0.43323716704300003</v>
      </c>
      <c r="F13" s="376">
        <v>1.2833468323720001</v>
      </c>
      <c r="G13" s="377">
        <v>1.069455693643</v>
      </c>
      <c r="H13" s="379">
        <v>0</v>
      </c>
      <c r="I13" s="376">
        <v>1.45109</v>
      </c>
      <c r="J13" s="377">
        <v>0.38163430635599999</v>
      </c>
      <c r="K13" s="380">
        <v>1.130707586909</v>
      </c>
    </row>
    <row r="14" spans="1:11" ht="14.4" customHeight="1" thickBot="1" x14ac:dyDescent="0.35">
      <c r="A14" s="398" t="s">
        <v>266</v>
      </c>
      <c r="B14" s="376">
        <v>0</v>
      </c>
      <c r="C14" s="376">
        <v>0</v>
      </c>
      <c r="D14" s="377">
        <v>0</v>
      </c>
      <c r="E14" s="378">
        <v>1</v>
      </c>
      <c r="F14" s="376">
        <v>0</v>
      </c>
      <c r="G14" s="377">
        <v>0</v>
      </c>
      <c r="H14" s="379">
        <v>0</v>
      </c>
      <c r="I14" s="376">
        <v>0.10105</v>
      </c>
      <c r="J14" s="377">
        <v>0.10105</v>
      </c>
      <c r="K14" s="387" t="s">
        <v>267</v>
      </c>
    </row>
    <row r="15" spans="1:11" ht="14.4" customHeight="1" thickBot="1" x14ac:dyDescent="0.35">
      <c r="A15" s="398" t="s">
        <v>268</v>
      </c>
      <c r="B15" s="376">
        <v>17.634476231511002</v>
      </c>
      <c r="C15" s="376">
        <v>43.814999999999998</v>
      </c>
      <c r="D15" s="377">
        <v>26.180523768488001</v>
      </c>
      <c r="E15" s="378">
        <v>2.4846215688390001</v>
      </c>
      <c r="F15" s="376">
        <v>48.092419690134001</v>
      </c>
      <c r="G15" s="377">
        <v>40.077016408444997</v>
      </c>
      <c r="H15" s="379">
        <v>7.59</v>
      </c>
      <c r="I15" s="376">
        <v>46.1571</v>
      </c>
      <c r="J15" s="377">
        <v>6.0800835915539997</v>
      </c>
      <c r="K15" s="380">
        <v>0.95975832152700002</v>
      </c>
    </row>
    <row r="16" spans="1:11" ht="14.4" customHeight="1" thickBot="1" x14ac:dyDescent="0.35">
      <c r="A16" s="397" t="s">
        <v>269</v>
      </c>
      <c r="B16" s="381">
        <v>3908.1860427184201</v>
      </c>
      <c r="C16" s="381">
        <v>3858.9077299999999</v>
      </c>
      <c r="D16" s="382">
        <v>-49.278312718414</v>
      </c>
      <c r="E16" s="388">
        <v>0.98739100130299995</v>
      </c>
      <c r="F16" s="381">
        <v>3887.7751075444999</v>
      </c>
      <c r="G16" s="382">
        <v>3239.8125896204201</v>
      </c>
      <c r="H16" s="384">
        <v>321.03273999999999</v>
      </c>
      <c r="I16" s="381">
        <v>3038.1919400000002</v>
      </c>
      <c r="J16" s="382">
        <v>-201.62064962041899</v>
      </c>
      <c r="K16" s="389">
        <v>0.78147317063199995</v>
      </c>
    </row>
    <row r="17" spans="1:11" ht="14.4" customHeight="1" thickBot="1" x14ac:dyDescent="0.35">
      <c r="A17" s="398" t="s">
        <v>270</v>
      </c>
      <c r="B17" s="376">
        <v>2.9999989231200002</v>
      </c>
      <c r="C17" s="376">
        <v>0</v>
      </c>
      <c r="D17" s="377">
        <v>-2.9999989231200002</v>
      </c>
      <c r="E17" s="378">
        <v>0</v>
      </c>
      <c r="F17" s="376">
        <v>0</v>
      </c>
      <c r="G17" s="377">
        <v>0</v>
      </c>
      <c r="H17" s="379">
        <v>0</v>
      </c>
      <c r="I17" s="376">
        <v>0</v>
      </c>
      <c r="J17" s="377">
        <v>0</v>
      </c>
      <c r="K17" s="380">
        <v>0</v>
      </c>
    </row>
    <row r="18" spans="1:11" ht="14.4" customHeight="1" thickBot="1" x14ac:dyDescent="0.35">
      <c r="A18" s="398" t="s">
        <v>271</v>
      </c>
      <c r="B18" s="376">
        <v>0.22645976014399999</v>
      </c>
      <c r="C18" s="376">
        <v>0</v>
      </c>
      <c r="D18" s="377">
        <v>-0.22645976014399999</v>
      </c>
      <c r="E18" s="378">
        <v>0</v>
      </c>
      <c r="F18" s="376">
        <v>0</v>
      </c>
      <c r="G18" s="377">
        <v>0</v>
      </c>
      <c r="H18" s="379">
        <v>0</v>
      </c>
      <c r="I18" s="376">
        <v>0</v>
      </c>
      <c r="J18" s="377">
        <v>0</v>
      </c>
      <c r="K18" s="380">
        <v>0</v>
      </c>
    </row>
    <row r="19" spans="1:11" ht="14.4" customHeight="1" thickBot="1" x14ac:dyDescent="0.35">
      <c r="A19" s="398" t="s">
        <v>272</v>
      </c>
      <c r="B19" s="376">
        <v>1.3877245097040001</v>
      </c>
      <c r="C19" s="376">
        <v>0.77522999999999997</v>
      </c>
      <c r="D19" s="377">
        <v>-0.61249450970399999</v>
      </c>
      <c r="E19" s="378">
        <v>0.55863393244000004</v>
      </c>
      <c r="F19" s="376">
        <v>0.77522997558200002</v>
      </c>
      <c r="G19" s="377">
        <v>0.64602497965100003</v>
      </c>
      <c r="H19" s="379">
        <v>1.2523500000000001</v>
      </c>
      <c r="I19" s="376">
        <v>1.2523500000000001</v>
      </c>
      <c r="J19" s="377">
        <v>0.60632502034799995</v>
      </c>
      <c r="K19" s="380">
        <v>1.6154561090849999</v>
      </c>
    </row>
    <row r="20" spans="1:11" ht="14.4" customHeight="1" thickBot="1" x14ac:dyDescent="0.35">
      <c r="A20" s="398" t="s">
        <v>273</v>
      </c>
      <c r="B20" s="376">
        <v>54.200525703906003</v>
      </c>
      <c r="C20" s="376">
        <v>58.391559999999998</v>
      </c>
      <c r="D20" s="377">
        <v>4.191034296093</v>
      </c>
      <c r="E20" s="378">
        <v>1.077324606019</v>
      </c>
      <c r="F20" s="376">
        <v>60.999998078647003</v>
      </c>
      <c r="G20" s="377">
        <v>50.833331732205998</v>
      </c>
      <c r="H20" s="379">
        <v>7.4422899999999998</v>
      </c>
      <c r="I20" s="376">
        <v>56.4589</v>
      </c>
      <c r="J20" s="377">
        <v>5.6255682677929997</v>
      </c>
      <c r="K20" s="380">
        <v>0.92555576685700003</v>
      </c>
    </row>
    <row r="21" spans="1:11" ht="14.4" customHeight="1" thickBot="1" x14ac:dyDescent="0.35">
      <c r="A21" s="398" t="s">
        <v>274</v>
      </c>
      <c r="B21" s="376">
        <v>74.822096011097997</v>
      </c>
      <c r="C21" s="376">
        <v>83.550460000000001</v>
      </c>
      <c r="D21" s="377">
        <v>8.7283639889020002</v>
      </c>
      <c r="E21" s="378">
        <v>1.1166548981410001</v>
      </c>
      <c r="F21" s="376">
        <v>87.999997228213005</v>
      </c>
      <c r="G21" s="377">
        <v>73.333331023510993</v>
      </c>
      <c r="H21" s="379">
        <v>7.6616400000000002</v>
      </c>
      <c r="I21" s="376">
        <v>57.674399999999999</v>
      </c>
      <c r="J21" s="377">
        <v>-15.658931023511</v>
      </c>
      <c r="K21" s="380">
        <v>0.65539092973400004</v>
      </c>
    </row>
    <row r="22" spans="1:11" ht="14.4" customHeight="1" thickBot="1" x14ac:dyDescent="0.35">
      <c r="A22" s="398" t="s">
        <v>275</v>
      </c>
      <c r="B22" s="376">
        <v>71.585487819205994</v>
      </c>
      <c r="C22" s="376">
        <v>73.231430000000003</v>
      </c>
      <c r="D22" s="377">
        <v>1.6459421807929999</v>
      </c>
      <c r="E22" s="378">
        <v>1.0229926795349999</v>
      </c>
      <c r="F22" s="376">
        <v>74.999997637681005</v>
      </c>
      <c r="G22" s="377">
        <v>62.499998031400999</v>
      </c>
      <c r="H22" s="379">
        <v>7.9883699999999997</v>
      </c>
      <c r="I22" s="376">
        <v>60.114989999999999</v>
      </c>
      <c r="J22" s="377">
        <v>-2.385008031401</v>
      </c>
      <c r="K22" s="380">
        <v>0.80153322524600001</v>
      </c>
    </row>
    <row r="23" spans="1:11" ht="14.4" customHeight="1" thickBot="1" x14ac:dyDescent="0.35">
      <c r="A23" s="398" t="s">
        <v>276</v>
      </c>
      <c r="B23" s="376">
        <v>5.9938415171989998</v>
      </c>
      <c r="C23" s="376">
        <v>5.9203900000000003</v>
      </c>
      <c r="D23" s="377">
        <v>-7.3451517199000005E-2</v>
      </c>
      <c r="E23" s="378">
        <v>0.987745502281</v>
      </c>
      <c r="F23" s="376">
        <v>5.9999998110139998</v>
      </c>
      <c r="G23" s="377">
        <v>4.9999998425119996</v>
      </c>
      <c r="H23" s="379">
        <v>0.42799999999999999</v>
      </c>
      <c r="I23" s="376">
        <v>4.8167999999999997</v>
      </c>
      <c r="J23" s="377">
        <v>-0.183199842512</v>
      </c>
      <c r="K23" s="380">
        <v>0.80280002528600003</v>
      </c>
    </row>
    <row r="24" spans="1:11" ht="14.4" customHeight="1" thickBot="1" x14ac:dyDescent="0.35">
      <c r="A24" s="398" t="s">
        <v>277</v>
      </c>
      <c r="B24" s="376">
        <v>165.03610098861901</v>
      </c>
      <c r="C24" s="376">
        <v>181.35649000000001</v>
      </c>
      <c r="D24" s="377">
        <v>16.320389011381</v>
      </c>
      <c r="E24" s="378">
        <v>1.098889812069</v>
      </c>
      <c r="F24" s="376">
        <v>178.999994361934</v>
      </c>
      <c r="G24" s="377">
        <v>149.16666196827799</v>
      </c>
      <c r="H24" s="379">
        <v>10.334910000000001</v>
      </c>
      <c r="I24" s="376">
        <v>143.84966</v>
      </c>
      <c r="J24" s="377">
        <v>-5.3170019682780003</v>
      </c>
      <c r="K24" s="380">
        <v>0.80362941078700001</v>
      </c>
    </row>
    <row r="25" spans="1:11" ht="14.4" customHeight="1" thickBot="1" x14ac:dyDescent="0.35">
      <c r="A25" s="398" t="s">
        <v>278</v>
      </c>
      <c r="B25" s="376">
        <v>0</v>
      </c>
      <c r="C25" s="376">
        <v>0</v>
      </c>
      <c r="D25" s="377">
        <v>0</v>
      </c>
      <c r="E25" s="378">
        <v>1</v>
      </c>
      <c r="F25" s="376">
        <v>0</v>
      </c>
      <c r="G25" s="377">
        <v>0</v>
      </c>
      <c r="H25" s="379">
        <v>0</v>
      </c>
      <c r="I25" s="376">
        <v>7.4749999999999997E-2</v>
      </c>
      <c r="J25" s="377">
        <v>7.4749999999999997E-2</v>
      </c>
      <c r="K25" s="387" t="s">
        <v>267</v>
      </c>
    </row>
    <row r="26" spans="1:11" ht="14.4" customHeight="1" thickBot="1" x14ac:dyDescent="0.35">
      <c r="A26" s="398" t="s">
        <v>279</v>
      </c>
      <c r="B26" s="376">
        <v>3531.9338074854199</v>
      </c>
      <c r="C26" s="376">
        <v>3455.68217</v>
      </c>
      <c r="D26" s="377">
        <v>-76.251637485415003</v>
      </c>
      <c r="E26" s="378">
        <v>0.97841079656499996</v>
      </c>
      <c r="F26" s="376">
        <v>3477.99989045143</v>
      </c>
      <c r="G26" s="377">
        <v>2898.3332420428601</v>
      </c>
      <c r="H26" s="379">
        <v>285.92518000000001</v>
      </c>
      <c r="I26" s="376">
        <v>2713.9500899999998</v>
      </c>
      <c r="J26" s="377">
        <v>-184.383152042858</v>
      </c>
      <c r="K26" s="380">
        <v>0.78031919939100003</v>
      </c>
    </row>
    <row r="27" spans="1:11" ht="14.4" customHeight="1" thickBot="1" x14ac:dyDescent="0.35">
      <c r="A27" s="397" t="s">
        <v>280</v>
      </c>
      <c r="B27" s="381">
        <v>0</v>
      </c>
      <c r="C27" s="381">
        <v>2.1897000000000002</v>
      </c>
      <c r="D27" s="382">
        <v>2.1897000000000002</v>
      </c>
      <c r="E27" s="383" t="s">
        <v>256</v>
      </c>
      <c r="F27" s="381">
        <v>0</v>
      </c>
      <c r="G27" s="382">
        <v>0</v>
      </c>
      <c r="H27" s="384">
        <v>0</v>
      </c>
      <c r="I27" s="381">
        <v>0</v>
      </c>
      <c r="J27" s="382">
        <v>0</v>
      </c>
      <c r="K27" s="385" t="s">
        <v>256</v>
      </c>
    </row>
    <row r="28" spans="1:11" ht="14.4" customHeight="1" thickBot="1" x14ac:dyDescent="0.35">
      <c r="A28" s="398" t="s">
        <v>281</v>
      </c>
      <c r="B28" s="376">
        <v>0</v>
      </c>
      <c r="C28" s="376">
        <v>2.1897000000000002</v>
      </c>
      <c r="D28" s="377">
        <v>2.1897000000000002</v>
      </c>
      <c r="E28" s="386" t="s">
        <v>256</v>
      </c>
      <c r="F28" s="376">
        <v>0</v>
      </c>
      <c r="G28" s="377">
        <v>0</v>
      </c>
      <c r="H28" s="379">
        <v>0</v>
      </c>
      <c r="I28" s="376">
        <v>0</v>
      </c>
      <c r="J28" s="377">
        <v>0</v>
      </c>
      <c r="K28" s="387" t="s">
        <v>256</v>
      </c>
    </row>
    <row r="29" spans="1:11" ht="14.4" customHeight="1" thickBot="1" x14ac:dyDescent="0.35">
      <c r="A29" s="397" t="s">
        <v>282</v>
      </c>
      <c r="B29" s="381">
        <v>633.99054647967</v>
      </c>
      <c r="C29" s="381">
        <v>552.97370000000001</v>
      </c>
      <c r="D29" s="382">
        <v>-81.016846479668999</v>
      </c>
      <c r="E29" s="388">
        <v>0.87221127045199998</v>
      </c>
      <c r="F29" s="381">
        <v>505.02884351081298</v>
      </c>
      <c r="G29" s="382">
        <v>420.85736959234401</v>
      </c>
      <c r="H29" s="384">
        <v>28.84958</v>
      </c>
      <c r="I29" s="381">
        <v>410.11664000000002</v>
      </c>
      <c r="J29" s="382">
        <v>-10.740729592344</v>
      </c>
      <c r="K29" s="389">
        <v>0.81206577657800005</v>
      </c>
    </row>
    <row r="30" spans="1:11" ht="14.4" customHeight="1" thickBot="1" x14ac:dyDescent="0.35">
      <c r="A30" s="398" t="s">
        <v>283</v>
      </c>
      <c r="B30" s="376">
        <v>8.6984907783719994</v>
      </c>
      <c r="C30" s="376">
        <v>5.1700699999989999</v>
      </c>
      <c r="D30" s="377">
        <v>-3.5284207783719999</v>
      </c>
      <c r="E30" s="378">
        <v>0.59436402609600003</v>
      </c>
      <c r="F30" s="376">
        <v>6.8951855880900004</v>
      </c>
      <c r="G30" s="377">
        <v>5.7459879900750002</v>
      </c>
      <c r="H30" s="379">
        <v>0</v>
      </c>
      <c r="I30" s="376">
        <v>5.3289999999999997</v>
      </c>
      <c r="J30" s="377">
        <v>-0.41698799007499998</v>
      </c>
      <c r="K30" s="380">
        <v>0.77285809524899995</v>
      </c>
    </row>
    <row r="31" spans="1:11" ht="14.4" customHeight="1" thickBot="1" x14ac:dyDescent="0.35">
      <c r="A31" s="398" t="s">
        <v>284</v>
      </c>
      <c r="B31" s="376">
        <v>7.7343111015010004</v>
      </c>
      <c r="C31" s="376">
        <v>10.28407</v>
      </c>
      <c r="D31" s="377">
        <v>2.5497588984980002</v>
      </c>
      <c r="E31" s="378">
        <v>1.329668520574</v>
      </c>
      <c r="F31" s="376">
        <v>8.9999997165209997</v>
      </c>
      <c r="G31" s="377">
        <v>7.4999997637679998</v>
      </c>
      <c r="H31" s="379">
        <v>0.79737999999999998</v>
      </c>
      <c r="I31" s="376">
        <v>6.9039200000000003</v>
      </c>
      <c r="J31" s="377">
        <v>-0.59607976376799998</v>
      </c>
      <c r="K31" s="380">
        <v>0.76710224638400004</v>
      </c>
    </row>
    <row r="32" spans="1:11" ht="14.4" customHeight="1" thickBot="1" x14ac:dyDescent="0.35">
      <c r="A32" s="398" t="s">
        <v>285</v>
      </c>
      <c r="B32" s="376">
        <v>250.50493545676201</v>
      </c>
      <c r="C32" s="376">
        <v>202.44847999999999</v>
      </c>
      <c r="D32" s="377">
        <v>-48.056455456761</v>
      </c>
      <c r="E32" s="378">
        <v>0.80816164212800001</v>
      </c>
      <c r="F32" s="376">
        <v>184.12453938459001</v>
      </c>
      <c r="G32" s="377">
        <v>153.437116153825</v>
      </c>
      <c r="H32" s="379">
        <v>0</v>
      </c>
      <c r="I32" s="376">
        <v>180.28064000000001</v>
      </c>
      <c r="J32" s="377">
        <v>26.843523846175</v>
      </c>
      <c r="K32" s="380">
        <v>0.97912337270500005</v>
      </c>
    </row>
    <row r="33" spans="1:11" ht="14.4" customHeight="1" thickBot="1" x14ac:dyDescent="0.35">
      <c r="A33" s="398" t="s">
        <v>286</v>
      </c>
      <c r="B33" s="376">
        <v>62.995975792518998</v>
      </c>
      <c r="C33" s="376">
        <v>37.376100000000001</v>
      </c>
      <c r="D33" s="377">
        <v>-25.619875792519</v>
      </c>
      <c r="E33" s="378">
        <v>0.59330932698100003</v>
      </c>
      <c r="F33" s="376">
        <v>45.999998551110998</v>
      </c>
      <c r="G33" s="377">
        <v>38.333332125925999</v>
      </c>
      <c r="H33" s="379">
        <v>6.1920400000000004</v>
      </c>
      <c r="I33" s="376">
        <v>33.969499999999996</v>
      </c>
      <c r="J33" s="377">
        <v>-4.3638321259259998</v>
      </c>
      <c r="K33" s="380">
        <v>0.738467414564</v>
      </c>
    </row>
    <row r="34" spans="1:11" ht="14.4" customHeight="1" thickBot="1" x14ac:dyDescent="0.35">
      <c r="A34" s="398" t="s">
        <v>287</v>
      </c>
      <c r="B34" s="376">
        <v>18.998460503922999</v>
      </c>
      <c r="C34" s="376">
        <v>27.142130000000002</v>
      </c>
      <c r="D34" s="377">
        <v>8.1436694960770009</v>
      </c>
      <c r="E34" s="378">
        <v>1.4286489157569999</v>
      </c>
      <c r="F34" s="376">
        <v>19.999999370047998</v>
      </c>
      <c r="G34" s="377">
        <v>16.666666141707001</v>
      </c>
      <c r="H34" s="379">
        <v>8.6880000000000006</v>
      </c>
      <c r="I34" s="376">
        <v>19.140129999999999</v>
      </c>
      <c r="J34" s="377">
        <v>2.4734638582919999</v>
      </c>
      <c r="K34" s="380">
        <v>0.95700653014299997</v>
      </c>
    </row>
    <row r="35" spans="1:11" ht="14.4" customHeight="1" thickBot="1" x14ac:dyDescent="0.35">
      <c r="A35" s="398" t="s">
        <v>288</v>
      </c>
      <c r="B35" s="376">
        <v>0.40808617724200003</v>
      </c>
      <c r="C35" s="376">
        <v>0.19900000000000001</v>
      </c>
      <c r="D35" s="377">
        <v>-0.20908617724199999</v>
      </c>
      <c r="E35" s="378">
        <v>0.48764209889299998</v>
      </c>
      <c r="F35" s="376">
        <v>0.22232651379099999</v>
      </c>
      <c r="G35" s="377">
        <v>0.18527209482599999</v>
      </c>
      <c r="H35" s="379">
        <v>0</v>
      </c>
      <c r="I35" s="376">
        <v>0</v>
      </c>
      <c r="J35" s="377">
        <v>-0.18527209482599999</v>
      </c>
      <c r="K35" s="380">
        <v>0</v>
      </c>
    </row>
    <row r="36" spans="1:11" ht="14.4" customHeight="1" thickBot="1" x14ac:dyDescent="0.35">
      <c r="A36" s="398" t="s">
        <v>289</v>
      </c>
      <c r="B36" s="376">
        <v>0.37213232892499998</v>
      </c>
      <c r="C36" s="376">
        <v>1.51824</v>
      </c>
      <c r="D36" s="377">
        <v>1.1461076710739999</v>
      </c>
      <c r="E36" s="378">
        <v>4.0798390303370002</v>
      </c>
      <c r="F36" s="376">
        <v>2.302442247029</v>
      </c>
      <c r="G36" s="377">
        <v>1.9187018725239999</v>
      </c>
      <c r="H36" s="379">
        <v>0</v>
      </c>
      <c r="I36" s="376">
        <v>0.91832999999999998</v>
      </c>
      <c r="J36" s="377">
        <v>-1.0003718725240001</v>
      </c>
      <c r="K36" s="380">
        <v>0.39885039513300002</v>
      </c>
    </row>
    <row r="37" spans="1:11" ht="14.4" customHeight="1" thickBot="1" x14ac:dyDescent="0.35">
      <c r="A37" s="398" t="s">
        <v>290</v>
      </c>
      <c r="B37" s="376">
        <v>156.983850996256</v>
      </c>
      <c r="C37" s="376">
        <v>154.4667</v>
      </c>
      <c r="D37" s="377">
        <v>-2.5171509962559999</v>
      </c>
      <c r="E37" s="378">
        <v>0.983965541803</v>
      </c>
      <c r="F37" s="376">
        <v>139.99999559033901</v>
      </c>
      <c r="G37" s="377">
        <v>116.666662991949</v>
      </c>
      <c r="H37" s="379">
        <v>6.8667499999999997</v>
      </c>
      <c r="I37" s="376">
        <v>70.864519999999999</v>
      </c>
      <c r="J37" s="377">
        <v>-45.802142991948998</v>
      </c>
      <c r="K37" s="380">
        <v>0.50617515879999997</v>
      </c>
    </row>
    <row r="38" spans="1:11" ht="14.4" customHeight="1" thickBot="1" x14ac:dyDescent="0.35">
      <c r="A38" s="398" t="s">
        <v>291</v>
      </c>
      <c r="B38" s="376">
        <v>69.299227268392002</v>
      </c>
      <c r="C38" s="376">
        <v>33.330370000000002</v>
      </c>
      <c r="D38" s="377">
        <v>-35.968857268392</v>
      </c>
      <c r="E38" s="378">
        <v>0.48096308305000002</v>
      </c>
      <c r="F38" s="376">
        <v>36.484358439144998</v>
      </c>
      <c r="G38" s="377">
        <v>30.403632032621001</v>
      </c>
      <c r="H38" s="379">
        <v>0.21779999999999999</v>
      </c>
      <c r="I38" s="376">
        <v>11.02571</v>
      </c>
      <c r="J38" s="377">
        <v>-19.377922032621001</v>
      </c>
      <c r="K38" s="380">
        <v>0.302203751736</v>
      </c>
    </row>
    <row r="39" spans="1:11" ht="14.4" customHeight="1" thickBot="1" x14ac:dyDescent="0.35">
      <c r="A39" s="398" t="s">
        <v>292</v>
      </c>
      <c r="B39" s="376">
        <v>0</v>
      </c>
      <c r="C39" s="376">
        <v>0</v>
      </c>
      <c r="D39" s="377">
        <v>0</v>
      </c>
      <c r="E39" s="386" t="s">
        <v>256</v>
      </c>
      <c r="F39" s="376">
        <v>0</v>
      </c>
      <c r="G39" s="377">
        <v>0</v>
      </c>
      <c r="H39" s="379">
        <v>0</v>
      </c>
      <c r="I39" s="376">
        <v>2.4940000000000002</v>
      </c>
      <c r="J39" s="377">
        <v>2.4940000000000002</v>
      </c>
      <c r="K39" s="387" t="s">
        <v>267</v>
      </c>
    </row>
    <row r="40" spans="1:11" ht="14.4" customHeight="1" thickBot="1" x14ac:dyDescent="0.35">
      <c r="A40" s="398" t="s">
        <v>293</v>
      </c>
      <c r="B40" s="376">
        <v>0</v>
      </c>
      <c r="C40" s="376">
        <v>4.1230000000000002</v>
      </c>
      <c r="D40" s="377">
        <v>4.1230000000000002</v>
      </c>
      <c r="E40" s="386" t="s">
        <v>256</v>
      </c>
      <c r="F40" s="376">
        <v>0</v>
      </c>
      <c r="G40" s="377">
        <v>0</v>
      </c>
      <c r="H40" s="379">
        <v>0</v>
      </c>
      <c r="I40" s="376">
        <v>0</v>
      </c>
      <c r="J40" s="377">
        <v>0</v>
      </c>
      <c r="K40" s="387" t="s">
        <v>256</v>
      </c>
    </row>
    <row r="41" spans="1:11" ht="14.4" customHeight="1" thickBot="1" x14ac:dyDescent="0.35">
      <c r="A41" s="398" t="s">
        <v>294</v>
      </c>
      <c r="B41" s="376">
        <v>57.995076075775003</v>
      </c>
      <c r="C41" s="376">
        <v>76.915539999999993</v>
      </c>
      <c r="D41" s="377">
        <v>18.920463924225</v>
      </c>
      <c r="E41" s="378">
        <v>1.32624259169</v>
      </c>
      <c r="F41" s="376">
        <v>59.999998110145</v>
      </c>
      <c r="G41" s="377">
        <v>49.999998425120999</v>
      </c>
      <c r="H41" s="379">
        <v>6.0876099999999997</v>
      </c>
      <c r="I41" s="376">
        <v>79.190889999999996</v>
      </c>
      <c r="J41" s="377">
        <v>29.190891574877998</v>
      </c>
      <c r="K41" s="380">
        <v>1.3198482082380001</v>
      </c>
    </row>
    <row r="42" spans="1:11" ht="14.4" customHeight="1" thickBot="1" x14ac:dyDescent="0.35">
      <c r="A42" s="397" t="s">
        <v>295</v>
      </c>
      <c r="B42" s="381">
        <v>59.435216117666002</v>
      </c>
      <c r="C42" s="381">
        <v>69.268010000000004</v>
      </c>
      <c r="D42" s="382">
        <v>9.8327938823330001</v>
      </c>
      <c r="E42" s="388">
        <v>1.1654371688130001</v>
      </c>
      <c r="F42" s="381">
        <v>41.383601235020997</v>
      </c>
      <c r="G42" s="382">
        <v>34.486334362518001</v>
      </c>
      <c r="H42" s="384">
        <v>10.75065</v>
      </c>
      <c r="I42" s="381">
        <v>53.713450000000002</v>
      </c>
      <c r="J42" s="382">
        <v>19.227115637480999</v>
      </c>
      <c r="K42" s="389">
        <v>1.297940449767</v>
      </c>
    </row>
    <row r="43" spans="1:11" ht="14.4" customHeight="1" thickBot="1" x14ac:dyDescent="0.35">
      <c r="A43" s="398" t="s">
        <v>296</v>
      </c>
      <c r="B43" s="376">
        <v>0</v>
      </c>
      <c r="C43" s="376">
        <v>43.899149999999999</v>
      </c>
      <c r="D43" s="377">
        <v>43.899149999999999</v>
      </c>
      <c r="E43" s="386" t="s">
        <v>256</v>
      </c>
      <c r="F43" s="376">
        <v>0</v>
      </c>
      <c r="G43" s="377">
        <v>0</v>
      </c>
      <c r="H43" s="379">
        <v>8.3550500000000003</v>
      </c>
      <c r="I43" s="376">
        <v>49.398249999999997</v>
      </c>
      <c r="J43" s="377">
        <v>49.398249999999997</v>
      </c>
      <c r="K43" s="387" t="s">
        <v>256</v>
      </c>
    </row>
    <row r="44" spans="1:11" ht="14.4" customHeight="1" thickBot="1" x14ac:dyDescent="0.35">
      <c r="A44" s="398" t="s">
        <v>297</v>
      </c>
      <c r="B44" s="376">
        <v>48.159195307303001</v>
      </c>
      <c r="C44" s="376">
        <v>0.17</v>
      </c>
      <c r="D44" s="377">
        <v>-47.989195307303</v>
      </c>
      <c r="E44" s="378">
        <v>3.5299593130000001E-3</v>
      </c>
      <c r="F44" s="376">
        <v>0.30668451326200002</v>
      </c>
      <c r="G44" s="377">
        <v>0.25557042771799998</v>
      </c>
      <c r="H44" s="379">
        <v>0.19</v>
      </c>
      <c r="I44" s="376">
        <v>0.19</v>
      </c>
      <c r="J44" s="377">
        <v>-6.5570427717999993E-2</v>
      </c>
      <c r="K44" s="380">
        <v>0.61952916363099997</v>
      </c>
    </row>
    <row r="45" spans="1:11" ht="14.4" customHeight="1" thickBot="1" x14ac:dyDescent="0.35">
      <c r="A45" s="398" t="s">
        <v>298</v>
      </c>
      <c r="B45" s="376">
        <v>0.27396933219800002</v>
      </c>
      <c r="C45" s="376">
        <v>21.0975</v>
      </c>
      <c r="D45" s="377">
        <v>20.823530667800998</v>
      </c>
      <c r="E45" s="378">
        <v>77.006794266799005</v>
      </c>
      <c r="F45" s="376">
        <v>36.076916879247001</v>
      </c>
      <c r="G45" s="377">
        <v>30.064097399373001</v>
      </c>
      <c r="H45" s="379">
        <v>0</v>
      </c>
      <c r="I45" s="376">
        <v>0</v>
      </c>
      <c r="J45" s="377">
        <v>-30.064097399373001</v>
      </c>
      <c r="K45" s="380">
        <v>0</v>
      </c>
    </row>
    <row r="46" spans="1:11" ht="14.4" customHeight="1" thickBot="1" x14ac:dyDescent="0.35">
      <c r="A46" s="398" t="s">
        <v>299</v>
      </c>
      <c r="B46" s="376">
        <v>0</v>
      </c>
      <c r="C46" s="376">
        <v>0</v>
      </c>
      <c r="D46" s="377">
        <v>0</v>
      </c>
      <c r="E46" s="378">
        <v>1</v>
      </c>
      <c r="F46" s="376">
        <v>0</v>
      </c>
      <c r="G46" s="377">
        <v>0</v>
      </c>
      <c r="H46" s="379">
        <v>0</v>
      </c>
      <c r="I46" s="376">
        <v>1.4883</v>
      </c>
      <c r="J46" s="377">
        <v>1.4883</v>
      </c>
      <c r="K46" s="387" t="s">
        <v>267</v>
      </c>
    </row>
    <row r="47" spans="1:11" ht="14.4" customHeight="1" thickBot="1" x14ac:dyDescent="0.35">
      <c r="A47" s="398" t="s">
        <v>300</v>
      </c>
      <c r="B47" s="376">
        <v>11.002051478165001</v>
      </c>
      <c r="C47" s="376">
        <v>4.1013599999999997</v>
      </c>
      <c r="D47" s="377">
        <v>-6.9006914781640001</v>
      </c>
      <c r="E47" s="378">
        <v>0.37278138610200001</v>
      </c>
      <c r="F47" s="376">
        <v>4.9999998425119996</v>
      </c>
      <c r="G47" s="377">
        <v>4.1666665354259997</v>
      </c>
      <c r="H47" s="379">
        <v>2.2056</v>
      </c>
      <c r="I47" s="376">
        <v>2.6368999999999998</v>
      </c>
      <c r="J47" s="377">
        <v>-1.5297665354259999</v>
      </c>
      <c r="K47" s="380">
        <v>0.52738001661099998</v>
      </c>
    </row>
    <row r="48" spans="1:11" ht="14.4" customHeight="1" thickBot="1" x14ac:dyDescent="0.35">
      <c r="A48" s="397" t="s">
        <v>301</v>
      </c>
      <c r="B48" s="381">
        <v>130.97194802735399</v>
      </c>
      <c r="C48" s="381">
        <v>111.35354</v>
      </c>
      <c r="D48" s="382">
        <v>-19.618408027352999</v>
      </c>
      <c r="E48" s="388">
        <v>0.85020908428899999</v>
      </c>
      <c r="F48" s="381">
        <v>121.999996157295</v>
      </c>
      <c r="G48" s="382">
        <v>101.66666346441301</v>
      </c>
      <c r="H48" s="384">
        <v>6.1956499999999997</v>
      </c>
      <c r="I48" s="381">
        <v>78.346270000000004</v>
      </c>
      <c r="J48" s="382">
        <v>-23.320393464412</v>
      </c>
      <c r="K48" s="389">
        <v>0.64218256120999995</v>
      </c>
    </row>
    <row r="49" spans="1:11" ht="14.4" customHeight="1" thickBot="1" x14ac:dyDescent="0.35">
      <c r="A49" s="398" t="s">
        <v>302</v>
      </c>
      <c r="B49" s="376">
        <v>28.978374727725999</v>
      </c>
      <c r="C49" s="376">
        <v>21.3643</v>
      </c>
      <c r="D49" s="377">
        <v>-7.6140747277259999</v>
      </c>
      <c r="E49" s="378">
        <v>0.73724976644499995</v>
      </c>
      <c r="F49" s="376">
        <v>22.999999275554998</v>
      </c>
      <c r="G49" s="377">
        <v>19.166666062962001</v>
      </c>
      <c r="H49" s="379">
        <v>0.75749999999999995</v>
      </c>
      <c r="I49" s="376">
        <v>23.97747</v>
      </c>
      <c r="J49" s="377">
        <v>4.8108039370369999</v>
      </c>
      <c r="K49" s="380">
        <v>1.0424987284880001</v>
      </c>
    </row>
    <row r="50" spans="1:11" ht="14.4" customHeight="1" thickBot="1" x14ac:dyDescent="0.35">
      <c r="A50" s="398" t="s">
        <v>303</v>
      </c>
      <c r="B50" s="376">
        <v>0</v>
      </c>
      <c r="C50" s="376">
        <v>1.32</v>
      </c>
      <c r="D50" s="377">
        <v>1.32</v>
      </c>
      <c r="E50" s="386" t="s">
        <v>256</v>
      </c>
      <c r="F50" s="376">
        <v>0.99999996850200001</v>
      </c>
      <c r="G50" s="377">
        <v>0.83333330708499997</v>
      </c>
      <c r="H50" s="379">
        <v>0.94699999999999995</v>
      </c>
      <c r="I50" s="376">
        <v>0.94699999999999995</v>
      </c>
      <c r="J50" s="377">
        <v>0.113666692914</v>
      </c>
      <c r="K50" s="380">
        <v>0.94700002982800002</v>
      </c>
    </row>
    <row r="51" spans="1:11" ht="14.4" customHeight="1" thickBot="1" x14ac:dyDescent="0.35">
      <c r="A51" s="398" t="s">
        <v>304</v>
      </c>
      <c r="B51" s="376">
        <v>22.002116269260998</v>
      </c>
      <c r="C51" s="376">
        <v>18.633150000000001</v>
      </c>
      <c r="D51" s="377">
        <v>-3.36896626926</v>
      </c>
      <c r="E51" s="378">
        <v>0.84687989882199999</v>
      </c>
      <c r="F51" s="376">
        <v>21.999999307052999</v>
      </c>
      <c r="G51" s="377">
        <v>18.333332755876999</v>
      </c>
      <c r="H51" s="379">
        <v>0.90797000000000005</v>
      </c>
      <c r="I51" s="376">
        <v>15.64433</v>
      </c>
      <c r="J51" s="377">
        <v>-2.689002755877</v>
      </c>
      <c r="K51" s="380">
        <v>0.71110593148900003</v>
      </c>
    </row>
    <row r="52" spans="1:11" ht="14.4" customHeight="1" thickBot="1" x14ac:dyDescent="0.35">
      <c r="A52" s="398" t="s">
        <v>305</v>
      </c>
      <c r="B52" s="376">
        <v>19.999611650733002</v>
      </c>
      <c r="C52" s="376">
        <v>28.609190000000002</v>
      </c>
      <c r="D52" s="377">
        <v>8.6095783492670002</v>
      </c>
      <c r="E52" s="378">
        <v>1.430487276434</v>
      </c>
      <c r="F52" s="376">
        <v>29.999999055071999</v>
      </c>
      <c r="G52" s="377">
        <v>24.999999212559999</v>
      </c>
      <c r="H52" s="379">
        <v>2.4671799999999999</v>
      </c>
      <c r="I52" s="376">
        <v>19.631350000000001</v>
      </c>
      <c r="J52" s="377">
        <v>-5.3686492125600003</v>
      </c>
      <c r="K52" s="380">
        <v>0.65437835394400001</v>
      </c>
    </row>
    <row r="53" spans="1:11" ht="14.4" customHeight="1" thickBot="1" x14ac:dyDescent="0.35">
      <c r="A53" s="398" t="s">
        <v>306</v>
      </c>
      <c r="B53" s="376">
        <v>59.991845379632998</v>
      </c>
      <c r="C53" s="376">
        <v>41.426900000000003</v>
      </c>
      <c r="D53" s="377">
        <v>-18.564945379632999</v>
      </c>
      <c r="E53" s="378">
        <v>0.69054218515599997</v>
      </c>
      <c r="F53" s="376">
        <v>45.999998551110998</v>
      </c>
      <c r="G53" s="377">
        <v>38.333332125925999</v>
      </c>
      <c r="H53" s="379">
        <v>1.1160000000000001</v>
      </c>
      <c r="I53" s="376">
        <v>18.14612</v>
      </c>
      <c r="J53" s="377">
        <v>-20.187212125925999</v>
      </c>
      <c r="K53" s="380">
        <v>0.39448088198999998</v>
      </c>
    </row>
    <row r="54" spans="1:11" ht="14.4" customHeight="1" thickBot="1" x14ac:dyDescent="0.35">
      <c r="A54" s="396" t="s">
        <v>29</v>
      </c>
      <c r="B54" s="376">
        <v>2000.48672618874</v>
      </c>
      <c r="C54" s="376">
        <v>1480.4110000000001</v>
      </c>
      <c r="D54" s="377">
        <v>-520.07572618873996</v>
      </c>
      <c r="E54" s="378">
        <v>0.74002540512699999</v>
      </c>
      <c r="F54" s="376">
        <v>1437.00516722561</v>
      </c>
      <c r="G54" s="377">
        <v>1197.50430602134</v>
      </c>
      <c r="H54" s="379">
        <v>90.727000000000004</v>
      </c>
      <c r="I54" s="376">
        <v>1149.7942399999999</v>
      </c>
      <c r="J54" s="377">
        <v>-47.710066021343998</v>
      </c>
      <c r="K54" s="380">
        <v>0.80013229334400005</v>
      </c>
    </row>
    <row r="55" spans="1:11" ht="14.4" customHeight="1" thickBot="1" x14ac:dyDescent="0.35">
      <c r="A55" s="397" t="s">
        <v>307</v>
      </c>
      <c r="B55" s="381">
        <v>2000.48672618874</v>
      </c>
      <c r="C55" s="381">
        <v>1480.4110000000001</v>
      </c>
      <c r="D55" s="382">
        <v>-520.07572618873996</v>
      </c>
      <c r="E55" s="388">
        <v>0.74002540512699999</v>
      </c>
      <c r="F55" s="381">
        <v>1437.00516722561</v>
      </c>
      <c r="G55" s="382">
        <v>1197.50430602134</v>
      </c>
      <c r="H55" s="384">
        <v>90.727000000000004</v>
      </c>
      <c r="I55" s="381">
        <v>1149.7942399999999</v>
      </c>
      <c r="J55" s="382">
        <v>-47.710066021343998</v>
      </c>
      <c r="K55" s="389">
        <v>0.80013229334400005</v>
      </c>
    </row>
    <row r="56" spans="1:11" ht="14.4" customHeight="1" thickBot="1" x14ac:dyDescent="0.35">
      <c r="A56" s="398" t="s">
        <v>308</v>
      </c>
      <c r="B56" s="376">
        <v>689.69753160715197</v>
      </c>
      <c r="C56" s="376">
        <v>554.50699999999995</v>
      </c>
      <c r="D56" s="377">
        <v>-135.190531607152</v>
      </c>
      <c r="E56" s="378">
        <v>0.80398576852600001</v>
      </c>
      <c r="F56" s="376">
        <v>525.99998343227696</v>
      </c>
      <c r="G56" s="377">
        <v>438.33331952689798</v>
      </c>
      <c r="H56" s="379">
        <v>2.9369999999999998</v>
      </c>
      <c r="I56" s="376">
        <v>357.06599999999997</v>
      </c>
      <c r="J56" s="377">
        <v>-81.267319526896998</v>
      </c>
      <c r="K56" s="380">
        <v>0.67883272100100001</v>
      </c>
    </row>
    <row r="57" spans="1:11" ht="14.4" customHeight="1" thickBot="1" x14ac:dyDescent="0.35">
      <c r="A57" s="398" t="s">
        <v>309</v>
      </c>
      <c r="B57" s="376">
        <v>220.00149025923901</v>
      </c>
      <c r="C57" s="376">
        <v>201.333</v>
      </c>
      <c r="D57" s="377">
        <v>-18.668490259239</v>
      </c>
      <c r="E57" s="378">
        <v>0.91514380090199998</v>
      </c>
      <c r="F57" s="376">
        <v>219.99999307053301</v>
      </c>
      <c r="G57" s="377">
        <v>183.333327558778</v>
      </c>
      <c r="H57" s="379">
        <v>17.719000000000001</v>
      </c>
      <c r="I57" s="376">
        <v>168.49600000000001</v>
      </c>
      <c r="J57" s="377">
        <v>-14.837327558777</v>
      </c>
      <c r="K57" s="380">
        <v>0.76589093321400004</v>
      </c>
    </row>
    <row r="58" spans="1:11" ht="14.4" customHeight="1" thickBot="1" x14ac:dyDescent="0.35">
      <c r="A58" s="398" t="s">
        <v>310</v>
      </c>
      <c r="B58" s="376">
        <v>1071.2745011321499</v>
      </c>
      <c r="C58" s="376">
        <v>719.82700000000102</v>
      </c>
      <c r="D58" s="377">
        <v>-351.44750113214502</v>
      </c>
      <c r="E58" s="378">
        <v>0.67193515689799999</v>
      </c>
      <c r="F58" s="376">
        <v>675.99997870764196</v>
      </c>
      <c r="G58" s="377">
        <v>563.33331558970099</v>
      </c>
      <c r="H58" s="379">
        <v>68.870999999999995</v>
      </c>
      <c r="I58" s="376">
        <v>613.43223999999998</v>
      </c>
      <c r="J58" s="377">
        <v>50.098924410298999</v>
      </c>
      <c r="K58" s="380">
        <v>0.90744417059399995</v>
      </c>
    </row>
    <row r="59" spans="1:11" ht="14.4" customHeight="1" thickBot="1" x14ac:dyDescent="0.35">
      <c r="A59" s="398" t="s">
        <v>311</v>
      </c>
      <c r="B59" s="376">
        <v>19.513203190203999</v>
      </c>
      <c r="C59" s="376">
        <v>4.7439999999999998</v>
      </c>
      <c r="D59" s="377">
        <v>-14.769203190203999</v>
      </c>
      <c r="E59" s="378">
        <v>0.243117439702</v>
      </c>
      <c r="F59" s="376">
        <v>15.005212015161</v>
      </c>
      <c r="G59" s="377">
        <v>12.504343345968</v>
      </c>
      <c r="H59" s="379">
        <v>1.2</v>
      </c>
      <c r="I59" s="376">
        <v>10.8</v>
      </c>
      <c r="J59" s="377">
        <v>-1.704343345968</v>
      </c>
      <c r="K59" s="380">
        <v>0.71974991017000001</v>
      </c>
    </row>
    <row r="60" spans="1:11" ht="14.4" customHeight="1" thickBot="1" x14ac:dyDescent="0.35">
      <c r="A60" s="399" t="s">
        <v>312</v>
      </c>
      <c r="B60" s="381">
        <v>3426.00676836605</v>
      </c>
      <c r="C60" s="381">
        <v>3460.87336</v>
      </c>
      <c r="D60" s="382">
        <v>34.866591633947998</v>
      </c>
      <c r="E60" s="388">
        <v>1.0101770352449999</v>
      </c>
      <c r="F60" s="381">
        <v>6309.8015483092804</v>
      </c>
      <c r="G60" s="382">
        <v>5258.1679569243997</v>
      </c>
      <c r="H60" s="384">
        <v>200.66591</v>
      </c>
      <c r="I60" s="381">
        <v>3039.75245</v>
      </c>
      <c r="J60" s="382">
        <v>-2218.4155069243998</v>
      </c>
      <c r="K60" s="389">
        <v>0.48175088023399998</v>
      </c>
    </row>
    <row r="61" spans="1:11" ht="14.4" customHeight="1" thickBot="1" x14ac:dyDescent="0.35">
      <c r="A61" s="396" t="s">
        <v>32</v>
      </c>
      <c r="B61" s="376">
        <v>600.45396722338796</v>
      </c>
      <c r="C61" s="376">
        <v>1009.07589</v>
      </c>
      <c r="D61" s="377">
        <v>408.62192277661302</v>
      </c>
      <c r="E61" s="378">
        <v>1.68052164709</v>
      </c>
      <c r="F61" s="376">
        <v>3620.0084035507898</v>
      </c>
      <c r="G61" s="377">
        <v>3016.6736696256598</v>
      </c>
      <c r="H61" s="379">
        <v>34.918729999999996</v>
      </c>
      <c r="I61" s="376">
        <v>1248.65101</v>
      </c>
      <c r="J61" s="377">
        <v>-1768.02265962566</v>
      </c>
      <c r="K61" s="380">
        <v>0.34493041750199999</v>
      </c>
    </row>
    <row r="62" spans="1:11" ht="14.4" customHeight="1" thickBot="1" x14ac:dyDescent="0.35">
      <c r="A62" s="400" t="s">
        <v>313</v>
      </c>
      <c r="B62" s="376">
        <v>600.45396722338796</v>
      </c>
      <c r="C62" s="376">
        <v>1009.07589</v>
      </c>
      <c r="D62" s="377">
        <v>408.62192277661302</v>
      </c>
      <c r="E62" s="378">
        <v>1.68052164709</v>
      </c>
      <c r="F62" s="376">
        <v>3620.0084035507898</v>
      </c>
      <c r="G62" s="377">
        <v>3016.6736696256598</v>
      </c>
      <c r="H62" s="379">
        <v>34.918729999999996</v>
      </c>
      <c r="I62" s="376">
        <v>1248.65101</v>
      </c>
      <c r="J62" s="377">
        <v>-1768.02265962566</v>
      </c>
      <c r="K62" s="380">
        <v>0.34493041750199999</v>
      </c>
    </row>
    <row r="63" spans="1:11" ht="14.4" customHeight="1" thickBot="1" x14ac:dyDescent="0.35">
      <c r="A63" s="398" t="s">
        <v>314</v>
      </c>
      <c r="B63" s="376">
        <v>232.40679870340699</v>
      </c>
      <c r="C63" s="376">
        <v>268.54640000000001</v>
      </c>
      <c r="D63" s="377">
        <v>36.139601296591998</v>
      </c>
      <c r="E63" s="378">
        <v>1.1555014805849999</v>
      </c>
      <c r="F63" s="376">
        <v>199.05923241692</v>
      </c>
      <c r="G63" s="377">
        <v>165.88269368076701</v>
      </c>
      <c r="H63" s="379">
        <v>5.7960000000000003</v>
      </c>
      <c r="I63" s="376">
        <v>56.133000000000003</v>
      </c>
      <c r="J63" s="377">
        <v>-109.749693680767</v>
      </c>
      <c r="K63" s="380">
        <v>0.28199144203600002</v>
      </c>
    </row>
    <row r="64" spans="1:11" ht="14.4" customHeight="1" thickBot="1" x14ac:dyDescent="0.35">
      <c r="A64" s="398" t="s">
        <v>315</v>
      </c>
      <c r="B64" s="376">
        <v>0</v>
      </c>
      <c r="C64" s="376">
        <v>0</v>
      </c>
      <c r="D64" s="377">
        <v>0</v>
      </c>
      <c r="E64" s="378">
        <v>1</v>
      </c>
      <c r="F64" s="376">
        <v>0</v>
      </c>
      <c r="G64" s="377">
        <v>0</v>
      </c>
      <c r="H64" s="379">
        <v>0</v>
      </c>
      <c r="I64" s="376">
        <v>2.8130000000000002</v>
      </c>
      <c r="J64" s="377">
        <v>2.8130000000000002</v>
      </c>
      <c r="K64" s="387" t="s">
        <v>267</v>
      </c>
    </row>
    <row r="65" spans="1:11" ht="14.4" customHeight="1" thickBot="1" x14ac:dyDescent="0.35">
      <c r="A65" s="398" t="s">
        <v>316</v>
      </c>
      <c r="B65" s="376">
        <v>60.935718011589003</v>
      </c>
      <c r="C65" s="376">
        <v>20.753599999999999</v>
      </c>
      <c r="D65" s="377">
        <v>-40.182118011588997</v>
      </c>
      <c r="E65" s="378">
        <v>0.340581857032</v>
      </c>
      <c r="F65" s="376">
        <v>0.837244092986</v>
      </c>
      <c r="G65" s="377">
        <v>0.69770341082099996</v>
      </c>
      <c r="H65" s="379">
        <v>0</v>
      </c>
      <c r="I65" s="376">
        <v>42.661160000000002</v>
      </c>
      <c r="J65" s="377">
        <v>41.963456589178001</v>
      </c>
      <c r="K65" s="380">
        <v>50.954268124883001</v>
      </c>
    </row>
    <row r="66" spans="1:11" ht="14.4" customHeight="1" thickBot="1" x14ac:dyDescent="0.35">
      <c r="A66" s="398" t="s">
        <v>317</v>
      </c>
      <c r="B66" s="376">
        <v>159.99972987145199</v>
      </c>
      <c r="C66" s="376">
        <v>488.69936999999999</v>
      </c>
      <c r="D66" s="377">
        <v>328.69964012854899</v>
      </c>
      <c r="E66" s="378">
        <v>3.0543762192130002</v>
      </c>
      <c r="F66" s="376">
        <v>3284.9998965304699</v>
      </c>
      <c r="G66" s="377">
        <v>2737.4999137753898</v>
      </c>
      <c r="H66" s="379">
        <v>24.47073</v>
      </c>
      <c r="I66" s="376">
        <v>1042.4403299999999</v>
      </c>
      <c r="J66" s="377">
        <v>-1695.0595837753899</v>
      </c>
      <c r="K66" s="380">
        <v>0.317333443785</v>
      </c>
    </row>
    <row r="67" spans="1:11" ht="14.4" customHeight="1" thickBot="1" x14ac:dyDescent="0.35">
      <c r="A67" s="398" t="s">
        <v>318</v>
      </c>
      <c r="B67" s="376">
        <v>147.111720636939</v>
      </c>
      <c r="C67" s="376">
        <v>231.07651999999999</v>
      </c>
      <c r="D67" s="377">
        <v>83.964799363059996</v>
      </c>
      <c r="E67" s="378">
        <v>1.5707553347850001</v>
      </c>
      <c r="F67" s="376">
        <v>135.11203051041099</v>
      </c>
      <c r="G67" s="377">
        <v>112.593358758676</v>
      </c>
      <c r="H67" s="379">
        <v>4.6520000000000001</v>
      </c>
      <c r="I67" s="376">
        <v>104.60352</v>
      </c>
      <c r="J67" s="377">
        <v>-7.9898387586749999</v>
      </c>
      <c r="K67" s="380">
        <v>0.77419841597200001</v>
      </c>
    </row>
    <row r="68" spans="1:11" ht="14.4" customHeight="1" thickBot="1" x14ac:dyDescent="0.35">
      <c r="A68" s="401" t="s">
        <v>33</v>
      </c>
      <c r="B68" s="381">
        <v>0</v>
      </c>
      <c r="C68" s="381">
        <v>0.16800000000000001</v>
      </c>
      <c r="D68" s="382">
        <v>0.16800000000000001</v>
      </c>
      <c r="E68" s="383" t="s">
        <v>256</v>
      </c>
      <c r="F68" s="381">
        <v>0</v>
      </c>
      <c r="G68" s="382">
        <v>0</v>
      </c>
      <c r="H68" s="384">
        <v>0.84399999999999997</v>
      </c>
      <c r="I68" s="381">
        <v>1.796</v>
      </c>
      <c r="J68" s="382">
        <v>1.796</v>
      </c>
      <c r="K68" s="385" t="s">
        <v>256</v>
      </c>
    </row>
    <row r="69" spans="1:11" ht="14.4" customHeight="1" thickBot="1" x14ac:dyDescent="0.35">
      <c r="A69" s="397" t="s">
        <v>319</v>
      </c>
      <c r="B69" s="381">
        <v>0</v>
      </c>
      <c r="C69" s="381">
        <v>0.16800000000000001</v>
      </c>
      <c r="D69" s="382">
        <v>0.16800000000000001</v>
      </c>
      <c r="E69" s="383" t="s">
        <v>256</v>
      </c>
      <c r="F69" s="381">
        <v>0</v>
      </c>
      <c r="G69" s="382">
        <v>0</v>
      </c>
      <c r="H69" s="384">
        <v>0.84399999999999997</v>
      </c>
      <c r="I69" s="381">
        <v>1.796</v>
      </c>
      <c r="J69" s="382">
        <v>1.796</v>
      </c>
      <c r="K69" s="385" t="s">
        <v>256</v>
      </c>
    </row>
    <row r="70" spans="1:11" ht="14.4" customHeight="1" thickBot="1" x14ac:dyDescent="0.35">
      <c r="A70" s="398" t="s">
        <v>320</v>
      </c>
      <c r="B70" s="376">
        <v>0</v>
      </c>
      <c r="C70" s="376">
        <v>0.16800000000000001</v>
      </c>
      <c r="D70" s="377">
        <v>0.16800000000000001</v>
      </c>
      <c r="E70" s="386" t="s">
        <v>256</v>
      </c>
      <c r="F70" s="376">
        <v>0</v>
      </c>
      <c r="G70" s="377">
        <v>0</v>
      </c>
      <c r="H70" s="379">
        <v>0.84399999999999997</v>
      </c>
      <c r="I70" s="376">
        <v>1.796</v>
      </c>
      <c r="J70" s="377">
        <v>1.796</v>
      </c>
      <c r="K70" s="387" t="s">
        <v>256</v>
      </c>
    </row>
    <row r="71" spans="1:11" ht="14.4" customHeight="1" thickBot="1" x14ac:dyDescent="0.35">
      <c r="A71" s="396" t="s">
        <v>34</v>
      </c>
      <c r="B71" s="376">
        <v>2825.55280114267</v>
      </c>
      <c r="C71" s="376">
        <v>2451.6294699999999</v>
      </c>
      <c r="D71" s="377">
        <v>-373.92333114266398</v>
      </c>
      <c r="E71" s="378">
        <v>0.86766365470399998</v>
      </c>
      <c r="F71" s="376">
        <v>2689.7931447584901</v>
      </c>
      <c r="G71" s="377">
        <v>2241.4942872987399</v>
      </c>
      <c r="H71" s="379">
        <v>164.90317999999999</v>
      </c>
      <c r="I71" s="376">
        <v>1789.3054400000001</v>
      </c>
      <c r="J71" s="377">
        <v>-452.18884729874202</v>
      </c>
      <c r="K71" s="380">
        <v>0.66522046257900003</v>
      </c>
    </row>
    <row r="72" spans="1:11" ht="14.4" customHeight="1" thickBot="1" x14ac:dyDescent="0.35">
      <c r="A72" s="397" t="s">
        <v>321</v>
      </c>
      <c r="B72" s="381">
        <v>0.206244573264</v>
      </c>
      <c r="C72" s="381">
        <v>2.048</v>
      </c>
      <c r="D72" s="382">
        <v>1.841755426735</v>
      </c>
      <c r="E72" s="388">
        <v>9.9299582412399996</v>
      </c>
      <c r="F72" s="381">
        <v>1.872367545413</v>
      </c>
      <c r="G72" s="382">
        <v>1.5603062878439999</v>
      </c>
      <c r="H72" s="384">
        <v>0</v>
      </c>
      <c r="I72" s="381">
        <v>0.753</v>
      </c>
      <c r="J72" s="382">
        <v>-0.80730628784400005</v>
      </c>
      <c r="K72" s="389">
        <v>0.402164629399</v>
      </c>
    </row>
    <row r="73" spans="1:11" ht="14.4" customHeight="1" thickBot="1" x14ac:dyDescent="0.35">
      <c r="A73" s="398" t="s">
        <v>322</v>
      </c>
      <c r="B73" s="376">
        <v>0.206244573264</v>
      </c>
      <c r="C73" s="376">
        <v>2.048</v>
      </c>
      <c r="D73" s="377">
        <v>1.841755426735</v>
      </c>
      <c r="E73" s="378">
        <v>9.9299582412399996</v>
      </c>
      <c r="F73" s="376">
        <v>1.872367545413</v>
      </c>
      <c r="G73" s="377">
        <v>1.5603062878439999</v>
      </c>
      <c r="H73" s="379">
        <v>0</v>
      </c>
      <c r="I73" s="376">
        <v>0.753</v>
      </c>
      <c r="J73" s="377">
        <v>-0.80730628784400005</v>
      </c>
      <c r="K73" s="380">
        <v>0.402164629399</v>
      </c>
    </row>
    <row r="74" spans="1:11" ht="14.4" customHeight="1" thickBot="1" x14ac:dyDescent="0.35">
      <c r="A74" s="397" t="s">
        <v>323</v>
      </c>
      <c r="B74" s="381">
        <v>86.143393206305007</v>
      </c>
      <c r="C74" s="381">
        <v>80.916460000000001</v>
      </c>
      <c r="D74" s="382">
        <v>-5.2269332063049996</v>
      </c>
      <c r="E74" s="388">
        <v>0.93932287768300005</v>
      </c>
      <c r="F74" s="381">
        <v>83.033351075648</v>
      </c>
      <c r="G74" s="382">
        <v>69.194459229705998</v>
      </c>
      <c r="H74" s="384">
        <v>3.29941</v>
      </c>
      <c r="I74" s="381">
        <v>50.917360000000002</v>
      </c>
      <c r="J74" s="382">
        <v>-18.277099229706</v>
      </c>
      <c r="K74" s="389">
        <v>0.61321576619899998</v>
      </c>
    </row>
    <row r="75" spans="1:11" ht="14.4" customHeight="1" thickBot="1" x14ac:dyDescent="0.35">
      <c r="A75" s="398" t="s">
        <v>324</v>
      </c>
      <c r="B75" s="376">
        <v>3.8248432068999998</v>
      </c>
      <c r="C75" s="376">
        <v>4.5888</v>
      </c>
      <c r="D75" s="377">
        <v>0.763956793099</v>
      </c>
      <c r="E75" s="378">
        <v>1.199735453657</v>
      </c>
      <c r="F75" s="376">
        <v>4.4612483474550002</v>
      </c>
      <c r="G75" s="377">
        <v>3.7177069562130001</v>
      </c>
      <c r="H75" s="379">
        <v>0.26700000000000002</v>
      </c>
      <c r="I75" s="376">
        <v>3.3405</v>
      </c>
      <c r="J75" s="377">
        <v>-0.37720695621299999</v>
      </c>
      <c r="K75" s="380">
        <v>0.74878144856100004</v>
      </c>
    </row>
    <row r="76" spans="1:11" ht="14.4" customHeight="1" thickBot="1" x14ac:dyDescent="0.35">
      <c r="A76" s="398" t="s">
        <v>325</v>
      </c>
      <c r="B76" s="376">
        <v>82.318549999403999</v>
      </c>
      <c r="C76" s="376">
        <v>76.327659999999995</v>
      </c>
      <c r="D76" s="377">
        <v>-5.9908899994039997</v>
      </c>
      <c r="E76" s="378">
        <v>0.92722308641899998</v>
      </c>
      <c r="F76" s="376">
        <v>78.572102728191993</v>
      </c>
      <c r="G76" s="377">
        <v>65.476752273493005</v>
      </c>
      <c r="H76" s="379">
        <v>3.03241</v>
      </c>
      <c r="I76" s="376">
        <v>47.576860000000003</v>
      </c>
      <c r="J76" s="377">
        <v>-17.899892273492998</v>
      </c>
      <c r="K76" s="380">
        <v>0.60551847727100006</v>
      </c>
    </row>
    <row r="77" spans="1:11" ht="14.4" customHeight="1" thickBot="1" x14ac:dyDescent="0.35">
      <c r="A77" s="397" t="s">
        <v>326</v>
      </c>
      <c r="B77" s="381">
        <v>22.801184140690999</v>
      </c>
      <c r="C77" s="381">
        <v>34.851680000000002</v>
      </c>
      <c r="D77" s="382">
        <v>12.050495859308</v>
      </c>
      <c r="E77" s="388">
        <v>1.5285030718120001</v>
      </c>
      <c r="F77" s="381">
        <v>33.356025102627001</v>
      </c>
      <c r="G77" s="382">
        <v>27.796687585522001</v>
      </c>
      <c r="H77" s="384">
        <v>1.4416199999999999</v>
      </c>
      <c r="I77" s="381">
        <v>32.770220000000002</v>
      </c>
      <c r="J77" s="382">
        <v>4.9735324144769999</v>
      </c>
      <c r="K77" s="389">
        <v>0.98243780244099999</v>
      </c>
    </row>
    <row r="78" spans="1:11" ht="14.4" customHeight="1" thickBot="1" x14ac:dyDescent="0.35">
      <c r="A78" s="398" t="s">
        <v>327</v>
      </c>
      <c r="B78" s="376">
        <v>3.3560261532609998</v>
      </c>
      <c r="C78" s="376">
        <v>3.24</v>
      </c>
      <c r="D78" s="377">
        <v>-0.11602615326100001</v>
      </c>
      <c r="E78" s="378">
        <v>0.96542751815299999</v>
      </c>
      <c r="F78" s="376">
        <v>3.3560260475539998</v>
      </c>
      <c r="G78" s="377">
        <v>2.796688372962</v>
      </c>
      <c r="H78" s="379">
        <v>0.81</v>
      </c>
      <c r="I78" s="376">
        <v>3.24</v>
      </c>
      <c r="J78" s="377">
        <v>0.443311627037</v>
      </c>
      <c r="K78" s="380">
        <v>0.96542754856099999</v>
      </c>
    </row>
    <row r="79" spans="1:11" ht="14.4" customHeight="1" thickBot="1" x14ac:dyDescent="0.35">
      <c r="A79" s="398" t="s">
        <v>328</v>
      </c>
      <c r="B79" s="376">
        <v>19.445157987428999</v>
      </c>
      <c r="C79" s="376">
        <v>31.61168</v>
      </c>
      <c r="D79" s="377">
        <v>12.166522012570001</v>
      </c>
      <c r="E79" s="378">
        <v>1.6256838859539999</v>
      </c>
      <c r="F79" s="376">
        <v>29.999999055071999</v>
      </c>
      <c r="G79" s="377">
        <v>24.999999212559999</v>
      </c>
      <c r="H79" s="379">
        <v>0.63161999999999996</v>
      </c>
      <c r="I79" s="376">
        <v>29.53022</v>
      </c>
      <c r="J79" s="377">
        <v>4.5302207874390001</v>
      </c>
      <c r="K79" s="380">
        <v>0.98434069767099996</v>
      </c>
    </row>
    <row r="80" spans="1:11" ht="14.4" customHeight="1" thickBot="1" x14ac:dyDescent="0.35">
      <c r="A80" s="397" t="s">
        <v>329</v>
      </c>
      <c r="B80" s="381">
        <v>0</v>
      </c>
      <c r="C80" s="381">
        <v>26.163</v>
      </c>
      <c r="D80" s="382">
        <v>26.163</v>
      </c>
      <c r="E80" s="383" t="s">
        <v>267</v>
      </c>
      <c r="F80" s="381">
        <v>0</v>
      </c>
      <c r="G80" s="382">
        <v>0</v>
      </c>
      <c r="H80" s="384">
        <v>0</v>
      </c>
      <c r="I80" s="381">
        <v>5.15</v>
      </c>
      <c r="J80" s="382">
        <v>5.15</v>
      </c>
      <c r="K80" s="385" t="s">
        <v>256</v>
      </c>
    </row>
    <row r="81" spans="1:11" ht="14.4" customHeight="1" thickBot="1" x14ac:dyDescent="0.35">
      <c r="A81" s="398" t="s">
        <v>330</v>
      </c>
      <c r="B81" s="376">
        <v>0</v>
      </c>
      <c r="C81" s="376">
        <v>26.163</v>
      </c>
      <c r="D81" s="377">
        <v>26.163</v>
      </c>
      <c r="E81" s="386" t="s">
        <v>267</v>
      </c>
      <c r="F81" s="376">
        <v>0</v>
      </c>
      <c r="G81" s="377">
        <v>0</v>
      </c>
      <c r="H81" s="379">
        <v>0</v>
      </c>
      <c r="I81" s="376">
        <v>5.15</v>
      </c>
      <c r="J81" s="377">
        <v>5.15</v>
      </c>
      <c r="K81" s="387" t="s">
        <v>256</v>
      </c>
    </row>
    <row r="82" spans="1:11" ht="14.4" customHeight="1" thickBot="1" x14ac:dyDescent="0.35">
      <c r="A82" s="397" t="s">
        <v>331</v>
      </c>
      <c r="B82" s="381">
        <v>811.72734945402703</v>
      </c>
      <c r="C82" s="381">
        <v>764.45072000000005</v>
      </c>
      <c r="D82" s="382">
        <v>-47.276629454026001</v>
      </c>
      <c r="E82" s="388">
        <v>0.94175799363400003</v>
      </c>
      <c r="F82" s="381">
        <v>815.70458823780996</v>
      </c>
      <c r="G82" s="382">
        <v>679.75382353150803</v>
      </c>
      <c r="H82" s="384">
        <v>68.460149999999999</v>
      </c>
      <c r="I82" s="381">
        <v>646.41481999999996</v>
      </c>
      <c r="J82" s="382">
        <v>-33.339003531506997</v>
      </c>
      <c r="K82" s="389">
        <v>0.79246191491499995</v>
      </c>
    </row>
    <row r="83" spans="1:11" ht="14.4" customHeight="1" thickBot="1" x14ac:dyDescent="0.35">
      <c r="A83" s="398" t="s">
        <v>332</v>
      </c>
      <c r="B83" s="376">
        <v>762.31896980064903</v>
      </c>
      <c r="C83" s="376">
        <v>708.58483999999999</v>
      </c>
      <c r="D83" s="377">
        <v>-53.734129800647999</v>
      </c>
      <c r="E83" s="378">
        <v>0.92951227513699997</v>
      </c>
      <c r="F83" s="376">
        <v>759.13140415938699</v>
      </c>
      <c r="G83" s="377">
        <v>632.60950346615596</v>
      </c>
      <c r="H83" s="379">
        <v>64.180090000000007</v>
      </c>
      <c r="I83" s="376">
        <v>608.70597999999995</v>
      </c>
      <c r="J83" s="377">
        <v>-23.903523466155001</v>
      </c>
      <c r="K83" s="380">
        <v>0.801845341484</v>
      </c>
    </row>
    <row r="84" spans="1:11" ht="14.4" customHeight="1" thickBot="1" x14ac:dyDescent="0.35">
      <c r="A84" s="398" t="s">
        <v>333</v>
      </c>
      <c r="B84" s="376">
        <v>12.106639149008</v>
      </c>
      <c r="C84" s="376">
        <v>14.013</v>
      </c>
      <c r="D84" s="377">
        <v>1.906360850992</v>
      </c>
      <c r="E84" s="378">
        <v>1.1574640845840001</v>
      </c>
      <c r="F84" s="376">
        <v>14.36231725365</v>
      </c>
      <c r="G84" s="377">
        <v>11.968597711375001</v>
      </c>
      <c r="H84" s="379">
        <v>0</v>
      </c>
      <c r="I84" s="376">
        <v>1.34</v>
      </c>
      <c r="J84" s="377">
        <v>-10.628597711375001</v>
      </c>
      <c r="K84" s="380">
        <v>9.3299707583999997E-2</v>
      </c>
    </row>
    <row r="85" spans="1:11" ht="14.4" customHeight="1" thickBot="1" x14ac:dyDescent="0.35">
      <c r="A85" s="398" t="s">
        <v>334</v>
      </c>
      <c r="B85" s="376">
        <v>37.301740504370002</v>
      </c>
      <c r="C85" s="376">
        <v>41.480879999999999</v>
      </c>
      <c r="D85" s="377">
        <v>4.1791394956290002</v>
      </c>
      <c r="E85" s="378">
        <v>1.1120360454789999</v>
      </c>
      <c r="F85" s="376">
        <v>41.908126124052004</v>
      </c>
      <c r="G85" s="377">
        <v>34.923438436710001</v>
      </c>
      <c r="H85" s="379">
        <v>4.2800599999999998</v>
      </c>
      <c r="I85" s="376">
        <v>36.368839999999999</v>
      </c>
      <c r="J85" s="377">
        <v>1.445401563289</v>
      </c>
      <c r="K85" s="380">
        <v>0.86782310171400001</v>
      </c>
    </row>
    <row r="86" spans="1:11" ht="14.4" customHeight="1" thickBot="1" x14ac:dyDescent="0.35">
      <c r="A86" s="398" t="s">
        <v>335</v>
      </c>
      <c r="B86" s="376">
        <v>0</v>
      </c>
      <c r="C86" s="376">
        <v>0.372</v>
      </c>
      <c r="D86" s="377">
        <v>0.372</v>
      </c>
      <c r="E86" s="386" t="s">
        <v>267</v>
      </c>
      <c r="F86" s="376">
        <v>0.302740700719</v>
      </c>
      <c r="G86" s="377">
        <v>0.25228391726600002</v>
      </c>
      <c r="H86" s="379">
        <v>0</v>
      </c>
      <c r="I86" s="376">
        <v>0</v>
      </c>
      <c r="J86" s="377">
        <v>-0.25228391726600002</v>
      </c>
      <c r="K86" s="380">
        <v>0</v>
      </c>
    </row>
    <row r="87" spans="1:11" ht="14.4" customHeight="1" thickBot="1" x14ac:dyDescent="0.35">
      <c r="A87" s="397" t="s">
        <v>336</v>
      </c>
      <c r="B87" s="381">
        <v>441.27162516312598</v>
      </c>
      <c r="C87" s="381">
        <v>518.24329</v>
      </c>
      <c r="D87" s="382">
        <v>76.971664836873003</v>
      </c>
      <c r="E87" s="388">
        <v>1.1744314849340001</v>
      </c>
      <c r="F87" s="381">
        <v>339.30493338941801</v>
      </c>
      <c r="G87" s="382">
        <v>282.754111157848</v>
      </c>
      <c r="H87" s="384">
        <v>15.379</v>
      </c>
      <c r="I87" s="381">
        <v>234.11785</v>
      </c>
      <c r="J87" s="382">
        <v>-48.636261157847997</v>
      </c>
      <c r="K87" s="389">
        <v>0.68999247273300002</v>
      </c>
    </row>
    <row r="88" spans="1:11" ht="14.4" customHeight="1" thickBot="1" x14ac:dyDescent="0.35">
      <c r="A88" s="398" t="s">
        <v>337</v>
      </c>
      <c r="B88" s="376">
        <v>0</v>
      </c>
      <c r="C88" s="376">
        <v>45.962000000000003</v>
      </c>
      <c r="D88" s="377">
        <v>45.962000000000003</v>
      </c>
      <c r="E88" s="386" t="s">
        <v>267</v>
      </c>
      <c r="F88" s="376">
        <v>3.9999998740090001</v>
      </c>
      <c r="G88" s="377">
        <v>3.333333228341</v>
      </c>
      <c r="H88" s="379">
        <v>1.8149999999999999</v>
      </c>
      <c r="I88" s="376">
        <v>15.162509999999999</v>
      </c>
      <c r="J88" s="377">
        <v>11.829176771658</v>
      </c>
      <c r="K88" s="380">
        <v>3.7906276193949999</v>
      </c>
    </row>
    <row r="89" spans="1:11" ht="14.4" customHeight="1" thickBot="1" x14ac:dyDescent="0.35">
      <c r="A89" s="398" t="s">
        <v>338</v>
      </c>
      <c r="B89" s="376">
        <v>431.70230463298799</v>
      </c>
      <c r="C89" s="376">
        <v>461.85993000000002</v>
      </c>
      <c r="D89" s="377">
        <v>30.157625367011001</v>
      </c>
      <c r="E89" s="378">
        <v>1.069857457426</v>
      </c>
      <c r="F89" s="376">
        <v>318.79173733121303</v>
      </c>
      <c r="G89" s="377">
        <v>265.65978110934401</v>
      </c>
      <c r="H89" s="379">
        <v>13.564</v>
      </c>
      <c r="I89" s="376">
        <v>213.52969999999999</v>
      </c>
      <c r="J89" s="377">
        <v>-52.130081109343998</v>
      </c>
      <c r="K89" s="380">
        <v>0.669809392763</v>
      </c>
    </row>
    <row r="90" spans="1:11" ht="14.4" customHeight="1" thickBot="1" x14ac:dyDescent="0.35">
      <c r="A90" s="398" t="s">
        <v>339</v>
      </c>
      <c r="B90" s="376">
        <v>3.0010932502209999</v>
      </c>
      <c r="C90" s="376">
        <v>2.629</v>
      </c>
      <c r="D90" s="377">
        <v>-0.37209325022099998</v>
      </c>
      <c r="E90" s="378">
        <v>0.87601409912999995</v>
      </c>
      <c r="F90" s="376">
        <v>2.9999999055069999</v>
      </c>
      <c r="G90" s="377">
        <v>2.4999999212559998</v>
      </c>
      <c r="H90" s="379">
        <v>0</v>
      </c>
      <c r="I90" s="376">
        <v>0</v>
      </c>
      <c r="J90" s="377">
        <v>-2.4999999212559998</v>
      </c>
      <c r="K90" s="380">
        <v>0</v>
      </c>
    </row>
    <row r="91" spans="1:11" ht="14.4" customHeight="1" thickBot="1" x14ac:dyDescent="0.35">
      <c r="A91" s="398" t="s">
        <v>340</v>
      </c>
      <c r="B91" s="376">
        <v>1.4632420148550001</v>
      </c>
      <c r="C91" s="376">
        <v>4.2591999999999999</v>
      </c>
      <c r="D91" s="377">
        <v>2.7959579851440002</v>
      </c>
      <c r="E91" s="378">
        <v>2.910796680767</v>
      </c>
      <c r="F91" s="376">
        <v>3.7775766687919998</v>
      </c>
      <c r="G91" s="377">
        <v>3.147980557326</v>
      </c>
      <c r="H91" s="379">
        <v>0</v>
      </c>
      <c r="I91" s="376">
        <v>1.5488</v>
      </c>
      <c r="J91" s="377">
        <v>-1.5991805573260001</v>
      </c>
      <c r="K91" s="380">
        <v>0.409998296737</v>
      </c>
    </row>
    <row r="92" spans="1:11" ht="14.4" customHeight="1" thickBot="1" x14ac:dyDescent="0.35">
      <c r="A92" s="398" t="s">
        <v>341</v>
      </c>
      <c r="B92" s="376">
        <v>5.1049852650609999</v>
      </c>
      <c r="C92" s="376">
        <v>3.5331600000000001</v>
      </c>
      <c r="D92" s="377">
        <v>-1.5718252650610001</v>
      </c>
      <c r="E92" s="378">
        <v>0.692099940852</v>
      </c>
      <c r="F92" s="376">
        <v>9.7356196098950001</v>
      </c>
      <c r="G92" s="377">
        <v>8.1130163415789998</v>
      </c>
      <c r="H92" s="379">
        <v>0</v>
      </c>
      <c r="I92" s="376">
        <v>3.8768400000000001</v>
      </c>
      <c r="J92" s="377">
        <v>-4.2361763415790001</v>
      </c>
      <c r="K92" s="380">
        <v>0.39821194288</v>
      </c>
    </row>
    <row r="93" spans="1:11" ht="14.4" customHeight="1" thickBot="1" x14ac:dyDescent="0.35">
      <c r="A93" s="397" t="s">
        <v>342</v>
      </c>
      <c r="B93" s="381">
        <v>1463.4030046052501</v>
      </c>
      <c r="C93" s="381">
        <v>1024.95632</v>
      </c>
      <c r="D93" s="382">
        <v>-438.44668460525003</v>
      </c>
      <c r="E93" s="388">
        <v>0.70039238458200004</v>
      </c>
      <c r="F93" s="381">
        <v>1416.5218794075699</v>
      </c>
      <c r="G93" s="382">
        <v>1180.4348995063101</v>
      </c>
      <c r="H93" s="384">
        <v>76.322999999999993</v>
      </c>
      <c r="I93" s="381">
        <v>819.18218999999999</v>
      </c>
      <c r="J93" s="382">
        <v>-361.25270950631102</v>
      </c>
      <c r="K93" s="389">
        <v>0.57830535617400003</v>
      </c>
    </row>
    <row r="94" spans="1:11" ht="14.4" customHeight="1" thickBot="1" x14ac:dyDescent="0.35">
      <c r="A94" s="398" t="s">
        <v>343</v>
      </c>
      <c r="B94" s="376">
        <v>24.037846805084001</v>
      </c>
      <c r="C94" s="376">
        <v>17.363320000000002</v>
      </c>
      <c r="D94" s="377">
        <v>-6.6745268050839996</v>
      </c>
      <c r="E94" s="378">
        <v>0.72233258414500001</v>
      </c>
      <c r="F94" s="376">
        <v>2.5219239451469999</v>
      </c>
      <c r="G94" s="377">
        <v>2.101603287623</v>
      </c>
      <c r="H94" s="379">
        <v>0</v>
      </c>
      <c r="I94" s="376">
        <v>1.694</v>
      </c>
      <c r="J94" s="377">
        <v>-0.40760328762300002</v>
      </c>
      <c r="K94" s="380">
        <v>0.67170939205299995</v>
      </c>
    </row>
    <row r="95" spans="1:11" ht="14.4" customHeight="1" thickBot="1" x14ac:dyDescent="0.35">
      <c r="A95" s="398" t="s">
        <v>344</v>
      </c>
      <c r="B95" s="376">
        <v>1389.36515780017</v>
      </c>
      <c r="C95" s="376">
        <v>1005.7329999999999</v>
      </c>
      <c r="D95" s="377">
        <v>-383.63215780016702</v>
      </c>
      <c r="E95" s="378">
        <v>0.72387953185200005</v>
      </c>
      <c r="F95" s="376">
        <v>1388.9999562498699</v>
      </c>
      <c r="G95" s="377">
        <v>1157.49996354155</v>
      </c>
      <c r="H95" s="379">
        <v>76.322999999999993</v>
      </c>
      <c r="I95" s="376">
        <v>814.88418999999999</v>
      </c>
      <c r="J95" s="377">
        <v>-342.61577354155497</v>
      </c>
      <c r="K95" s="380">
        <v>0.58666970170400001</v>
      </c>
    </row>
    <row r="96" spans="1:11" ht="14.4" customHeight="1" thickBot="1" x14ac:dyDescent="0.35">
      <c r="A96" s="398" t="s">
        <v>345</v>
      </c>
      <c r="B96" s="376">
        <v>0</v>
      </c>
      <c r="C96" s="376">
        <v>1.86</v>
      </c>
      <c r="D96" s="377">
        <v>1.86</v>
      </c>
      <c r="E96" s="386" t="s">
        <v>267</v>
      </c>
      <c r="F96" s="376">
        <v>0</v>
      </c>
      <c r="G96" s="377">
        <v>0</v>
      </c>
      <c r="H96" s="379">
        <v>0</v>
      </c>
      <c r="I96" s="376">
        <v>2.6040000000000001</v>
      </c>
      <c r="J96" s="377">
        <v>2.6040000000000001</v>
      </c>
      <c r="K96" s="387" t="s">
        <v>256</v>
      </c>
    </row>
    <row r="97" spans="1:11" ht="14.4" customHeight="1" thickBot="1" x14ac:dyDescent="0.35">
      <c r="A97" s="398" t="s">
        <v>346</v>
      </c>
      <c r="B97" s="376">
        <v>49.999999999998998</v>
      </c>
      <c r="C97" s="376">
        <v>0</v>
      </c>
      <c r="D97" s="377">
        <v>-49.999999999998998</v>
      </c>
      <c r="E97" s="378">
        <v>0</v>
      </c>
      <c r="F97" s="376">
        <v>24.999999212559999</v>
      </c>
      <c r="G97" s="377">
        <v>20.833332677133001</v>
      </c>
      <c r="H97" s="379">
        <v>0</v>
      </c>
      <c r="I97" s="376">
        <v>0</v>
      </c>
      <c r="J97" s="377">
        <v>-20.833332677133001</v>
      </c>
      <c r="K97" s="380">
        <v>0</v>
      </c>
    </row>
    <row r="98" spans="1:11" ht="14.4" customHeight="1" thickBot="1" x14ac:dyDescent="0.35">
      <c r="A98" s="395" t="s">
        <v>35</v>
      </c>
      <c r="B98" s="376">
        <v>27891.137076979801</v>
      </c>
      <c r="C98" s="376">
        <v>27326.870149999999</v>
      </c>
      <c r="D98" s="377">
        <v>-564.26692697977001</v>
      </c>
      <c r="E98" s="378">
        <v>0.97976895221500004</v>
      </c>
      <c r="F98" s="376">
        <v>28614.999104996401</v>
      </c>
      <c r="G98" s="377">
        <v>23845.832587497</v>
      </c>
      <c r="H98" s="379">
        <v>2099.5659599999999</v>
      </c>
      <c r="I98" s="376">
        <v>22586.340380000001</v>
      </c>
      <c r="J98" s="377">
        <v>-1259.49220749697</v>
      </c>
      <c r="K98" s="380">
        <v>0.78931822772799998</v>
      </c>
    </row>
    <row r="99" spans="1:11" ht="14.4" customHeight="1" thickBot="1" x14ac:dyDescent="0.35">
      <c r="A99" s="401" t="s">
        <v>347</v>
      </c>
      <c r="B99" s="381">
        <v>20725.9999999996</v>
      </c>
      <c r="C99" s="381">
        <v>20359.86</v>
      </c>
      <c r="D99" s="382">
        <v>-366.13999999961698</v>
      </c>
      <c r="E99" s="388">
        <v>0.98233426613899999</v>
      </c>
      <c r="F99" s="381">
        <v>21264.999336503599</v>
      </c>
      <c r="G99" s="382">
        <v>17720.832780419601</v>
      </c>
      <c r="H99" s="384">
        <v>1567.7639999999999</v>
      </c>
      <c r="I99" s="381">
        <v>16823.593000000001</v>
      </c>
      <c r="J99" s="382">
        <v>-897.23978041963005</v>
      </c>
      <c r="K99" s="389">
        <v>0.79114006700700001</v>
      </c>
    </row>
    <row r="100" spans="1:11" ht="14.4" customHeight="1" thickBot="1" x14ac:dyDescent="0.35">
      <c r="A100" s="397" t="s">
        <v>348</v>
      </c>
      <c r="B100" s="381">
        <v>20471.9999999996</v>
      </c>
      <c r="C100" s="381">
        <v>20079.992999999999</v>
      </c>
      <c r="D100" s="382">
        <v>-392.00699999961898</v>
      </c>
      <c r="E100" s="388">
        <v>0.98085155334100005</v>
      </c>
      <c r="F100" s="381">
        <v>20999.999338550901</v>
      </c>
      <c r="G100" s="382">
        <v>17499.999448792401</v>
      </c>
      <c r="H100" s="384">
        <v>1534.4839999999999</v>
      </c>
      <c r="I100" s="381">
        <v>16603.464</v>
      </c>
      <c r="J100" s="382">
        <v>-896.53544879240906</v>
      </c>
      <c r="K100" s="389">
        <v>0.79064116776000004</v>
      </c>
    </row>
    <row r="101" spans="1:11" ht="14.4" customHeight="1" thickBot="1" x14ac:dyDescent="0.35">
      <c r="A101" s="398" t="s">
        <v>349</v>
      </c>
      <c r="B101" s="376">
        <v>20471.9999999996</v>
      </c>
      <c r="C101" s="376">
        <v>20079.992999999999</v>
      </c>
      <c r="D101" s="377">
        <v>-392.00699999961898</v>
      </c>
      <c r="E101" s="378">
        <v>0.98085155334100005</v>
      </c>
      <c r="F101" s="376">
        <v>20999.999338550901</v>
      </c>
      <c r="G101" s="377">
        <v>17499.999448792401</v>
      </c>
      <c r="H101" s="379">
        <v>1534.4839999999999</v>
      </c>
      <c r="I101" s="376">
        <v>16603.464</v>
      </c>
      <c r="J101" s="377">
        <v>-896.53544879240906</v>
      </c>
      <c r="K101" s="380">
        <v>0.79064116776000004</v>
      </c>
    </row>
    <row r="102" spans="1:11" ht="14.4" customHeight="1" thickBot="1" x14ac:dyDescent="0.35">
      <c r="A102" s="397" t="s">
        <v>350</v>
      </c>
      <c r="B102" s="381">
        <v>0</v>
      </c>
      <c r="C102" s="381">
        <v>0</v>
      </c>
      <c r="D102" s="382">
        <v>0</v>
      </c>
      <c r="E102" s="388">
        <v>1</v>
      </c>
      <c r="F102" s="381">
        <v>0</v>
      </c>
      <c r="G102" s="382">
        <v>0</v>
      </c>
      <c r="H102" s="384">
        <v>0</v>
      </c>
      <c r="I102" s="381">
        <v>-11.303000000000001</v>
      </c>
      <c r="J102" s="382">
        <v>-11.303000000000001</v>
      </c>
      <c r="K102" s="385" t="s">
        <v>267</v>
      </c>
    </row>
    <row r="103" spans="1:11" ht="14.4" customHeight="1" thickBot="1" x14ac:dyDescent="0.35">
      <c r="A103" s="398" t="s">
        <v>351</v>
      </c>
      <c r="B103" s="376">
        <v>0</v>
      </c>
      <c r="C103" s="376">
        <v>0</v>
      </c>
      <c r="D103" s="377">
        <v>0</v>
      </c>
      <c r="E103" s="378">
        <v>1</v>
      </c>
      <c r="F103" s="376">
        <v>0</v>
      </c>
      <c r="G103" s="377">
        <v>0</v>
      </c>
      <c r="H103" s="379">
        <v>0</v>
      </c>
      <c r="I103" s="376">
        <v>-11.303000000000001</v>
      </c>
      <c r="J103" s="377">
        <v>-11.303000000000001</v>
      </c>
      <c r="K103" s="387" t="s">
        <v>267</v>
      </c>
    </row>
    <row r="104" spans="1:11" ht="14.4" customHeight="1" thickBot="1" x14ac:dyDescent="0.35">
      <c r="A104" s="397" t="s">
        <v>352</v>
      </c>
      <c r="B104" s="381">
        <v>191.99999999999599</v>
      </c>
      <c r="C104" s="381">
        <v>209.89</v>
      </c>
      <c r="D104" s="382">
        <v>17.890000000002999</v>
      </c>
      <c r="E104" s="388">
        <v>1.0931770833329999</v>
      </c>
      <c r="F104" s="381">
        <v>200</v>
      </c>
      <c r="G104" s="382">
        <v>166.666666666667</v>
      </c>
      <c r="H104" s="384">
        <v>24.8</v>
      </c>
      <c r="I104" s="381">
        <v>177.44</v>
      </c>
      <c r="J104" s="382">
        <v>10.773333333332999</v>
      </c>
      <c r="K104" s="389">
        <v>0.88719999999999999</v>
      </c>
    </row>
    <row r="105" spans="1:11" ht="14.4" customHeight="1" thickBot="1" x14ac:dyDescent="0.35">
      <c r="A105" s="398" t="s">
        <v>353</v>
      </c>
      <c r="B105" s="376">
        <v>191.99999999999599</v>
      </c>
      <c r="C105" s="376">
        <v>209.89</v>
      </c>
      <c r="D105" s="377">
        <v>17.890000000002999</v>
      </c>
      <c r="E105" s="378">
        <v>1.0931770833329999</v>
      </c>
      <c r="F105" s="376">
        <v>200</v>
      </c>
      <c r="G105" s="377">
        <v>166.666666666667</v>
      </c>
      <c r="H105" s="379">
        <v>24.8</v>
      </c>
      <c r="I105" s="376">
        <v>177.44</v>
      </c>
      <c r="J105" s="377">
        <v>10.773333333332999</v>
      </c>
      <c r="K105" s="380">
        <v>0.88719999999999999</v>
      </c>
    </row>
    <row r="106" spans="1:11" ht="14.4" customHeight="1" thickBot="1" x14ac:dyDescent="0.35">
      <c r="A106" s="397" t="s">
        <v>354</v>
      </c>
      <c r="B106" s="381">
        <v>61.999999999998003</v>
      </c>
      <c r="C106" s="381">
        <v>69.977000000000004</v>
      </c>
      <c r="D106" s="382">
        <v>7.9770000000010004</v>
      </c>
      <c r="E106" s="388">
        <v>1.1286612903219999</v>
      </c>
      <c r="F106" s="381">
        <v>64.999997952656997</v>
      </c>
      <c r="G106" s="382">
        <v>54.166664960547003</v>
      </c>
      <c r="H106" s="384">
        <v>8.48</v>
      </c>
      <c r="I106" s="381">
        <v>53.991999999999997</v>
      </c>
      <c r="J106" s="382">
        <v>-0.17466496054700001</v>
      </c>
      <c r="K106" s="389">
        <v>0.83064618000900003</v>
      </c>
    </row>
    <row r="107" spans="1:11" ht="14.4" customHeight="1" thickBot="1" x14ac:dyDescent="0.35">
      <c r="A107" s="398" t="s">
        <v>355</v>
      </c>
      <c r="B107" s="376">
        <v>61.999999999998003</v>
      </c>
      <c r="C107" s="376">
        <v>69.977000000000004</v>
      </c>
      <c r="D107" s="377">
        <v>7.9770000000010004</v>
      </c>
      <c r="E107" s="378">
        <v>1.1286612903219999</v>
      </c>
      <c r="F107" s="376">
        <v>64.999997952656997</v>
      </c>
      <c r="G107" s="377">
        <v>54.166664960547003</v>
      </c>
      <c r="H107" s="379">
        <v>8.48</v>
      </c>
      <c r="I107" s="376">
        <v>53.991999999999997</v>
      </c>
      <c r="J107" s="377">
        <v>-0.17466496054700001</v>
      </c>
      <c r="K107" s="380">
        <v>0.83064618000900003</v>
      </c>
    </row>
    <row r="108" spans="1:11" ht="14.4" customHeight="1" thickBot="1" x14ac:dyDescent="0.35">
      <c r="A108" s="396" t="s">
        <v>356</v>
      </c>
      <c r="B108" s="376">
        <v>6961.1370769801597</v>
      </c>
      <c r="C108" s="376">
        <v>6765.4158500000003</v>
      </c>
      <c r="D108" s="377">
        <v>-195.721226980155</v>
      </c>
      <c r="E108" s="378">
        <v>0.97188372749700003</v>
      </c>
      <c r="F108" s="376">
        <v>7139.9997751072997</v>
      </c>
      <c r="G108" s="377">
        <v>5949.9998125894199</v>
      </c>
      <c r="H108" s="379">
        <v>516.37170000000003</v>
      </c>
      <c r="I108" s="376">
        <v>5596.2848000000004</v>
      </c>
      <c r="J108" s="377">
        <v>-353.71501258941902</v>
      </c>
      <c r="K108" s="380">
        <v>0.78379341404299996</v>
      </c>
    </row>
    <row r="109" spans="1:11" ht="14.4" customHeight="1" thickBot="1" x14ac:dyDescent="0.35">
      <c r="A109" s="397" t="s">
        <v>357</v>
      </c>
      <c r="B109" s="381">
        <v>1843.13707698026</v>
      </c>
      <c r="C109" s="381">
        <v>1816.6360999999999</v>
      </c>
      <c r="D109" s="382">
        <v>-26.500976980259999</v>
      </c>
      <c r="E109" s="388">
        <v>0.985621808973</v>
      </c>
      <c r="F109" s="381">
        <v>1889.99994046958</v>
      </c>
      <c r="G109" s="382">
        <v>1574.99995039132</v>
      </c>
      <c r="H109" s="384">
        <v>138.90270000000001</v>
      </c>
      <c r="I109" s="381">
        <v>1500.5983000000001</v>
      </c>
      <c r="J109" s="382">
        <v>-74.401650391315997</v>
      </c>
      <c r="K109" s="389">
        <v>0.79396737950499996</v>
      </c>
    </row>
    <row r="110" spans="1:11" ht="14.4" customHeight="1" thickBot="1" x14ac:dyDescent="0.35">
      <c r="A110" s="398" t="s">
        <v>358</v>
      </c>
      <c r="B110" s="376">
        <v>1843.13707698026</v>
      </c>
      <c r="C110" s="376">
        <v>1816.6360999999999</v>
      </c>
      <c r="D110" s="377">
        <v>-26.500976980259999</v>
      </c>
      <c r="E110" s="378">
        <v>0.985621808973</v>
      </c>
      <c r="F110" s="376">
        <v>1889.99994046958</v>
      </c>
      <c r="G110" s="377">
        <v>1574.99995039132</v>
      </c>
      <c r="H110" s="379">
        <v>138.90270000000001</v>
      </c>
      <c r="I110" s="376">
        <v>1500.5983000000001</v>
      </c>
      <c r="J110" s="377">
        <v>-74.401650391315997</v>
      </c>
      <c r="K110" s="380">
        <v>0.79396737950499996</v>
      </c>
    </row>
    <row r="111" spans="1:11" ht="14.4" customHeight="1" thickBot="1" x14ac:dyDescent="0.35">
      <c r="A111" s="397" t="s">
        <v>359</v>
      </c>
      <c r="B111" s="381">
        <v>5117.9999999999</v>
      </c>
      <c r="C111" s="381">
        <v>4948.7797499999997</v>
      </c>
      <c r="D111" s="382">
        <v>-169.220249999895</v>
      </c>
      <c r="E111" s="388">
        <v>0.96693625439599995</v>
      </c>
      <c r="F111" s="381">
        <v>5249.9998346377197</v>
      </c>
      <c r="G111" s="382">
        <v>4374.9998621981003</v>
      </c>
      <c r="H111" s="384">
        <v>377.46899999999999</v>
      </c>
      <c r="I111" s="381">
        <v>4099.5304999999998</v>
      </c>
      <c r="J111" s="382">
        <v>-275.46936219810198</v>
      </c>
      <c r="K111" s="389">
        <v>0.78086297697600004</v>
      </c>
    </row>
    <row r="112" spans="1:11" ht="14.4" customHeight="1" thickBot="1" x14ac:dyDescent="0.35">
      <c r="A112" s="398" t="s">
        <v>360</v>
      </c>
      <c r="B112" s="376">
        <v>5117.9999999999</v>
      </c>
      <c r="C112" s="376">
        <v>4948.7797499999997</v>
      </c>
      <c r="D112" s="377">
        <v>-169.220249999895</v>
      </c>
      <c r="E112" s="378">
        <v>0.96693625439599995</v>
      </c>
      <c r="F112" s="376">
        <v>5249.9998346377197</v>
      </c>
      <c r="G112" s="377">
        <v>4374.9998621981003</v>
      </c>
      <c r="H112" s="379">
        <v>377.46899999999999</v>
      </c>
      <c r="I112" s="376">
        <v>4099.5304999999998</v>
      </c>
      <c r="J112" s="377">
        <v>-275.46936219810198</v>
      </c>
      <c r="K112" s="380">
        <v>0.78086297697600004</v>
      </c>
    </row>
    <row r="113" spans="1:11" ht="14.4" customHeight="1" thickBot="1" x14ac:dyDescent="0.35">
      <c r="A113" s="397" t="s">
        <v>361</v>
      </c>
      <c r="B113" s="381">
        <v>0</v>
      </c>
      <c r="C113" s="381">
        <v>0</v>
      </c>
      <c r="D113" s="382">
        <v>0</v>
      </c>
      <c r="E113" s="388">
        <v>1</v>
      </c>
      <c r="F113" s="381">
        <v>0</v>
      </c>
      <c r="G113" s="382">
        <v>0</v>
      </c>
      <c r="H113" s="384">
        <v>0</v>
      </c>
      <c r="I113" s="381">
        <v>-1.018</v>
      </c>
      <c r="J113" s="382">
        <v>-1.018</v>
      </c>
      <c r="K113" s="385" t="s">
        <v>267</v>
      </c>
    </row>
    <row r="114" spans="1:11" ht="14.4" customHeight="1" thickBot="1" x14ac:dyDescent="0.35">
      <c r="A114" s="398" t="s">
        <v>362</v>
      </c>
      <c r="B114" s="376">
        <v>0</v>
      </c>
      <c r="C114" s="376">
        <v>0</v>
      </c>
      <c r="D114" s="377">
        <v>0</v>
      </c>
      <c r="E114" s="378">
        <v>1</v>
      </c>
      <c r="F114" s="376">
        <v>0</v>
      </c>
      <c r="G114" s="377">
        <v>0</v>
      </c>
      <c r="H114" s="379">
        <v>0</v>
      </c>
      <c r="I114" s="376">
        <v>-1.018</v>
      </c>
      <c r="J114" s="377">
        <v>-1.018</v>
      </c>
      <c r="K114" s="387" t="s">
        <v>267</v>
      </c>
    </row>
    <row r="115" spans="1:11" ht="14.4" customHeight="1" thickBot="1" x14ac:dyDescent="0.35">
      <c r="A115" s="397" t="s">
        <v>363</v>
      </c>
      <c r="B115" s="381">
        <v>0</v>
      </c>
      <c r="C115" s="381">
        <v>0</v>
      </c>
      <c r="D115" s="382">
        <v>0</v>
      </c>
      <c r="E115" s="388">
        <v>1</v>
      </c>
      <c r="F115" s="381">
        <v>0</v>
      </c>
      <c r="G115" s="382">
        <v>0</v>
      </c>
      <c r="H115" s="384">
        <v>0</v>
      </c>
      <c r="I115" s="381">
        <v>-2.8260000000000001</v>
      </c>
      <c r="J115" s="382">
        <v>-2.8260000000000001</v>
      </c>
      <c r="K115" s="385" t="s">
        <v>267</v>
      </c>
    </row>
    <row r="116" spans="1:11" ht="14.4" customHeight="1" thickBot="1" x14ac:dyDescent="0.35">
      <c r="A116" s="398" t="s">
        <v>364</v>
      </c>
      <c r="B116" s="376">
        <v>0</v>
      </c>
      <c r="C116" s="376">
        <v>0</v>
      </c>
      <c r="D116" s="377">
        <v>0</v>
      </c>
      <c r="E116" s="378">
        <v>1</v>
      </c>
      <c r="F116" s="376">
        <v>0</v>
      </c>
      <c r="G116" s="377">
        <v>0</v>
      </c>
      <c r="H116" s="379">
        <v>0</v>
      </c>
      <c r="I116" s="376">
        <v>-2.8260000000000001</v>
      </c>
      <c r="J116" s="377">
        <v>-2.8260000000000001</v>
      </c>
      <c r="K116" s="387" t="s">
        <v>267</v>
      </c>
    </row>
    <row r="117" spans="1:11" ht="14.4" customHeight="1" thickBot="1" x14ac:dyDescent="0.35">
      <c r="A117" s="396" t="s">
        <v>365</v>
      </c>
      <c r="B117" s="376">
        <v>203.99999999999599</v>
      </c>
      <c r="C117" s="376">
        <v>201.5943</v>
      </c>
      <c r="D117" s="377">
        <v>-2.4056999999949999</v>
      </c>
      <c r="E117" s="378">
        <v>0.98820735294100004</v>
      </c>
      <c r="F117" s="376">
        <v>209.99999338550899</v>
      </c>
      <c r="G117" s="377">
        <v>174.999994487924</v>
      </c>
      <c r="H117" s="379">
        <v>15.430260000000001</v>
      </c>
      <c r="I117" s="376">
        <v>166.46258</v>
      </c>
      <c r="J117" s="377">
        <v>-8.5374144879239999</v>
      </c>
      <c r="K117" s="380">
        <v>0.79267897734799997</v>
      </c>
    </row>
    <row r="118" spans="1:11" ht="14.4" customHeight="1" thickBot="1" x14ac:dyDescent="0.35">
      <c r="A118" s="397" t="s">
        <v>366</v>
      </c>
      <c r="B118" s="381">
        <v>203.99999999999599</v>
      </c>
      <c r="C118" s="381">
        <v>201.5943</v>
      </c>
      <c r="D118" s="382">
        <v>-2.4056999999949999</v>
      </c>
      <c r="E118" s="388">
        <v>0.98820735294100004</v>
      </c>
      <c r="F118" s="381">
        <v>209.99999338550899</v>
      </c>
      <c r="G118" s="382">
        <v>174.999994487924</v>
      </c>
      <c r="H118" s="384">
        <v>15.430260000000001</v>
      </c>
      <c r="I118" s="381">
        <v>166.46258</v>
      </c>
      <c r="J118" s="382">
        <v>-8.5374144879239999</v>
      </c>
      <c r="K118" s="389">
        <v>0.79267897734799997</v>
      </c>
    </row>
    <row r="119" spans="1:11" ht="14.4" customHeight="1" thickBot="1" x14ac:dyDescent="0.35">
      <c r="A119" s="398" t="s">
        <v>367</v>
      </c>
      <c r="B119" s="376">
        <v>203.99999999999599</v>
      </c>
      <c r="C119" s="376">
        <v>201.5943</v>
      </c>
      <c r="D119" s="377">
        <v>-2.4056999999949999</v>
      </c>
      <c r="E119" s="378">
        <v>0.98820735294100004</v>
      </c>
      <c r="F119" s="376">
        <v>209.99999338550899</v>
      </c>
      <c r="G119" s="377">
        <v>174.999994487924</v>
      </c>
      <c r="H119" s="379">
        <v>15.430260000000001</v>
      </c>
      <c r="I119" s="376">
        <v>166.46258</v>
      </c>
      <c r="J119" s="377">
        <v>-8.5374144879239999</v>
      </c>
      <c r="K119" s="380">
        <v>0.79267897734799997</v>
      </c>
    </row>
    <row r="120" spans="1:11" ht="14.4" customHeight="1" thickBot="1" x14ac:dyDescent="0.35">
      <c r="A120" s="395" t="s">
        <v>368</v>
      </c>
      <c r="B120" s="376">
        <v>0</v>
      </c>
      <c r="C120" s="376">
        <v>0.1</v>
      </c>
      <c r="D120" s="377">
        <v>0.1</v>
      </c>
      <c r="E120" s="386" t="s">
        <v>267</v>
      </c>
      <c r="F120" s="376">
        <v>0.102009169451</v>
      </c>
      <c r="G120" s="377">
        <v>8.5007641209000007E-2</v>
      </c>
      <c r="H120" s="379">
        <v>0</v>
      </c>
      <c r="I120" s="376">
        <v>0</v>
      </c>
      <c r="J120" s="377">
        <v>-8.5007641209000007E-2</v>
      </c>
      <c r="K120" s="380">
        <v>0</v>
      </c>
    </row>
    <row r="121" spans="1:11" ht="14.4" customHeight="1" thickBot="1" x14ac:dyDescent="0.35">
      <c r="A121" s="396" t="s">
        <v>369</v>
      </c>
      <c r="B121" s="376">
        <v>0</v>
      </c>
      <c r="C121" s="376">
        <v>0.1</v>
      </c>
      <c r="D121" s="377">
        <v>0.1</v>
      </c>
      <c r="E121" s="386" t="s">
        <v>267</v>
      </c>
      <c r="F121" s="376">
        <v>0.102009169451</v>
      </c>
      <c r="G121" s="377">
        <v>8.5007641209000007E-2</v>
      </c>
      <c r="H121" s="379">
        <v>0</v>
      </c>
      <c r="I121" s="376">
        <v>0</v>
      </c>
      <c r="J121" s="377">
        <v>-8.5007641209000007E-2</v>
      </c>
      <c r="K121" s="380">
        <v>0</v>
      </c>
    </row>
    <row r="122" spans="1:11" ht="14.4" customHeight="1" thickBot="1" x14ac:dyDescent="0.35">
      <c r="A122" s="397" t="s">
        <v>370</v>
      </c>
      <c r="B122" s="381">
        <v>0</v>
      </c>
      <c r="C122" s="381">
        <v>0.1</v>
      </c>
      <c r="D122" s="382">
        <v>0.1</v>
      </c>
      <c r="E122" s="383" t="s">
        <v>267</v>
      </c>
      <c r="F122" s="381">
        <v>0.102009169451</v>
      </c>
      <c r="G122" s="382">
        <v>8.5007641209000007E-2</v>
      </c>
      <c r="H122" s="384">
        <v>0</v>
      </c>
      <c r="I122" s="381">
        <v>0</v>
      </c>
      <c r="J122" s="382">
        <v>-8.5007641209000007E-2</v>
      </c>
      <c r="K122" s="389">
        <v>0</v>
      </c>
    </row>
    <row r="123" spans="1:11" ht="14.4" customHeight="1" thickBot="1" x14ac:dyDescent="0.35">
      <c r="A123" s="398" t="s">
        <v>371</v>
      </c>
      <c r="B123" s="376">
        <v>0</v>
      </c>
      <c r="C123" s="376">
        <v>0.1</v>
      </c>
      <c r="D123" s="377">
        <v>0.1</v>
      </c>
      <c r="E123" s="386" t="s">
        <v>267</v>
      </c>
      <c r="F123" s="376">
        <v>0.102009169451</v>
      </c>
      <c r="G123" s="377">
        <v>8.5007641209000007E-2</v>
      </c>
      <c r="H123" s="379">
        <v>0</v>
      </c>
      <c r="I123" s="376">
        <v>0</v>
      </c>
      <c r="J123" s="377">
        <v>-8.5007641209000007E-2</v>
      </c>
      <c r="K123" s="380">
        <v>0</v>
      </c>
    </row>
    <row r="124" spans="1:11" ht="14.4" customHeight="1" thickBot="1" x14ac:dyDescent="0.35">
      <c r="A124" s="395" t="s">
        <v>372</v>
      </c>
      <c r="B124" s="376">
        <v>0</v>
      </c>
      <c r="C124" s="376">
        <v>3.2327499999999998</v>
      </c>
      <c r="D124" s="377">
        <v>3.2327499999999998</v>
      </c>
      <c r="E124" s="386" t="s">
        <v>256</v>
      </c>
      <c r="F124" s="376">
        <v>0</v>
      </c>
      <c r="G124" s="377">
        <v>0</v>
      </c>
      <c r="H124" s="379">
        <v>0.47515000000000002</v>
      </c>
      <c r="I124" s="376">
        <v>12.210699999999999</v>
      </c>
      <c r="J124" s="377">
        <v>12.210699999999999</v>
      </c>
      <c r="K124" s="387" t="s">
        <v>256</v>
      </c>
    </row>
    <row r="125" spans="1:11" ht="14.4" customHeight="1" thickBot="1" x14ac:dyDescent="0.35">
      <c r="A125" s="396" t="s">
        <v>373</v>
      </c>
      <c r="B125" s="376">
        <v>0</v>
      </c>
      <c r="C125" s="376">
        <v>3.2327499999999998</v>
      </c>
      <c r="D125" s="377">
        <v>3.2327499999999998</v>
      </c>
      <c r="E125" s="386" t="s">
        <v>256</v>
      </c>
      <c r="F125" s="376">
        <v>0</v>
      </c>
      <c r="G125" s="377">
        <v>0</v>
      </c>
      <c r="H125" s="379">
        <v>0.47515000000000002</v>
      </c>
      <c r="I125" s="376">
        <v>12.210699999999999</v>
      </c>
      <c r="J125" s="377">
        <v>12.210699999999999</v>
      </c>
      <c r="K125" s="387" t="s">
        <v>256</v>
      </c>
    </row>
    <row r="126" spans="1:11" ht="14.4" customHeight="1" thickBot="1" x14ac:dyDescent="0.35">
      <c r="A126" s="397" t="s">
        <v>374</v>
      </c>
      <c r="B126" s="381">
        <v>0</v>
      </c>
      <c r="C126" s="381">
        <v>17.616949999999999</v>
      </c>
      <c r="D126" s="382">
        <v>17.616949999999999</v>
      </c>
      <c r="E126" s="383" t="s">
        <v>256</v>
      </c>
      <c r="F126" s="381">
        <v>0</v>
      </c>
      <c r="G126" s="382">
        <v>0</v>
      </c>
      <c r="H126" s="384">
        <v>0.47515000000000002</v>
      </c>
      <c r="I126" s="381">
        <v>12.210699999999999</v>
      </c>
      <c r="J126" s="382">
        <v>12.210699999999999</v>
      </c>
      <c r="K126" s="385" t="s">
        <v>256</v>
      </c>
    </row>
    <row r="127" spans="1:11" ht="14.4" customHeight="1" thickBot="1" x14ac:dyDescent="0.35">
      <c r="A127" s="398" t="s">
        <v>375</v>
      </c>
      <c r="B127" s="376">
        <v>0</v>
      </c>
      <c r="C127" s="376">
        <v>10.216950000000001</v>
      </c>
      <c r="D127" s="377">
        <v>10.216950000000001</v>
      </c>
      <c r="E127" s="386" t="s">
        <v>256</v>
      </c>
      <c r="F127" s="376">
        <v>0</v>
      </c>
      <c r="G127" s="377">
        <v>0</v>
      </c>
      <c r="H127" s="379">
        <v>0.47515000000000002</v>
      </c>
      <c r="I127" s="376">
        <v>1.3107</v>
      </c>
      <c r="J127" s="377">
        <v>1.3107</v>
      </c>
      <c r="K127" s="387" t="s">
        <v>256</v>
      </c>
    </row>
    <row r="128" spans="1:11" ht="14.4" customHeight="1" thickBot="1" x14ac:dyDescent="0.35">
      <c r="A128" s="398" t="s">
        <v>376</v>
      </c>
      <c r="B128" s="376">
        <v>0</v>
      </c>
      <c r="C128" s="376">
        <v>6</v>
      </c>
      <c r="D128" s="377">
        <v>6</v>
      </c>
      <c r="E128" s="386" t="s">
        <v>256</v>
      </c>
      <c r="F128" s="376">
        <v>0</v>
      </c>
      <c r="G128" s="377">
        <v>0</v>
      </c>
      <c r="H128" s="379">
        <v>0</v>
      </c>
      <c r="I128" s="376">
        <v>6</v>
      </c>
      <c r="J128" s="377">
        <v>6</v>
      </c>
      <c r="K128" s="387" t="s">
        <v>267</v>
      </c>
    </row>
    <row r="129" spans="1:11" ht="14.4" customHeight="1" thickBot="1" x14ac:dyDescent="0.35">
      <c r="A129" s="398" t="s">
        <v>377</v>
      </c>
      <c r="B129" s="376">
        <v>0</v>
      </c>
      <c r="C129" s="376">
        <v>0</v>
      </c>
      <c r="D129" s="377">
        <v>0</v>
      </c>
      <c r="E129" s="378">
        <v>1</v>
      </c>
      <c r="F129" s="376">
        <v>0</v>
      </c>
      <c r="G129" s="377">
        <v>0</v>
      </c>
      <c r="H129" s="379">
        <v>0</v>
      </c>
      <c r="I129" s="376">
        <v>4.9000000000000004</v>
      </c>
      <c r="J129" s="377">
        <v>4.9000000000000004</v>
      </c>
      <c r="K129" s="387" t="s">
        <v>267</v>
      </c>
    </row>
    <row r="130" spans="1:11" ht="14.4" customHeight="1" thickBot="1" x14ac:dyDescent="0.35">
      <c r="A130" s="398" t="s">
        <v>378</v>
      </c>
      <c r="B130" s="376">
        <v>0</v>
      </c>
      <c r="C130" s="376">
        <v>1.4</v>
      </c>
      <c r="D130" s="377">
        <v>1.4</v>
      </c>
      <c r="E130" s="386" t="s">
        <v>256</v>
      </c>
      <c r="F130" s="376">
        <v>0</v>
      </c>
      <c r="G130" s="377">
        <v>0</v>
      </c>
      <c r="H130" s="379">
        <v>0</v>
      </c>
      <c r="I130" s="376">
        <v>0</v>
      </c>
      <c r="J130" s="377">
        <v>0</v>
      </c>
      <c r="K130" s="387" t="s">
        <v>256</v>
      </c>
    </row>
    <row r="131" spans="1:11" ht="14.4" customHeight="1" thickBot="1" x14ac:dyDescent="0.35">
      <c r="A131" s="397" t="s">
        <v>379</v>
      </c>
      <c r="B131" s="381">
        <v>0</v>
      </c>
      <c r="C131" s="381">
        <v>-14.3842</v>
      </c>
      <c r="D131" s="382">
        <v>-14.3842</v>
      </c>
      <c r="E131" s="383" t="s">
        <v>267</v>
      </c>
      <c r="F131" s="381">
        <v>0</v>
      </c>
      <c r="G131" s="382">
        <v>0</v>
      </c>
      <c r="H131" s="384">
        <v>0</v>
      </c>
      <c r="I131" s="381">
        <v>0</v>
      </c>
      <c r="J131" s="382">
        <v>0</v>
      </c>
      <c r="K131" s="385" t="s">
        <v>256</v>
      </c>
    </row>
    <row r="132" spans="1:11" ht="14.4" customHeight="1" thickBot="1" x14ac:dyDescent="0.35">
      <c r="A132" s="398" t="s">
        <v>380</v>
      </c>
      <c r="B132" s="376">
        <v>0</v>
      </c>
      <c r="C132" s="376">
        <v>-14.3842</v>
      </c>
      <c r="D132" s="377">
        <v>-14.3842</v>
      </c>
      <c r="E132" s="386" t="s">
        <v>267</v>
      </c>
      <c r="F132" s="376">
        <v>0</v>
      </c>
      <c r="G132" s="377">
        <v>0</v>
      </c>
      <c r="H132" s="379">
        <v>0</v>
      </c>
      <c r="I132" s="376">
        <v>0</v>
      </c>
      <c r="J132" s="377">
        <v>0</v>
      </c>
      <c r="K132" s="387" t="s">
        <v>256</v>
      </c>
    </row>
    <row r="133" spans="1:11" ht="14.4" customHeight="1" thickBot="1" x14ac:dyDescent="0.35">
      <c r="A133" s="395" t="s">
        <v>381</v>
      </c>
      <c r="B133" s="376">
        <v>915.99812455183803</v>
      </c>
      <c r="C133" s="376">
        <v>1101.0498</v>
      </c>
      <c r="D133" s="377">
        <v>185.051675448162</v>
      </c>
      <c r="E133" s="378">
        <v>1.202021893373</v>
      </c>
      <c r="F133" s="376">
        <v>809.99997448694501</v>
      </c>
      <c r="G133" s="377">
        <v>674.99997873912105</v>
      </c>
      <c r="H133" s="379">
        <v>76.066999999999993</v>
      </c>
      <c r="I133" s="376">
        <v>880.23906999999997</v>
      </c>
      <c r="J133" s="377">
        <v>205.23909126087901</v>
      </c>
      <c r="K133" s="380">
        <v>1.0867149354629999</v>
      </c>
    </row>
    <row r="134" spans="1:11" ht="14.4" customHeight="1" thickBot="1" x14ac:dyDescent="0.35">
      <c r="A134" s="396" t="s">
        <v>382</v>
      </c>
      <c r="B134" s="376">
        <v>896.99812455183803</v>
      </c>
      <c r="C134" s="376">
        <v>947.83600000000001</v>
      </c>
      <c r="D134" s="377">
        <v>50.837875448162002</v>
      </c>
      <c r="E134" s="378">
        <v>1.0566755649270001</v>
      </c>
      <c r="F134" s="376">
        <v>809.99997448694501</v>
      </c>
      <c r="G134" s="377">
        <v>674.99997873912105</v>
      </c>
      <c r="H134" s="379">
        <v>73.706999999999994</v>
      </c>
      <c r="I134" s="376">
        <v>722.096</v>
      </c>
      <c r="J134" s="377">
        <v>47.096021260878999</v>
      </c>
      <c r="K134" s="380">
        <v>0.89147657128900004</v>
      </c>
    </row>
    <row r="135" spans="1:11" ht="14.4" customHeight="1" thickBot="1" x14ac:dyDescent="0.35">
      <c r="A135" s="397" t="s">
        <v>383</v>
      </c>
      <c r="B135" s="381">
        <v>896.99812455183803</v>
      </c>
      <c r="C135" s="381">
        <v>904.18499999999995</v>
      </c>
      <c r="D135" s="382">
        <v>7.1868754481619996</v>
      </c>
      <c r="E135" s="388">
        <v>1.008012140997</v>
      </c>
      <c r="F135" s="381">
        <v>809.99997448694501</v>
      </c>
      <c r="G135" s="382">
        <v>674.99997873912105</v>
      </c>
      <c r="H135" s="384">
        <v>73.706999999999994</v>
      </c>
      <c r="I135" s="381">
        <v>703.27700000000004</v>
      </c>
      <c r="J135" s="382">
        <v>28.277021260879</v>
      </c>
      <c r="K135" s="389">
        <v>0.86824323722399999</v>
      </c>
    </row>
    <row r="136" spans="1:11" ht="14.4" customHeight="1" thickBot="1" x14ac:dyDescent="0.35">
      <c r="A136" s="398" t="s">
        <v>384</v>
      </c>
      <c r="B136" s="376">
        <v>66.997338104844999</v>
      </c>
      <c r="C136" s="376">
        <v>67.403999999999996</v>
      </c>
      <c r="D136" s="377">
        <v>0.40666189515399997</v>
      </c>
      <c r="E136" s="378">
        <v>1.0060698216770001</v>
      </c>
      <c r="F136" s="376">
        <v>66.999997889661003</v>
      </c>
      <c r="G136" s="377">
        <v>55.833331574717</v>
      </c>
      <c r="H136" s="379">
        <v>5.9580000000000002</v>
      </c>
      <c r="I136" s="376">
        <v>57.192999999999998</v>
      </c>
      <c r="J136" s="377">
        <v>1.3596684252819999</v>
      </c>
      <c r="K136" s="380">
        <v>0.85362689255799995</v>
      </c>
    </row>
    <row r="137" spans="1:11" ht="14.4" customHeight="1" thickBot="1" x14ac:dyDescent="0.35">
      <c r="A137" s="398" t="s">
        <v>385</v>
      </c>
      <c r="B137" s="376">
        <v>607.99999999998897</v>
      </c>
      <c r="C137" s="376">
        <v>615.27599999999995</v>
      </c>
      <c r="D137" s="377">
        <v>7.2760000000109999</v>
      </c>
      <c r="E137" s="378">
        <v>1.0119671052629999</v>
      </c>
      <c r="F137" s="376">
        <v>572.999981951878</v>
      </c>
      <c r="G137" s="377">
        <v>477.49998495989797</v>
      </c>
      <c r="H137" s="379">
        <v>47.985999999999997</v>
      </c>
      <c r="I137" s="376">
        <v>500.66800000000001</v>
      </c>
      <c r="J137" s="377">
        <v>23.168015040101999</v>
      </c>
      <c r="K137" s="380">
        <v>0.87376617062700002</v>
      </c>
    </row>
    <row r="138" spans="1:11" ht="14.4" customHeight="1" thickBot="1" x14ac:dyDescent="0.35">
      <c r="A138" s="398" t="s">
        <v>386</v>
      </c>
      <c r="B138" s="376">
        <v>94.000786447006007</v>
      </c>
      <c r="C138" s="376">
        <v>93.745000000000005</v>
      </c>
      <c r="D138" s="377">
        <v>-0.25578644700600001</v>
      </c>
      <c r="E138" s="378">
        <v>0.99727889035100004</v>
      </c>
      <c r="F138" s="376">
        <v>41.999998677100997</v>
      </c>
      <c r="G138" s="377">
        <v>34.999998897584</v>
      </c>
      <c r="H138" s="379">
        <v>9.7810000000000006</v>
      </c>
      <c r="I138" s="376">
        <v>44.27</v>
      </c>
      <c r="J138" s="377">
        <v>9.2700011024149997</v>
      </c>
      <c r="K138" s="380">
        <v>1.0540476522469999</v>
      </c>
    </row>
    <row r="139" spans="1:11" ht="14.4" customHeight="1" thickBot="1" x14ac:dyDescent="0.35">
      <c r="A139" s="398" t="s">
        <v>387</v>
      </c>
      <c r="B139" s="376">
        <v>127.999999999998</v>
      </c>
      <c r="C139" s="376">
        <v>127.76</v>
      </c>
      <c r="D139" s="377">
        <v>-0.239999999997</v>
      </c>
      <c r="E139" s="378">
        <v>0.99812500000000004</v>
      </c>
      <c r="F139" s="376">
        <v>127.999995968305</v>
      </c>
      <c r="G139" s="377">
        <v>106.666663306921</v>
      </c>
      <c r="H139" s="379">
        <v>9.9819999999999993</v>
      </c>
      <c r="I139" s="376">
        <v>101.146</v>
      </c>
      <c r="J139" s="377">
        <v>-5.5206633069209996</v>
      </c>
      <c r="K139" s="380">
        <v>0.79020314988899998</v>
      </c>
    </row>
    <row r="140" spans="1:11" ht="14.4" customHeight="1" thickBot="1" x14ac:dyDescent="0.35">
      <c r="A140" s="397" t="s">
        <v>388</v>
      </c>
      <c r="B140" s="381">
        <v>0</v>
      </c>
      <c r="C140" s="381">
        <v>43.651000000000003</v>
      </c>
      <c r="D140" s="382">
        <v>43.651000000000003</v>
      </c>
      <c r="E140" s="383" t="s">
        <v>256</v>
      </c>
      <c r="F140" s="381">
        <v>0</v>
      </c>
      <c r="G140" s="382">
        <v>0</v>
      </c>
      <c r="H140" s="384">
        <v>0</v>
      </c>
      <c r="I140" s="381">
        <v>18.818999999999999</v>
      </c>
      <c r="J140" s="382">
        <v>18.818999999999999</v>
      </c>
      <c r="K140" s="385" t="s">
        <v>256</v>
      </c>
    </row>
    <row r="141" spans="1:11" ht="14.4" customHeight="1" thickBot="1" x14ac:dyDescent="0.35">
      <c r="A141" s="398" t="s">
        <v>389</v>
      </c>
      <c r="B141" s="376">
        <v>0</v>
      </c>
      <c r="C141" s="376">
        <v>43.651000000000003</v>
      </c>
      <c r="D141" s="377">
        <v>43.651000000000003</v>
      </c>
      <c r="E141" s="386" t="s">
        <v>256</v>
      </c>
      <c r="F141" s="376">
        <v>0</v>
      </c>
      <c r="G141" s="377">
        <v>0</v>
      </c>
      <c r="H141" s="379">
        <v>0</v>
      </c>
      <c r="I141" s="376">
        <v>2.5840000000000001</v>
      </c>
      <c r="J141" s="377">
        <v>2.5840000000000001</v>
      </c>
      <c r="K141" s="387" t="s">
        <v>256</v>
      </c>
    </row>
    <row r="142" spans="1:11" ht="14.4" customHeight="1" thickBot="1" x14ac:dyDescent="0.35">
      <c r="A142" s="398" t="s">
        <v>390</v>
      </c>
      <c r="B142" s="376">
        <v>0</v>
      </c>
      <c r="C142" s="376">
        <v>0</v>
      </c>
      <c r="D142" s="377">
        <v>0</v>
      </c>
      <c r="E142" s="378">
        <v>1</v>
      </c>
      <c r="F142" s="376">
        <v>0</v>
      </c>
      <c r="G142" s="377">
        <v>0</v>
      </c>
      <c r="H142" s="379">
        <v>0</v>
      </c>
      <c r="I142" s="376">
        <v>16.234999999999999</v>
      </c>
      <c r="J142" s="377">
        <v>16.234999999999999</v>
      </c>
      <c r="K142" s="387" t="s">
        <v>267</v>
      </c>
    </row>
    <row r="143" spans="1:11" ht="14.4" customHeight="1" thickBot="1" x14ac:dyDescent="0.35">
      <c r="A143" s="396" t="s">
        <v>391</v>
      </c>
      <c r="B143" s="376">
        <v>19</v>
      </c>
      <c r="C143" s="376">
        <v>153.21379999999999</v>
      </c>
      <c r="D143" s="377">
        <v>134.21379999999999</v>
      </c>
      <c r="E143" s="378">
        <v>8.063884210526</v>
      </c>
      <c r="F143" s="376">
        <v>0</v>
      </c>
      <c r="G143" s="377">
        <v>0</v>
      </c>
      <c r="H143" s="379">
        <v>2.36</v>
      </c>
      <c r="I143" s="376">
        <v>158.14306999999999</v>
      </c>
      <c r="J143" s="377">
        <v>158.14306999999999</v>
      </c>
      <c r="K143" s="387" t="s">
        <v>256</v>
      </c>
    </row>
    <row r="144" spans="1:11" ht="14.4" customHeight="1" thickBot="1" x14ac:dyDescent="0.35">
      <c r="A144" s="397" t="s">
        <v>392</v>
      </c>
      <c r="B144" s="381">
        <v>19</v>
      </c>
      <c r="C144" s="381">
        <v>65.015799999999999</v>
      </c>
      <c r="D144" s="382">
        <v>46.015799999999999</v>
      </c>
      <c r="E144" s="388">
        <v>3.4218842105260001</v>
      </c>
      <c r="F144" s="381">
        <v>0</v>
      </c>
      <c r="G144" s="382">
        <v>0</v>
      </c>
      <c r="H144" s="384">
        <v>0</v>
      </c>
      <c r="I144" s="381">
        <v>0</v>
      </c>
      <c r="J144" s="382">
        <v>0</v>
      </c>
      <c r="K144" s="389">
        <v>0</v>
      </c>
    </row>
    <row r="145" spans="1:11" ht="14.4" customHeight="1" thickBot="1" x14ac:dyDescent="0.35">
      <c r="A145" s="398" t="s">
        <v>393</v>
      </c>
      <c r="B145" s="376">
        <v>19</v>
      </c>
      <c r="C145" s="376">
        <v>65.015799999999999</v>
      </c>
      <c r="D145" s="377">
        <v>46.015799999999999</v>
      </c>
      <c r="E145" s="378">
        <v>3.4218842105260001</v>
      </c>
      <c r="F145" s="376">
        <v>0</v>
      </c>
      <c r="G145" s="377">
        <v>0</v>
      </c>
      <c r="H145" s="379">
        <v>0</v>
      </c>
      <c r="I145" s="376">
        <v>0</v>
      </c>
      <c r="J145" s="377">
        <v>0</v>
      </c>
      <c r="K145" s="380">
        <v>0</v>
      </c>
    </row>
    <row r="146" spans="1:11" ht="14.4" customHeight="1" thickBot="1" x14ac:dyDescent="0.35">
      <c r="A146" s="397" t="s">
        <v>394</v>
      </c>
      <c r="B146" s="381">
        <v>0</v>
      </c>
      <c r="C146" s="381">
        <v>21.969000000000001</v>
      </c>
      <c r="D146" s="382">
        <v>21.969000000000001</v>
      </c>
      <c r="E146" s="383" t="s">
        <v>256</v>
      </c>
      <c r="F146" s="381">
        <v>0</v>
      </c>
      <c r="G146" s="382">
        <v>0</v>
      </c>
      <c r="H146" s="384">
        <v>0</v>
      </c>
      <c r="I146" s="381">
        <v>41.79759</v>
      </c>
      <c r="J146" s="382">
        <v>41.79759</v>
      </c>
      <c r="K146" s="385" t="s">
        <v>256</v>
      </c>
    </row>
    <row r="147" spans="1:11" ht="14.4" customHeight="1" thickBot="1" x14ac:dyDescent="0.35">
      <c r="A147" s="398" t="s">
        <v>395</v>
      </c>
      <c r="B147" s="376">
        <v>0</v>
      </c>
      <c r="C147" s="376">
        <v>0</v>
      </c>
      <c r="D147" s="377">
        <v>0</v>
      </c>
      <c r="E147" s="378">
        <v>1</v>
      </c>
      <c r="F147" s="376">
        <v>0</v>
      </c>
      <c r="G147" s="377">
        <v>0</v>
      </c>
      <c r="H147" s="379">
        <v>0</v>
      </c>
      <c r="I147" s="376">
        <v>7.8570900000000004</v>
      </c>
      <c r="J147" s="377">
        <v>7.8570900000000004</v>
      </c>
      <c r="K147" s="387" t="s">
        <v>267</v>
      </c>
    </row>
    <row r="148" spans="1:11" ht="14.4" customHeight="1" thickBot="1" x14ac:dyDescent="0.35">
      <c r="A148" s="398" t="s">
        <v>396</v>
      </c>
      <c r="B148" s="376">
        <v>0</v>
      </c>
      <c r="C148" s="376">
        <v>16.329000000000001</v>
      </c>
      <c r="D148" s="377">
        <v>16.329000000000001</v>
      </c>
      <c r="E148" s="386" t="s">
        <v>256</v>
      </c>
      <c r="F148" s="376">
        <v>0</v>
      </c>
      <c r="G148" s="377">
        <v>0</v>
      </c>
      <c r="H148" s="379">
        <v>0</v>
      </c>
      <c r="I148" s="376">
        <v>33.9405</v>
      </c>
      <c r="J148" s="377">
        <v>33.9405</v>
      </c>
      <c r="K148" s="387" t="s">
        <v>256</v>
      </c>
    </row>
    <row r="149" spans="1:11" ht="14.4" customHeight="1" thickBot="1" x14ac:dyDescent="0.35">
      <c r="A149" s="398" t="s">
        <v>397</v>
      </c>
      <c r="B149" s="376">
        <v>0</v>
      </c>
      <c r="C149" s="376">
        <v>5.64</v>
      </c>
      <c r="D149" s="377">
        <v>5.64</v>
      </c>
      <c r="E149" s="386" t="s">
        <v>267</v>
      </c>
      <c r="F149" s="376">
        <v>0</v>
      </c>
      <c r="G149" s="377">
        <v>0</v>
      </c>
      <c r="H149" s="379">
        <v>0</v>
      </c>
      <c r="I149" s="376">
        <v>0</v>
      </c>
      <c r="J149" s="377">
        <v>0</v>
      </c>
      <c r="K149" s="387" t="s">
        <v>256</v>
      </c>
    </row>
    <row r="150" spans="1:11" ht="14.4" customHeight="1" thickBot="1" x14ac:dyDescent="0.35">
      <c r="A150" s="397" t="s">
        <v>398</v>
      </c>
      <c r="B150" s="381">
        <v>0</v>
      </c>
      <c r="C150" s="381">
        <v>28.706900000000001</v>
      </c>
      <c r="D150" s="382">
        <v>28.706900000000001</v>
      </c>
      <c r="E150" s="383" t="s">
        <v>256</v>
      </c>
      <c r="F150" s="381">
        <v>0</v>
      </c>
      <c r="G150" s="382">
        <v>0</v>
      </c>
      <c r="H150" s="384">
        <v>2.36</v>
      </c>
      <c r="I150" s="381">
        <v>116.34547999999999</v>
      </c>
      <c r="J150" s="382">
        <v>116.34547999999999</v>
      </c>
      <c r="K150" s="385" t="s">
        <v>267</v>
      </c>
    </row>
    <row r="151" spans="1:11" ht="14.4" customHeight="1" thickBot="1" x14ac:dyDescent="0.35">
      <c r="A151" s="398" t="s">
        <v>399</v>
      </c>
      <c r="B151" s="376">
        <v>0</v>
      </c>
      <c r="C151" s="376">
        <v>28.706900000000001</v>
      </c>
      <c r="D151" s="377">
        <v>28.706900000000001</v>
      </c>
      <c r="E151" s="386" t="s">
        <v>256</v>
      </c>
      <c r="F151" s="376">
        <v>0</v>
      </c>
      <c r="G151" s="377">
        <v>0</v>
      </c>
      <c r="H151" s="379">
        <v>2.36</v>
      </c>
      <c r="I151" s="376">
        <v>116.34547999999999</v>
      </c>
      <c r="J151" s="377">
        <v>116.34547999999999</v>
      </c>
      <c r="K151" s="387" t="s">
        <v>267</v>
      </c>
    </row>
    <row r="152" spans="1:11" ht="14.4" customHeight="1" thickBot="1" x14ac:dyDescent="0.35">
      <c r="A152" s="397" t="s">
        <v>400</v>
      </c>
      <c r="B152" s="381">
        <v>0</v>
      </c>
      <c r="C152" s="381">
        <v>37.522100000000002</v>
      </c>
      <c r="D152" s="382">
        <v>37.522100000000002</v>
      </c>
      <c r="E152" s="383" t="s">
        <v>256</v>
      </c>
      <c r="F152" s="381">
        <v>0</v>
      </c>
      <c r="G152" s="382">
        <v>0</v>
      </c>
      <c r="H152" s="384">
        <v>0</v>
      </c>
      <c r="I152" s="381">
        <v>0</v>
      </c>
      <c r="J152" s="382">
        <v>0</v>
      </c>
      <c r="K152" s="385" t="s">
        <v>256</v>
      </c>
    </row>
    <row r="153" spans="1:11" ht="14.4" customHeight="1" thickBot="1" x14ac:dyDescent="0.35">
      <c r="A153" s="398" t="s">
        <v>401</v>
      </c>
      <c r="B153" s="376">
        <v>0</v>
      </c>
      <c r="C153" s="376">
        <v>37.522100000000002</v>
      </c>
      <c r="D153" s="377">
        <v>37.522100000000002</v>
      </c>
      <c r="E153" s="386" t="s">
        <v>256</v>
      </c>
      <c r="F153" s="376">
        <v>0</v>
      </c>
      <c r="G153" s="377">
        <v>0</v>
      </c>
      <c r="H153" s="379">
        <v>0</v>
      </c>
      <c r="I153" s="376">
        <v>0</v>
      </c>
      <c r="J153" s="377">
        <v>0</v>
      </c>
      <c r="K153" s="387" t="s">
        <v>256</v>
      </c>
    </row>
    <row r="154" spans="1:11" ht="14.4" customHeight="1" thickBot="1" x14ac:dyDescent="0.35">
      <c r="A154" s="395" t="s">
        <v>402</v>
      </c>
      <c r="B154" s="376">
        <v>0</v>
      </c>
      <c r="C154" s="376">
        <v>8.8500000000000002E-3</v>
      </c>
      <c r="D154" s="377">
        <v>8.8500000000000002E-3</v>
      </c>
      <c r="E154" s="386" t="s">
        <v>267</v>
      </c>
      <c r="F154" s="376">
        <v>0</v>
      </c>
      <c r="G154" s="377">
        <v>0</v>
      </c>
      <c r="H154" s="379">
        <v>0</v>
      </c>
      <c r="I154" s="376">
        <v>0</v>
      </c>
      <c r="J154" s="377">
        <v>0</v>
      </c>
      <c r="K154" s="387" t="s">
        <v>256</v>
      </c>
    </row>
    <row r="155" spans="1:11" ht="14.4" customHeight="1" thickBot="1" x14ac:dyDescent="0.35">
      <c r="A155" s="396" t="s">
        <v>403</v>
      </c>
      <c r="B155" s="376">
        <v>0</v>
      </c>
      <c r="C155" s="376">
        <v>8.8500000000000002E-3</v>
      </c>
      <c r="D155" s="377">
        <v>8.8500000000000002E-3</v>
      </c>
      <c r="E155" s="386" t="s">
        <v>267</v>
      </c>
      <c r="F155" s="376">
        <v>0</v>
      </c>
      <c r="G155" s="377">
        <v>0</v>
      </c>
      <c r="H155" s="379">
        <v>0</v>
      </c>
      <c r="I155" s="376">
        <v>0</v>
      </c>
      <c r="J155" s="377">
        <v>0</v>
      </c>
      <c r="K155" s="387" t="s">
        <v>256</v>
      </c>
    </row>
    <row r="156" spans="1:11" ht="14.4" customHeight="1" thickBot="1" x14ac:dyDescent="0.35">
      <c r="A156" s="397" t="s">
        <v>404</v>
      </c>
      <c r="B156" s="381">
        <v>0</v>
      </c>
      <c r="C156" s="381">
        <v>8.8500000000000002E-3</v>
      </c>
      <c r="D156" s="382">
        <v>8.8500000000000002E-3</v>
      </c>
      <c r="E156" s="383" t="s">
        <v>267</v>
      </c>
      <c r="F156" s="381">
        <v>0</v>
      </c>
      <c r="G156" s="382">
        <v>0</v>
      </c>
      <c r="H156" s="384">
        <v>0</v>
      </c>
      <c r="I156" s="381">
        <v>0</v>
      </c>
      <c r="J156" s="382">
        <v>0</v>
      </c>
      <c r="K156" s="385" t="s">
        <v>256</v>
      </c>
    </row>
    <row r="157" spans="1:11" ht="14.4" customHeight="1" thickBot="1" x14ac:dyDescent="0.35">
      <c r="A157" s="398" t="s">
        <v>405</v>
      </c>
      <c r="B157" s="376">
        <v>0</v>
      </c>
      <c r="C157" s="376">
        <v>8.8500000000000002E-3</v>
      </c>
      <c r="D157" s="377">
        <v>8.8500000000000002E-3</v>
      </c>
      <c r="E157" s="386" t="s">
        <v>267</v>
      </c>
      <c r="F157" s="376">
        <v>0</v>
      </c>
      <c r="G157" s="377">
        <v>0</v>
      </c>
      <c r="H157" s="379">
        <v>0</v>
      </c>
      <c r="I157" s="376">
        <v>0</v>
      </c>
      <c r="J157" s="377">
        <v>0</v>
      </c>
      <c r="K157" s="387" t="s">
        <v>256</v>
      </c>
    </row>
    <row r="158" spans="1:11" ht="14.4" customHeight="1" thickBot="1" x14ac:dyDescent="0.35">
      <c r="A158" s="394" t="s">
        <v>406</v>
      </c>
      <c r="B158" s="376">
        <v>33782.800523264799</v>
      </c>
      <c r="C158" s="376">
        <v>32506.237649999999</v>
      </c>
      <c r="D158" s="377">
        <v>-1276.5628732648399</v>
      </c>
      <c r="E158" s="378">
        <v>0.96221263916800004</v>
      </c>
      <c r="F158" s="376">
        <v>31921.5512290064</v>
      </c>
      <c r="G158" s="377">
        <v>26601.2926908386</v>
      </c>
      <c r="H158" s="379">
        <v>2692.2004499999998</v>
      </c>
      <c r="I158" s="376">
        <v>24932.941589999999</v>
      </c>
      <c r="J158" s="377">
        <v>-1668.3511008386299</v>
      </c>
      <c r="K158" s="380">
        <v>0.78106923473500001</v>
      </c>
    </row>
    <row r="159" spans="1:11" ht="14.4" customHeight="1" thickBot="1" x14ac:dyDescent="0.35">
      <c r="A159" s="395" t="s">
        <v>407</v>
      </c>
      <c r="B159" s="376">
        <v>33527.243349538498</v>
      </c>
      <c r="C159" s="376">
        <v>32309.163680000001</v>
      </c>
      <c r="D159" s="377">
        <v>-1218.07966953852</v>
      </c>
      <c r="E159" s="378">
        <v>0.96366895849900003</v>
      </c>
      <c r="F159" s="376">
        <v>31753.5512290064</v>
      </c>
      <c r="G159" s="377">
        <v>26461.2926908386</v>
      </c>
      <c r="H159" s="379">
        <v>2662.3223600000001</v>
      </c>
      <c r="I159" s="376">
        <v>24614.146079999999</v>
      </c>
      <c r="J159" s="377">
        <v>-1847.1466108386401</v>
      </c>
      <c r="K159" s="380">
        <v>0.77516199377100004</v>
      </c>
    </row>
    <row r="160" spans="1:11" ht="14.4" customHeight="1" thickBot="1" x14ac:dyDescent="0.35">
      <c r="A160" s="396" t="s">
        <v>408</v>
      </c>
      <c r="B160" s="376">
        <v>33527.243349538498</v>
      </c>
      <c r="C160" s="376">
        <v>32309.163680000001</v>
      </c>
      <c r="D160" s="377">
        <v>-1218.07966953852</v>
      </c>
      <c r="E160" s="378">
        <v>0.96366895849900003</v>
      </c>
      <c r="F160" s="376">
        <v>31753.5512290064</v>
      </c>
      <c r="G160" s="377">
        <v>26461.2926908386</v>
      </c>
      <c r="H160" s="379">
        <v>2662.3223600000001</v>
      </c>
      <c r="I160" s="376">
        <v>24614.146079999999</v>
      </c>
      <c r="J160" s="377">
        <v>-1847.1466108386401</v>
      </c>
      <c r="K160" s="380">
        <v>0.77516199377100004</v>
      </c>
    </row>
    <row r="161" spans="1:11" ht="14.4" customHeight="1" thickBot="1" x14ac:dyDescent="0.35">
      <c r="A161" s="397" t="s">
        <v>409</v>
      </c>
      <c r="B161" s="381">
        <v>11734.3418363575</v>
      </c>
      <c r="C161" s="381">
        <v>11082.390460000001</v>
      </c>
      <c r="D161" s="382">
        <v>-651.95137635754099</v>
      </c>
      <c r="E161" s="388">
        <v>0.94444073766900005</v>
      </c>
      <c r="F161" s="381">
        <v>10546.551229000799</v>
      </c>
      <c r="G161" s="382">
        <v>8788.7926908340196</v>
      </c>
      <c r="H161" s="384">
        <v>731.86955999999998</v>
      </c>
      <c r="I161" s="381">
        <v>8057.2872799999996</v>
      </c>
      <c r="J161" s="382">
        <v>-731.50541083402095</v>
      </c>
      <c r="K161" s="389">
        <v>0.76397365404499995</v>
      </c>
    </row>
    <row r="162" spans="1:11" ht="14.4" customHeight="1" thickBot="1" x14ac:dyDescent="0.35">
      <c r="A162" s="398" t="s">
        <v>410</v>
      </c>
      <c r="B162" s="376">
        <v>3.1923837013030001</v>
      </c>
      <c r="C162" s="376">
        <v>5.0412699999999999</v>
      </c>
      <c r="D162" s="377">
        <v>1.848886298696</v>
      </c>
      <c r="E162" s="378">
        <v>1.579155412283</v>
      </c>
      <c r="F162" s="376">
        <v>4.5512290008239997</v>
      </c>
      <c r="G162" s="377">
        <v>3.7926908340200001</v>
      </c>
      <c r="H162" s="379">
        <v>0.33056000000000002</v>
      </c>
      <c r="I162" s="376">
        <v>1.98336</v>
      </c>
      <c r="J162" s="377">
        <v>-1.8093308340200001</v>
      </c>
      <c r="K162" s="380">
        <v>0.43578558662700001</v>
      </c>
    </row>
    <row r="163" spans="1:11" ht="14.4" customHeight="1" thickBot="1" x14ac:dyDescent="0.35">
      <c r="A163" s="398" t="s">
        <v>411</v>
      </c>
      <c r="B163" s="376">
        <v>0.73648338506800004</v>
      </c>
      <c r="C163" s="376">
        <v>0</v>
      </c>
      <c r="D163" s="377">
        <v>-0.73648338506800004</v>
      </c>
      <c r="E163" s="378">
        <v>0</v>
      </c>
      <c r="F163" s="376">
        <v>0</v>
      </c>
      <c r="G163" s="377">
        <v>0</v>
      </c>
      <c r="H163" s="379">
        <v>0</v>
      </c>
      <c r="I163" s="376">
        <v>0</v>
      </c>
      <c r="J163" s="377">
        <v>0</v>
      </c>
      <c r="K163" s="380">
        <v>0</v>
      </c>
    </row>
    <row r="164" spans="1:11" ht="14.4" customHeight="1" thickBot="1" x14ac:dyDescent="0.35">
      <c r="A164" s="398" t="s">
        <v>412</v>
      </c>
      <c r="B164" s="376">
        <v>66.763750633843998</v>
      </c>
      <c r="C164" s="376">
        <v>45.534999999999997</v>
      </c>
      <c r="D164" s="377">
        <v>-21.228750633844001</v>
      </c>
      <c r="E164" s="378">
        <v>0.68203178472799997</v>
      </c>
      <c r="F164" s="376">
        <v>46</v>
      </c>
      <c r="G164" s="377">
        <v>38.333333333333002</v>
      </c>
      <c r="H164" s="379">
        <v>2.5299999999999998</v>
      </c>
      <c r="I164" s="376">
        <v>33.497999999999998</v>
      </c>
      <c r="J164" s="377">
        <v>-4.8353333333329998</v>
      </c>
      <c r="K164" s="380">
        <v>0.72821739130399998</v>
      </c>
    </row>
    <row r="165" spans="1:11" ht="14.4" customHeight="1" thickBot="1" x14ac:dyDescent="0.35">
      <c r="A165" s="398" t="s">
        <v>413</v>
      </c>
      <c r="B165" s="376">
        <v>11663.6492186373</v>
      </c>
      <c r="C165" s="376">
        <v>11031.814189999999</v>
      </c>
      <c r="D165" s="377">
        <v>-631.83502863732394</v>
      </c>
      <c r="E165" s="378">
        <v>0.94582870105200001</v>
      </c>
      <c r="F165" s="376">
        <v>10496</v>
      </c>
      <c r="G165" s="377">
        <v>8746.6666666666697</v>
      </c>
      <c r="H165" s="379">
        <v>729.00900000000001</v>
      </c>
      <c r="I165" s="376">
        <v>8021.8059199999998</v>
      </c>
      <c r="J165" s="377">
        <v>-724.860746666669</v>
      </c>
      <c r="K165" s="380">
        <v>0.76427266768199997</v>
      </c>
    </row>
    <row r="166" spans="1:11" ht="14.4" customHeight="1" thickBot="1" x14ac:dyDescent="0.35">
      <c r="A166" s="397" t="s">
        <v>414</v>
      </c>
      <c r="B166" s="381">
        <v>7046</v>
      </c>
      <c r="C166" s="381">
        <v>6525.1779999999999</v>
      </c>
      <c r="D166" s="382">
        <v>-520.82199999999705</v>
      </c>
      <c r="E166" s="388">
        <v>0.92608260005599996</v>
      </c>
      <c r="F166" s="381">
        <v>6527.0000000017099</v>
      </c>
      <c r="G166" s="382">
        <v>5439.1666666680903</v>
      </c>
      <c r="H166" s="384">
        <v>528.67600000000004</v>
      </c>
      <c r="I166" s="381">
        <v>4972.1260000000002</v>
      </c>
      <c r="J166" s="382">
        <v>-467.04066666808802</v>
      </c>
      <c r="K166" s="389">
        <v>0.76177815229000001</v>
      </c>
    </row>
    <row r="167" spans="1:11" ht="14.4" customHeight="1" thickBot="1" x14ac:dyDescent="0.35">
      <c r="A167" s="398" t="s">
        <v>415</v>
      </c>
      <c r="B167" s="376">
        <v>7046</v>
      </c>
      <c r="C167" s="376">
        <v>6517.183</v>
      </c>
      <c r="D167" s="377">
        <v>-528.81699999999705</v>
      </c>
      <c r="E167" s="378">
        <v>0.92494791370899998</v>
      </c>
      <c r="F167" s="376">
        <v>6512.0000000016998</v>
      </c>
      <c r="G167" s="377">
        <v>5426.6666666680803</v>
      </c>
      <c r="H167" s="379">
        <v>528.57600000000002</v>
      </c>
      <c r="I167" s="376">
        <v>4968.201</v>
      </c>
      <c r="J167" s="377">
        <v>-458.46566666808502</v>
      </c>
      <c r="K167" s="380">
        <v>0.76293012899199997</v>
      </c>
    </row>
    <row r="168" spans="1:11" ht="14.4" customHeight="1" thickBot="1" x14ac:dyDescent="0.35">
      <c r="A168" s="398" t="s">
        <v>416</v>
      </c>
      <c r="B168" s="376">
        <v>0</v>
      </c>
      <c r="C168" s="376">
        <v>7.9950000000000001</v>
      </c>
      <c r="D168" s="377">
        <v>7.9950000000000001</v>
      </c>
      <c r="E168" s="386" t="s">
        <v>256</v>
      </c>
      <c r="F168" s="376">
        <v>15.000000000003</v>
      </c>
      <c r="G168" s="377">
        <v>12.500000000003</v>
      </c>
      <c r="H168" s="379">
        <v>0.1</v>
      </c>
      <c r="I168" s="376">
        <v>3.9249999999999998</v>
      </c>
      <c r="J168" s="377">
        <v>-8.5750000000029996</v>
      </c>
      <c r="K168" s="380">
        <v>0.26166666666600003</v>
      </c>
    </row>
    <row r="169" spans="1:11" ht="14.4" customHeight="1" thickBot="1" x14ac:dyDescent="0.35">
      <c r="A169" s="397" t="s">
        <v>417</v>
      </c>
      <c r="B169" s="381">
        <v>14746.901513180999</v>
      </c>
      <c r="C169" s="381">
        <v>14701.595219999999</v>
      </c>
      <c r="D169" s="382">
        <v>-45.306293180981001</v>
      </c>
      <c r="E169" s="388">
        <v>0.99692774152300001</v>
      </c>
      <c r="F169" s="381">
        <v>14680.0000000038</v>
      </c>
      <c r="G169" s="382">
        <v>12233.333333336501</v>
      </c>
      <c r="H169" s="384">
        <v>1401.7768000000001</v>
      </c>
      <c r="I169" s="381">
        <v>11584.7328</v>
      </c>
      <c r="J169" s="382">
        <v>-648.60053333652695</v>
      </c>
      <c r="K169" s="389">
        <v>0.78915073569399996</v>
      </c>
    </row>
    <row r="170" spans="1:11" ht="14.4" customHeight="1" thickBot="1" x14ac:dyDescent="0.35">
      <c r="A170" s="398" t="s">
        <v>418</v>
      </c>
      <c r="B170" s="376">
        <v>14746.901513180999</v>
      </c>
      <c r="C170" s="376">
        <v>14701.595219999999</v>
      </c>
      <c r="D170" s="377">
        <v>-45.306293180981001</v>
      </c>
      <c r="E170" s="378">
        <v>0.99692774152300001</v>
      </c>
      <c r="F170" s="376">
        <v>14680.0000000038</v>
      </c>
      <c r="G170" s="377">
        <v>12233.333333336501</v>
      </c>
      <c r="H170" s="379">
        <v>1401.7768000000001</v>
      </c>
      <c r="I170" s="376">
        <v>11584.7328</v>
      </c>
      <c r="J170" s="377">
        <v>-648.60053333652695</v>
      </c>
      <c r="K170" s="380">
        <v>0.78915073569399996</v>
      </c>
    </row>
    <row r="171" spans="1:11" ht="14.4" customHeight="1" thickBot="1" x14ac:dyDescent="0.35">
      <c r="A171" s="395" t="s">
        <v>419</v>
      </c>
      <c r="B171" s="376">
        <v>255.55717372632401</v>
      </c>
      <c r="C171" s="376">
        <v>197.07397</v>
      </c>
      <c r="D171" s="377">
        <v>-58.483203726322998</v>
      </c>
      <c r="E171" s="378">
        <v>0.77115413011599998</v>
      </c>
      <c r="F171" s="376">
        <v>168</v>
      </c>
      <c r="G171" s="377">
        <v>140</v>
      </c>
      <c r="H171" s="379">
        <v>29.87809</v>
      </c>
      <c r="I171" s="376">
        <v>318.79550999999998</v>
      </c>
      <c r="J171" s="377">
        <v>178.79551000000001</v>
      </c>
      <c r="K171" s="380">
        <v>1.8975923214279999</v>
      </c>
    </row>
    <row r="172" spans="1:11" ht="14.4" customHeight="1" thickBot="1" x14ac:dyDescent="0.35">
      <c r="A172" s="401" t="s">
        <v>420</v>
      </c>
      <c r="B172" s="381">
        <v>255.55717372632401</v>
      </c>
      <c r="C172" s="381">
        <v>197.07397</v>
      </c>
      <c r="D172" s="382">
        <v>-58.483203726322998</v>
      </c>
      <c r="E172" s="388">
        <v>0.77115413011599998</v>
      </c>
      <c r="F172" s="381">
        <v>168</v>
      </c>
      <c r="G172" s="382">
        <v>140</v>
      </c>
      <c r="H172" s="384">
        <v>29.87809</v>
      </c>
      <c r="I172" s="381">
        <v>318.79550999999998</v>
      </c>
      <c r="J172" s="382">
        <v>178.79551000000001</v>
      </c>
      <c r="K172" s="389">
        <v>1.8975923214279999</v>
      </c>
    </row>
    <row r="173" spans="1:11" ht="14.4" customHeight="1" thickBot="1" x14ac:dyDescent="0.35">
      <c r="A173" s="397" t="s">
        <v>421</v>
      </c>
      <c r="B173" s="381">
        <v>0</v>
      </c>
      <c r="C173" s="381">
        <v>6.0999999999999997E-4</v>
      </c>
      <c r="D173" s="382">
        <v>6.0999999999999997E-4</v>
      </c>
      <c r="E173" s="383" t="s">
        <v>256</v>
      </c>
      <c r="F173" s="381">
        <v>0</v>
      </c>
      <c r="G173" s="382">
        <v>0</v>
      </c>
      <c r="H173" s="384">
        <v>6.9999999999999994E-5</v>
      </c>
      <c r="I173" s="381">
        <v>5.9999999999999995E-4</v>
      </c>
      <c r="J173" s="382">
        <v>5.9999999999999995E-4</v>
      </c>
      <c r="K173" s="385" t="s">
        <v>256</v>
      </c>
    </row>
    <row r="174" spans="1:11" ht="14.4" customHeight="1" thickBot="1" x14ac:dyDescent="0.35">
      <c r="A174" s="398" t="s">
        <v>422</v>
      </c>
      <c r="B174" s="376">
        <v>0</v>
      </c>
      <c r="C174" s="376">
        <v>6.0999999999999997E-4</v>
      </c>
      <c r="D174" s="377">
        <v>6.0999999999999997E-4</v>
      </c>
      <c r="E174" s="386" t="s">
        <v>256</v>
      </c>
      <c r="F174" s="376">
        <v>0</v>
      </c>
      <c r="G174" s="377">
        <v>0</v>
      </c>
      <c r="H174" s="379">
        <v>6.9999999999999994E-5</v>
      </c>
      <c r="I174" s="376">
        <v>5.9999999999999995E-4</v>
      </c>
      <c r="J174" s="377">
        <v>5.9999999999999995E-4</v>
      </c>
      <c r="K174" s="387" t="s">
        <v>256</v>
      </c>
    </row>
    <row r="175" spans="1:11" ht="14.4" customHeight="1" thickBot="1" x14ac:dyDescent="0.35">
      <c r="A175" s="397" t="s">
        <v>423</v>
      </c>
      <c r="B175" s="381">
        <v>255.55717372632401</v>
      </c>
      <c r="C175" s="381">
        <v>197.07336000000001</v>
      </c>
      <c r="D175" s="382">
        <v>-58.483813726323</v>
      </c>
      <c r="E175" s="388">
        <v>0.77115174317500002</v>
      </c>
      <c r="F175" s="381">
        <v>168</v>
      </c>
      <c r="G175" s="382">
        <v>140</v>
      </c>
      <c r="H175" s="384">
        <v>29.878019999999999</v>
      </c>
      <c r="I175" s="381">
        <v>318.79491000000002</v>
      </c>
      <c r="J175" s="382">
        <v>178.79490999999999</v>
      </c>
      <c r="K175" s="389">
        <v>1.8975887499999999</v>
      </c>
    </row>
    <row r="176" spans="1:11" ht="14.4" customHeight="1" thickBot="1" x14ac:dyDescent="0.35">
      <c r="A176" s="398" t="s">
        <v>424</v>
      </c>
      <c r="B176" s="376">
        <v>0</v>
      </c>
      <c r="C176" s="376">
        <v>2.016</v>
      </c>
      <c r="D176" s="377">
        <v>2.016</v>
      </c>
      <c r="E176" s="386" t="s">
        <v>256</v>
      </c>
      <c r="F176" s="376">
        <v>0</v>
      </c>
      <c r="G176" s="377">
        <v>0</v>
      </c>
      <c r="H176" s="379">
        <v>0.126</v>
      </c>
      <c r="I176" s="376">
        <v>1.44</v>
      </c>
      <c r="J176" s="377">
        <v>1.44</v>
      </c>
      <c r="K176" s="387" t="s">
        <v>256</v>
      </c>
    </row>
    <row r="177" spans="1:11" ht="14.4" customHeight="1" thickBot="1" x14ac:dyDescent="0.35">
      <c r="A177" s="398" t="s">
        <v>425</v>
      </c>
      <c r="B177" s="376">
        <v>255.55717372632401</v>
      </c>
      <c r="C177" s="376">
        <v>195.04098999999999</v>
      </c>
      <c r="D177" s="377">
        <v>-60.516183726323</v>
      </c>
      <c r="E177" s="378">
        <v>0.76319904135700001</v>
      </c>
      <c r="F177" s="376">
        <v>168</v>
      </c>
      <c r="G177" s="377">
        <v>140</v>
      </c>
      <c r="H177" s="379">
        <v>29.752020000000002</v>
      </c>
      <c r="I177" s="376">
        <v>317.35491000000002</v>
      </c>
      <c r="J177" s="377">
        <v>177.35490999999999</v>
      </c>
      <c r="K177" s="380">
        <v>1.8890173214279999</v>
      </c>
    </row>
    <row r="178" spans="1:11" ht="14.4" customHeight="1" thickBot="1" x14ac:dyDescent="0.35">
      <c r="A178" s="398" t="s">
        <v>426</v>
      </c>
      <c r="B178" s="376">
        <v>0</v>
      </c>
      <c r="C178" s="376">
        <v>1.6369999999999999E-2</v>
      </c>
      <c r="D178" s="377">
        <v>1.6369999999999999E-2</v>
      </c>
      <c r="E178" s="386" t="s">
        <v>256</v>
      </c>
      <c r="F178" s="376">
        <v>0</v>
      </c>
      <c r="G178" s="377">
        <v>0</v>
      </c>
      <c r="H178" s="379">
        <v>0</v>
      </c>
      <c r="I178" s="376">
        <v>0</v>
      </c>
      <c r="J178" s="377">
        <v>0</v>
      </c>
      <c r="K178" s="387" t="s">
        <v>256</v>
      </c>
    </row>
    <row r="179" spans="1:11" ht="14.4" customHeight="1" thickBot="1" x14ac:dyDescent="0.35">
      <c r="A179" s="394" t="s">
        <v>427</v>
      </c>
      <c r="B179" s="376">
        <v>4520.0082222852297</v>
      </c>
      <c r="C179" s="376">
        <v>4225.86114</v>
      </c>
      <c r="D179" s="377">
        <v>-294.14708228522699</v>
      </c>
      <c r="E179" s="378">
        <v>0.93492333026399999</v>
      </c>
      <c r="F179" s="376">
        <v>3582.4806220491801</v>
      </c>
      <c r="G179" s="377">
        <v>2985.4005183743202</v>
      </c>
      <c r="H179" s="379">
        <v>275.51832000000002</v>
      </c>
      <c r="I179" s="376">
        <v>2802.8682899999999</v>
      </c>
      <c r="J179" s="377">
        <v>-182.532228374315</v>
      </c>
      <c r="K179" s="380">
        <v>0.78238198212400001</v>
      </c>
    </row>
    <row r="180" spans="1:11" ht="14.4" customHeight="1" thickBot="1" x14ac:dyDescent="0.35">
      <c r="A180" s="399" t="s">
        <v>428</v>
      </c>
      <c r="B180" s="381">
        <v>4520.0082222852297</v>
      </c>
      <c r="C180" s="381">
        <v>4225.86114</v>
      </c>
      <c r="D180" s="382">
        <v>-294.14708228522699</v>
      </c>
      <c r="E180" s="388">
        <v>0.93492333026399999</v>
      </c>
      <c r="F180" s="381">
        <v>3582.4806220491801</v>
      </c>
      <c r="G180" s="382">
        <v>2985.4005183743202</v>
      </c>
      <c r="H180" s="384">
        <v>275.51832000000002</v>
      </c>
      <c r="I180" s="381">
        <v>2802.8682899999999</v>
      </c>
      <c r="J180" s="382">
        <v>-182.532228374315</v>
      </c>
      <c r="K180" s="389">
        <v>0.78238198212400001</v>
      </c>
    </row>
    <row r="181" spans="1:11" ht="14.4" customHeight="1" thickBot="1" x14ac:dyDescent="0.35">
      <c r="A181" s="401" t="s">
        <v>41</v>
      </c>
      <c r="B181" s="381">
        <v>4520.0082222852297</v>
      </c>
      <c r="C181" s="381">
        <v>4225.86114</v>
      </c>
      <c r="D181" s="382">
        <v>-294.14708228522699</v>
      </c>
      <c r="E181" s="388">
        <v>0.93492333026399999</v>
      </c>
      <c r="F181" s="381">
        <v>3582.4806220491801</v>
      </c>
      <c r="G181" s="382">
        <v>2985.4005183743202</v>
      </c>
      <c r="H181" s="384">
        <v>275.51832000000002</v>
      </c>
      <c r="I181" s="381">
        <v>2802.8682899999999</v>
      </c>
      <c r="J181" s="382">
        <v>-182.532228374315</v>
      </c>
      <c r="K181" s="389">
        <v>0.78238198212400001</v>
      </c>
    </row>
    <row r="182" spans="1:11" ht="14.4" customHeight="1" thickBot="1" x14ac:dyDescent="0.35">
      <c r="A182" s="397" t="s">
        <v>429</v>
      </c>
      <c r="B182" s="381">
        <v>65</v>
      </c>
      <c r="C182" s="381">
        <v>46.53</v>
      </c>
      <c r="D182" s="382">
        <v>-18.47</v>
      </c>
      <c r="E182" s="388">
        <v>0.71584615384600003</v>
      </c>
      <c r="F182" s="381">
        <v>50.367290098094003</v>
      </c>
      <c r="G182" s="382">
        <v>41.972741748411998</v>
      </c>
      <c r="H182" s="384">
        <v>3.9180000000000001</v>
      </c>
      <c r="I182" s="381">
        <v>35.95675</v>
      </c>
      <c r="J182" s="382">
        <v>-6.0159917484119996</v>
      </c>
      <c r="K182" s="389">
        <v>0.71389089883400003</v>
      </c>
    </row>
    <row r="183" spans="1:11" ht="14.4" customHeight="1" thickBot="1" x14ac:dyDescent="0.35">
      <c r="A183" s="398" t="s">
        <v>430</v>
      </c>
      <c r="B183" s="376">
        <v>65</v>
      </c>
      <c r="C183" s="376">
        <v>46.53</v>
      </c>
      <c r="D183" s="377">
        <v>-18.47</v>
      </c>
      <c r="E183" s="378">
        <v>0.71584615384600003</v>
      </c>
      <c r="F183" s="376">
        <v>50.367290098094003</v>
      </c>
      <c r="G183" s="377">
        <v>41.972741748411998</v>
      </c>
      <c r="H183" s="379">
        <v>3.9180000000000001</v>
      </c>
      <c r="I183" s="376">
        <v>35.95675</v>
      </c>
      <c r="J183" s="377">
        <v>-6.0159917484119996</v>
      </c>
      <c r="K183" s="380">
        <v>0.71389089883400003</v>
      </c>
    </row>
    <row r="184" spans="1:11" ht="14.4" customHeight="1" thickBot="1" x14ac:dyDescent="0.35">
      <c r="A184" s="397" t="s">
        <v>431</v>
      </c>
      <c r="B184" s="381">
        <v>58.008222285228001</v>
      </c>
      <c r="C184" s="381">
        <v>63.968679999999999</v>
      </c>
      <c r="D184" s="382">
        <v>5.9604577147709996</v>
      </c>
      <c r="E184" s="388">
        <v>1.102751945844</v>
      </c>
      <c r="F184" s="381">
        <v>75.965065872737</v>
      </c>
      <c r="G184" s="382">
        <v>63.304221560614003</v>
      </c>
      <c r="H184" s="384">
        <v>7.2008200000000002</v>
      </c>
      <c r="I184" s="381">
        <v>62.871740000000003</v>
      </c>
      <c r="J184" s="382">
        <v>-0.432481560614</v>
      </c>
      <c r="K184" s="389">
        <v>0.82764016956499997</v>
      </c>
    </row>
    <row r="185" spans="1:11" ht="14.4" customHeight="1" thickBot="1" x14ac:dyDescent="0.35">
      <c r="A185" s="398" t="s">
        <v>432</v>
      </c>
      <c r="B185" s="376">
        <v>58.008222285228001</v>
      </c>
      <c r="C185" s="376">
        <v>63.968679999999999</v>
      </c>
      <c r="D185" s="377">
        <v>5.9604577147709996</v>
      </c>
      <c r="E185" s="378">
        <v>1.102751945844</v>
      </c>
      <c r="F185" s="376">
        <v>0</v>
      </c>
      <c r="G185" s="377">
        <v>0</v>
      </c>
      <c r="H185" s="379">
        <v>0</v>
      </c>
      <c r="I185" s="376">
        <v>8.1712414612411496E-14</v>
      </c>
      <c r="J185" s="377">
        <v>8.1712414612411496E-14</v>
      </c>
      <c r="K185" s="387" t="s">
        <v>256</v>
      </c>
    </row>
    <row r="186" spans="1:11" ht="14.4" customHeight="1" thickBot="1" x14ac:dyDescent="0.35">
      <c r="A186" s="398" t="s">
        <v>433</v>
      </c>
      <c r="B186" s="376">
        <v>0</v>
      </c>
      <c r="C186" s="376">
        <v>0</v>
      </c>
      <c r="D186" s="377">
        <v>0</v>
      </c>
      <c r="E186" s="378">
        <v>1</v>
      </c>
      <c r="F186" s="376">
        <v>29.767342166795999</v>
      </c>
      <c r="G186" s="377">
        <v>24.806118472329999</v>
      </c>
      <c r="H186" s="379">
        <v>4.4400000000000004</v>
      </c>
      <c r="I186" s="376">
        <v>27.75</v>
      </c>
      <c r="J186" s="377">
        <v>2.9438815276689998</v>
      </c>
      <c r="K186" s="380">
        <v>0.932229684615</v>
      </c>
    </row>
    <row r="187" spans="1:11" ht="14.4" customHeight="1" thickBot="1" x14ac:dyDescent="0.35">
      <c r="A187" s="398" t="s">
        <v>434</v>
      </c>
      <c r="B187" s="376">
        <v>0</v>
      </c>
      <c r="C187" s="376">
        <v>0</v>
      </c>
      <c r="D187" s="377">
        <v>0</v>
      </c>
      <c r="E187" s="378">
        <v>1</v>
      </c>
      <c r="F187" s="376">
        <v>2.4363767074039999</v>
      </c>
      <c r="G187" s="377">
        <v>2.0303139228370002</v>
      </c>
      <c r="H187" s="379">
        <v>0</v>
      </c>
      <c r="I187" s="376">
        <v>5.3600000000000002E-2</v>
      </c>
      <c r="J187" s="377">
        <v>-1.9767139228370001</v>
      </c>
      <c r="K187" s="380">
        <v>2.1999881971000002E-2</v>
      </c>
    </row>
    <row r="188" spans="1:11" ht="14.4" customHeight="1" thickBot="1" x14ac:dyDescent="0.35">
      <c r="A188" s="398" t="s">
        <v>435</v>
      </c>
      <c r="B188" s="376">
        <v>0</v>
      </c>
      <c r="C188" s="376">
        <v>0</v>
      </c>
      <c r="D188" s="377">
        <v>0</v>
      </c>
      <c r="E188" s="378">
        <v>1</v>
      </c>
      <c r="F188" s="376">
        <v>43.761346998534997</v>
      </c>
      <c r="G188" s="377">
        <v>36.467789165446</v>
      </c>
      <c r="H188" s="379">
        <v>2.7608199999999998</v>
      </c>
      <c r="I188" s="376">
        <v>35.06814</v>
      </c>
      <c r="J188" s="377">
        <v>-1.3996491654459999</v>
      </c>
      <c r="K188" s="380">
        <v>0.80134964769600003</v>
      </c>
    </row>
    <row r="189" spans="1:11" ht="14.4" customHeight="1" thickBot="1" x14ac:dyDescent="0.35">
      <c r="A189" s="397" t="s">
        <v>436</v>
      </c>
      <c r="B189" s="381">
        <v>344</v>
      </c>
      <c r="C189" s="381">
        <v>184.03585000000001</v>
      </c>
      <c r="D189" s="382">
        <v>-159.96414999999999</v>
      </c>
      <c r="E189" s="388">
        <v>0.53498793604600003</v>
      </c>
      <c r="F189" s="381">
        <v>181.31590996225</v>
      </c>
      <c r="G189" s="382">
        <v>151.096591635208</v>
      </c>
      <c r="H189" s="384">
        <v>15.379899999999999</v>
      </c>
      <c r="I189" s="381">
        <v>139.53858</v>
      </c>
      <c r="J189" s="382">
        <v>-11.558011635207</v>
      </c>
      <c r="K189" s="389">
        <v>0.76958817364099996</v>
      </c>
    </row>
    <row r="190" spans="1:11" ht="14.4" customHeight="1" thickBot="1" x14ac:dyDescent="0.35">
      <c r="A190" s="398" t="s">
        <v>437</v>
      </c>
      <c r="B190" s="376">
        <v>344</v>
      </c>
      <c r="C190" s="376">
        <v>184.03585000000001</v>
      </c>
      <c r="D190" s="377">
        <v>-159.96414999999999</v>
      </c>
      <c r="E190" s="378">
        <v>0.53498793604600003</v>
      </c>
      <c r="F190" s="376">
        <v>181.31590996225</v>
      </c>
      <c r="G190" s="377">
        <v>151.096591635208</v>
      </c>
      <c r="H190" s="379">
        <v>15.379899999999999</v>
      </c>
      <c r="I190" s="376">
        <v>139.53858</v>
      </c>
      <c r="J190" s="377">
        <v>-11.558011635207</v>
      </c>
      <c r="K190" s="380">
        <v>0.76958817364099996</v>
      </c>
    </row>
    <row r="191" spans="1:11" ht="14.4" customHeight="1" thickBot="1" x14ac:dyDescent="0.35">
      <c r="A191" s="397" t="s">
        <v>438</v>
      </c>
      <c r="B191" s="381">
        <v>0</v>
      </c>
      <c r="C191" s="381">
        <v>5.8920000000000003</v>
      </c>
      <c r="D191" s="382">
        <v>5.8920000000000003</v>
      </c>
      <c r="E191" s="383" t="s">
        <v>267</v>
      </c>
      <c r="F191" s="381">
        <v>0</v>
      </c>
      <c r="G191" s="382">
        <v>0</v>
      </c>
      <c r="H191" s="384">
        <v>1.226</v>
      </c>
      <c r="I191" s="381">
        <v>4.4720000000000004</v>
      </c>
      <c r="J191" s="382">
        <v>4.4720000000000004</v>
      </c>
      <c r="K191" s="385" t="s">
        <v>256</v>
      </c>
    </row>
    <row r="192" spans="1:11" ht="14.4" customHeight="1" thickBot="1" x14ac:dyDescent="0.35">
      <c r="A192" s="398" t="s">
        <v>439</v>
      </c>
      <c r="B192" s="376">
        <v>0</v>
      </c>
      <c r="C192" s="376">
        <v>5.8920000000000003</v>
      </c>
      <c r="D192" s="377">
        <v>5.8920000000000003</v>
      </c>
      <c r="E192" s="386" t="s">
        <v>267</v>
      </c>
      <c r="F192" s="376">
        <v>0</v>
      </c>
      <c r="G192" s="377">
        <v>0</v>
      </c>
      <c r="H192" s="379">
        <v>1.226</v>
      </c>
      <c r="I192" s="376">
        <v>4.4720000000000004</v>
      </c>
      <c r="J192" s="377">
        <v>4.4720000000000004</v>
      </c>
      <c r="K192" s="387" t="s">
        <v>256</v>
      </c>
    </row>
    <row r="193" spans="1:11" ht="14.4" customHeight="1" thickBot="1" x14ac:dyDescent="0.35">
      <c r="A193" s="397" t="s">
        <v>440</v>
      </c>
      <c r="B193" s="381">
        <v>919</v>
      </c>
      <c r="C193" s="381">
        <v>805.38708999999994</v>
      </c>
      <c r="D193" s="382">
        <v>-113.61291</v>
      </c>
      <c r="E193" s="388">
        <v>0.87637332970600001</v>
      </c>
      <c r="F193" s="381">
        <v>250</v>
      </c>
      <c r="G193" s="382">
        <v>208.333333333333</v>
      </c>
      <c r="H193" s="384">
        <v>17.237179999999999</v>
      </c>
      <c r="I193" s="381">
        <v>176.29900000000001</v>
      </c>
      <c r="J193" s="382">
        <v>-32.034333333333002</v>
      </c>
      <c r="K193" s="389">
        <v>0.70519600000000005</v>
      </c>
    </row>
    <row r="194" spans="1:11" ht="14.4" customHeight="1" thickBot="1" x14ac:dyDescent="0.35">
      <c r="A194" s="398" t="s">
        <v>441</v>
      </c>
      <c r="B194" s="376">
        <v>919</v>
      </c>
      <c r="C194" s="376">
        <v>805.38708999999994</v>
      </c>
      <c r="D194" s="377">
        <v>-113.61291</v>
      </c>
      <c r="E194" s="378">
        <v>0.87637332970600001</v>
      </c>
      <c r="F194" s="376">
        <v>250</v>
      </c>
      <c r="G194" s="377">
        <v>208.333333333333</v>
      </c>
      <c r="H194" s="379">
        <v>17.237179999999999</v>
      </c>
      <c r="I194" s="376">
        <v>176.29900000000001</v>
      </c>
      <c r="J194" s="377">
        <v>-32.034333333333002</v>
      </c>
      <c r="K194" s="380">
        <v>0.70519600000000005</v>
      </c>
    </row>
    <row r="195" spans="1:11" ht="14.4" customHeight="1" thickBot="1" x14ac:dyDescent="0.35">
      <c r="A195" s="397" t="s">
        <v>442</v>
      </c>
      <c r="B195" s="381">
        <v>3134</v>
      </c>
      <c r="C195" s="381">
        <v>3120.0475200000001</v>
      </c>
      <c r="D195" s="382">
        <v>-13.952479999998999</v>
      </c>
      <c r="E195" s="388">
        <v>0.995548028079</v>
      </c>
      <c r="F195" s="381">
        <v>3024.8323561161001</v>
      </c>
      <c r="G195" s="382">
        <v>2520.69363009675</v>
      </c>
      <c r="H195" s="384">
        <v>230.55642</v>
      </c>
      <c r="I195" s="381">
        <v>2383.7302199999999</v>
      </c>
      <c r="J195" s="382">
        <v>-136.96341009674799</v>
      </c>
      <c r="K195" s="389">
        <v>0.78805366359499995</v>
      </c>
    </row>
    <row r="196" spans="1:11" ht="14.4" customHeight="1" thickBot="1" x14ac:dyDescent="0.35">
      <c r="A196" s="398" t="s">
        <v>443</v>
      </c>
      <c r="B196" s="376">
        <v>3134</v>
      </c>
      <c r="C196" s="376">
        <v>3120.0475200000001</v>
      </c>
      <c r="D196" s="377">
        <v>-13.952479999998999</v>
      </c>
      <c r="E196" s="378">
        <v>0.995548028079</v>
      </c>
      <c r="F196" s="376">
        <v>3024.8323561161001</v>
      </c>
      <c r="G196" s="377">
        <v>2520.69363009675</v>
      </c>
      <c r="H196" s="379">
        <v>230.55642</v>
      </c>
      <c r="I196" s="376">
        <v>2383.7302199999999</v>
      </c>
      <c r="J196" s="377">
        <v>-136.96341009674799</v>
      </c>
      <c r="K196" s="380">
        <v>0.78805366359499995</v>
      </c>
    </row>
    <row r="197" spans="1:11" ht="14.4" customHeight="1" thickBot="1" x14ac:dyDescent="0.35">
      <c r="A197" s="402"/>
      <c r="B197" s="376">
        <v>-9979.1862178645497</v>
      </c>
      <c r="C197" s="376">
        <v>-9981.6650600000194</v>
      </c>
      <c r="D197" s="377">
        <v>-2.478842135471</v>
      </c>
      <c r="E197" s="378">
        <v>1.0002484012299999</v>
      </c>
      <c r="F197" s="376">
        <v>-13694.4005041372</v>
      </c>
      <c r="G197" s="377">
        <v>-11412.0004201144</v>
      </c>
      <c r="H197" s="379">
        <v>-423.069379999999</v>
      </c>
      <c r="I197" s="376">
        <v>-9359.9303100000106</v>
      </c>
      <c r="J197" s="377">
        <v>2052.07011011436</v>
      </c>
      <c r="K197" s="380">
        <v>0.68348594793700002</v>
      </c>
    </row>
    <row r="198" spans="1:11" ht="14.4" customHeight="1" thickBot="1" x14ac:dyDescent="0.35">
      <c r="A198" s="403" t="s">
        <v>53</v>
      </c>
      <c r="B198" s="390">
        <v>-9979.1862178645497</v>
      </c>
      <c r="C198" s="390">
        <v>-9981.6650600000194</v>
      </c>
      <c r="D198" s="391">
        <v>-2.4788421354720001</v>
      </c>
      <c r="E198" s="392">
        <v>-0.94773904119800001</v>
      </c>
      <c r="F198" s="390">
        <v>-13694.4005041372</v>
      </c>
      <c r="G198" s="391">
        <v>-11412.0004201144</v>
      </c>
      <c r="H198" s="390">
        <v>-423.069379999999</v>
      </c>
      <c r="I198" s="390">
        <v>-9359.9303099999997</v>
      </c>
      <c r="J198" s="391">
        <v>2052.07011011436</v>
      </c>
      <c r="K198" s="393">
        <v>0.68348594793700002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1" customWidth="1"/>
    <col min="2" max="2" width="61.109375" style="191" customWidth="1"/>
    <col min="3" max="3" width="9.5546875" style="115" customWidth="1"/>
    <col min="4" max="4" width="9.5546875" style="192" customWidth="1"/>
    <col min="5" max="5" width="2.21875" style="192" customWidth="1"/>
    <col min="6" max="6" width="9.5546875" style="193" customWidth="1"/>
    <col min="7" max="7" width="9.5546875" style="190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1" t="s">
        <v>118</v>
      </c>
      <c r="B1" s="332"/>
      <c r="C1" s="332"/>
      <c r="D1" s="332"/>
      <c r="E1" s="332"/>
      <c r="F1" s="332"/>
      <c r="G1" s="303"/>
      <c r="H1" s="333"/>
      <c r="I1" s="333"/>
    </row>
    <row r="2" spans="1:10" ht="14.4" customHeight="1" thickBot="1" x14ac:dyDescent="0.35">
      <c r="A2" s="211" t="s">
        <v>255</v>
      </c>
      <c r="B2" s="189"/>
      <c r="C2" s="189"/>
      <c r="D2" s="189"/>
      <c r="E2" s="189"/>
      <c r="F2" s="189"/>
    </row>
    <row r="3" spans="1:10" ht="14.4" customHeight="1" thickBot="1" x14ac:dyDescent="0.35">
      <c r="A3" s="211"/>
      <c r="B3" s="189"/>
      <c r="C3" s="269">
        <v>2013</v>
      </c>
      <c r="D3" s="270">
        <v>2014</v>
      </c>
      <c r="E3" s="7"/>
      <c r="F3" s="326">
        <v>2015</v>
      </c>
      <c r="G3" s="327"/>
      <c r="H3" s="327"/>
      <c r="I3" s="328"/>
    </row>
    <row r="4" spans="1:10" ht="14.4" customHeight="1" thickBot="1" x14ac:dyDescent="0.35">
      <c r="A4" s="274" t="s">
        <v>0</v>
      </c>
      <c r="B4" s="275" t="s">
        <v>217</v>
      </c>
      <c r="C4" s="329" t="s">
        <v>60</v>
      </c>
      <c r="D4" s="330"/>
      <c r="E4" s="276"/>
      <c r="F4" s="271" t="s">
        <v>60</v>
      </c>
      <c r="G4" s="272" t="s">
        <v>61</v>
      </c>
      <c r="H4" s="272" t="s">
        <v>55</v>
      </c>
      <c r="I4" s="273" t="s">
        <v>62</v>
      </c>
    </row>
    <row r="5" spans="1:10" ht="14.4" customHeight="1" x14ac:dyDescent="0.3">
      <c r="A5" s="404" t="s">
        <v>444</v>
      </c>
      <c r="B5" s="405" t="s">
        <v>445</v>
      </c>
      <c r="C5" s="406" t="s">
        <v>446</v>
      </c>
      <c r="D5" s="406" t="s">
        <v>446</v>
      </c>
      <c r="E5" s="406"/>
      <c r="F5" s="406" t="s">
        <v>446</v>
      </c>
      <c r="G5" s="406" t="s">
        <v>446</v>
      </c>
      <c r="H5" s="406" t="s">
        <v>446</v>
      </c>
      <c r="I5" s="407" t="s">
        <v>446</v>
      </c>
      <c r="J5" s="408" t="s">
        <v>56</v>
      </c>
    </row>
    <row r="6" spans="1:10" ht="14.4" customHeight="1" x14ac:dyDescent="0.3">
      <c r="A6" s="404" t="s">
        <v>444</v>
      </c>
      <c r="B6" s="405" t="s">
        <v>264</v>
      </c>
      <c r="C6" s="406">
        <v>196.23658</v>
      </c>
      <c r="D6" s="406">
        <v>204.96279000000001</v>
      </c>
      <c r="E6" s="406"/>
      <c r="F6" s="406">
        <v>193.60939000000002</v>
      </c>
      <c r="G6" s="406">
        <v>213.33332661385001</v>
      </c>
      <c r="H6" s="406">
        <v>-19.723936613849986</v>
      </c>
      <c r="I6" s="407">
        <v>0.90754404421043955</v>
      </c>
      <c r="J6" s="408" t="s">
        <v>1</v>
      </c>
    </row>
    <row r="7" spans="1:10" ht="14.4" customHeight="1" x14ac:dyDescent="0.3">
      <c r="A7" s="404" t="s">
        <v>444</v>
      </c>
      <c r="B7" s="405" t="s">
        <v>265</v>
      </c>
      <c r="C7" s="406">
        <v>3.2054900000000002</v>
      </c>
      <c r="D7" s="406">
        <v>1.34172</v>
      </c>
      <c r="E7" s="406"/>
      <c r="F7" s="406">
        <v>1.45109</v>
      </c>
      <c r="G7" s="406">
        <v>1.0694556936433335</v>
      </c>
      <c r="H7" s="406">
        <v>0.38163430635666651</v>
      </c>
      <c r="I7" s="407">
        <v>1.3568491042920592</v>
      </c>
      <c r="J7" s="408" t="s">
        <v>1</v>
      </c>
    </row>
    <row r="8" spans="1:10" ht="14.4" customHeight="1" x14ac:dyDescent="0.3">
      <c r="A8" s="404" t="s">
        <v>444</v>
      </c>
      <c r="B8" s="405" t="s">
        <v>266</v>
      </c>
      <c r="C8" s="406" t="s">
        <v>446</v>
      </c>
      <c r="D8" s="406" t="s">
        <v>446</v>
      </c>
      <c r="E8" s="406"/>
      <c r="F8" s="406">
        <v>0.10105</v>
      </c>
      <c r="G8" s="406">
        <v>0</v>
      </c>
      <c r="H8" s="406">
        <v>0.10105</v>
      </c>
      <c r="I8" s="407" t="s">
        <v>446</v>
      </c>
      <c r="J8" s="408" t="s">
        <v>1</v>
      </c>
    </row>
    <row r="9" spans="1:10" ht="14.4" customHeight="1" x14ac:dyDescent="0.3">
      <c r="A9" s="404" t="s">
        <v>444</v>
      </c>
      <c r="B9" s="405" t="s">
        <v>268</v>
      </c>
      <c r="C9" s="406">
        <v>18.432200000000002</v>
      </c>
      <c r="D9" s="406">
        <v>36.512500000000003</v>
      </c>
      <c r="E9" s="406"/>
      <c r="F9" s="406">
        <v>46.1571</v>
      </c>
      <c r="G9" s="406">
        <v>40.077016408445004</v>
      </c>
      <c r="H9" s="406">
        <v>6.0800835915549953</v>
      </c>
      <c r="I9" s="407">
        <v>1.1517099858330224</v>
      </c>
      <c r="J9" s="408" t="s">
        <v>1</v>
      </c>
    </row>
    <row r="10" spans="1:10" ht="14.4" customHeight="1" x14ac:dyDescent="0.3">
      <c r="A10" s="404" t="s">
        <v>444</v>
      </c>
      <c r="B10" s="405" t="s">
        <v>447</v>
      </c>
      <c r="C10" s="406">
        <v>217.87427</v>
      </c>
      <c r="D10" s="406">
        <v>242.81701000000004</v>
      </c>
      <c r="E10" s="406"/>
      <c r="F10" s="406">
        <v>241.31862999999998</v>
      </c>
      <c r="G10" s="406">
        <v>254.47979871593833</v>
      </c>
      <c r="H10" s="406">
        <v>-13.161168715938345</v>
      </c>
      <c r="I10" s="407">
        <v>0.94828206882295818</v>
      </c>
      <c r="J10" s="408" t="s">
        <v>448</v>
      </c>
    </row>
    <row r="12" spans="1:10" ht="14.4" customHeight="1" x14ac:dyDescent="0.3">
      <c r="A12" s="404" t="s">
        <v>444</v>
      </c>
      <c r="B12" s="405" t="s">
        <v>445</v>
      </c>
      <c r="C12" s="406" t="s">
        <v>446</v>
      </c>
      <c r="D12" s="406" t="s">
        <v>446</v>
      </c>
      <c r="E12" s="406"/>
      <c r="F12" s="406" t="s">
        <v>446</v>
      </c>
      <c r="G12" s="406" t="s">
        <v>446</v>
      </c>
      <c r="H12" s="406" t="s">
        <v>446</v>
      </c>
      <c r="I12" s="407" t="s">
        <v>446</v>
      </c>
      <c r="J12" s="408" t="s">
        <v>56</v>
      </c>
    </row>
    <row r="13" spans="1:10" ht="14.4" customHeight="1" x14ac:dyDescent="0.3">
      <c r="A13" s="404" t="s">
        <v>449</v>
      </c>
      <c r="B13" s="405" t="s">
        <v>450</v>
      </c>
      <c r="C13" s="406" t="s">
        <v>446</v>
      </c>
      <c r="D13" s="406" t="s">
        <v>446</v>
      </c>
      <c r="E13" s="406"/>
      <c r="F13" s="406" t="s">
        <v>446</v>
      </c>
      <c r="G13" s="406" t="s">
        <v>446</v>
      </c>
      <c r="H13" s="406" t="s">
        <v>446</v>
      </c>
      <c r="I13" s="407" t="s">
        <v>446</v>
      </c>
      <c r="J13" s="408" t="s">
        <v>0</v>
      </c>
    </row>
    <row r="14" spans="1:10" ht="14.4" customHeight="1" x14ac:dyDescent="0.3">
      <c r="A14" s="404" t="s">
        <v>449</v>
      </c>
      <c r="B14" s="405" t="s">
        <v>264</v>
      </c>
      <c r="C14" s="406">
        <v>196.23658</v>
      </c>
      <c r="D14" s="406">
        <v>204.96279000000001</v>
      </c>
      <c r="E14" s="406"/>
      <c r="F14" s="406">
        <v>193.60939000000002</v>
      </c>
      <c r="G14" s="406">
        <v>213.33332661385001</v>
      </c>
      <c r="H14" s="406">
        <v>-19.723936613849986</v>
      </c>
      <c r="I14" s="407">
        <v>0.90754404421043955</v>
      </c>
      <c r="J14" s="408" t="s">
        <v>1</v>
      </c>
    </row>
    <row r="15" spans="1:10" ht="14.4" customHeight="1" x14ac:dyDescent="0.3">
      <c r="A15" s="404" t="s">
        <v>449</v>
      </c>
      <c r="B15" s="405" t="s">
        <v>265</v>
      </c>
      <c r="C15" s="406">
        <v>3.2054900000000002</v>
      </c>
      <c r="D15" s="406">
        <v>1.34172</v>
      </c>
      <c r="E15" s="406"/>
      <c r="F15" s="406">
        <v>1.45109</v>
      </c>
      <c r="G15" s="406">
        <v>1.0694556936433335</v>
      </c>
      <c r="H15" s="406">
        <v>0.38163430635666651</v>
      </c>
      <c r="I15" s="407">
        <v>1.3568491042920592</v>
      </c>
      <c r="J15" s="408" t="s">
        <v>1</v>
      </c>
    </row>
    <row r="16" spans="1:10" ht="14.4" customHeight="1" x14ac:dyDescent="0.3">
      <c r="A16" s="404" t="s">
        <v>449</v>
      </c>
      <c r="B16" s="405" t="s">
        <v>266</v>
      </c>
      <c r="C16" s="406" t="s">
        <v>446</v>
      </c>
      <c r="D16" s="406" t="s">
        <v>446</v>
      </c>
      <c r="E16" s="406"/>
      <c r="F16" s="406">
        <v>0.10105</v>
      </c>
      <c r="G16" s="406">
        <v>0</v>
      </c>
      <c r="H16" s="406">
        <v>0.10105</v>
      </c>
      <c r="I16" s="407" t="s">
        <v>446</v>
      </c>
      <c r="J16" s="408" t="s">
        <v>1</v>
      </c>
    </row>
    <row r="17" spans="1:10" ht="14.4" customHeight="1" x14ac:dyDescent="0.3">
      <c r="A17" s="404" t="s">
        <v>449</v>
      </c>
      <c r="B17" s="405" t="s">
        <v>268</v>
      </c>
      <c r="C17" s="406">
        <v>18.432200000000002</v>
      </c>
      <c r="D17" s="406">
        <v>36.512500000000003</v>
      </c>
      <c r="E17" s="406"/>
      <c r="F17" s="406">
        <v>46.1571</v>
      </c>
      <c r="G17" s="406">
        <v>40.077016408445004</v>
      </c>
      <c r="H17" s="406">
        <v>6.0800835915549953</v>
      </c>
      <c r="I17" s="407">
        <v>1.1517099858330224</v>
      </c>
      <c r="J17" s="408" t="s">
        <v>1</v>
      </c>
    </row>
    <row r="18" spans="1:10" ht="14.4" customHeight="1" x14ac:dyDescent="0.3">
      <c r="A18" s="404" t="s">
        <v>449</v>
      </c>
      <c r="B18" s="405" t="s">
        <v>451</v>
      </c>
      <c r="C18" s="406">
        <v>217.87427</v>
      </c>
      <c r="D18" s="406">
        <v>242.81701000000004</v>
      </c>
      <c r="E18" s="406"/>
      <c r="F18" s="406">
        <v>241.31862999999998</v>
      </c>
      <c r="G18" s="406">
        <v>254.47979871593833</v>
      </c>
      <c r="H18" s="406">
        <v>-13.161168715938345</v>
      </c>
      <c r="I18" s="407">
        <v>0.94828206882295818</v>
      </c>
      <c r="J18" s="408" t="s">
        <v>452</v>
      </c>
    </row>
    <row r="19" spans="1:10" ht="14.4" customHeight="1" x14ac:dyDescent="0.3">
      <c r="A19" s="404" t="s">
        <v>446</v>
      </c>
      <c r="B19" s="405" t="s">
        <v>446</v>
      </c>
      <c r="C19" s="406" t="s">
        <v>446</v>
      </c>
      <c r="D19" s="406" t="s">
        <v>446</v>
      </c>
      <c r="E19" s="406"/>
      <c r="F19" s="406" t="s">
        <v>446</v>
      </c>
      <c r="G19" s="406" t="s">
        <v>446</v>
      </c>
      <c r="H19" s="406" t="s">
        <v>446</v>
      </c>
      <c r="I19" s="407" t="s">
        <v>446</v>
      </c>
      <c r="J19" s="408" t="s">
        <v>453</v>
      </c>
    </row>
    <row r="20" spans="1:10" ht="14.4" customHeight="1" x14ac:dyDescent="0.3">
      <c r="A20" s="404" t="s">
        <v>444</v>
      </c>
      <c r="B20" s="405" t="s">
        <v>447</v>
      </c>
      <c r="C20" s="406">
        <v>217.87427</v>
      </c>
      <c r="D20" s="406">
        <v>242.81701000000004</v>
      </c>
      <c r="E20" s="406"/>
      <c r="F20" s="406">
        <v>241.31862999999998</v>
      </c>
      <c r="G20" s="406">
        <v>254.47979871593833</v>
      </c>
      <c r="H20" s="406">
        <v>-13.161168715938345</v>
      </c>
      <c r="I20" s="407">
        <v>0.94828206882295818</v>
      </c>
      <c r="J20" s="408" t="s">
        <v>448</v>
      </c>
    </row>
  </sheetData>
  <mergeCells count="3">
    <mergeCell ref="F3:I3"/>
    <mergeCell ref="C4:D4"/>
    <mergeCell ref="A1:I1"/>
  </mergeCells>
  <conditionalFormatting sqref="F11 F21:F65537">
    <cfRule type="cellIs" dxfId="39" priority="18" stopIfTrue="1" operator="greaterThan">
      <formula>1</formula>
    </cfRule>
  </conditionalFormatting>
  <conditionalFormatting sqref="H5:H10">
    <cfRule type="expression" dxfId="38" priority="14">
      <formula>$H5&gt;0</formula>
    </cfRule>
  </conditionalFormatting>
  <conditionalFormatting sqref="I5:I10">
    <cfRule type="expression" dxfId="37" priority="15">
      <formula>$I5&gt;1</formula>
    </cfRule>
  </conditionalFormatting>
  <conditionalFormatting sqref="B5:B10">
    <cfRule type="expression" dxfId="36" priority="11">
      <formula>OR($J5="NS",$J5="SumaNS",$J5="Účet")</formula>
    </cfRule>
  </conditionalFormatting>
  <conditionalFormatting sqref="B5:D10 F5:I10">
    <cfRule type="expression" dxfId="35" priority="17">
      <formula>AND($J5&lt;&gt;"",$J5&lt;&gt;"mezeraKL")</formula>
    </cfRule>
  </conditionalFormatting>
  <conditionalFormatting sqref="B5:D10 F5:I10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3" priority="13">
      <formula>OR($J5="SumaNS",$J5="NS")</formula>
    </cfRule>
  </conditionalFormatting>
  <conditionalFormatting sqref="A5:A10">
    <cfRule type="expression" dxfId="32" priority="9">
      <formula>AND($J5&lt;&gt;"mezeraKL",$J5&lt;&gt;"")</formula>
    </cfRule>
  </conditionalFormatting>
  <conditionalFormatting sqref="A5:A10">
    <cfRule type="expression" dxfId="31" priority="10">
      <formula>AND($J5&lt;&gt;"",$J5&lt;&gt;"mezeraKL")</formula>
    </cfRule>
  </conditionalFormatting>
  <conditionalFormatting sqref="H12:H20">
    <cfRule type="expression" dxfId="30" priority="5">
      <formula>$H12&gt;0</formula>
    </cfRule>
  </conditionalFormatting>
  <conditionalFormatting sqref="A12:A20">
    <cfRule type="expression" dxfId="29" priority="2">
      <formula>AND($J12&lt;&gt;"mezeraKL",$J12&lt;&gt;"")</formula>
    </cfRule>
  </conditionalFormatting>
  <conditionalFormatting sqref="I12:I20">
    <cfRule type="expression" dxfId="28" priority="6">
      <formula>$I12&gt;1</formula>
    </cfRule>
  </conditionalFormatting>
  <conditionalFormatting sqref="B12:B20">
    <cfRule type="expression" dxfId="27" priority="1">
      <formula>OR($J12="NS",$J12="SumaNS",$J12="Účet")</formula>
    </cfRule>
  </conditionalFormatting>
  <conditionalFormatting sqref="A12:D20 F12:I20">
    <cfRule type="expression" dxfId="26" priority="8">
      <formula>AND($J12&lt;&gt;"",$J12&lt;&gt;"mezeraKL")</formula>
    </cfRule>
  </conditionalFormatting>
  <conditionalFormatting sqref="B12:D20 F12:I20">
    <cfRule type="expression" dxfId="25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24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9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2" bestFit="1" customWidth="1" collapsed="1"/>
    <col min="4" max="4" width="18.77734375" style="196" customWidth="1"/>
    <col min="5" max="5" width="9" style="192" bestFit="1" customWidth="1"/>
    <col min="6" max="6" width="18.77734375" style="196" customWidth="1"/>
    <col min="7" max="7" width="5" style="192" customWidth="1"/>
    <col min="8" max="8" width="12.44140625" style="192" hidden="1" customWidth="1" outlineLevel="1"/>
    <col min="9" max="9" width="8.5546875" style="192" hidden="1" customWidth="1" outlineLevel="1"/>
    <col min="10" max="10" width="25.77734375" style="192" customWidth="1" collapsed="1"/>
    <col min="11" max="11" width="8.77734375" style="192" customWidth="1"/>
    <col min="12" max="13" width="7.77734375" style="190" customWidth="1"/>
    <col min="14" max="14" width="11.109375" style="190" customWidth="1"/>
    <col min="15" max="16384" width="8.88671875" style="115"/>
  </cols>
  <sheetData>
    <row r="1" spans="1:14" ht="18.600000000000001" customHeight="1" thickBot="1" x14ac:dyDescent="0.4">
      <c r="A1" s="338" t="s">
        <v>138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</row>
    <row r="2" spans="1:14" ht="14.4" customHeight="1" thickBot="1" x14ac:dyDescent="0.35">
      <c r="A2" s="211" t="s">
        <v>255</v>
      </c>
      <c r="B2" s="62"/>
      <c r="C2" s="194"/>
      <c r="D2" s="194"/>
      <c r="E2" s="194"/>
      <c r="F2" s="194"/>
      <c r="G2" s="194"/>
      <c r="H2" s="194"/>
      <c r="I2" s="194"/>
      <c r="J2" s="194"/>
      <c r="K2" s="194"/>
      <c r="L2" s="195"/>
      <c r="M2" s="195"/>
      <c r="N2" s="195"/>
    </row>
    <row r="3" spans="1:14" ht="14.4" customHeight="1" thickBot="1" x14ac:dyDescent="0.35">
      <c r="A3" s="62"/>
      <c r="B3" s="62"/>
      <c r="C3" s="334"/>
      <c r="D3" s="335"/>
      <c r="E3" s="335"/>
      <c r="F3" s="335"/>
      <c r="G3" s="335"/>
      <c r="H3" s="335"/>
      <c r="I3" s="335"/>
      <c r="J3" s="336" t="s">
        <v>108</v>
      </c>
      <c r="K3" s="337"/>
      <c r="L3" s="84">
        <f>IF(M3&lt;&gt;0,N3/M3,0)</f>
        <v>111.53361964028045</v>
      </c>
      <c r="M3" s="84">
        <f>SUBTOTAL(9,M5:M1048576)</f>
        <v>1749.8</v>
      </c>
      <c r="N3" s="85">
        <f>SUBTOTAL(9,N5:N1048576)</f>
        <v>195161.52764656272</v>
      </c>
    </row>
    <row r="4" spans="1:14" s="191" customFormat="1" ht="14.4" customHeight="1" thickBot="1" x14ac:dyDescent="0.35">
      <c r="A4" s="409" t="s">
        <v>4</v>
      </c>
      <c r="B4" s="410" t="s">
        <v>5</v>
      </c>
      <c r="C4" s="410" t="s">
        <v>0</v>
      </c>
      <c r="D4" s="410" t="s">
        <v>6</v>
      </c>
      <c r="E4" s="410" t="s">
        <v>7</v>
      </c>
      <c r="F4" s="410" t="s">
        <v>1</v>
      </c>
      <c r="G4" s="410" t="s">
        <v>8</v>
      </c>
      <c r="H4" s="410" t="s">
        <v>9</v>
      </c>
      <c r="I4" s="410" t="s">
        <v>10</v>
      </c>
      <c r="J4" s="411" t="s">
        <v>11</v>
      </c>
      <c r="K4" s="411" t="s">
        <v>12</v>
      </c>
      <c r="L4" s="412" t="s">
        <v>122</v>
      </c>
      <c r="M4" s="412" t="s">
        <v>13</v>
      </c>
      <c r="N4" s="413" t="s">
        <v>133</v>
      </c>
    </row>
    <row r="5" spans="1:14" ht="14.4" customHeight="1" x14ac:dyDescent="0.3">
      <c r="A5" s="416" t="s">
        <v>444</v>
      </c>
      <c r="B5" s="417" t="s">
        <v>445</v>
      </c>
      <c r="C5" s="418" t="s">
        <v>449</v>
      </c>
      <c r="D5" s="419" t="s">
        <v>705</v>
      </c>
      <c r="E5" s="418" t="s">
        <v>454</v>
      </c>
      <c r="F5" s="419" t="s">
        <v>706</v>
      </c>
      <c r="G5" s="418" t="s">
        <v>455</v>
      </c>
      <c r="H5" s="418" t="s">
        <v>456</v>
      </c>
      <c r="I5" s="418" t="s">
        <v>456</v>
      </c>
      <c r="J5" s="418" t="s">
        <v>457</v>
      </c>
      <c r="K5" s="418" t="s">
        <v>458</v>
      </c>
      <c r="L5" s="420">
        <v>92.95</v>
      </c>
      <c r="M5" s="420">
        <v>1</v>
      </c>
      <c r="N5" s="421">
        <v>92.95</v>
      </c>
    </row>
    <row r="6" spans="1:14" ht="14.4" customHeight="1" x14ac:dyDescent="0.3">
      <c r="A6" s="422" t="s">
        <v>444</v>
      </c>
      <c r="B6" s="423" t="s">
        <v>445</v>
      </c>
      <c r="C6" s="424" t="s">
        <v>449</v>
      </c>
      <c r="D6" s="425" t="s">
        <v>705</v>
      </c>
      <c r="E6" s="424" t="s">
        <v>454</v>
      </c>
      <c r="F6" s="425" t="s">
        <v>706</v>
      </c>
      <c r="G6" s="424" t="s">
        <v>455</v>
      </c>
      <c r="H6" s="424" t="s">
        <v>459</v>
      </c>
      <c r="I6" s="424" t="s">
        <v>460</v>
      </c>
      <c r="J6" s="424" t="s">
        <v>461</v>
      </c>
      <c r="K6" s="424" t="s">
        <v>462</v>
      </c>
      <c r="L6" s="426">
        <v>87.030000000000015</v>
      </c>
      <c r="M6" s="426">
        <v>8</v>
      </c>
      <c r="N6" s="427">
        <v>696.24000000000012</v>
      </c>
    </row>
    <row r="7" spans="1:14" ht="14.4" customHeight="1" x14ac:dyDescent="0.3">
      <c r="A7" s="422" t="s">
        <v>444</v>
      </c>
      <c r="B7" s="423" t="s">
        <v>445</v>
      </c>
      <c r="C7" s="424" t="s">
        <v>449</v>
      </c>
      <c r="D7" s="425" t="s">
        <v>705</v>
      </c>
      <c r="E7" s="424" t="s">
        <v>454</v>
      </c>
      <c r="F7" s="425" t="s">
        <v>706</v>
      </c>
      <c r="G7" s="424" t="s">
        <v>455</v>
      </c>
      <c r="H7" s="424" t="s">
        <v>463</v>
      </c>
      <c r="I7" s="424" t="s">
        <v>464</v>
      </c>
      <c r="J7" s="424" t="s">
        <v>465</v>
      </c>
      <c r="K7" s="424" t="s">
        <v>466</v>
      </c>
      <c r="L7" s="426">
        <v>98.69</v>
      </c>
      <c r="M7" s="426">
        <v>1</v>
      </c>
      <c r="N7" s="427">
        <v>98.69</v>
      </c>
    </row>
    <row r="8" spans="1:14" ht="14.4" customHeight="1" x14ac:dyDescent="0.3">
      <c r="A8" s="422" t="s">
        <v>444</v>
      </c>
      <c r="B8" s="423" t="s">
        <v>445</v>
      </c>
      <c r="C8" s="424" t="s">
        <v>449</v>
      </c>
      <c r="D8" s="425" t="s">
        <v>705</v>
      </c>
      <c r="E8" s="424" t="s">
        <v>454</v>
      </c>
      <c r="F8" s="425" t="s">
        <v>706</v>
      </c>
      <c r="G8" s="424" t="s">
        <v>455</v>
      </c>
      <c r="H8" s="424" t="s">
        <v>467</v>
      </c>
      <c r="I8" s="424" t="s">
        <v>468</v>
      </c>
      <c r="J8" s="424" t="s">
        <v>465</v>
      </c>
      <c r="K8" s="424" t="s">
        <v>469</v>
      </c>
      <c r="L8" s="426">
        <v>100.76000000000002</v>
      </c>
      <c r="M8" s="426">
        <v>2</v>
      </c>
      <c r="N8" s="427">
        <v>201.52000000000004</v>
      </c>
    </row>
    <row r="9" spans="1:14" ht="14.4" customHeight="1" x14ac:dyDescent="0.3">
      <c r="A9" s="422" t="s">
        <v>444</v>
      </c>
      <c r="B9" s="423" t="s">
        <v>445</v>
      </c>
      <c r="C9" s="424" t="s">
        <v>449</v>
      </c>
      <c r="D9" s="425" t="s">
        <v>705</v>
      </c>
      <c r="E9" s="424" t="s">
        <v>454</v>
      </c>
      <c r="F9" s="425" t="s">
        <v>706</v>
      </c>
      <c r="G9" s="424" t="s">
        <v>455</v>
      </c>
      <c r="H9" s="424" t="s">
        <v>470</v>
      </c>
      <c r="I9" s="424" t="s">
        <v>471</v>
      </c>
      <c r="J9" s="424" t="s">
        <v>472</v>
      </c>
      <c r="K9" s="424" t="s">
        <v>473</v>
      </c>
      <c r="L9" s="426">
        <v>40.559826840609603</v>
      </c>
      <c r="M9" s="426">
        <v>1</v>
      </c>
      <c r="N9" s="427">
        <v>40.559826840609603</v>
      </c>
    </row>
    <row r="10" spans="1:14" ht="14.4" customHeight="1" x14ac:dyDescent="0.3">
      <c r="A10" s="422" t="s">
        <v>444</v>
      </c>
      <c r="B10" s="423" t="s">
        <v>445</v>
      </c>
      <c r="C10" s="424" t="s">
        <v>449</v>
      </c>
      <c r="D10" s="425" t="s">
        <v>705</v>
      </c>
      <c r="E10" s="424" t="s">
        <v>454</v>
      </c>
      <c r="F10" s="425" t="s">
        <v>706</v>
      </c>
      <c r="G10" s="424" t="s">
        <v>455</v>
      </c>
      <c r="H10" s="424" t="s">
        <v>474</v>
      </c>
      <c r="I10" s="424" t="s">
        <v>475</v>
      </c>
      <c r="J10" s="424" t="s">
        <v>476</v>
      </c>
      <c r="K10" s="424" t="s">
        <v>477</v>
      </c>
      <c r="L10" s="426">
        <v>53.913140908148065</v>
      </c>
      <c r="M10" s="426">
        <v>1</v>
      </c>
      <c r="N10" s="427">
        <v>53.913140908148065</v>
      </c>
    </row>
    <row r="11" spans="1:14" ht="14.4" customHeight="1" x14ac:dyDescent="0.3">
      <c r="A11" s="422" t="s">
        <v>444</v>
      </c>
      <c r="B11" s="423" t="s">
        <v>445</v>
      </c>
      <c r="C11" s="424" t="s">
        <v>449</v>
      </c>
      <c r="D11" s="425" t="s">
        <v>705</v>
      </c>
      <c r="E11" s="424" t="s">
        <v>454</v>
      </c>
      <c r="F11" s="425" t="s">
        <v>706</v>
      </c>
      <c r="G11" s="424" t="s">
        <v>455</v>
      </c>
      <c r="H11" s="424" t="s">
        <v>478</v>
      </c>
      <c r="I11" s="424" t="s">
        <v>479</v>
      </c>
      <c r="J11" s="424" t="s">
        <v>480</v>
      </c>
      <c r="K11" s="424" t="s">
        <v>481</v>
      </c>
      <c r="L11" s="426">
        <v>63.950000000000017</v>
      </c>
      <c r="M11" s="426">
        <v>1</v>
      </c>
      <c r="N11" s="427">
        <v>63.950000000000017</v>
      </c>
    </row>
    <row r="12" spans="1:14" ht="14.4" customHeight="1" x14ac:dyDescent="0.3">
      <c r="A12" s="422" t="s">
        <v>444</v>
      </c>
      <c r="B12" s="423" t="s">
        <v>445</v>
      </c>
      <c r="C12" s="424" t="s">
        <v>449</v>
      </c>
      <c r="D12" s="425" t="s">
        <v>705</v>
      </c>
      <c r="E12" s="424" t="s">
        <v>454</v>
      </c>
      <c r="F12" s="425" t="s">
        <v>706</v>
      </c>
      <c r="G12" s="424" t="s">
        <v>455</v>
      </c>
      <c r="H12" s="424" t="s">
        <v>482</v>
      </c>
      <c r="I12" s="424" t="s">
        <v>483</v>
      </c>
      <c r="J12" s="424" t="s">
        <v>484</v>
      </c>
      <c r="K12" s="424" t="s">
        <v>485</v>
      </c>
      <c r="L12" s="426">
        <v>40.249903240598556</v>
      </c>
      <c r="M12" s="426">
        <v>1</v>
      </c>
      <c r="N12" s="427">
        <v>40.249903240598556</v>
      </c>
    </row>
    <row r="13" spans="1:14" ht="14.4" customHeight="1" x14ac:dyDescent="0.3">
      <c r="A13" s="422" t="s">
        <v>444</v>
      </c>
      <c r="B13" s="423" t="s">
        <v>445</v>
      </c>
      <c r="C13" s="424" t="s">
        <v>449</v>
      </c>
      <c r="D13" s="425" t="s">
        <v>705</v>
      </c>
      <c r="E13" s="424" t="s">
        <v>454</v>
      </c>
      <c r="F13" s="425" t="s">
        <v>706</v>
      </c>
      <c r="G13" s="424" t="s">
        <v>455</v>
      </c>
      <c r="H13" s="424" t="s">
        <v>486</v>
      </c>
      <c r="I13" s="424" t="s">
        <v>487</v>
      </c>
      <c r="J13" s="424" t="s">
        <v>488</v>
      </c>
      <c r="K13" s="424" t="s">
        <v>489</v>
      </c>
      <c r="L13" s="426">
        <v>93.530000000000015</v>
      </c>
      <c r="M13" s="426">
        <v>2</v>
      </c>
      <c r="N13" s="427">
        <v>187.06000000000003</v>
      </c>
    </row>
    <row r="14" spans="1:14" ht="14.4" customHeight="1" x14ac:dyDescent="0.3">
      <c r="A14" s="422" t="s">
        <v>444</v>
      </c>
      <c r="B14" s="423" t="s">
        <v>445</v>
      </c>
      <c r="C14" s="424" t="s">
        <v>449</v>
      </c>
      <c r="D14" s="425" t="s">
        <v>705</v>
      </c>
      <c r="E14" s="424" t="s">
        <v>454</v>
      </c>
      <c r="F14" s="425" t="s">
        <v>706</v>
      </c>
      <c r="G14" s="424" t="s">
        <v>455</v>
      </c>
      <c r="H14" s="424" t="s">
        <v>490</v>
      </c>
      <c r="I14" s="424" t="s">
        <v>491</v>
      </c>
      <c r="J14" s="424" t="s">
        <v>492</v>
      </c>
      <c r="K14" s="424" t="s">
        <v>493</v>
      </c>
      <c r="L14" s="426">
        <v>116.84984105241156</v>
      </c>
      <c r="M14" s="426">
        <v>10</v>
      </c>
      <c r="N14" s="427">
        <v>1168.4984105241156</v>
      </c>
    </row>
    <row r="15" spans="1:14" ht="14.4" customHeight="1" x14ac:dyDescent="0.3">
      <c r="A15" s="422" t="s">
        <v>444</v>
      </c>
      <c r="B15" s="423" t="s">
        <v>445</v>
      </c>
      <c r="C15" s="424" t="s">
        <v>449</v>
      </c>
      <c r="D15" s="425" t="s">
        <v>705</v>
      </c>
      <c r="E15" s="424" t="s">
        <v>454</v>
      </c>
      <c r="F15" s="425" t="s">
        <v>706</v>
      </c>
      <c r="G15" s="424" t="s">
        <v>455</v>
      </c>
      <c r="H15" s="424" t="s">
        <v>494</v>
      </c>
      <c r="I15" s="424" t="s">
        <v>495</v>
      </c>
      <c r="J15" s="424" t="s">
        <v>496</v>
      </c>
      <c r="K15" s="424" t="s">
        <v>497</v>
      </c>
      <c r="L15" s="426">
        <v>40.499999999999986</v>
      </c>
      <c r="M15" s="426">
        <v>1</v>
      </c>
      <c r="N15" s="427">
        <v>40.499999999999986</v>
      </c>
    </row>
    <row r="16" spans="1:14" ht="14.4" customHeight="1" x14ac:dyDescent="0.3">
      <c r="A16" s="422" t="s">
        <v>444</v>
      </c>
      <c r="B16" s="423" t="s">
        <v>445</v>
      </c>
      <c r="C16" s="424" t="s">
        <v>449</v>
      </c>
      <c r="D16" s="425" t="s">
        <v>705</v>
      </c>
      <c r="E16" s="424" t="s">
        <v>454</v>
      </c>
      <c r="F16" s="425" t="s">
        <v>706</v>
      </c>
      <c r="G16" s="424" t="s">
        <v>455</v>
      </c>
      <c r="H16" s="424" t="s">
        <v>498</v>
      </c>
      <c r="I16" s="424" t="s">
        <v>499</v>
      </c>
      <c r="J16" s="424" t="s">
        <v>500</v>
      </c>
      <c r="K16" s="424" t="s">
        <v>501</v>
      </c>
      <c r="L16" s="426">
        <v>151.25210379287157</v>
      </c>
      <c r="M16" s="426">
        <v>27</v>
      </c>
      <c r="N16" s="427">
        <v>4083.8068024075319</v>
      </c>
    </row>
    <row r="17" spans="1:14" ht="14.4" customHeight="1" x14ac:dyDescent="0.3">
      <c r="A17" s="422" t="s">
        <v>444</v>
      </c>
      <c r="B17" s="423" t="s">
        <v>445</v>
      </c>
      <c r="C17" s="424" t="s">
        <v>449</v>
      </c>
      <c r="D17" s="425" t="s">
        <v>705</v>
      </c>
      <c r="E17" s="424" t="s">
        <v>454</v>
      </c>
      <c r="F17" s="425" t="s">
        <v>706</v>
      </c>
      <c r="G17" s="424" t="s">
        <v>455</v>
      </c>
      <c r="H17" s="424" t="s">
        <v>502</v>
      </c>
      <c r="I17" s="424" t="s">
        <v>141</v>
      </c>
      <c r="J17" s="424" t="s">
        <v>503</v>
      </c>
      <c r="K17" s="424"/>
      <c r="L17" s="426">
        <v>97.320293904979849</v>
      </c>
      <c r="M17" s="426">
        <v>2</v>
      </c>
      <c r="N17" s="427">
        <v>194.6405878099597</v>
      </c>
    </row>
    <row r="18" spans="1:14" ht="14.4" customHeight="1" x14ac:dyDescent="0.3">
      <c r="A18" s="422" t="s">
        <v>444</v>
      </c>
      <c r="B18" s="423" t="s">
        <v>445</v>
      </c>
      <c r="C18" s="424" t="s">
        <v>449</v>
      </c>
      <c r="D18" s="425" t="s">
        <v>705</v>
      </c>
      <c r="E18" s="424" t="s">
        <v>454</v>
      </c>
      <c r="F18" s="425" t="s">
        <v>706</v>
      </c>
      <c r="G18" s="424" t="s">
        <v>455</v>
      </c>
      <c r="H18" s="424" t="s">
        <v>504</v>
      </c>
      <c r="I18" s="424" t="s">
        <v>141</v>
      </c>
      <c r="J18" s="424" t="s">
        <v>505</v>
      </c>
      <c r="K18" s="424"/>
      <c r="L18" s="426">
        <v>36.299774870746546</v>
      </c>
      <c r="M18" s="426">
        <v>3</v>
      </c>
      <c r="N18" s="427">
        <v>108.89932461223964</v>
      </c>
    </row>
    <row r="19" spans="1:14" ht="14.4" customHeight="1" x14ac:dyDescent="0.3">
      <c r="A19" s="422" t="s">
        <v>444</v>
      </c>
      <c r="B19" s="423" t="s">
        <v>445</v>
      </c>
      <c r="C19" s="424" t="s">
        <v>449</v>
      </c>
      <c r="D19" s="425" t="s">
        <v>705</v>
      </c>
      <c r="E19" s="424" t="s">
        <v>454</v>
      </c>
      <c r="F19" s="425" t="s">
        <v>706</v>
      </c>
      <c r="G19" s="424" t="s">
        <v>455</v>
      </c>
      <c r="H19" s="424" t="s">
        <v>506</v>
      </c>
      <c r="I19" s="424" t="s">
        <v>141</v>
      </c>
      <c r="J19" s="424" t="s">
        <v>507</v>
      </c>
      <c r="K19" s="424"/>
      <c r="L19" s="426">
        <v>30.979848315599078</v>
      </c>
      <c r="M19" s="426">
        <v>10</v>
      </c>
      <c r="N19" s="427">
        <v>309.79848315599077</v>
      </c>
    </row>
    <row r="20" spans="1:14" ht="14.4" customHeight="1" x14ac:dyDescent="0.3">
      <c r="A20" s="422" t="s">
        <v>444</v>
      </c>
      <c r="B20" s="423" t="s">
        <v>445</v>
      </c>
      <c r="C20" s="424" t="s">
        <v>449</v>
      </c>
      <c r="D20" s="425" t="s">
        <v>705</v>
      </c>
      <c r="E20" s="424" t="s">
        <v>454</v>
      </c>
      <c r="F20" s="425" t="s">
        <v>706</v>
      </c>
      <c r="G20" s="424" t="s">
        <v>455</v>
      </c>
      <c r="H20" s="424" t="s">
        <v>508</v>
      </c>
      <c r="I20" s="424" t="s">
        <v>141</v>
      </c>
      <c r="J20" s="424" t="s">
        <v>509</v>
      </c>
      <c r="K20" s="424"/>
      <c r="L20" s="426">
        <v>32.902867297294534</v>
      </c>
      <c r="M20" s="426">
        <v>59</v>
      </c>
      <c r="N20" s="427">
        <v>1941.2691705403774</v>
      </c>
    </row>
    <row r="21" spans="1:14" ht="14.4" customHeight="1" x14ac:dyDescent="0.3">
      <c r="A21" s="422" t="s">
        <v>444</v>
      </c>
      <c r="B21" s="423" t="s">
        <v>445</v>
      </c>
      <c r="C21" s="424" t="s">
        <v>449</v>
      </c>
      <c r="D21" s="425" t="s">
        <v>705</v>
      </c>
      <c r="E21" s="424" t="s">
        <v>454</v>
      </c>
      <c r="F21" s="425" t="s">
        <v>706</v>
      </c>
      <c r="G21" s="424" t="s">
        <v>455</v>
      </c>
      <c r="H21" s="424" t="s">
        <v>510</v>
      </c>
      <c r="I21" s="424" t="s">
        <v>141</v>
      </c>
      <c r="J21" s="424" t="s">
        <v>511</v>
      </c>
      <c r="K21" s="424" t="s">
        <v>512</v>
      </c>
      <c r="L21" s="426">
        <v>32.819999999999993</v>
      </c>
      <c r="M21" s="426">
        <v>6</v>
      </c>
      <c r="N21" s="427">
        <v>196.91999999999996</v>
      </c>
    </row>
    <row r="22" spans="1:14" ht="14.4" customHeight="1" x14ac:dyDescent="0.3">
      <c r="A22" s="422" t="s">
        <v>444</v>
      </c>
      <c r="B22" s="423" t="s">
        <v>445</v>
      </c>
      <c r="C22" s="424" t="s">
        <v>449</v>
      </c>
      <c r="D22" s="425" t="s">
        <v>705</v>
      </c>
      <c r="E22" s="424" t="s">
        <v>454</v>
      </c>
      <c r="F22" s="425" t="s">
        <v>706</v>
      </c>
      <c r="G22" s="424" t="s">
        <v>455</v>
      </c>
      <c r="H22" s="424" t="s">
        <v>513</v>
      </c>
      <c r="I22" s="424" t="s">
        <v>514</v>
      </c>
      <c r="J22" s="424" t="s">
        <v>515</v>
      </c>
      <c r="K22" s="424" t="s">
        <v>516</v>
      </c>
      <c r="L22" s="426">
        <v>26.880000000000003</v>
      </c>
      <c r="M22" s="426">
        <v>2</v>
      </c>
      <c r="N22" s="427">
        <v>53.760000000000005</v>
      </c>
    </row>
    <row r="23" spans="1:14" ht="14.4" customHeight="1" x14ac:dyDescent="0.3">
      <c r="A23" s="422" t="s">
        <v>444</v>
      </c>
      <c r="B23" s="423" t="s">
        <v>445</v>
      </c>
      <c r="C23" s="424" t="s">
        <v>449</v>
      </c>
      <c r="D23" s="425" t="s">
        <v>705</v>
      </c>
      <c r="E23" s="424" t="s">
        <v>454</v>
      </c>
      <c r="F23" s="425" t="s">
        <v>706</v>
      </c>
      <c r="G23" s="424" t="s">
        <v>455</v>
      </c>
      <c r="H23" s="424" t="s">
        <v>517</v>
      </c>
      <c r="I23" s="424" t="s">
        <v>141</v>
      </c>
      <c r="J23" s="424" t="s">
        <v>518</v>
      </c>
      <c r="K23" s="424"/>
      <c r="L23" s="426">
        <v>42.664997344791992</v>
      </c>
      <c r="M23" s="426">
        <v>6</v>
      </c>
      <c r="N23" s="427">
        <v>255.98998406875194</v>
      </c>
    </row>
    <row r="24" spans="1:14" ht="14.4" customHeight="1" x14ac:dyDescent="0.3">
      <c r="A24" s="422" t="s">
        <v>444</v>
      </c>
      <c r="B24" s="423" t="s">
        <v>445</v>
      </c>
      <c r="C24" s="424" t="s">
        <v>449</v>
      </c>
      <c r="D24" s="425" t="s">
        <v>705</v>
      </c>
      <c r="E24" s="424" t="s">
        <v>454</v>
      </c>
      <c r="F24" s="425" t="s">
        <v>706</v>
      </c>
      <c r="G24" s="424" t="s">
        <v>455</v>
      </c>
      <c r="H24" s="424" t="s">
        <v>519</v>
      </c>
      <c r="I24" s="424" t="s">
        <v>141</v>
      </c>
      <c r="J24" s="424" t="s">
        <v>520</v>
      </c>
      <c r="K24" s="424"/>
      <c r="L24" s="426">
        <v>37.099599678106777</v>
      </c>
      <c r="M24" s="426">
        <v>32</v>
      </c>
      <c r="N24" s="427">
        <v>1187.1871896994169</v>
      </c>
    </row>
    <row r="25" spans="1:14" ht="14.4" customHeight="1" x14ac:dyDescent="0.3">
      <c r="A25" s="422" t="s">
        <v>444</v>
      </c>
      <c r="B25" s="423" t="s">
        <v>445</v>
      </c>
      <c r="C25" s="424" t="s">
        <v>449</v>
      </c>
      <c r="D25" s="425" t="s">
        <v>705</v>
      </c>
      <c r="E25" s="424" t="s">
        <v>454</v>
      </c>
      <c r="F25" s="425" t="s">
        <v>706</v>
      </c>
      <c r="G25" s="424" t="s">
        <v>455</v>
      </c>
      <c r="H25" s="424" t="s">
        <v>521</v>
      </c>
      <c r="I25" s="424" t="s">
        <v>521</v>
      </c>
      <c r="J25" s="424" t="s">
        <v>457</v>
      </c>
      <c r="K25" s="424" t="s">
        <v>522</v>
      </c>
      <c r="L25" s="426">
        <v>192.5</v>
      </c>
      <c r="M25" s="426">
        <v>6.8</v>
      </c>
      <c r="N25" s="427">
        <v>1309</v>
      </c>
    </row>
    <row r="26" spans="1:14" ht="14.4" customHeight="1" x14ac:dyDescent="0.3">
      <c r="A26" s="422" t="s">
        <v>444</v>
      </c>
      <c r="B26" s="423" t="s">
        <v>445</v>
      </c>
      <c r="C26" s="424" t="s">
        <v>449</v>
      </c>
      <c r="D26" s="425" t="s">
        <v>705</v>
      </c>
      <c r="E26" s="424" t="s">
        <v>454</v>
      </c>
      <c r="F26" s="425" t="s">
        <v>706</v>
      </c>
      <c r="G26" s="424" t="s">
        <v>455</v>
      </c>
      <c r="H26" s="424" t="s">
        <v>523</v>
      </c>
      <c r="I26" s="424" t="s">
        <v>524</v>
      </c>
      <c r="J26" s="424" t="s">
        <v>525</v>
      </c>
      <c r="K26" s="424" t="s">
        <v>526</v>
      </c>
      <c r="L26" s="426">
        <v>20.760000000000005</v>
      </c>
      <c r="M26" s="426">
        <v>6</v>
      </c>
      <c r="N26" s="427">
        <v>124.56000000000003</v>
      </c>
    </row>
    <row r="27" spans="1:14" ht="14.4" customHeight="1" x14ac:dyDescent="0.3">
      <c r="A27" s="422" t="s">
        <v>444</v>
      </c>
      <c r="B27" s="423" t="s">
        <v>445</v>
      </c>
      <c r="C27" s="424" t="s">
        <v>449</v>
      </c>
      <c r="D27" s="425" t="s">
        <v>705</v>
      </c>
      <c r="E27" s="424" t="s">
        <v>454</v>
      </c>
      <c r="F27" s="425" t="s">
        <v>706</v>
      </c>
      <c r="G27" s="424" t="s">
        <v>455</v>
      </c>
      <c r="H27" s="424" t="s">
        <v>527</v>
      </c>
      <c r="I27" s="424" t="s">
        <v>528</v>
      </c>
      <c r="J27" s="424" t="s">
        <v>529</v>
      </c>
      <c r="K27" s="424" t="s">
        <v>530</v>
      </c>
      <c r="L27" s="426">
        <v>52.169545984795029</v>
      </c>
      <c r="M27" s="426">
        <v>1</v>
      </c>
      <c r="N27" s="427">
        <v>52.169545984795029</v>
      </c>
    </row>
    <row r="28" spans="1:14" ht="14.4" customHeight="1" x14ac:dyDescent="0.3">
      <c r="A28" s="422" t="s">
        <v>444</v>
      </c>
      <c r="B28" s="423" t="s">
        <v>445</v>
      </c>
      <c r="C28" s="424" t="s">
        <v>449</v>
      </c>
      <c r="D28" s="425" t="s">
        <v>705</v>
      </c>
      <c r="E28" s="424" t="s">
        <v>454</v>
      </c>
      <c r="F28" s="425" t="s">
        <v>706</v>
      </c>
      <c r="G28" s="424" t="s">
        <v>455</v>
      </c>
      <c r="H28" s="424" t="s">
        <v>531</v>
      </c>
      <c r="I28" s="424" t="s">
        <v>141</v>
      </c>
      <c r="J28" s="424" t="s">
        <v>532</v>
      </c>
      <c r="K28" s="424"/>
      <c r="L28" s="426">
        <v>75.165114800248588</v>
      </c>
      <c r="M28" s="426">
        <v>7</v>
      </c>
      <c r="N28" s="427">
        <v>526.1558036017401</v>
      </c>
    </row>
    <row r="29" spans="1:14" ht="14.4" customHeight="1" x14ac:dyDescent="0.3">
      <c r="A29" s="422" t="s">
        <v>444</v>
      </c>
      <c r="B29" s="423" t="s">
        <v>445</v>
      </c>
      <c r="C29" s="424" t="s">
        <v>449</v>
      </c>
      <c r="D29" s="425" t="s">
        <v>705</v>
      </c>
      <c r="E29" s="424" t="s">
        <v>454</v>
      </c>
      <c r="F29" s="425" t="s">
        <v>706</v>
      </c>
      <c r="G29" s="424" t="s">
        <v>455</v>
      </c>
      <c r="H29" s="424" t="s">
        <v>533</v>
      </c>
      <c r="I29" s="424" t="s">
        <v>141</v>
      </c>
      <c r="J29" s="424" t="s">
        <v>534</v>
      </c>
      <c r="K29" s="424"/>
      <c r="L29" s="426">
        <v>75.165129776170019</v>
      </c>
      <c r="M29" s="426">
        <v>1</v>
      </c>
      <c r="N29" s="427">
        <v>75.165129776170019</v>
      </c>
    </row>
    <row r="30" spans="1:14" ht="14.4" customHeight="1" x14ac:dyDescent="0.3">
      <c r="A30" s="422" t="s">
        <v>444</v>
      </c>
      <c r="B30" s="423" t="s">
        <v>445</v>
      </c>
      <c r="C30" s="424" t="s">
        <v>449</v>
      </c>
      <c r="D30" s="425" t="s">
        <v>705</v>
      </c>
      <c r="E30" s="424" t="s">
        <v>454</v>
      </c>
      <c r="F30" s="425" t="s">
        <v>706</v>
      </c>
      <c r="G30" s="424" t="s">
        <v>455</v>
      </c>
      <c r="H30" s="424" t="s">
        <v>535</v>
      </c>
      <c r="I30" s="424" t="s">
        <v>536</v>
      </c>
      <c r="J30" s="424" t="s">
        <v>525</v>
      </c>
      <c r="K30" s="424" t="s">
        <v>537</v>
      </c>
      <c r="L30" s="426">
        <v>23.08</v>
      </c>
      <c r="M30" s="426">
        <v>6</v>
      </c>
      <c r="N30" s="427">
        <v>138.47999999999999</v>
      </c>
    </row>
    <row r="31" spans="1:14" ht="14.4" customHeight="1" x14ac:dyDescent="0.3">
      <c r="A31" s="422" t="s">
        <v>444</v>
      </c>
      <c r="B31" s="423" t="s">
        <v>445</v>
      </c>
      <c r="C31" s="424" t="s">
        <v>449</v>
      </c>
      <c r="D31" s="425" t="s">
        <v>705</v>
      </c>
      <c r="E31" s="424" t="s">
        <v>454</v>
      </c>
      <c r="F31" s="425" t="s">
        <v>706</v>
      </c>
      <c r="G31" s="424" t="s">
        <v>455</v>
      </c>
      <c r="H31" s="424" t="s">
        <v>538</v>
      </c>
      <c r="I31" s="424" t="s">
        <v>539</v>
      </c>
      <c r="J31" s="424" t="s">
        <v>540</v>
      </c>
      <c r="K31" s="424" t="s">
        <v>541</v>
      </c>
      <c r="L31" s="426">
        <v>152.68253460979423</v>
      </c>
      <c r="M31" s="426">
        <v>625</v>
      </c>
      <c r="N31" s="427">
        <v>95426.584131121403</v>
      </c>
    </row>
    <row r="32" spans="1:14" ht="14.4" customHeight="1" x14ac:dyDescent="0.3">
      <c r="A32" s="422" t="s">
        <v>444</v>
      </c>
      <c r="B32" s="423" t="s">
        <v>445</v>
      </c>
      <c r="C32" s="424" t="s">
        <v>449</v>
      </c>
      <c r="D32" s="425" t="s">
        <v>705</v>
      </c>
      <c r="E32" s="424" t="s">
        <v>454</v>
      </c>
      <c r="F32" s="425" t="s">
        <v>706</v>
      </c>
      <c r="G32" s="424" t="s">
        <v>455</v>
      </c>
      <c r="H32" s="424" t="s">
        <v>542</v>
      </c>
      <c r="I32" s="424" t="s">
        <v>141</v>
      </c>
      <c r="J32" s="424" t="s">
        <v>543</v>
      </c>
      <c r="K32" s="424"/>
      <c r="L32" s="426">
        <v>84.650901337331547</v>
      </c>
      <c r="M32" s="426">
        <v>8</v>
      </c>
      <c r="N32" s="427">
        <v>677.20721069865237</v>
      </c>
    </row>
    <row r="33" spans="1:14" ht="14.4" customHeight="1" x14ac:dyDescent="0.3">
      <c r="A33" s="422" t="s">
        <v>444</v>
      </c>
      <c r="B33" s="423" t="s">
        <v>445</v>
      </c>
      <c r="C33" s="424" t="s">
        <v>449</v>
      </c>
      <c r="D33" s="425" t="s">
        <v>705</v>
      </c>
      <c r="E33" s="424" t="s">
        <v>454</v>
      </c>
      <c r="F33" s="425" t="s">
        <v>706</v>
      </c>
      <c r="G33" s="424" t="s">
        <v>455</v>
      </c>
      <c r="H33" s="424" t="s">
        <v>544</v>
      </c>
      <c r="I33" s="424" t="s">
        <v>141</v>
      </c>
      <c r="J33" s="424" t="s">
        <v>545</v>
      </c>
      <c r="K33" s="424"/>
      <c r="L33" s="426">
        <v>93.433302683190405</v>
      </c>
      <c r="M33" s="426">
        <v>5</v>
      </c>
      <c r="N33" s="427">
        <v>467.16651341595201</v>
      </c>
    </row>
    <row r="34" spans="1:14" ht="14.4" customHeight="1" x14ac:dyDescent="0.3">
      <c r="A34" s="422" t="s">
        <v>444</v>
      </c>
      <c r="B34" s="423" t="s">
        <v>445</v>
      </c>
      <c r="C34" s="424" t="s">
        <v>449</v>
      </c>
      <c r="D34" s="425" t="s">
        <v>705</v>
      </c>
      <c r="E34" s="424" t="s">
        <v>454</v>
      </c>
      <c r="F34" s="425" t="s">
        <v>706</v>
      </c>
      <c r="G34" s="424" t="s">
        <v>455</v>
      </c>
      <c r="H34" s="424" t="s">
        <v>546</v>
      </c>
      <c r="I34" s="424" t="s">
        <v>547</v>
      </c>
      <c r="J34" s="424" t="s">
        <v>548</v>
      </c>
      <c r="K34" s="424" t="s">
        <v>549</v>
      </c>
      <c r="L34" s="426">
        <v>57.980000000000025</v>
      </c>
      <c r="M34" s="426">
        <v>1</v>
      </c>
      <c r="N34" s="427">
        <v>57.980000000000025</v>
      </c>
    </row>
    <row r="35" spans="1:14" ht="14.4" customHeight="1" x14ac:dyDescent="0.3">
      <c r="A35" s="422" t="s">
        <v>444</v>
      </c>
      <c r="B35" s="423" t="s">
        <v>445</v>
      </c>
      <c r="C35" s="424" t="s">
        <v>449</v>
      </c>
      <c r="D35" s="425" t="s">
        <v>705</v>
      </c>
      <c r="E35" s="424" t="s">
        <v>454</v>
      </c>
      <c r="F35" s="425" t="s">
        <v>706</v>
      </c>
      <c r="G35" s="424" t="s">
        <v>455</v>
      </c>
      <c r="H35" s="424" t="s">
        <v>550</v>
      </c>
      <c r="I35" s="424" t="s">
        <v>141</v>
      </c>
      <c r="J35" s="424" t="s">
        <v>551</v>
      </c>
      <c r="K35" s="424"/>
      <c r="L35" s="426">
        <v>29.335585320824958</v>
      </c>
      <c r="M35" s="426">
        <v>20</v>
      </c>
      <c r="N35" s="427">
        <v>586.71170641649917</v>
      </c>
    </row>
    <row r="36" spans="1:14" ht="14.4" customHeight="1" x14ac:dyDescent="0.3">
      <c r="A36" s="422" t="s">
        <v>444</v>
      </c>
      <c r="B36" s="423" t="s">
        <v>445</v>
      </c>
      <c r="C36" s="424" t="s">
        <v>449</v>
      </c>
      <c r="D36" s="425" t="s">
        <v>705</v>
      </c>
      <c r="E36" s="424" t="s">
        <v>454</v>
      </c>
      <c r="F36" s="425" t="s">
        <v>706</v>
      </c>
      <c r="G36" s="424" t="s">
        <v>455</v>
      </c>
      <c r="H36" s="424" t="s">
        <v>552</v>
      </c>
      <c r="I36" s="424" t="s">
        <v>141</v>
      </c>
      <c r="J36" s="424" t="s">
        <v>553</v>
      </c>
      <c r="K36" s="424"/>
      <c r="L36" s="426">
        <v>46.410000000000018</v>
      </c>
      <c r="M36" s="426">
        <v>2</v>
      </c>
      <c r="N36" s="427">
        <v>92.820000000000036</v>
      </c>
    </row>
    <row r="37" spans="1:14" ht="14.4" customHeight="1" x14ac:dyDescent="0.3">
      <c r="A37" s="422" t="s">
        <v>444</v>
      </c>
      <c r="B37" s="423" t="s">
        <v>445</v>
      </c>
      <c r="C37" s="424" t="s">
        <v>449</v>
      </c>
      <c r="D37" s="425" t="s">
        <v>705</v>
      </c>
      <c r="E37" s="424" t="s">
        <v>454</v>
      </c>
      <c r="F37" s="425" t="s">
        <v>706</v>
      </c>
      <c r="G37" s="424" t="s">
        <v>455</v>
      </c>
      <c r="H37" s="424" t="s">
        <v>554</v>
      </c>
      <c r="I37" s="424" t="s">
        <v>141</v>
      </c>
      <c r="J37" s="424" t="s">
        <v>555</v>
      </c>
      <c r="K37" s="424"/>
      <c r="L37" s="426">
        <v>126.52596507172456</v>
      </c>
      <c r="M37" s="426">
        <v>52</v>
      </c>
      <c r="N37" s="427">
        <v>6579.3501837296772</v>
      </c>
    </row>
    <row r="38" spans="1:14" ht="14.4" customHeight="1" x14ac:dyDescent="0.3">
      <c r="A38" s="422" t="s">
        <v>444</v>
      </c>
      <c r="B38" s="423" t="s">
        <v>445</v>
      </c>
      <c r="C38" s="424" t="s">
        <v>449</v>
      </c>
      <c r="D38" s="425" t="s">
        <v>705</v>
      </c>
      <c r="E38" s="424" t="s">
        <v>454</v>
      </c>
      <c r="F38" s="425" t="s">
        <v>706</v>
      </c>
      <c r="G38" s="424" t="s">
        <v>455</v>
      </c>
      <c r="H38" s="424" t="s">
        <v>556</v>
      </c>
      <c r="I38" s="424" t="s">
        <v>557</v>
      </c>
      <c r="J38" s="424" t="s">
        <v>558</v>
      </c>
      <c r="K38" s="424" t="s">
        <v>559</v>
      </c>
      <c r="L38" s="426">
        <v>24.439802439774244</v>
      </c>
      <c r="M38" s="426">
        <v>1</v>
      </c>
      <c r="N38" s="427">
        <v>24.439802439774244</v>
      </c>
    </row>
    <row r="39" spans="1:14" ht="14.4" customHeight="1" x14ac:dyDescent="0.3">
      <c r="A39" s="422" t="s">
        <v>444</v>
      </c>
      <c r="B39" s="423" t="s">
        <v>445</v>
      </c>
      <c r="C39" s="424" t="s">
        <v>449</v>
      </c>
      <c r="D39" s="425" t="s">
        <v>705</v>
      </c>
      <c r="E39" s="424" t="s">
        <v>454</v>
      </c>
      <c r="F39" s="425" t="s">
        <v>706</v>
      </c>
      <c r="G39" s="424" t="s">
        <v>455</v>
      </c>
      <c r="H39" s="424" t="s">
        <v>560</v>
      </c>
      <c r="I39" s="424" t="s">
        <v>561</v>
      </c>
      <c r="J39" s="424" t="s">
        <v>562</v>
      </c>
      <c r="K39" s="424" t="s">
        <v>563</v>
      </c>
      <c r="L39" s="426">
        <v>104.06947910743355</v>
      </c>
      <c r="M39" s="426">
        <v>1</v>
      </c>
      <c r="N39" s="427">
        <v>104.06947910743355</v>
      </c>
    </row>
    <row r="40" spans="1:14" ht="14.4" customHeight="1" x14ac:dyDescent="0.3">
      <c r="A40" s="422" t="s">
        <v>444</v>
      </c>
      <c r="B40" s="423" t="s">
        <v>445</v>
      </c>
      <c r="C40" s="424" t="s">
        <v>449</v>
      </c>
      <c r="D40" s="425" t="s">
        <v>705</v>
      </c>
      <c r="E40" s="424" t="s">
        <v>454</v>
      </c>
      <c r="F40" s="425" t="s">
        <v>706</v>
      </c>
      <c r="G40" s="424" t="s">
        <v>455</v>
      </c>
      <c r="H40" s="424" t="s">
        <v>564</v>
      </c>
      <c r="I40" s="424" t="s">
        <v>565</v>
      </c>
      <c r="J40" s="424" t="s">
        <v>566</v>
      </c>
      <c r="K40" s="424" t="s">
        <v>567</v>
      </c>
      <c r="L40" s="426">
        <v>58.873837639183868</v>
      </c>
      <c r="M40" s="426">
        <v>23</v>
      </c>
      <c r="N40" s="427">
        <v>1354.0982657012289</v>
      </c>
    </row>
    <row r="41" spans="1:14" ht="14.4" customHeight="1" x14ac:dyDescent="0.3">
      <c r="A41" s="422" t="s">
        <v>444</v>
      </c>
      <c r="B41" s="423" t="s">
        <v>445</v>
      </c>
      <c r="C41" s="424" t="s">
        <v>449</v>
      </c>
      <c r="D41" s="425" t="s">
        <v>705</v>
      </c>
      <c r="E41" s="424" t="s">
        <v>454</v>
      </c>
      <c r="F41" s="425" t="s">
        <v>706</v>
      </c>
      <c r="G41" s="424" t="s">
        <v>455</v>
      </c>
      <c r="H41" s="424" t="s">
        <v>568</v>
      </c>
      <c r="I41" s="424" t="s">
        <v>141</v>
      </c>
      <c r="J41" s="424" t="s">
        <v>569</v>
      </c>
      <c r="K41" s="424" t="s">
        <v>570</v>
      </c>
      <c r="L41" s="426">
        <v>23.700233511136794</v>
      </c>
      <c r="M41" s="426">
        <v>102</v>
      </c>
      <c r="N41" s="427">
        <v>2417.4238181359528</v>
      </c>
    </row>
    <row r="42" spans="1:14" ht="14.4" customHeight="1" x14ac:dyDescent="0.3">
      <c r="A42" s="422" t="s">
        <v>444</v>
      </c>
      <c r="B42" s="423" t="s">
        <v>445</v>
      </c>
      <c r="C42" s="424" t="s">
        <v>449</v>
      </c>
      <c r="D42" s="425" t="s">
        <v>705</v>
      </c>
      <c r="E42" s="424" t="s">
        <v>454</v>
      </c>
      <c r="F42" s="425" t="s">
        <v>706</v>
      </c>
      <c r="G42" s="424" t="s">
        <v>455</v>
      </c>
      <c r="H42" s="424" t="s">
        <v>571</v>
      </c>
      <c r="I42" s="424" t="s">
        <v>141</v>
      </c>
      <c r="J42" s="424" t="s">
        <v>572</v>
      </c>
      <c r="K42" s="424"/>
      <c r="L42" s="426">
        <v>73.050388332087493</v>
      </c>
      <c r="M42" s="426">
        <v>17</v>
      </c>
      <c r="N42" s="427">
        <v>1241.8566016454874</v>
      </c>
    </row>
    <row r="43" spans="1:14" ht="14.4" customHeight="1" x14ac:dyDescent="0.3">
      <c r="A43" s="422" t="s">
        <v>444</v>
      </c>
      <c r="B43" s="423" t="s">
        <v>445</v>
      </c>
      <c r="C43" s="424" t="s">
        <v>449</v>
      </c>
      <c r="D43" s="425" t="s">
        <v>705</v>
      </c>
      <c r="E43" s="424" t="s">
        <v>454</v>
      </c>
      <c r="F43" s="425" t="s">
        <v>706</v>
      </c>
      <c r="G43" s="424" t="s">
        <v>455</v>
      </c>
      <c r="H43" s="424" t="s">
        <v>573</v>
      </c>
      <c r="I43" s="424" t="s">
        <v>574</v>
      </c>
      <c r="J43" s="424" t="s">
        <v>575</v>
      </c>
      <c r="K43" s="424" t="s">
        <v>576</v>
      </c>
      <c r="L43" s="426">
        <v>37.058000000000007</v>
      </c>
      <c r="M43" s="426">
        <v>5</v>
      </c>
      <c r="N43" s="427">
        <v>185.29000000000002</v>
      </c>
    </row>
    <row r="44" spans="1:14" ht="14.4" customHeight="1" x14ac:dyDescent="0.3">
      <c r="A44" s="422" t="s">
        <v>444</v>
      </c>
      <c r="B44" s="423" t="s">
        <v>445</v>
      </c>
      <c r="C44" s="424" t="s">
        <v>449</v>
      </c>
      <c r="D44" s="425" t="s">
        <v>705</v>
      </c>
      <c r="E44" s="424" t="s">
        <v>454</v>
      </c>
      <c r="F44" s="425" t="s">
        <v>706</v>
      </c>
      <c r="G44" s="424" t="s">
        <v>455</v>
      </c>
      <c r="H44" s="424" t="s">
        <v>577</v>
      </c>
      <c r="I44" s="424" t="s">
        <v>141</v>
      </c>
      <c r="J44" s="424" t="s">
        <v>578</v>
      </c>
      <c r="K44" s="424"/>
      <c r="L44" s="426">
        <v>50.863460478540254</v>
      </c>
      <c r="M44" s="426">
        <v>7</v>
      </c>
      <c r="N44" s="427">
        <v>356.04422334978176</v>
      </c>
    </row>
    <row r="45" spans="1:14" ht="14.4" customHeight="1" x14ac:dyDescent="0.3">
      <c r="A45" s="422" t="s">
        <v>444</v>
      </c>
      <c r="B45" s="423" t="s">
        <v>445</v>
      </c>
      <c r="C45" s="424" t="s">
        <v>449</v>
      </c>
      <c r="D45" s="425" t="s">
        <v>705</v>
      </c>
      <c r="E45" s="424" t="s">
        <v>454</v>
      </c>
      <c r="F45" s="425" t="s">
        <v>706</v>
      </c>
      <c r="G45" s="424" t="s">
        <v>455</v>
      </c>
      <c r="H45" s="424" t="s">
        <v>579</v>
      </c>
      <c r="I45" s="424" t="s">
        <v>141</v>
      </c>
      <c r="J45" s="424" t="s">
        <v>580</v>
      </c>
      <c r="K45" s="424"/>
      <c r="L45" s="426">
        <v>73.552990455120892</v>
      </c>
      <c r="M45" s="426">
        <v>3</v>
      </c>
      <c r="N45" s="427">
        <v>220.65897136536267</v>
      </c>
    </row>
    <row r="46" spans="1:14" ht="14.4" customHeight="1" x14ac:dyDescent="0.3">
      <c r="A46" s="422" t="s">
        <v>444</v>
      </c>
      <c r="B46" s="423" t="s">
        <v>445</v>
      </c>
      <c r="C46" s="424" t="s">
        <v>449</v>
      </c>
      <c r="D46" s="425" t="s">
        <v>705</v>
      </c>
      <c r="E46" s="424" t="s">
        <v>454</v>
      </c>
      <c r="F46" s="425" t="s">
        <v>706</v>
      </c>
      <c r="G46" s="424" t="s">
        <v>455</v>
      </c>
      <c r="H46" s="424" t="s">
        <v>581</v>
      </c>
      <c r="I46" s="424" t="s">
        <v>141</v>
      </c>
      <c r="J46" s="424" t="s">
        <v>582</v>
      </c>
      <c r="K46" s="424"/>
      <c r="L46" s="426">
        <v>121.34000000000006</v>
      </c>
      <c r="M46" s="426">
        <v>4</v>
      </c>
      <c r="N46" s="427">
        <v>485.36000000000024</v>
      </c>
    </row>
    <row r="47" spans="1:14" ht="14.4" customHeight="1" x14ac:dyDescent="0.3">
      <c r="A47" s="422" t="s">
        <v>444</v>
      </c>
      <c r="B47" s="423" t="s">
        <v>445</v>
      </c>
      <c r="C47" s="424" t="s">
        <v>449</v>
      </c>
      <c r="D47" s="425" t="s">
        <v>705</v>
      </c>
      <c r="E47" s="424" t="s">
        <v>454</v>
      </c>
      <c r="F47" s="425" t="s">
        <v>706</v>
      </c>
      <c r="G47" s="424" t="s">
        <v>455</v>
      </c>
      <c r="H47" s="424" t="s">
        <v>583</v>
      </c>
      <c r="I47" s="424" t="s">
        <v>141</v>
      </c>
      <c r="J47" s="424" t="s">
        <v>584</v>
      </c>
      <c r="K47" s="424"/>
      <c r="L47" s="426">
        <v>133.04150264493484</v>
      </c>
      <c r="M47" s="426">
        <v>1</v>
      </c>
      <c r="N47" s="427">
        <v>133.04150264493484</v>
      </c>
    </row>
    <row r="48" spans="1:14" ht="14.4" customHeight="1" x14ac:dyDescent="0.3">
      <c r="A48" s="422" t="s">
        <v>444</v>
      </c>
      <c r="B48" s="423" t="s">
        <v>445</v>
      </c>
      <c r="C48" s="424" t="s">
        <v>449</v>
      </c>
      <c r="D48" s="425" t="s">
        <v>705</v>
      </c>
      <c r="E48" s="424" t="s">
        <v>454</v>
      </c>
      <c r="F48" s="425" t="s">
        <v>706</v>
      </c>
      <c r="G48" s="424" t="s">
        <v>455</v>
      </c>
      <c r="H48" s="424" t="s">
        <v>585</v>
      </c>
      <c r="I48" s="424" t="s">
        <v>141</v>
      </c>
      <c r="J48" s="424" t="s">
        <v>586</v>
      </c>
      <c r="K48" s="424" t="s">
        <v>587</v>
      </c>
      <c r="L48" s="426">
        <v>86.160055993801407</v>
      </c>
      <c r="M48" s="426">
        <v>3</v>
      </c>
      <c r="N48" s="427">
        <v>258.48016798140424</v>
      </c>
    </row>
    <row r="49" spans="1:14" ht="14.4" customHeight="1" x14ac:dyDescent="0.3">
      <c r="A49" s="422" t="s">
        <v>444</v>
      </c>
      <c r="B49" s="423" t="s">
        <v>445</v>
      </c>
      <c r="C49" s="424" t="s">
        <v>449</v>
      </c>
      <c r="D49" s="425" t="s">
        <v>705</v>
      </c>
      <c r="E49" s="424" t="s">
        <v>454</v>
      </c>
      <c r="F49" s="425" t="s">
        <v>706</v>
      </c>
      <c r="G49" s="424" t="s">
        <v>455</v>
      </c>
      <c r="H49" s="424" t="s">
        <v>588</v>
      </c>
      <c r="I49" s="424" t="s">
        <v>141</v>
      </c>
      <c r="J49" s="424" t="s">
        <v>589</v>
      </c>
      <c r="K49" s="424" t="s">
        <v>590</v>
      </c>
      <c r="L49" s="426">
        <v>96.840000000000032</v>
      </c>
      <c r="M49" s="426">
        <v>1</v>
      </c>
      <c r="N49" s="427">
        <v>96.840000000000032</v>
      </c>
    </row>
    <row r="50" spans="1:14" ht="14.4" customHeight="1" x14ac:dyDescent="0.3">
      <c r="A50" s="422" t="s">
        <v>444</v>
      </c>
      <c r="B50" s="423" t="s">
        <v>445</v>
      </c>
      <c r="C50" s="424" t="s">
        <v>449</v>
      </c>
      <c r="D50" s="425" t="s">
        <v>705</v>
      </c>
      <c r="E50" s="424" t="s">
        <v>454</v>
      </c>
      <c r="F50" s="425" t="s">
        <v>706</v>
      </c>
      <c r="G50" s="424" t="s">
        <v>455</v>
      </c>
      <c r="H50" s="424" t="s">
        <v>591</v>
      </c>
      <c r="I50" s="424" t="s">
        <v>141</v>
      </c>
      <c r="J50" s="424" t="s">
        <v>592</v>
      </c>
      <c r="K50" s="424"/>
      <c r="L50" s="426">
        <v>121.15938105547629</v>
      </c>
      <c r="M50" s="426">
        <v>14</v>
      </c>
      <c r="N50" s="427">
        <v>1696.2313347766681</v>
      </c>
    </row>
    <row r="51" spans="1:14" ht="14.4" customHeight="1" x14ac:dyDescent="0.3">
      <c r="A51" s="422" t="s">
        <v>444</v>
      </c>
      <c r="B51" s="423" t="s">
        <v>445</v>
      </c>
      <c r="C51" s="424" t="s">
        <v>449</v>
      </c>
      <c r="D51" s="425" t="s">
        <v>705</v>
      </c>
      <c r="E51" s="424" t="s">
        <v>454</v>
      </c>
      <c r="F51" s="425" t="s">
        <v>706</v>
      </c>
      <c r="G51" s="424" t="s">
        <v>455</v>
      </c>
      <c r="H51" s="424" t="s">
        <v>593</v>
      </c>
      <c r="I51" s="424" t="s">
        <v>141</v>
      </c>
      <c r="J51" s="424" t="s">
        <v>594</v>
      </c>
      <c r="K51" s="424" t="s">
        <v>595</v>
      </c>
      <c r="L51" s="426">
        <v>74.390901721165505</v>
      </c>
      <c r="M51" s="426">
        <v>5</v>
      </c>
      <c r="N51" s="427">
        <v>371.95450860582753</v>
      </c>
    </row>
    <row r="52" spans="1:14" ht="14.4" customHeight="1" x14ac:dyDescent="0.3">
      <c r="A52" s="422" t="s">
        <v>444</v>
      </c>
      <c r="B52" s="423" t="s">
        <v>445</v>
      </c>
      <c r="C52" s="424" t="s">
        <v>449</v>
      </c>
      <c r="D52" s="425" t="s">
        <v>705</v>
      </c>
      <c r="E52" s="424" t="s">
        <v>454</v>
      </c>
      <c r="F52" s="425" t="s">
        <v>706</v>
      </c>
      <c r="G52" s="424" t="s">
        <v>455</v>
      </c>
      <c r="H52" s="424" t="s">
        <v>596</v>
      </c>
      <c r="I52" s="424" t="s">
        <v>141</v>
      </c>
      <c r="J52" s="424" t="s">
        <v>597</v>
      </c>
      <c r="K52" s="424"/>
      <c r="L52" s="426">
        <v>51.965108025409982</v>
      </c>
      <c r="M52" s="426">
        <v>7</v>
      </c>
      <c r="N52" s="427">
        <v>363.7557561778699</v>
      </c>
    </row>
    <row r="53" spans="1:14" ht="14.4" customHeight="1" x14ac:dyDescent="0.3">
      <c r="A53" s="422" t="s">
        <v>444</v>
      </c>
      <c r="B53" s="423" t="s">
        <v>445</v>
      </c>
      <c r="C53" s="424" t="s">
        <v>449</v>
      </c>
      <c r="D53" s="425" t="s">
        <v>705</v>
      </c>
      <c r="E53" s="424" t="s">
        <v>454</v>
      </c>
      <c r="F53" s="425" t="s">
        <v>706</v>
      </c>
      <c r="G53" s="424" t="s">
        <v>455</v>
      </c>
      <c r="H53" s="424" t="s">
        <v>598</v>
      </c>
      <c r="I53" s="424" t="s">
        <v>141</v>
      </c>
      <c r="J53" s="424" t="s">
        <v>599</v>
      </c>
      <c r="K53" s="424"/>
      <c r="L53" s="426">
        <v>39.276879938593254</v>
      </c>
      <c r="M53" s="426">
        <v>36</v>
      </c>
      <c r="N53" s="427">
        <v>1413.9676777893571</v>
      </c>
    </row>
    <row r="54" spans="1:14" ht="14.4" customHeight="1" x14ac:dyDescent="0.3">
      <c r="A54" s="422" t="s">
        <v>444</v>
      </c>
      <c r="B54" s="423" t="s">
        <v>445</v>
      </c>
      <c r="C54" s="424" t="s">
        <v>449</v>
      </c>
      <c r="D54" s="425" t="s">
        <v>705</v>
      </c>
      <c r="E54" s="424" t="s">
        <v>454</v>
      </c>
      <c r="F54" s="425" t="s">
        <v>706</v>
      </c>
      <c r="G54" s="424" t="s">
        <v>455</v>
      </c>
      <c r="H54" s="424" t="s">
        <v>600</v>
      </c>
      <c r="I54" s="424" t="s">
        <v>141</v>
      </c>
      <c r="J54" s="424" t="s">
        <v>601</v>
      </c>
      <c r="K54" s="424"/>
      <c r="L54" s="426">
        <v>49.049843631504956</v>
      </c>
      <c r="M54" s="426">
        <v>2</v>
      </c>
      <c r="N54" s="427">
        <v>98.099687263009912</v>
      </c>
    </row>
    <row r="55" spans="1:14" ht="14.4" customHeight="1" x14ac:dyDescent="0.3">
      <c r="A55" s="422" t="s">
        <v>444</v>
      </c>
      <c r="B55" s="423" t="s">
        <v>445</v>
      </c>
      <c r="C55" s="424" t="s">
        <v>449</v>
      </c>
      <c r="D55" s="425" t="s">
        <v>705</v>
      </c>
      <c r="E55" s="424" t="s">
        <v>454</v>
      </c>
      <c r="F55" s="425" t="s">
        <v>706</v>
      </c>
      <c r="G55" s="424" t="s">
        <v>455</v>
      </c>
      <c r="H55" s="424" t="s">
        <v>602</v>
      </c>
      <c r="I55" s="424" t="s">
        <v>141</v>
      </c>
      <c r="J55" s="424" t="s">
        <v>603</v>
      </c>
      <c r="K55" s="424"/>
      <c r="L55" s="426">
        <v>88.258396431817914</v>
      </c>
      <c r="M55" s="426">
        <v>1</v>
      </c>
      <c r="N55" s="427">
        <v>88.258396431817914</v>
      </c>
    </row>
    <row r="56" spans="1:14" ht="14.4" customHeight="1" x14ac:dyDescent="0.3">
      <c r="A56" s="422" t="s">
        <v>444</v>
      </c>
      <c r="B56" s="423" t="s">
        <v>445</v>
      </c>
      <c r="C56" s="424" t="s">
        <v>449</v>
      </c>
      <c r="D56" s="425" t="s">
        <v>705</v>
      </c>
      <c r="E56" s="424" t="s">
        <v>454</v>
      </c>
      <c r="F56" s="425" t="s">
        <v>706</v>
      </c>
      <c r="G56" s="424" t="s">
        <v>455</v>
      </c>
      <c r="H56" s="424" t="s">
        <v>604</v>
      </c>
      <c r="I56" s="424" t="s">
        <v>141</v>
      </c>
      <c r="J56" s="424" t="s">
        <v>605</v>
      </c>
      <c r="K56" s="424"/>
      <c r="L56" s="426">
        <v>70.202818959648909</v>
      </c>
      <c r="M56" s="426">
        <v>1</v>
      </c>
      <c r="N56" s="427">
        <v>70.202818959648909</v>
      </c>
    </row>
    <row r="57" spans="1:14" ht="14.4" customHeight="1" x14ac:dyDescent="0.3">
      <c r="A57" s="422" t="s">
        <v>444</v>
      </c>
      <c r="B57" s="423" t="s">
        <v>445</v>
      </c>
      <c r="C57" s="424" t="s">
        <v>449</v>
      </c>
      <c r="D57" s="425" t="s">
        <v>705</v>
      </c>
      <c r="E57" s="424" t="s">
        <v>454</v>
      </c>
      <c r="F57" s="425" t="s">
        <v>706</v>
      </c>
      <c r="G57" s="424" t="s">
        <v>455</v>
      </c>
      <c r="H57" s="424" t="s">
        <v>606</v>
      </c>
      <c r="I57" s="424" t="s">
        <v>141</v>
      </c>
      <c r="J57" s="424" t="s">
        <v>607</v>
      </c>
      <c r="K57" s="424"/>
      <c r="L57" s="426">
        <v>269.02907786359054</v>
      </c>
      <c r="M57" s="426">
        <v>1</v>
      </c>
      <c r="N57" s="427">
        <v>269.02907786359054</v>
      </c>
    </row>
    <row r="58" spans="1:14" ht="14.4" customHeight="1" x14ac:dyDescent="0.3">
      <c r="A58" s="422" t="s">
        <v>444</v>
      </c>
      <c r="B58" s="423" t="s">
        <v>445</v>
      </c>
      <c r="C58" s="424" t="s">
        <v>449</v>
      </c>
      <c r="D58" s="425" t="s">
        <v>705</v>
      </c>
      <c r="E58" s="424" t="s">
        <v>454</v>
      </c>
      <c r="F58" s="425" t="s">
        <v>706</v>
      </c>
      <c r="G58" s="424" t="s">
        <v>455</v>
      </c>
      <c r="H58" s="424" t="s">
        <v>608</v>
      </c>
      <c r="I58" s="424" t="s">
        <v>141</v>
      </c>
      <c r="J58" s="424" t="s">
        <v>609</v>
      </c>
      <c r="K58" s="424"/>
      <c r="L58" s="426">
        <v>44.157445874089035</v>
      </c>
      <c r="M58" s="426">
        <v>5</v>
      </c>
      <c r="N58" s="427">
        <v>220.78722937044517</v>
      </c>
    </row>
    <row r="59" spans="1:14" ht="14.4" customHeight="1" x14ac:dyDescent="0.3">
      <c r="A59" s="422" t="s">
        <v>444</v>
      </c>
      <c r="B59" s="423" t="s">
        <v>445</v>
      </c>
      <c r="C59" s="424" t="s">
        <v>449</v>
      </c>
      <c r="D59" s="425" t="s">
        <v>705</v>
      </c>
      <c r="E59" s="424" t="s">
        <v>454</v>
      </c>
      <c r="F59" s="425" t="s">
        <v>706</v>
      </c>
      <c r="G59" s="424" t="s">
        <v>455</v>
      </c>
      <c r="H59" s="424" t="s">
        <v>610</v>
      </c>
      <c r="I59" s="424" t="s">
        <v>141</v>
      </c>
      <c r="J59" s="424" t="s">
        <v>611</v>
      </c>
      <c r="K59" s="424"/>
      <c r="L59" s="426">
        <v>41.13578632222351</v>
      </c>
      <c r="M59" s="426">
        <v>18</v>
      </c>
      <c r="N59" s="427">
        <v>740.44415380002317</v>
      </c>
    </row>
    <row r="60" spans="1:14" ht="14.4" customHeight="1" x14ac:dyDescent="0.3">
      <c r="A60" s="422" t="s">
        <v>444</v>
      </c>
      <c r="B60" s="423" t="s">
        <v>445</v>
      </c>
      <c r="C60" s="424" t="s">
        <v>449</v>
      </c>
      <c r="D60" s="425" t="s">
        <v>705</v>
      </c>
      <c r="E60" s="424" t="s">
        <v>454</v>
      </c>
      <c r="F60" s="425" t="s">
        <v>706</v>
      </c>
      <c r="G60" s="424" t="s">
        <v>455</v>
      </c>
      <c r="H60" s="424" t="s">
        <v>612</v>
      </c>
      <c r="I60" s="424" t="s">
        <v>613</v>
      </c>
      <c r="J60" s="424" t="s">
        <v>614</v>
      </c>
      <c r="K60" s="424" t="s">
        <v>615</v>
      </c>
      <c r="L60" s="426">
        <v>88.158641639930764</v>
      </c>
      <c r="M60" s="426">
        <v>33</v>
      </c>
      <c r="N60" s="427">
        <v>2909.2351741177154</v>
      </c>
    </row>
    <row r="61" spans="1:14" ht="14.4" customHeight="1" x14ac:dyDescent="0.3">
      <c r="A61" s="422" t="s">
        <v>444</v>
      </c>
      <c r="B61" s="423" t="s">
        <v>445</v>
      </c>
      <c r="C61" s="424" t="s">
        <v>449</v>
      </c>
      <c r="D61" s="425" t="s">
        <v>705</v>
      </c>
      <c r="E61" s="424" t="s">
        <v>454</v>
      </c>
      <c r="F61" s="425" t="s">
        <v>706</v>
      </c>
      <c r="G61" s="424" t="s">
        <v>455</v>
      </c>
      <c r="H61" s="424" t="s">
        <v>616</v>
      </c>
      <c r="I61" s="424" t="s">
        <v>141</v>
      </c>
      <c r="J61" s="424" t="s">
        <v>617</v>
      </c>
      <c r="K61" s="424"/>
      <c r="L61" s="426">
        <v>79.174506346190668</v>
      </c>
      <c r="M61" s="426">
        <v>10</v>
      </c>
      <c r="N61" s="427">
        <v>791.74506346190662</v>
      </c>
    </row>
    <row r="62" spans="1:14" ht="14.4" customHeight="1" x14ac:dyDescent="0.3">
      <c r="A62" s="422" t="s">
        <v>444</v>
      </c>
      <c r="B62" s="423" t="s">
        <v>445</v>
      </c>
      <c r="C62" s="424" t="s">
        <v>449</v>
      </c>
      <c r="D62" s="425" t="s">
        <v>705</v>
      </c>
      <c r="E62" s="424" t="s">
        <v>454</v>
      </c>
      <c r="F62" s="425" t="s">
        <v>706</v>
      </c>
      <c r="G62" s="424" t="s">
        <v>455</v>
      </c>
      <c r="H62" s="424" t="s">
        <v>618</v>
      </c>
      <c r="I62" s="424" t="s">
        <v>141</v>
      </c>
      <c r="J62" s="424" t="s">
        <v>619</v>
      </c>
      <c r="K62" s="424" t="s">
        <v>620</v>
      </c>
      <c r="L62" s="426">
        <v>112.46070666441555</v>
      </c>
      <c r="M62" s="426">
        <v>76</v>
      </c>
      <c r="N62" s="427">
        <v>8547.0137064955816</v>
      </c>
    </row>
    <row r="63" spans="1:14" ht="14.4" customHeight="1" x14ac:dyDescent="0.3">
      <c r="A63" s="422" t="s">
        <v>444</v>
      </c>
      <c r="B63" s="423" t="s">
        <v>445</v>
      </c>
      <c r="C63" s="424" t="s">
        <v>449</v>
      </c>
      <c r="D63" s="425" t="s">
        <v>705</v>
      </c>
      <c r="E63" s="424" t="s">
        <v>454</v>
      </c>
      <c r="F63" s="425" t="s">
        <v>706</v>
      </c>
      <c r="G63" s="424" t="s">
        <v>455</v>
      </c>
      <c r="H63" s="424" t="s">
        <v>621</v>
      </c>
      <c r="I63" s="424" t="s">
        <v>141</v>
      </c>
      <c r="J63" s="424" t="s">
        <v>622</v>
      </c>
      <c r="K63" s="424"/>
      <c r="L63" s="426">
        <v>56.087279068687543</v>
      </c>
      <c r="M63" s="426">
        <v>3</v>
      </c>
      <c r="N63" s="427">
        <v>168.26183720606264</v>
      </c>
    </row>
    <row r="64" spans="1:14" ht="14.4" customHeight="1" x14ac:dyDescent="0.3">
      <c r="A64" s="422" t="s">
        <v>444</v>
      </c>
      <c r="B64" s="423" t="s">
        <v>445</v>
      </c>
      <c r="C64" s="424" t="s">
        <v>449</v>
      </c>
      <c r="D64" s="425" t="s">
        <v>705</v>
      </c>
      <c r="E64" s="424" t="s">
        <v>454</v>
      </c>
      <c r="F64" s="425" t="s">
        <v>706</v>
      </c>
      <c r="G64" s="424" t="s">
        <v>455</v>
      </c>
      <c r="H64" s="424" t="s">
        <v>623</v>
      </c>
      <c r="I64" s="424" t="s">
        <v>141</v>
      </c>
      <c r="J64" s="424" t="s">
        <v>624</v>
      </c>
      <c r="K64" s="424"/>
      <c r="L64" s="426">
        <v>144.39381105843847</v>
      </c>
      <c r="M64" s="426">
        <v>1</v>
      </c>
      <c r="N64" s="427">
        <v>144.39381105843847</v>
      </c>
    </row>
    <row r="65" spans="1:14" ht="14.4" customHeight="1" x14ac:dyDescent="0.3">
      <c r="A65" s="422" t="s">
        <v>444</v>
      </c>
      <c r="B65" s="423" t="s">
        <v>445</v>
      </c>
      <c r="C65" s="424" t="s">
        <v>449</v>
      </c>
      <c r="D65" s="425" t="s">
        <v>705</v>
      </c>
      <c r="E65" s="424" t="s">
        <v>454</v>
      </c>
      <c r="F65" s="425" t="s">
        <v>706</v>
      </c>
      <c r="G65" s="424" t="s">
        <v>455</v>
      </c>
      <c r="H65" s="424" t="s">
        <v>625</v>
      </c>
      <c r="I65" s="424" t="s">
        <v>141</v>
      </c>
      <c r="J65" s="424" t="s">
        <v>626</v>
      </c>
      <c r="K65" s="424"/>
      <c r="L65" s="426">
        <v>75.485308359824785</v>
      </c>
      <c r="M65" s="426">
        <v>14</v>
      </c>
      <c r="N65" s="427">
        <v>1056.794317037547</v>
      </c>
    </row>
    <row r="66" spans="1:14" ht="14.4" customHeight="1" x14ac:dyDescent="0.3">
      <c r="A66" s="422" t="s">
        <v>444</v>
      </c>
      <c r="B66" s="423" t="s">
        <v>445</v>
      </c>
      <c r="C66" s="424" t="s">
        <v>449</v>
      </c>
      <c r="D66" s="425" t="s">
        <v>705</v>
      </c>
      <c r="E66" s="424" t="s">
        <v>454</v>
      </c>
      <c r="F66" s="425" t="s">
        <v>706</v>
      </c>
      <c r="G66" s="424" t="s">
        <v>455</v>
      </c>
      <c r="H66" s="424" t="s">
        <v>627</v>
      </c>
      <c r="I66" s="424" t="s">
        <v>628</v>
      </c>
      <c r="J66" s="424" t="s">
        <v>629</v>
      </c>
      <c r="K66" s="424" t="s">
        <v>630</v>
      </c>
      <c r="L66" s="426">
        <v>452.76</v>
      </c>
      <c r="M66" s="426">
        <v>8</v>
      </c>
      <c r="N66" s="427">
        <v>3622.08</v>
      </c>
    </row>
    <row r="67" spans="1:14" ht="14.4" customHeight="1" x14ac:dyDescent="0.3">
      <c r="A67" s="422" t="s">
        <v>444</v>
      </c>
      <c r="B67" s="423" t="s">
        <v>445</v>
      </c>
      <c r="C67" s="424" t="s">
        <v>449</v>
      </c>
      <c r="D67" s="425" t="s">
        <v>705</v>
      </c>
      <c r="E67" s="424" t="s">
        <v>454</v>
      </c>
      <c r="F67" s="425" t="s">
        <v>706</v>
      </c>
      <c r="G67" s="424" t="s">
        <v>455</v>
      </c>
      <c r="H67" s="424" t="s">
        <v>631</v>
      </c>
      <c r="I67" s="424" t="s">
        <v>632</v>
      </c>
      <c r="J67" s="424" t="s">
        <v>633</v>
      </c>
      <c r="K67" s="424" t="s">
        <v>634</v>
      </c>
      <c r="L67" s="426">
        <v>192.04998845726871</v>
      </c>
      <c r="M67" s="426">
        <v>11</v>
      </c>
      <c r="N67" s="427">
        <v>2112.549873029956</v>
      </c>
    </row>
    <row r="68" spans="1:14" ht="14.4" customHeight="1" x14ac:dyDescent="0.3">
      <c r="A68" s="422" t="s">
        <v>444</v>
      </c>
      <c r="B68" s="423" t="s">
        <v>445</v>
      </c>
      <c r="C68" s="424" t="s">
        <v>449</v>
      </c>
      <c r="D68" s="425" t="s">
        <v>705</v>
      </c>
      <c r="E68" s="424" t="s">
        <v>454</v>
      </c>
      <c r="F68" s="425" t="s">
        <v>706</v>
      </c>
      <c r="G68" s="424" t="s">
        <v>455</v>
      </c>
      <c r="H68" s="424" t="s">
        <v>635</v>
      </c>
      <c r="I68" s="424" t="s">
        <v>141</v>
      </c>
      <c r="J68" s="424" t="s">
        <v>636</v>
      </c>
      <c r="K68" s="424"/>
      <c r="L68" s="426">
        <v>109.09</v>
      </c>
      <c r="M68" s="426">
        <v>5</v>
      </c>
      <c r="N68" s="427">
        <v>545.45000000000005</v>
      </c>
    </row>
    <row r="69" spans="1:14" ht="14.4" customHeight="1" x14ac:dyDescent="0.3">
      <c r="A69" s="422" t="s">
        <v>444</v>
      </c>
      <c r="B69" s="423" t="s">
        <v>445</v>
      </c>
      <c r="C69" s="424" t="s">
        <v>449</v>
      </c>
      <c r="D69" s="425" t="s">
        <v>705</v>
      </c>
      <c r="E69" s="424" t="s">
        <v>454</v>
      </c>
      <c r="F69" s="425" t="s">
        <v>706</v>
      </c>
      <c r="G69" s="424" t="s">
        <v>455</v>
      </c>
      <c r="H69" s="424" t="s">
        <v>637</v>
      </c>
      <c r="I69" s="424" t="s">
        <v>141</v>
      </c>
      <c r="J69" s="424" t="s">
        <v>638</v>
      </c>
      <c r="K69" s="424"/>
      <c r="L69" s="426">
        <v>38.988352647851173</v>
      </c>
      <c r="M69" s="426">
        <v>12</v>
      </c>
      <c r="N69" s="427">
        <v>467.86023177421407</v>
      </c>
    </row>
    <row r="70" spans="1:14" ht="14.4" customHeight="1" x14ac:dyDescent="0.3">
      <c r="A70" s="422" t="s">
        <v>444</v>
      </c>
      <c r="B70" s="423" t="s">
        <v>445</v>
      </c>
      <c r="C70" s="424" t="s">
        <v>449</v>
      </c>
      <c r="D70" s="425" t="s">
        <v>705</v>
      </c>
      <c r="E70" s="424" t="s">
        <v>454</v>
      </c>
      <c r="F70" s="425" t="s">
        <v>706</v>
      </c>
      <c r="G70" s="424" t="s">
        <v>455</v>
      </c>
      <c r="H70" s="424" t="s">
        <v>639</v>
      </c>
      <c r="I70" s="424" t="s">
        <v>141</v>
      </c>
      <c r="J70" s="424" t="s">
        <v>640</v>
      </c>
      <c r="K70" s="424"/>
      <c r="L70" s="426">
        <v>79.746045943693716</v>
      </c>
      <c r="M70" s="426">
        <v>36</v>
      </c>
      <c r="N70" s="427">
        <v>2870.8576539729738</v>
      </c>
    </row>
    <row r="71" spans="1:14" ht="14.4" customHeight="1" x14ac:dyDescent="0.3">
      <c r="A71" s="422" t="s">
        <v>444</v>
      </c>
      <c r="B71" s="423" t="s">
        <v>445</v>
      </c>
      <c r="C71" s="424" t="s">
        <v>449</v>
      </c>
      <c r="D71" s="425" t="s">
        <v>705</v>
      </c>
      <c r="E71" s="424" t="s">
        <v>454</v>
      </c>
      <c r="F71" s="425" t="s">
        <v>706</v>
      </c>
      <c r="G71" s="424" t="s">
        <v>455</v>
      </c>
      <c r="H71" s="424" t="s">
        <v>641</v>
      </c>
      <c r="I71" s="424" t="s">
        <v>141</v>
      </c>
      <c r="J71" s="424" t="s">
        <v>642</v>
      </c>
      <c r="K71" s="424"/>
      <c r="L71" s="426">
        <v>107.94185412055108</v>
      </c>
      <c r="M71" s="426">
        <v>10</v>
      </c>
      <c r="N71" s="427">
        <v>1079.4185412055108</v>
      </c>
    </row>
    <row r="72" spans="1:14" ht="14.4" customHeight="1" x14ac:dyDescent="0.3">
      <c r="A72" s="422" t="s">
        <v>444</v>
      </c>
      <c r="B72" s="423" t="s">
        <v>445</v>
      </c>
      <c r="C72" s="424" t="s">
        <v>449</v>
      </c>
      <c r="D72" s="425" t="s">
        <v>705</v>
      </c>
      <c r="E72" s="424" t="s">
        <v>454</v>
      </c>
      <c r="F72" s="425" t="s">
        <v>706</v>
      </c>
      <c r="G72" s="424" t="s">
        <v>455</v>
      </c>
      <c r="H72" s="424" t="s">
        <v>643</v>
      </c>
      <c r="I72" s="424" t="s">
        <v>141</v>
      </c>
      <c r="J72" s="424" t="s">
        <v>644</v>
      </c>
      <c r="K72" s="424"/>
      <c r="L72" s="426">
        <v>112.77429690128085</v>
      </c>
      <c r="M72" s="426">
        <v>10</v>
      </c>
      <c r="N72" s="427">
        <v>1127.7429690128085</v>
      </c>
    </row>
    <row r="73" spans="1:14" ht="14.4" customHeight="1" x14ac:dyDescent="0.3">
      <c r="A73" s="422" t="s">
        <v>444</v>
      </c>
      <c r="B73" s="423" t="s">
        <v>445</v>
      </c>
      <c r="C73" s="424" t="s">
        <v>449</v>
      </c>
      <c r="D73" s="425" t="s">
        <v>705</v>
      </c>
      <c r="E73" s="424" t="s">
        <v>454</v>
      </c>
      <c r="F73" s="425" t="s">
        <v>706</v>
      </c>
      <c r="G73" s="424" t="s">
        <v>455</v>
      </c>
      <c r="H73" s="424" t="s">
        <v>645</v>
      </c>
      <c r="I73" s="424" t="s">
        <v>141</v>
      </c>
      <c r="J73" s="424" t="s">
        <v>646</v>
      </c>
      <c r="K73" s="424"/>
      <c r="L73" s="426">
        <v>135.00402855159726</v>
      </c>
      <c r="M73" s="426">
        <v>23</v>
      </c>
      <c r="N73" s="427">
        <v>3105.092656686737</v>
      </c>
    </row>
    <row r="74" spans="1:14" ht="14.4" customHeight="1" x14ac:dyDescent="0.3">
      <c r="A74" s="422" t="s">
        <v>444</v>
      </c>
      <c r="B74" s="423" t="s">
        <v>445</v>
      </c>
      <c r="C74" s="424" t="s">
        <v>449</v>
      </c>
      <c r="D74" s="425" t="s">
        <v>705</v>
      </c>
      <c r="E74" s="424" t="s">
        <v>454</v>
      </c>
      <c r="F74" s="425" t="s">
        <v>706</v>
      </c>
      <c r="G74" s="424" t="s">
        <v>455</v>
      </c>
      <c r="H74" s="424" t="s">
        <v>647</v>
      </c>
      <c r="I74" s="424" t="s">
        <v>141</v>
      </c>
      <c r="J74" s="424" t="s">
        <v>648</v>
      </c>
      <c r="K74" s="424"/>
      <c r="L74" s="426">
        <v>44.458539701246956</v>
      </c>
      <c r="M74" s="426">
        <v>28</v>
      </c>
      <c r="N74" s="427">
        <v>1244.8391116349148</v>
      </c>
    </row>
    <row r="75" spans="1:14" ht="14.4" customHeight="1" x14ac:dyDescent="0.3">
      <c r="A75" s="422" t="s">
        <v>444</v>
      </c>
      <c r="B75" s="423" t="s">
        <v>445</v>
      </c>
      <c r="C75" s="424" t="s">
        <v>449</v>
      </c>
      <c r="D75" s="425" t="s">
        <v>705</v>
      </c>
      <c r="E75" s="424" t="s">
        <v>454</v>
      </c>
      <c r="F75" s="425" t="s">
        <v>706</v>
      </c>
      <c r="G75" s="424" t="s">
        <v>455</v>
      </c>
      <c r="H75" s="424" t="s">
        <v>649</v>
      </c>
      <c r="I75" s="424" t="s">
        <v>141</v>
      </c>
      <c r="J75" s="424" t="s">
        <v>650</v>
      </c>
      <c r="K75" s="424"/>
      <c r="L75" s="426">
        <v>72.556980964466092</v>
      </c>
      <c r="M75" s="426">
        <v>19</v>
      </c>
      <c r="N75" s="427">
        <v>1378.5826383248557</v>
      </c>
    </row>
    <row r="76" spans="1:14" ht="14.4" customHeight="1" x14ac:dyDescent="0.3">
      <c r="A76" s="422" t="s">
        <v>444</v>
      </c>
      <c r="B76" s="423" t="s">
        <v>445</v>
      </c>
      <c r="C76" s="424" t="s">
        <v>449</v>
      </c>
      <c r="D76" s="425" t="s">
        <v>705</v>
      </c>
      <c r="E76" s="424" t="s">
        <v>454</v>
      </c>
      <c r="F76" s="425" t="s">
        <v>706</v>
      </c>
      <c r="G76" s="424" t="s">
        <v>455</v>
      </c>
      <c r="H76" s="424" t="s">
        <v>651</v>
      </c>
      <c r="I76" s="424" t="s">
        <v>141</v>
      </c>
      <c r="J76" s="424" t="s">
        <v>652</v>
      </c>
      <c r="K76" s="424"/>
      <c r="L76" s="426">
        <v>47.055518356379736</v>
      </c>
      <c r="M76" s="426">
        <v>1</v>
      </c>
      <c r="N76" s="427">
        <v>47.055518356379736</v>
      </c>
    </row>
    <row r="77" spans="1:14" ht="14.4" customHeight="1" x14ac:dyDescent="0.3">
      <c r="A77" s="422" t="s">
        <v>444</v>
      </c>
      <c r="B77" s="423" t="s">
        <v>445</v>
      </c>
      <c r="C77" s="424" t="s">
        <v>449</v>
      </c>
      <c r="D77" s="425" t="s">
        <v>705</v>
      </c>
      <c r="E77" s="424" t="s">
        <v>454</v>
      </c>
      <c r="F77" s="425" t="s">
        <v>706</v>
      </c>
      <c r="G77" s="424" t="s">
        <v>455</v>
      </c>
      <c r="H77" s="424" t="s">
        <v>653</v>
      </c>
      <c r="I77" s="424" t="s">
        <v>141</v>
      </c>
      <c r="J77" s="424" t="s">
        <v>654</v>
      </c>
      <c r="K77" s="424"/>
      <c r="L77" s="426">
        <v>89.112011013861505</v>
      </c>
      <c r="M77" s="426">
        <v>30</v>
      </c>
      <c r="N77" s="427">
        <v>2673.3603304158451</v>
      </c>
    </row>
    <row r="78" spans="1:14" ht="14.4" customHeight="1" x14ac:dyDescent="0.3">
      <c r="A78" s="422" t="s">
        <v>444</v>
      </c>
      <c r="B78" s="423" t="s">
        <v>445</v>
      </c>
      <c r="C78" s="424" t="s">
        <v>449</v>
      </c>
      <c r="D78" s="425" t="s">
        <v>705</v>
      </c>
      <c r="E78" s="424" t="s">
        <v>454</v>
      </c>
      <c r="F78" s="425" t="s">
        <v>706</v>
      </c>
      <c r="G78" s="424" t="s">
        <v>455</v>
      </c>
      <c r="H78" s="424" t="s">
        <v>655</v>
      </c>
      <c r="I78" s="424" t="s">
        <v>141</v>
      </c>
      <c r="J78" s="424" t="s">
        <v>656</v>
      </c>
      <c r="K78" s="424" t="s">
        <v>620</v>
      </c>
      <c r="L78" s="426">
        <v>79.69056469098831</v>
      </c>
      <c r="M78" s="426">
        <v>72</v>
      </c>
      <c r="N78" s="427">
        <v>5737.7206577511588</v>
      </c>
    </row>
    <row r="79" spans="1:14" ht="14.4" customHeight="1" x14ac:dyDescent="0.3">
      <c r="A79" s="422" t="s">
        <v>444</v>
      </c>
      <c r="B79" s="423" t="s">
        <v>445</v>
      </c>
      <c r="C79" s="424" t="s">
        <v>449</v>
      </c>
      <c r="D79" s="425" t="s">
        <v>705</v>
      </c>
      <c r="E79" s="424" t="s">
        <v>454</v>
      </c>
      <c r="F79" s="425" t="s">
        <v>706</v>
      </c>
      <c r="G79" s="424" t="s">
        <v>455</v>
      </c>
      <c r="H79" s="424" t="s">
        <v>657</v>
      </c>
      <c r="I79" s="424" t="s">
        <v>141</v>
      </c>
      <c r="J79" s="424" t="s">
        <v>658</v>
      </c>
      <c r="K79" s="424" t="s">
        <v>620</v>
      </c>
      <c r="L79" s="426">
        <v>82.84010856197591</v>
      </c>
      <c r="M79" s="426">
        <v>24</v>
      </c>
      <c r="N79" s="427">
        <v>1988.1626054874218</v>
      </c>
    </row>
    <row r="80" spans="1:14" ht="14.4" customHeight="1" x14ac:dyDescent="0.3">
      <c r="A80" s="422" t="s">
        <v>444</v>
      </c>
      <c r="B80" s="423" t="s">
        <v>445</v>
      </c>
      <c r="C80" s="424" t="s">
        <v>449</v>
      </c>
      <c r="D80" s="425" t="s">
        <v>705</v>
      </c>
      <c r="E80" s="424" t="s">
        <v>454</v>
      </c>
      <c r="F80" s="425" t="s">
        <v>706</v>
      </c>
      <c r="G80" s="424" t="s">
        <v>455</v>
      </c>
      <c r="H80" s="424" t="s">
        <v>659</v>
      </c>
      <c r="I80" s="424" t="s">
        <v>141</v>
      </c>
      <c r="J80" s="424" t="s">
        <v>660</v>
      </c>
      <c r="K80" s="424"/>
      <c r="L80" s="426">
        <v>180.05133510238332</v>
      </c>
      <c r="M80" s="426">
        <v>91</v>
      </c>
      <c r="N80" s="427">
        <v>16384.671494316881</v>
      </c>
    </row>
    <row r="81" spans="1:14" ht="14.4" customHeight="1" x14ac:dyDescent="0.3">
      <c r="A81" s="422" t="s">
        <v>444</v>
      </c>
      <c r="B81" s="423" t="s">
        <v>445</v>
      </c>
      <c r="C81" s="424" t="s">
        <v>449</v>
      </c>
      <c r="D81" s="425" t="s">
        <v>705</v>
      </c>
      <c r="E81" s="424" t="s">
        <v>454</v>
      </c>
      <c r="F81" s="425" t="s">
        <v>706</v>
      </c>
      <c r="G81" s="424" t="s">
        <v>455</v>
      </c>
      <c r="H81" s="424" t="s">
        <v>661</v>
      </c>
      <c r="I81" s="424" t="s">
        <v>141</v>
      </c>
      <c r="J81" s="424" t="s">
        <v>662</v>
      </c>
      <c r="K81" s="424"/>
      <c r="L81" s="426">
        <v>161.74943671589571</v>
      </c>
      <c r="M81" s="426">
        <v>1</v>
      </c>
      <c r="N81" s="427">
        <v>161.74943671589571</v>
      </c>
    </row>
    <row r="82" spans="1:14" ht="14.4" customHeight="1" x14ac:dyDescent="0.3">
      <c r="A82" s="422" t="s">
        <v>444</v>
      </c>
      <c r="B82" s="423" t="s">
        <v>445</v>
      </c>
      <c r="C82" s="424" t="s">
        <v>449</v>
      </c>
      <c r="D82" s="425" t="s">
        <v>705</v>
      </c>
      <c r="E82" s="424" t="s">
        <v>454</v>
      </c>
      <c r="F82" s="425" t="s">
        <v>706</v>
      </c>
      <c r="G82" s="424" t="s">
        <v>455</v>
      </c>
      <c r="H82" s="424" t="s">
        <v>663</v>
      </c>
      <c r="I82" s="424" t="s">
        <v>664</v>
      </c>
      <c r="J82" s="424" t="s">
        <v>665</v>
      </c>
      <c r="K82" s="424" t="s">
        <v>666</v>
      </c>
      <c r="L82" s="426">
        <v>149.16477467529975</v>
      </c>
      <c r="M82" s="426">
        <v>10</v>
      </c>
      <c r="N82" s="427">
        <v>1491.6477467529976</v>
      </c>
    </row>
    <row r="83" spans="1:14" ht="14.4" customHeight="1" x14ac:dyDescent="0.3">
      <c r="A83" s="422" t="s">
        <v>444</v>
      </c>
      <c r="B83" s="423" t="s">
        <v>445</v>
      </c>
      <c r="C83" s="424" t="s">
        <v>449</v>
      </c>
      <c r="D83" s="425" t="s">
        <v>705</v>
      </c>
      <c r="E83" s="424" t="s">
        <v>454</v>
      </c>
      <c r="F83" s="425" t="s">
        <v>706</v>
      </c>
      <c r="G83" s="424" t="s">
        <v>455</v>
      </c>
      <c r="H83" s="424" t="s">
        <v>667</v>
      </c>
      <c r="I83" s="424" t="s">
        <v>141</v>
      </c>
      <c r="J83" s="424" t="s">
        <v>668</v>
      </c>
      <c r="K83" s="424"/>
      <c r="L83" s="426">
        <v>117.172</v>
      </c>
      <c r="M83" s="426">
        <v>5</v>
      </c>
      <c r="N83" s="427">
        <v>585.86</v>
      </c>
    </row>
    <row r="84" spans="1:14" ht="14.4" customHeight="1" x14ac:dyDescent="0.3">
      <c r="A84" s="422" t="s">
        <v>444</v>
      </c>
      <c r="B84" s="423" t="s">
        <v>445</v>
      </c>
      <c r="C84" s="424" t="s">
        <v>449</v>
      </c>
      <c r="D84" s="425" t="s">
        <v>705</v>
      </c>
      <c r="E84" s="424" t="s">
        <v>454</v>
      </c>
      <c r="F84" s="425" t="s">
        <v>706</v>
      </c>
      <c r="G84" s="424" t="s">
        <v>455</v>
      </c>
      <c r="H84" s="424" t="s">
        <v>669</v>
      </c>
      <c r="I84" s="424" t="s">
        <v>141</v>
      </c>
      <c r="J84" s="424" t="s">
        <v>670</v>
      </c>
      <c r="K84" s="424"/>
      <c r="L84" s="426">
        <v>37.349999999999994</v>
      </c>
      <c r="M84" s="426">
        <v>1</v>
      </c>
      <c r="N84" s="427">
        <v>37.349999999999994</v>
      </c>
    </row>
    <row r="85" spans="1:14" ht="14.4" customHeight="1" x14ac:dyDescent="0.3">
      <c r="A85" s="422" t="s">
        <v>444</v>
      </c>
      <c r="B85" s="423" t="s">
        <v>445</v>
      </c>
      <c r="C85" s="424" t="s">
        <v>449</v>
      </c>
      <c r="D85" s="425" t="s">
        <v>705</v>
      </c>
      <c r="E85" s="424" t="s">
        <v>454</v>
      </c>
      <c r="F85" s="425" t="s">
        <v>706</v>
      </c>
      <c r="G85" s="424" t="s">
        <v>455</v>
      </c>
      <c r="H85" s="424" t="s">
        <v>671</v>
      </c>
      <c r="I85" s="424" t="s">
        <v>671</v>
      </c>
      <c r="J85" s="424" t="s">
        <v>672</v>
      </c>
      <c r="K85" s="424" t="s">
        <v>673</v>
      </c>
      <c r="L85" s="426">
        <v>116.03555555555555</v>
      </c>
      <c r="M85" s="426">
        <v>9</v>
      </c>
      <c r="N85" s="427">
        <v>1044.32</v>
      </c>
    </row>
    <row r="86" spans="1:14" ht="14.4" customHeight="1" x14ac:dyDescent="0.3">
      <c r="A86" s="422" t="s">
        <v>444</v>
      </c>
      <c r="B86" s="423" t="s">
        <v>445</v>
      </c>
      <c r="C86" s="424" t="s">
        <v>449</v>
      </c>
      <c r="D86" s="425" t="s">
        <v>705</v>
      </c>
      <c r="E86" s="424" t="s">
        <v>454</v>
      </c>
      <c r="F86" s="425" t="s">
        <v>706</v>
      </c>
      <c r="G86" s="424" t="s">
        <v>455</v>
      </c>
      <c r="H86" s="424" t="s">
        <v>674</v>
      </c>
      <c r="I86" s="424" t="s">
        <v>674</v>
      </c>
      <c r="J86" s="424" t="s">
        <v>675</v>
      </c>
      <c r="K86" s="424" t="s">
        <v>676</v>
      </c>
      <c r="L86" s="426">
        <v>171.61495466778635</v>
      </c>
      <c r="M86" s="426">
        <v>12</v>
      </c>
      <c r="N86" s="427">
        <v>2059.3794560134361</v>
      </c>
    </row>
    <row r="87" spans="1:14" ht="14.4" customHeight="1" x14ac:dyDescent="0.3">
      <c r="A87" s="422" t="s">
        <v>444</v>
      </c>
      <c r="B87" s="423" t="s">
        <v>445</v>
      </c>
      <c r="C87" s="424" t="s">
        <v>449</v>
      </c>
      <c r="D87" s="425" t="s">
        <v>705</v>
      </c>
      <c r="E87" s="424" t="s">
        <v>454</v>
      </c>
      <c r="F87" s="425" t="s">
        <v>706</v>
      </c>
      <c r="G87" s="424" t="s">
        <v>455</v>
      </c>
      <c r="H87" s="424" t="s">
        <v>677</v>
      </c>
      <c r="I87" s="424" t="s">
        <v>677</v>
      </c>
      <c r="J87" s="424" t="s">
        <v>566</v>
      </c>
      <c r="K87" s="424" t="s">
        <v>678</v>
      </c>
      <c r="L87" s="426">
        <v>250.8</v>
      </c>
      <c r="M87" s="426">
        <v>1</v>
      </c>
      <c r="N87" s="427">
        <v>250.8</v>
      </c>
    </row>
    <row r="88" spans="1:14" ht="14.4" customHeight="1" x14ac:dyDescent="0.3">
      <c r="A88" s="422" t="s">
        <v>444</v>
      </c>
      <c r="B88" s="423" t="s">
        <v>445</v>
      </c>
      <c r="C88" s="424" t="s">
        <v>449</v>
      </c>
      <c r="D88" s="425" t="s">
        <v>705</v>
      </c>
      <c r="E88" s="424" t="s">
        <v>454</v>
      </c>
      <c r="F88" s="425" t="s">
        <v>706</v>
      </c>
      <c r="G88" s="424" t="s">
        <v>455</v>
      </c>
      <c r="H88" s="424" t="s">
        <v>679</v>
      </c>
      <c r="I88" s="424" t="s">
        <v>141</v>
      </c>
      <c r="J88" s="424" t="s">
        <v>680</v>
      </c>
      <c r="K88" s="424"/>
      <c r="L88" s="426">
        <v>45.830000000000005</v>
      </c>
      <c r="M88" s="426">
        <v>2</v>
      </c>
      <c r="N88" s="427">
        <v>91.660000000000011</v>
      </c>
    </row>
    <row r="89" spans="1:14" ht="14.4" customHeight="1" x14ac:dyDescent="0.3">
      <c r="A89" s="422" t="s">
        <v>444</v>
      </c>
      <c r="B89" s="423" t="s">
        <v>445</v>
      </c>
      <c r="C89" s="424" t="s">
        <v>449</v>
      </c>
      <c r="D89" s="425" t="s">
        <v>705</v>
      </c>
      <c r="E89" s="424" t="s">
        <v>454</v>
      </c>
      <c r="F89" s="425" t="s">
        <v>706</v>
      </c>
      <c r="G89" s="424" t="s">
        <v>455</v>
      </c>
      <c r="H89" s="424" t="s">
        <v>681</v>
      </c>
      <c r="I89" s="424" t="s">
        <v>141</v>
      </c>
      <c r="J89" s="424" t="s">
        <v>682</v>
      </c>
      <c r="K89" s="424"/>
      <c r="L89" s="426">
        <v>45.444612861176417</v>
      </c>
      <c r="M89" s="426">
        <v>2</v>
      </c>
      <c r="N89" s="427">
        <v>90.889225722352833</v>
      </c>
    </row>
    <row r="90" spans="1:14" ht="14.4" customHeight="1" x14ac:dyDescent="0.3">
      <c r="A90" s="422" t="s">
        <v>444</v>
      </c>
      <c r="B90" s="423" t="s">
        <v>445</v>
      </c>
      <c r="C90" s="424" t="s">
        <v>449</v>
      </c>
      <c r="D90" s="425" t="s">
        <v>705</v>
      </c>
      <c r="E90" s="424" t="s">
        <v>454</v>
      </c>
      <c r="F90" s="425" t="s">
        <v>706</v>
      </c>
      <c r="G90" s="424" t="s">
        <v>455</v>
      </c>
      <c r="H90" s="424" t="s">
        <v>683</v>
      </c>
      <c r="I90" s="424" t="s">
        <v>684</v>
      </c>
      <c r="J90" s="424" t="s">
        <v>685</v>
      </c>
      <c r="K90" s="424" t="s">
        <v>630</v>
      </c>
      <c r="L90" s="426">
        <v>452.7600000000001</v>
      </c>
      <c r="M90" s="426">
        <v>1</v>
      </c>
      <c r="N90" s="427">
        <v>452.7600000000001</v>
      </c>
    </row>
    <row r="91" spans="1:14" ht="14.4" customHeight="1" x14ac:dyDescent="0.3">
      <c r="A91" s="422" t="s">
        <v>444</v>
      </c>
      <c r="B91" s="423" t="s">
        <v>445</v>
      </c>
      <c r="C91" s="424" t="s">
        <v>449</v>
      </c>
      <c r="D91" s="425" t="s">
        <v>705</v>
      </c>
      <c r="E91" s="424" t="s">
        <v>686</v>
      </c>
      <c r="F91" s="425" t="s">
        <v>707</v>
      </c>
      <c r="G91" s="424" t="s">
        <v>455</v>
      </c>
      <c r="H91" s="424" t="s">
        <v>687</v>
      </c>
      <c r="I91" s="424" t="s">
        <v>688</v>
      </c>
      <c r="J91" s="424" t="s">
        <v>689</v>
      </c>
      <c r="K91" s="424" t="s">
        <v>690</v>
      </c>
      <c r="L91" s="426">
        <v>82.810001537735616</v>
      </c>
      <c r="M91" s="426">
        <v>1</v>
      </c>
      <c r="N91" s="427">
        <v>82.810001537735616</v>
      </c>
    </row>
    <row r="92" spans="1:14" ht="14.4" customHeight="1" x14ac:dyDescent="0.3">
      <c r="A92" s="422" t="s">
        <v>444</v>
      </c>
      <c r="B92" s="423" t="s">
        <v>445</v>
      </c>
      <c r="C92" s="424" t="s">
        <v>449</v>
      </c>
      <c r="D92" s="425" t="s">
        <v>705</v>
      </c>
      <c r="E92" s="424" t="s">
        <v>686</v>
      </c>
      <c r="F92" s="425" t="s">
        <v>707</v>
      </c>
      <c r="G92" s="424" t="s">
        <v>455</v>
      </c>
      <c r="H92" s="424" t="s">
        <v>691</v>
      </c>
      <c r="I92" s="424" t="s">
        <v>692</v>
      </c>
      <c r="J92" s="424" t="s">
        <v>693</v>
      </c>
      <c r="K92" s="424" t="s">
        <v>694</v>
      </c>
      <c r="L92" s="426">
        <v>104.42</v>
      </c>
      <c r="M92" s="426">
        <v>1</v>
      </c>
      <c r="N92" s="427">
        <v>104.42</v>
      </c>
    </row>
    <row r="93" spans="1:14" ht="14.4" customHeight="1" x14ac:dyDescent="0.3">
      <c r="A93" s="422" t="s">
        <v>444</v>
      </c>
      <c r="B93" s="423" t="s">
        <v>445</v>
      </c>
      <c r="C93" s="424" t="s">
        <v>449</v>
      </c>
      <c r="D93" s="425" t="s">
        <v>705</v>
      </c>
      <c r="E93" s="424" t="s">
        <v>686</v>
      </c>
      <c r="F93" s="425" t="s">
        <v>707</v>
      </c>
      <c r="G93" s="424" t="s">
        <v>695</v>
      </c>
      <c r="H93" s="424" t="s">
        <v>696</v>
      </c>
      <c r="I93" s="424" t="s">
        <v>697</v>
      </c>
      <c r="J93" s="424" t="s">
        <v>698</v>
      </c>
      <c r="K93" s="424" t="s">
        <v>699</v>
      </c>
      <c r="L93" s="426">
        <v>114.89609695555799</v>
      </c>
      <c r="M93" s="426">
        <v>11</v>
      </c>
      <c r="N93" s="427">
        <v>1263.8570665111379</v>
      </c>
    </row>
    <row r="94" spans="1:14" ht="14.4" customHeight="1" thickBot="1" x14ac:dyDescent="0.35">
      <c r="A94" s="428" t="s">
        <v>444</v>
      </c>
      <c r="B94" s="429" t="s">
        <v>445</v>
      </c>
      <c r="C94" s="430" t="s">
        <v>449</v>
      </c>
      <c r="D94" s="431" t="s">
        <v>705</v>
      </c>
      <c r="E94" s="430" t="s">
        <v>700</v>
      </c>
      <c r="F94" s="431" t="s">
        <v>708</v>
      </c>
      <c r="G94" s="430" t="s">
        <v>455</v>
      </c>
      <c r="H94" s="430" t="s">
        <v>701</v>
      </c>
      <c r="I94" s="430" t="s">
        <v>702</v>
      </c>
      <c r="J94" s="430" t="s">
        <v>703</v>
      </c>
      <c r="K94" s="430" t="s">
        <v>704</v>
      </c>
      <c r="L94" s="432">
        <v>101.05000000000003</v>
      </c>
      <c r="M94" s="432">
        <v>1</v>
      </c>
      <c r="N94" s="433">
        <v>101.05000000000003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5" customWidth="1"/>
    <col min="2" max="2" width="10" style="190" customWidth="1"/>
    <col min="3" max="3" width="5.5546875" style="193" customWidth="1"/>
    <col min="4" max="4" width="10" style="190" customWidth="1"/>
    <col min="5" max="5" width="5.5546875" style="193" customWidth="1"/>
    <col min="6" max="6" width="10" style="190" customWidth="1"/>
    <col min="7" max="16384" width="8.88671875" style="115"/>
  </cols>
  <sheetData>
    <row r="1" spans="1:6" ht="37.200000000000003" customHeight="1" thickBot="1" x14ac:dyDescent="0.4">
      <c r="A1" s="339" t="s">
        <v>139</v>
      </c>
      <c r="B1" s="340"/>
      <c r="C1" s="340"/>
      <c r="D1" s="340"/>
      <c r="E1" s="340"/>
      <c r="F1" s="340"/>
    </row>
    <row r="2" spans="1:6" ht="14.4" customHeight="1" thickBot="1" x14ac:dyDescent="0.35">
      <c r="A2" s="211" t="s">
        <v>255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1" t="s">
        <v>110</v>
      </c>
      <c r="C3" s="342"/>
      <c r="D3" s="343" t="s">
        <v>109</v>
      </c>
      <c r="E3" s="342"/>
      <c r="F3" s="72" t="s">
        <v>3</v>
      </c>
    </row>
    <row r="4" spans="1:6" ht="14.4" customHeight="1" thickBot="1" x14ac:dyDescent="0.35">
      <c r="A4" s="434" t="s">
        <v>123</v>
      </c>
      <c r="B4" s="435" t="s">
        <v>14</v>
      </c>
      <c r="C4" s="436" t="s">
        <v>2</v>
      </c>
      <c r="D4" s="435" t="s">
        <v>14</v>
      </c>
      <c r="E4" s="436" t="s">
        <v>2</v>
      </c>
      <c r="F4" s="437" t="s">
        <v>14</v>
      </c>
    </row>
    <row r="5" spans="1:6" ht="14.4" customHeight="1" thickBot="1" x14ac:dyDescent="0.35">
      <c r="A5" s="446" t="s">
        <v>709</v>
      </c>
      <c r="B5" s="414"/>
      <c r="C5" s="438">
        <v>0</v>
      </c>
      <c r="D5" s="414">
        <v>1368.2770665111382</v>
      </c>
      <c r="E5" s="438">
        <v>1</v>
      </c>
      <c r="F5" s="415">
        <v>1368.2770665111382</v>
      </c>
    </row>
    <row r="6" spans="1:6" ht="14.4" customHeight="1" thickBot="1" x14ac:dyDescent="0.35">
      <c r="A6" s="442" t="s">
        <v>3</v>
      </c>
      <c r="B6" s="443"/>
      <c r="C6" s="444">
        <v>0</v>
      </c>
      <c r="D6" s="443">
        <v>1368.2770665111382</v>
      </c>
      <c r="E6" s="444">
        <v>1</v>
      </c>
      <c r="F6" s="445">
        <v>1368.2770665111382</v>
      </c>
    </row>
    <row r="7" spans="1:6" ht="14.4" customHeight="1" thickBot="1" x14ac:dyDescent="0.35"/>
    <row r="8" spans="1:6" ht="14.4" customHeight="1" x14ac:dyDescent="0.3">
      <c r="A8" s="452" t="s">
        <v>710</v>
      </c>
      <c r="B8" s="420"/>
      <c r="C8" s="439">
        <v>0</v>
      </c>
      <c r="D8" s="420">
        <v>104.42</v>
      </c>
      <c r="E8" s="439">
        <v>1</v>
      </c>
      <c r="F8" s="421">
        <v>104.42</v>
      </c>
    </row>
    <row r="9" spans="1:6" ht="14.4" customHeight="1" thickBot="1" x14ac:dyDescent="0.35">
      <c r="A9" s="453" t="s">
        <v>711</v>
      </c>
      <c r="B9" s="449"/>
      <c r="C9" s="450">
        <v>0</v>
      </c>
      <c r="D9" s="449">
        <v>1263.8570665111381</v>
      </c>
      <c r="E9" s="450">
        <v>1</v>
      </c>
      <c r="F9" s="451">
        <v>1263.8570665111381</v>
      </c>
    </row>
    <row r="10" spans="1:6" ht="14.4" customHeight="1" thickBot="1" x14ac:dyDescent="0.35">
      <c r="A10" s="442" t="s">
        <v>3</v>
      </c>
      <c r="B10" s="443"/>
      <c r="C10" s="444">
        <v>0</v>
      </c>
      <c r="D10" s="443">
        <v>1368.2770665111382</v>
      </c>
      <c r="E10" s="444">
        <v>1</v>
      </c>
      <c r="F10" s="445">
        <v>1368.2770665111382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2015-11-24T08:05:44Z</dcterms:modified>
</cp:coreProperties>
</file>