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Materiál Žádanky" sheetId="420" r:id="rId12"/>
    <sheet name="MŽ Detail" sheetId="403" r:id="rId13"/>
    <sheet name="Osobní náklady" sheetId="419" r:id="rId14"/>
    <sheet name="ON Data" sheetId="418" state="hidden" r:id="rId15"/>
    <sheet name="ZV Vykáz.-A" sheetId="344" r:id="rId16"/>
    <sheet name="ZV Vykáz.-A Lékaři" sheetId="429" r:id="rId17"/>
    <sheet name="ZV Vykáz.-A Detail" sheetId="345" r:id="rId18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1" hidden="1">'Materiál Žádanky'!$A$4:$I$4</definedName>
    <definedName name="_xlnm._FilterDatabase" localSheetId="12" hidden="1">'MŽ Detail'!$A$4:$K$4</definedName>
    <definedName name="_xlnm._FilterDatabase" localSheetId="17" hidden="1">'ZV Vykáz.-A Detail'!$A$5:$P$5</definedName>
    <definedName name="_xlnm._FilterDatabase" localSheetId="16" hidden="1">'ZV Vykáz.-A Lékaři'!$A$4:$A$5</definedName>
    <definedName name="doměsíce">'HI Graf'!$C$11</definedName>
  </definedNames>
  <calcPr calcId="152511"/>
</workbook>
</file>

<file path=xl/calcChain.xml><?xml version="1.0" encoding="utf-8"?>
<calcChain xmlns="http://schemas.openxmlformats.org/spreadsheetml/2006/main">
  <c r="AH21" i="419" l="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H22" i="419"/>
  <c r="A22" i="383"/>
  <c r="G3" i="429"/>
  <c r="F3" i="429"/>
  <c r="E3" i="429"/>
  <c r="D3" i="429"/>
  <c r="C3" i="429"/>
  <c r="B3" i="429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16" i="383" l="1"/>
  <c r="A11" i="383"/>
  <c r="AH20" i="419" l="1"/>
  <c r="AH23" i="419" s="1"/>
  <c r="AG20" i="419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H16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AH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H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9" i="414" l="1"/>
  <c r="A17" i="414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8" i="414" s="1"/>
  <c r="C11" i="339"/>
  <c r="H11" i="339" l="1"/>
  <c r="G11" i="339"/>
  <c r="A18" i="414"/>
  <c r="A13" i="414"/>
  <c r="A8" i="414"/>
  <c r="A7" i="414"/>
  <c r="A14" i="414"/>
  <c r="A4" i="414"/>
  <c r="A6" i="339" l="1"/>
  <c r="A5" i="339"/>
  <c r="D4" i="414"/>
  <c r="C17" i="414"/>
  <c r="D14" i="414"/>
  <c r="C14" i="414"/>
  <c r="D17" i="414"/>
  <c r="D8" i="414" l="1"/>
  <c r="C13" i="414" l="1"/>
  <c r="C7" i="414"/>
  <c r="E18" i="414" l="1"/>
  <c r="E13" i="414"/>
  <c r="E7" i="414"/>
  <c r="E8" i="414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N3" i="345"/>
  <c r="M3" i="345"/>
  <c r="P3" i="345" s="1"/>
  <c r="J3" i="345"/>
  <c r="I3" i="345"/>
  <c r="F3" i="345"/>
  <c r="O3" i="345" s="1"/>
  <c r="E3" i="345"/>
  <c r="M3" i="387"/>
  <c r="K3" i="387" s="1"/>
  <c r="L3" i="387"/>
  <c r="J3" i="387"/>
  <c r="I3" i="387"/>
  <c r="H3" i="387"/>
  <c r="G3" i="387"/>
  <c r="F3" i="387"/>
  <c r="N3" i="220"/>
  <c r="L3" i="220" s="1"/>
  <c r="C19" i="414"/>
  <c r="D19" i="414"/>
  <c r="F13" i="339" l="1"/>
  <c r="E13" i="339"/>
  <c r="E15" i="339" s="1"/>
  <c r="H12" i="339"/>
  <c r="G12" i="339"/>
  <c r="A4" i="383"/>
  <c r="A23" i="383"/>
  <c r="A21" i="383"/>
  <c r="A18" i="383"/>
  <c r="A17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4" i="414"/>
  <c r="D16" i="414"/>
  <c r="H13" i="339" l="1"/>
  <c r="F15" i="339"/>
  <c r="E14" i="414"/>
  <c r="E4" i="414"/>
  <c r="C6" i="340"/>
  <c r="D6" i="340" s="1"/>
  <c r="B4" i="340"/>
  <c r="G13" i="339"/>
  <c r="B13" i="340" l="1"/>
  <c r="B12" i="340"/>
  <c r="G15" i="339"/>
  <c r="H15" i="339"/>
  <c r="C4" i="340"/>
  <c r="E17" i="414"/>
  <c r="E19" i="414"/>
  <c r="D4" i="340"/>
  <c r="E6" i="340"/>
  <c r="C16" i="414"/>
  <c r="E16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<sst xmlns="http://schemas.openxmlformats.org/spreadsheetml/2006/main" count="3625" uniqueCount="1204">
  <si>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</si>
  <si>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</si>
  <si>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</si>
  <si>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</si>
  <si>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</si>
  <si>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</si>
  <si>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</si>
  <si>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</si>
  <si>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</si>
  <si>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</si>
  <si>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</si>
  <si>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</si>
  <si>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</si>
  <si>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</si>
  <si>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</si>
  <si>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</si>
  <si>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</si>
  <si>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</si>
  <si>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</si>
  <si>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</si>
  <si>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</si>
  <si>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</si>
  <si>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</si>
  <si>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</si>
  <si>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</si>
  <si>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</si>
  <si>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</si>
  <si>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</si>
  <si>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</si>
  <si>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</si>
  <si>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</si>
  <si>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</si>
  <si>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</si>
  <si>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</si>
  <si>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</si>
  <si>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</si>
  <si>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</si>
  <si>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</si>
  <si>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</si>
  <si>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</si>
  <si>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</si>
  <si>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</si>
  <si>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</si>
  <si>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</si>
  <si>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</si>
  <si>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</si>
  <si>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</si>
  <si>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</si>
  <si>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</si>
  <si>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</si>
  <si>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</si>
  <si>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</si>
  <si>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</si>
  <si>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</si>
  <si>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</si>
  <si>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</si>
  <si>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</si>
  <si>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</si>
  <si>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</si>
  <si>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</si>
  <si>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</si>
  <si>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</si>
  <si>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</si>
  <si>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</si>
  <si>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</si>
  <si>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</si>
  <si>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</si>
  <si>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</si>
  <si>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</si>
  <si>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</si>
  <si>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</si>
  <si>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</si>
  <si>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</si>
  <si>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</si>
  <si>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</si>
  <si>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</si>
  <si>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</si>
  <si>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</si>
  <si>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</si>
  <si>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</si>
  <si>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</si>
  <si>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</si>
  <si>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</si>
  <si>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</si>
  <si>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</si>
  <si>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</si>
  <si>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</si>
  <si>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</si>
  <si>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</si>
  <si>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</si>
  <si>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</si>
  <si>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</si>
  <si>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</si>
  <si>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</si>
  <si>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</si>
  <si>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</si>
  <si>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</si>
  <si>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</si>
  <si>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</si>
  <si>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</si>
  <si>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</si>
  <si>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</si>
  <si>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</si>
  <si>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</si>
  <si>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</si>
  <si>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</si>
  <si>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</si>
  <si>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</si>
  <si>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</si>
  <si>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</si>
  <si>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</si>
  <si>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</si>
  <si>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</si>
  <si>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</si>
  <si>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</si>
  <si>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</si>
  <si>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</si>
  <si>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</si>
  <si>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</si>
  <si>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</si>
  <si>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</si>
  <si>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</si>
  <si>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</si>
  <si>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</si>
  <si>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</si>
  <si>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</si>
  <si>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</si>
  <si>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</si>
  <si>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</si>
  <si>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</si>
  <si>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</si>
  <si>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</si>
  <si>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</si>
  <si>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</si>
  <si>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</si>
  <si>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</si>
  <si>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</si>
  <si>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</si>
  <si>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</si>
  <si>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</si>
  <si>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</si>
  <si>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</si>
  <si>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</si>
  <si>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</si>
  <si>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</si>
  <si>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</si>
  <si>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</si>
  <si>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</si>
  <si>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</si>
  <si>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</si>
  <si>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</si>
  <si>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</si>
  <si>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</si>
  <si>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</si>
  <si>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</si>
  <si>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</si>
  <si>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</si>
  <si>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</si>
  <si>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</si>
  <si>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</si>
  <si>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</si>
  <si>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</si>
  <si>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</si>
  <si>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</si>
  <si>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</si>
  <si>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</si>
  <si>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</si>
  <si>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</si>
  <si>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</si>
  <si>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</si>
  <si>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</si>
  <si>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</si>
  <si>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</si>
  <si>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</si>
  <si>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</si>
  <si>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</si>
  <si>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</si>
  <si>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</si>
  <si>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</si>
  <si>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</si>
  <si>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</si>
  <si>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</si>
  <si>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</si>
  <si>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</si>
  <si>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</si>
  <si>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</si>
  <si>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</si>
  <si>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</si>
  <si>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</si>
  <si>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</si>
  <si>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</si>
  <si>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</si>
  <si>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</si>
  <si>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</si>
  <si>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</si>
  <si>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</si>
  <si>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</si>
  <si>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</si>
  <si>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</si>
  <si>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</si>
  <si>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</si>
  <si>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</si>
  <si>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</si>
  <si>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</si>
  <si>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</si>
  <si>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</si>
  <si>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</si>
  <si>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</si>
  <si>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</si>
  <si>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</si>
  <si>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</si>
  <si>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</si>
  <si>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</si>
  <si>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</si>
  <si>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</si>
  <si>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</si>
  <si>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</si>
  <si>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</si>
  <si>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</si>
  <si>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</si>
  <si>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</si>
  <si>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</si>
  <si>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</si>
  <si>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</si>
  <si>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</si>
  <si>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</si>
  <si>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</si>
  <si>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</si>
  <si>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</si>
  <si>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</si>
  <si>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</si>
  <si>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</si>
  <si>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</si>
  <si>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</si>
  <si>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</si>
  <si>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</si>
  <si>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</si>
  <si>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</si>
  <si>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</si>
  <si>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</si>
  <si>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</si>
  <si>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</si>
  <si>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</si>
  <si>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</si>
  <si>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</si>
  <si>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</si>
  <si>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</si>
  <si>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</si>
  <si>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</si>
  <si>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</si>
  <si>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</si>
  <si>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</si>
  <si>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</si>
  <si>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</si>
  <si>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Klinika zubního lékařství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</si>
  <si>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</si>
  <si>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</si>
  <si>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</si>
  <si>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</si>
  <si>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</si>
  <si>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</si>
  <si>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</si>
  <si>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</si>
  <si>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</si>
  <si>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</si>
  <si>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50113014     léky (paušál) - antimykotika (LEK)</t>
  </si>
  <si>
    <t>--</t>
  </si>
  <si>
    <t>50113190     medicinální plyny</t>
  </si>
  <si>
    <t>50115     Zdravotnické prostředky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</si>
  <si>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</si>
  <si>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</si>
  <si>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</si>
  <si>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</si>
  <si>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</si>
  <si>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</si>
  <si>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</si>
  <si>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</si>
  <si>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</si>
  <si>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</si>
  <si>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</si>
  <si>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</si>
  <si>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</si>
  <si>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</si>
  <si>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</si>
  <si>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</si>
  <si>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</si>
  <si>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</si>
  <si>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</si>
  <si>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</si>
  <si>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50117024     všeob.mat. - ostatní-vyjímky (V44) od 0,01 do 999,99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</si>
  <si>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</si>
  <si>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</si>
  <si>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</si>
  <si>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</si>
  <si>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</si>
  <si>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</si>
  <si>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</si>
  <si>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</si>
  <si>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</si>
  <si>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</si>
  <si>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</si>
  <si>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</si>
  <si>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</si>
  <si>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</si>
  <si>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</si>
  <si>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</si>
  <si>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</si>
  <si>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</si>
  <si>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</si>
  <si>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</si>
  <si>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</si>
  <si>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</si>
  <si>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</si>
  <si>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</si>
  <si>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</si>
  <si>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</si>
  <si>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</si>
  <si>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</si>
  <si>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</si>
  <si>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</si>
  <si>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</si>
  <si>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</si>
  <si>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</si>
  <si>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</si>
  <si>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</si>
  <si>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</si>
  <si>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</si>
  <si>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</si>
  <si>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</si>
  <si>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</si>
  <si>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</si>
  <si>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</si>
  <si>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</si>
  <si>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</si>
  <si>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</si>
  <si>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</si>
  <si>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51874002     služby (ostraha)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</si>
  <si>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</si>
  <si>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</si>
  <si>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</si>
  <si>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</si>
  <si>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</si>
  <si>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</si>
  <si>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</si>
  <si>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</si>
  <si>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</si>
  <si>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</si>
  <si>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</si>
  <si>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</si>
  <si>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</si>
  <si>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</si>
  <si>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</si>
  <si>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</si>
  <si>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</si>
  <si>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</si>
  <si>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</si>
  <si>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</si>
  <si>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</si>
  <si>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53801004     ostatní poplatky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</si>
  <si>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</si>
  <si>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</si>
  <si>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</si>
  <si>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</si>
  <si>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</si>
  <si>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</si>
  <si>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54970     Předpis - KDF za služby</t>
  </si>
  <si>
    <t>54970000     předpis KDF - služby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</si>
  <si>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</si>
  <si>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</si>
  <si>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</si>
  <si>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</si>
  <si>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</si>
  <si>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</si>
  <si>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</si>
  <si>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</si>
  <si>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</si>
  <si>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</si>
  <si>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</si>
  <si>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</si>
  <si>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</si>
  <si>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55802002     DDHM - ostatní provozní technika (sk.V_35)</t>
  </si>
  <si>
    <t>55802005     DDHM - OOPP pro pacienty a doprovod (sk.T_13)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</si>
  <si>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</si>
  <si>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</si>
  <si>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</si>
  <si>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</si>
  <si>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</si>
  <si>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</si>
  <si>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</si>
  <si>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</si>
  <si>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</si>
  <si>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</si>
  <si>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</si>
  <si>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</si>
  <si>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</si>
  <si>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</si>
  <si>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</si>
  <si>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</si>
  <si>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</si>
  <si>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</si>
  <si>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</si>
  <si>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60229209     výkony stomatologie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</si>
  <si>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</si>
  <si>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</si>
  <si>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</si>
  <si>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</si>
  <si>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</si>
  <si>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</si>
  <si>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</si>
  <si>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</si>
  <si>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</si>
  <si>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</si>
  <si>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</si>
  <si>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</si>
  <si>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</si>
  <si>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</si>
  <si>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</si>
  <si>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</si>
  <si>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</si>
  <si>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</si>
  <si>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</si>
  <si>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</si>
  <si>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</si>
  <si>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</si>
  <si>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</si>
  <si>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>Klinika zubního lékařství</t>
  </si>
  <si>
    <t/>
  </si>
  <si>
    <t>Klinika zubního lékařství Celkem</t>
  </si>
  <si>
    <t>SumaKL</t>
  </si>
  <si>
    <t>2421</t>
  </si>
  <si>
    <t xml:space="preserve">ambulance </t>
  </si>
  <si>
    <t>ambulance  Celkem</t>
  </si>
  <si>
    <t>SumaNS</t>
  </si>
  <si>
    <t>mezeraNS</t>
  </si>
  <si>
    <t>50113001</t>
  </si>
  <si>
    <t>O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</si>
  <si>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</si>
  <si>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</si>
  <si>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</si>
  <si>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</si>
  <si>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</si>
  <si>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</si>
  <si>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</si>
  <si>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</si>
  <si>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395294</t>
  </si>
  <si>
    <t>180306</t>
  </si>
  <si>
    <t>TANTUM VERDE</t>
  </si>
  <si>
    <t>LIQ 1X240ML-PET TR</t>
  </si>
  <si>
    <t>840169</t>
  </si>
  <si>
    <t>Indulona  Měsíčková 100g</t>
  </si>
  <si>
    <t>841059</t>
  </si>
  <si>
    <t>Indulona olivová ung.100g</t>
  </si>
  <si>
    <t>846341</t>
  </si>
  <si>
    <t>Indulona Heřmánková</t>
  </si>
  <si>
    <t>1x100g</t>
  </si>
  <si>
    <t>930444</t>
  </si>
  <si>
    <t>KL AQUA PURIF. KUL., FAG. 1 kg</t>
  </si>
  <si>
    <t>169789</t>
  </si>
  <si>
    <t>69789</t>
  </si>
  <si>
    <t>AQUA PRO INJECTIONE ARDEAPHARMA</t>
  </si>
  <si>
    <t>INF 1X500ML</t>
  </si>
  <si>
    <t>193109</t>
  </si>
  <si>
    <t>93109</t>
  </si>
  <si>
    <t>SUPRACAIN 4%</t>
  </si>
  <si>
    <t>INJ 10X2ML</t>
  </si>
  <si>
    <t>911927</t>
  </si>
  <si>
    <t>KL ETHANOL.C.BENZINO 200G</t>
  </si>
  <si>
    <t>705608</t>
  </si>
  <si>
    <t>Indulona modrá 100ml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</si>
  <si>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</si>
  <si>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</si>
  <si>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</si>
  <si>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</si>
  <si>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</si>
  <si>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</si>
  <si>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</si>
  <si>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</si>
  <si>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</si>
  <si>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</si>
  <si>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</si>
  <si>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</si>
  <si>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</si>
  <si>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</si>
  <si>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841543</t>
  </si>
  <si>
    <t>MENALIND Krém na ruce 200ml</t>
  </si>
  <si>
    <t>501065</t>
  </si>
  <si>
    <t>KL SIGNATURY</t>
  </si>
  <si>
    <t>921249</t>
  </si>
  <si>
    <t>KL SOL.FORMALDEHYDI 10%, 200G</t>
  </si>
  <si>
    <t>900873</t>
  </si>
  <si>
    <t>KL VASELINUM ALBUM, 100G</t>
  </si>
  <si>
    <t>921230</t>
  </si>
  <si>
    <t>KL VASELINUM ALBUM, 20G</t>
  </si>
  <si>
    <t>920064</t>
  </si>
  <si>
    <t>KL SOL.METHYLROS.CHL.1% 10G</t>
  </si>
  <si>
    <t>900012</t>
  </si>
  <si>
    <t>KL SOL.HYD.PEROX.3% 200G</t>
  </si>
  <si>
    <t>921403</t>
  </si>
  <si>
    <t>KL VASELINUM ALBUM, 50G</t>
  </si>
  <si>
    <t>930095</t>
  </si>
  <si>
    <t>KL VASELINUM ALBUM, 30G</t>
  </si>
  <si>
    <t>100514</t>
  </si>
  <si>
    <t>514</t>
  </si>
  <si>
    <t>NATRIUM CHLORATUM BIOTIKA ISOT.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</si>
  <si>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</si>
  <si>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</si>
  <si>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</si>
  <si>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</si>
  <si>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</si>
  <si>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</si>
  <si>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</si>
  <si>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</si>
  <si>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900513</t>
  </si>
  <si>
    <t>KL ETHANOL.C.BENZINO 75G</t>
  </si>
  <si>
    <t>185793</t>
  </si>
  <si>
    <t>136395</t>
  </si>
  <si>
    <t>SOLCOSERYL DENTAL ADHESIVE</t>
  </si>
  <si>
    <t>STM PST 1X5GM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</si>
  <si>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</si>
  <si>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</si>
  <si>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</si>
  <si>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</si>
  <si>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</si>
  <si>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</si>
  <si>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</si>
  <si>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</si>
  <si>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</si>
  <si>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</si>
  <si>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</si>
  <si>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</si>
  <si>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</si>
  <si>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</si>
  <si>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</si>
  <si>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</si>
  <si>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</si>
  <si>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</si>
  <si>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</si>
  <si>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</si>
  <si>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</si>
  <si>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</si>
  <si>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</si>
  <si>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</si>
  <si>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140631</t>
  </si>
  <si>
    <t>40631</t>
  </si>
  <si>
    <t>ELMEX GELEE</t>
  </si>
  <si>
    <t>STM GEL 1X25GM</t>
  </si>
  <si>
    <t>201452</t>
  </si>
  <si>
    <t>OPHTAL</t>
  </si>
  <si>
    <t>OPH AQA 4X25ML PLAST</t>
  </si>
  <si>
    <t>203092</t>
  </si>
  <si>
    <t>LIDOCAIN EGIS 10 %</t>
  </si>
  <si>
    <t>DRM SPR SOL 1X38GM</t>
  </si>
  <si>
    <t>50113013</t>
  </si>
  <si>
    <t>190778</t>
  </si>
  <si>
    <t>90778</t>
  </si>
  <si>
    <t>BACTROBAN</t>
  </si>
  <si>
    <t>DRM UNG 1X15GM</t>
  </si>
  <si>
    <t>844576</t>
  </si>
  <si>
    <t>100339</t>
  </si>
  <si>
    <t>DALACIN C 300 MG</t>
  </si>
  <si>
    <t>POR CPS DUR 16X300MG</t>
  </si>
  <si>
    <t>P</t>
  </si>
  <si>
    <t>105951</t>
  </si>
  <si>
    <t>5951</t>
  </si>
  <si>
    <t>AMOKSIKLAV 1G</t>
  </si>
  <si>
    <t>TBL OBD 14X1GM</t>
  </si>
  <si>
    <t>50113014</t>
  </si>
  <si>
    <t>176152</t>
  </si>
  <si>
    <t>76152</t>
  </si>
  <si>
    <t>BATRAFEN</t>
  </si>
  <si>
    <t>LIQ 1X20ML</t>
  </si>
  <si>
    <t>Klinika zubního lékařství, ambulance</t>
  </si>
  <si>
    <t>Lékárna - léčiva</t>
  </si>
  <si>
    <t>Lékárna - antibiotika</t>
  </si>
  <si>
    <t>Lékárna - antimykotika</t>
  </si>
  <si>
    <t>2421 - Klinika zubního lékařství, ambulance</t>
  </si>
  <si>
    <t>J01FF01 - Klindamycin</t>
  </si>
  <si>
    <t>J01CR02 - Amoxicilin a enzymový inhibitor</t>
  </si>
  <si>
    <t>J01CR02</t>
  </si>
  <si>
    <t>AMOKSIKLAV 1 G</t>
  </si>
  <si>
    <t>POR TBL FLM 14</t>
  </si>
  <si>
    <t>J01FF01</t>
  </si>
  <si>
    <t>Přehled plnění pozitivního listu - spotřeba léčivých přípravků - orientační přehled</t>
  </si>
  <si>
    <t>24 - Klinika zubního lékařství</t>
  </si>
  <si>
    <t xml:space="preserve">2421 - ambulance </t>
  </si>
  <si>
    <t>50115004     implant.umělé těl.náhr.-kovové (s.Z_506)</t>
  </si>
  <si>
    <t>50115020     diagnostika laboratorní-LEK (sk.Z_501)</t>
  </si>
  <si>
    <t>50115070     ostatní ZPr - katetry (sk.Z_513)</t>
  </si>
  <si>
    <t>2406</t>
  </si>
  <si>
    <t>IOP - Mod.tech.vyb.v oblasti prevence nozokomiál.infek.</t>
  </si>
  <si>
    <t>IOP - Mod.tech.vyb.v oblasti prevence nozokomiál.infek. Celkem</t>
  </si>
  <si>
    <t>ZA090</t>
  </si>
  <si>
    <t>Vata buničitá přířezy 37 x 57 cm 2730152</t>
  </si>
  <si>
    <t>ZA321</t>
  </si>
  <si>
    <t>Kompresa gáza 7,5 cm x 7,5 cm / 100 ks 17 nití, 8 vrstev 06002</t>
  </si>
  <si>
    <t>ZA443</t>
  </si>
  <si>
    <t>Šátek trojcípý pletený 125 x 85 x 85 cm 20001</t>
  </si>
  <si>
    <t>ZA446</t>
  </si>
  <si>
    <t>Vata buničitá přířezy 20 x 30 cm 1230200129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</si>
  <si>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</si>
  <si>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</si>
  <si>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</si>
  <si>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</si>
  <si>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</si>
  <si>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</si>
  <si>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ZA604</t>
  </si>
  <si>
    <t>Tyčinka vatová sterilní jednotlivě balalená bal. á 1000 ks 5100/SG/CS</t>
  </si>
  <si>
    <t>ZB404</t>
  </si>
  <si>
    <t>Náplast cosmos 8 cm x 1 m 5403353</t>
  </si>
  <si>
    <t>ZC100</t>
  </si>
  <si>
    <t>Vata buničitá dělená 2 role / 500 ks 40 x 50 mm 1230200310</t>
  </si>
  <si>
    <t>ZD103</t>
  </si>
  <si>
    <t>Náplast omniplast   2,5 cm x 9,2 m 9004530</t>
  </si>
  <si>
    <t>ZD740</t>
  </si>
  <si>
    <t>Kompresa gáza sterilkompres 7,5 x 7,5 cm / 5 ks sterilní 1325019265(1230119225)</t>
  </si>
  <si>
    <t>ZG538</t>
  </si>
  <si>
    <t>Obvaz ran po chir.zákrocích COE PACK 530315</t>
  </si>
  <si>
    <t>ZA613</t>
  </si>
  <si>
    <t>Drenáž ústní sterilní 1 x 8 cm 0368</t>
  </si>
  <si>
    <t>ZA616</t>
  </si>
  <si>
    <t>Drenáž zubní sterilní 1 x 6 cm 0360</t>
  </si>
  <si>
    <t>ZC917</t>
  </si>
  <si>
    <t>Krytí hypro-sorb F 20 x 30 mm HY 2030/2</t>
  </si>
  <si>
    <t>ZL789</t>
  </si>
  <si>
    <t>Obvaz sterilní hotový č. 2 A4091360</t>
  </si>
  <si>
    <t>ZL790</t>
  </si>
  <si>
    <t>Obvaz sterilní hotový č. 3 A4101144</t>
  </si>
  <si>
    <t>ZL791</t>
  </si>
  <si>
    <t>Obvaz sterilní hotový č. 4 002370873</t>
  </si>
  <si>
    <t>ZA533</t>
  </si>
  <si>
    <t>Váleček zubní Celluron č.2 á 600 ks 4301821</t>
  </si>
  <si>
    <t>ZA789</t>
  </si>
  <si>
    <t>Stříkačka injekční 2-dílná 2 ml L Inject Solo 4606027V</t>
  </si>
  <si>
    <t>ZA790</t>
  </si>
  <si>
    <t>Stříkačka injekční 2-dílná 5 ml L Inject Solo4606051V</t>
  </si>
  <si>
    <t>ZB830</t>
  </si>
  <si>
    <t>Zrcátko zubní - zvětšovací b397122510020</t>
  </si>
  <si>
    <t>ZB844</t>
  </si>
  <si>
    <t>Esmarch 60 x 1250 KVS 06125</t>
  </si>
  <si>
    <t>ZB949</t>
  </si>
  <si>
    <t>Pinzeta UH sterilní HAR999565</t>
  </si>
  <si>
    <t>ZC752</t>
  </si>
  <si>
    <t>Čepelka skalpelová 15 BB515</t>
  </si>
  <si>
    <t>ZF159</t>
  </si>
  <si>
    <t>Nádoba na kontaminovaný odpad 1 l 15-0002</t>
  </si>
  <si>
    <t>ZI179</t>
  </si>
  <si>
    <t>Zkumavka s mediem+ flovakovaný tampon eSwab růžový 490CE.A</t>
  </si>
  <si>
    <t>ZD131</t>
  </si>
  <si>
    <t>Čepelka skalpelová 12 BB512</t>
  </si>
  <si>
    <t>ZF549</t>
  </si>
  <si>
    <t>Náústek s filtrem výměnný k plynu Entonox 1043178</t>
  </si>
  <si>
    <t>ZB823</t>
  </si>
  <si>
    <t>Drát kulatý 0,8 mm IN0308</t>
  </si>
  <si>
    <t>ZB933</t>
  </si>
  <si>
    <t>Štětečky aplikační, á 400 ks, SD8100123</t>
  </si>
  <si>
    <t>ZC234</t>
  </si>
  <si>
    <t>Implantát D3.7 BIO/L12 0351:3</t>
  </si>
  <si>
    <t>ZC237</t>
  </si>
  <si>
    <t>Implantát D5.1 BIO/L12 3551:3</t>
  </si>
  <si>
    <t>ZC300</t>
  </si>
  <si>
    <t>Pasta Depural Neo 4816210</t>
  </si>
  <si>
    <t>ZC301</t>
  </si>
  <si>
    <t>Ypeen 800 g dóza 100066</t>
  </si>
  <si>
    <t>ZC306</t>
  </si>
  <si>
    <t>Adhesor orig. 80 g N-1</t>
  </si>
  <si>
    <t>ZC313</t>
  </si>
  <si>
    <t>Repin 800g orig. 4241110</t>
  </si>
  <si>
    <t>ZC325</t>
  </si>
  <si>
    <t>Gel Etching 4122505</t>
  </si>
  <si>
    <t>ZC357</t>
  </si>
  <si>
    <t>Superacryl plus Z a 500 gr pl 4328414</t>
  </si>
  <si>
    <t>ZC360</t>
  </si>
  <si>
    <t>Premacryl liq.bezbarvý 250 ml 4342921</t>
  </si>
  <si>
    <t>ZC373</t>
  </si>
  <si>
    <t>Sprej cognoscin orig. 120 g 1IX1140</t>
  </si>
  <si>
    <t>ZC441</t>
  </si>
  <si>
    <t>Sádra marmodent 0208/25 á 25 kg</t>
  </si>
  <si>
    <t>ZC450</t>
  </si>
  <si>
    <t>Sádra efektor otisk 25 kg 4251135</t>
  </si>
  <si>
    <t>ZC453</t>
  </si>
  <si>
    <t>Prime-bond 60667240</t>
  </si>
  <si>
    <t>ZC456</t>
  </si>
  <si>
    <t>Savka UH 709, á 100 ks, 00709</t>
  </si>
  <si>
    <t>ZC462</t>
  </si>
  <si>
    <t>Písek Interalox 250 620000122</t>
  </si>
  <si>
    <t>ZC481</t>
  </si>
  <si>
    <t>Siloflex plus catal. 60 g 4213310</t>
  </si>
  <si>
    <t>ZC518</t>
  </si>
  <si>
    <t>Kromopan 100 450 g, 1/X2710</t>
  </si>
  <si>
    <t>ZC519</t>
  </si>
  <si>
    <t>Elastic Cromo 4221305</t>
  </si>
  <si>
    <t>ZC527</t>
  </si>
  <si>
    <t>Sádra alabastr. 0301/25 á 25 kg</t>
  </si>
  <si>
    <t>ZD161</t>
  </si>
  <si>
    <t>Matrice classic eliptická 7932.3</t>
  </si>
  <si>
    <t>ZD387</t>
  </si>
  <si>
    <t>Gumička ligovací elast.ligatury Safe-T-Ties (400-417) 400-801</t>
  </si>
  <si>
    <t>ZD528</t>
  </si>
  <si>
    <t>Zuby primodent zadní PO610</t>
  </si>
  <si>
    <t>ZD680</t>
  </si>
  <si>
    <t>Aqua cem, fix.materiál pro zub.náhrady 88115</t>
  </si>
  <si>
    <t>ZD767</t>
  </si>
  <si>
    <t>Aquasil soft Putty01</t>
  </si>
  <si>
    <t>ZE025</t>
  </si>
  <si>
    <t>Zuby primodent přední PO609</t>
  </si>
  <si>
    <t>ZE066</t>
  </si>
  <si>
    <t>Gumička ligovací (400-405) 400-803</t>
  </si>
  <si>
    <t>ZG557</t>
  </si>
  <si>
    <t>Zámky keramické signature (sada=6ks) Q3010</t>
  </si>
  <si>
    <t>ZG693</t>
  </si>
  <si>
    <t>Desky bazální - horní transparentní bal.á 50 ks 90 02 525</t>
  </si>
  <si>
    <t>ZI638</t>
  </si>
  <si>
    <t>Koncovka odsávací Sugritip-micro, á 20 ks 402048</t>
  </si>
  <si>
    <t>ZI663</t>
  </si>
  <si>
    <t>Gumička ligovací 400-402</t>
  </si>
  <si>
    <t>ZI807</t>
  </si>
  <si>
    <t>Implantát D4.4 BIO-ACCEL/L12 0321:3</t>
  </si>
  <si>
    <t>ZI927</t>
  </si>
  <si>
    <t>Amalgám YDM velikost 1 YDM-I/400</t>
  </si>
  <si>
    <t>ZL577</t>
  </si>
  <si>
    <t>Sprej Kavo 4119640KA</t>
  </si>
  <si>
    <t>ZC512</t>
  </si>
  <si>
    <t>Čep papírový 15-40 BT930.1</t>
  </si>
  <si>
    <t>ZC570</t>
  </si>
  <si>
    <t>Kavitan LC A2 4113411</t>
  </si>
  <si>
    <t>ZC920</t>
  </si>
  <si>
    <t>Zámky elite medium twin set. 022 707-398</t>
  </si>
  <si>
    <t>ZD118</t>
  </si>
  <si>
    <t>Interim Stand pěn.vložky 0658697</t>
  </si>
  <si>
    <t>ZD133</t>
  </si>
  <si>
    <t>Hmota otiskovací kettenbach 0137221</t>
  </si>
  <si>
    <t>ZD789</t>
  </si>
  <si>
    <t>Clip clip /voco/prov.výplňový materiál 1284</t>
  </si>
  <si>
    <t>ZF313</t>
  </si>
  <si>
    <t>Opticor flow barva A3 4000009</t>
  </si>
  <si>
    <t>ZG386</t>
  </si>
  <si>
    <t>Sprej CAD/CAM 50 ml 9002655</t>
  </si>
  <si>
    <t>ZG841</t>
  </si>
  <si>
    <t>Cement výplňový skloionomerní bal. á 50 ks 0298198</t>
  </si>
  <si>
    <t>ZG862</t>
  </si>
  <si>
    <t>Gumička ligovací á 30 ks 400-446</t>
  </si>
  <si>
    <t>ZH467</t>
  </si>
  <si>
    <t>Sprej KaVo QUATTROCARE á 6 ks 1.005.4525</t>
  </si>
  <si>
    <t>ZJ177</t>
  </si>
  <si>
    <t>Implantát D3.7 BIO/L8 0151:3</t>
  </si>
  <si>
    <t>ZL447</t>
  </si>
  <si>
    <t>Matrice Hawe adapt 1207581207</t>
  </si>
  <si>
    <t>ZL587</t>
  </si>
  <si>
    <t>Blána na koferdam nic tone rubber nam medium 13227</t>
  </si>
  <si>
    <t>ZB277</t>
  </si>
  <si>
    <t>Pronikač K-File 063025015</t>
  </si>
  <si>
    <t>ZL796</t>
  </si>
  <si>
    <t>Vlákno zubní Oral-Satin Tape 0498822</t>
  </si>
  <si>
    <t>ZC827</t>
  </si>
  <si>
    <t>Implantát D4.4 BIO-ACCEL/L14 0421:3</t>
  </si>
  <si>
    <t>ZL894</t>
  </si>
  <si>
    <t>Aplikátor M+W MicroTips modrý 0200507</t>
  </si>
  <si>
    <t>ZC446</t>
  </si>
  <si>
    <t>Kroužek molárový horní +7 H/LV  887-001 až 036</t>
  </si>
  <si>
    <t>ZK252</t>
  </si>
  <si>
    <t>Zeta Plus 900 ml 003-540107</t>
  </si>
  <si>
    <t>ZE181</t>
  </si>
  <si>
    <t>Fólie erkodur 1,0 x 120 mm ER521210</t>
  </si>
  <si>
    <t>ZH111</t>
  </si>
  <si>
    <t>Čep 06 papírový 15-40 dentaclean 9019134</t>
  </si>
  <si>
    <t>ZI092</t>
  </si>
  <si>
    <t>Čep papírový 04% VDW558025 1569322</t>
  </si>
  <si>
    <t>ZC193</t>
  </si>
  <si>
    <t>Poresorb-TCP 1.0 g/1.2 ml 1,0-2,0 m 41:2</t>
  </si>
  <si>
    <t>ZC479</t>
  </si>
  <si>
    <t>Siloflex plus putty 1350 g 4213110</t>
  </si>
  <si>
    <t>ZD415</t>
  </si>
  <si>
    <t>Amalgám kapslový č.2 YDM-I600</t>
  </si>
  <si>
    <t>ZD214</t>
  </si>
  <si>
    <t>Speedex komplet 620003520</t>
  </si>
  <si>
    <t>ZD140</t>
  </si>
  <si>
    <t>Pájka univerz.stříbrná - 700°C 380-604-50</t>
  </si>
  <si>
    <t>ZG518</t>
  </si>
  <si>
    <t>Návlek na senzor RVG  bal. á 500ks 582024</t>
  </si>
  <si>
    <t>ZH114</t>
  </si>
  <si>
    <t>Čep gutaperčový ProTaper F2 bal. á 60 ks 0488676</t>
  </si>
  <si>
    <t>ZG694</t>
  </si>
  <si>
    <t>Desky bazální - dolní transparentní bal.á 50 ks 90 02 526</t>
  </si>
  <si>
    <t>ZD524</t>
  </si>
  <si>
    <t>Čep vodící střední 302</t>
  </si>
  <si>
    <t>ZL045</t>
  </si>
  <si>
    <t>Implantát astra tech TX 4.0 S 24942</t>
  </si>
  <si>
    <t>ZC555</t>
  </si>
  <si>
    <t>Vosk měkký modelovací ceradent 4411115</t>
  </si>
  <si>
    <t>ZD469</t>
  </si>
  <si>
    <t>Sádra-stone orange 0613/25</t>
  </si>
  <si>
    <t>ZH107</t>
  </si>
  <si>
    <t>Čep 06 gutaperčový 15-40 dentaclean á 60 ks G64011 9003571</t>
  </si>
  <si>
    <t>ZC299</t>
  </si>
  <si>
    <t>Dentiplast 4232110</t>
  </si>
  <si>
    <t>ZG695</t>
  </si>
  <si>
    <t>Vosk modelovací - speciál letní  á 2500 g 9001516</t>
  </si>
  <si>
    <t>ZC328</t>
  </si>
  <si>
    <t>Calxyd ve stříkačce 4142120</t>
  </si>
  <si>
    <t>ZG959</t>
  </si>
  <si>
    <t>Keramika ceramco 3 - přirozená tavná hmota 15g DE301322</t>
  </si>
  <si>
    <t>ZC382</t>
  </si>
  <si>
    <t>Opticor flow barva A2 1008A2</t>
  </si>
  <si>
    <t>ZL411</t>
  </si>
  <si>
    <t>Cement pryskyřičný RelyX U 200 9026798</t>
  </si>
  <si>
    <t>ZF615</t>
  </si>
  <si>
    <t>Pronikač Hedstrém 053025008B</t>
  </si>
  <si>
    <t>ZG860</t>
  </si>
  <si>
    <t>Gumička ligovací á 30 ks (400-413) 400-812</t>
  </si>
  <si>
    <t>ZJ178</t>
  </si>
  <si>
    <t>Implantát D5.1 BIO/L8 1551:3</t>
  </si>
  <si>
    <t>ZD523</t>
  </si>
  <si>
    <t>Kotouč řezací pr.40/0,5 mm, á 10 ks, 370000107</t>
  </si>
  <si>
    <t>ZB044</t>
  </si>
  <si>
    <t>Šroub ortodontický Bertoni 602-606-1</t>
  </si>
  <si>
    <t>ZG158</t>
  </si>
  <si>
    <t>Vlákno wedjets na kofferdam 0035117</t>
  </si>
  <si>
    <t>ZC821</t>
  </si>
  <si>
    <t>Occlu spray zelený 75 ml 620000306</t>
  </si>
  <si>
    <t>ZB278</t>
  </si>
  <si>
    <t>Pronikač K-File 063025020</t>
  </si>
  <si>
    <t>ZD095</t>
  </si>
  <si>
    <t>Tekutina expanzní sheraifina 1l 1501SH</t>
  </si>
  <si>
    <t>ZC517</t>
  </si>
  <si>
    <t>Nit dentální BT485</t>
  </si>
  <si>
    <t>ZJ033</t>
  </si>
  <si>
    <t>Čep gutaperčový 06 vel. 25 dentaclean 9003557</t>
  </si>
  <si>
    <t>ZE411</t>
  </si>
  <si>
    <t>Nůž modelovací 130 mm ME155520212</t>
  </si>
  <si>
    <t>ZC522</t>
  </si>
  <si>
    <t>Pasta Superpolish 1719 620000422</t>
  </si>
  <si>
    <t>ZE911</t>
  </si>
  <si>
    <t>Čep 06 papírový 30 dentaclean á 100 ks P64030 9019139</t>
  </si>
  <si>
    <t>ZK443</t>
  </si>
  <si>
    <t>Pomůcka k odtažení rtů Optragate 590851 0091612</t>
  </si>
  <si>
    <t>ZE860</t>
  </si>
  <si>
    <t>Nástroj modelovací červený HSL033-00</t>
  </si>
  <si>
    <t>ZI516</t>
  </si>
  <si>
    <t>Čep 06 papírový 25 dentaclean á 100 ks P64025 9019138</t>
  </si>
  <si>
    <t>ZI515</t>
  </si>
  <si>
    <t>Čep 06 papírový 20 dentaclean á 100 ks 9019137</t>
  </si>
  <si>
    <t>ZC386</t>
  </si>
  <si>
    <t>Kavitan pro A3 4113312</t>
  </si>
  <si>
    <t>ZF279</t>
  </si>
  <si>
    <t>Kroužky molárové dolní  -7  D/LV  889-011 až 036</t>
  </si>
  <si>
    <t>ZI685</t>
  </si>
  <si>
    <t>Pilník K-File 397144518772</t>
  </si>
  <si>
    <t>ZH124</t>
  </si>
  <si>
    <t>Pronikač K-File 063025010</t>
  </si>
  <si>
    <t>ZD368</t>
  </si>
  <si>
    <t>Matrice Hawe Neos 376</t>
  </si>
  <si>
    <t>ZC387</t>
  </si>
  <si>
    <t>Kavitan plus A2 4113231</t>
  </si>
  <si>
    <t>ZF278</t>
  </si>
  <si>
    <t>Kroužky molárové dolní  7-  D/PR 888-001 až 036</t>
  </si>
  <si>
    <t>ZD006</t>
  </si>
  <si>
    <t>Duracryl plus liq. 250 g 160000041</t>
  </si>
  <si>
    <t>ZC476</t>
  </si>
  <si>
    <t>Sprej Kavo 500 ml 4620402A</t>
  </si>
  <si>
    <t>ZI271</t>
  </si>
  <si>
    <t>Šroub pro fixaci konstrukce M1.6/hex 1.0 1641.3</t>
  </si>
  <si>
    <t>ZD270</t>
  </si>
  <si>
    <t>Čep papírový 170000129</t>
  </si>
  <si>
    <t>ZG401</t>
  </si>
  <si>
    <t>Orthocryl Neon zelený pulvis á200g 160-010-00</t>
  </si>
  <si>
    <t>ZM836</t>
  </si>
  <si>
    <t>Čep 06 papírový 60 dentacean 9019141</t>
  </si>
  <si>
    <t>ZB256</t>
  </si>
  <si>
    <t>IPS Dentin A-D B1 20g  IV593231</t>
  </si>
  <si>
    <t>ZM837</t>
  </si>
  <si>
    <t>Drát ligaturový 0,25 501-025-00</t>
  </si>
  <si>
    <t>ZF493</t>
  </si>
  <si>
    <t>Gumička ligovací 400-437</t>
  </si>
  <si>
    <t>ZC445</t>
  </si>
  <si>
    <t>Kroužek molárový horní 7+ H/PR 886-001 až 036</t>
  </si>
  <si>
    <t>ZI514</t>
  </si>
  <si>
    <t>Čep 06 papírový 15 dentaclean 9019136</t>
  </si>
  <si>
    <t>ZD420</t>
  </si>
  <si>
    <t>Klínek dřevěný (polydentia) 9002277</t>
  </si>
  <si>
    <t>ZD235</t>
  </si>
  <si>
    <t>Signum metal bond 2 4 ml 620003528</t>
  </si>
  <si>
    <t>ZM899</t>
  </si>
  <si>
    <t>Čepy pro destičku na pálení keramiky 2 mm bal. á 12 ks SL9020</t>
  </si>
  <si>
    <t>ZM903</t>
  </si>
  <si>
    <t>Stojánek keramický C VIB013</t>
  </si>
  <si>
    <t>ZM898</t>
  </si>
  <si>
    <t>Spray pro skenování 3D bal. á 400 ml Laserscanning Anti-clare-spray 119990001</t>
  </si>
  <si>
    <t>ZD141</t>
  </si>
  <si>
    <t>Pasta ochran.pro ledování RO227-01</t>
  </si>
  <si>
    <t>ZD890</t>
  </si>
  <si>
    <t>Hmota zatmelovací Shera Cast 20 kg /8x2,5/</t>
  </si>
  <si>
    <t>ZE019</t>
  </si>
  <si>
    <t>Pasta leštící Opal 35 g RE520.0000</t>
  </si>
  <si>
    <t>ZD874</t>
  </si>
  <si>
    <t>Fréza heatles bílá HFB 7 mon. 7HFB</t>
  </si>
  <si>
    <t>ZJ749</t>
  </si>
  <si>
    <t>Obturátor ProTaper F3 bal. á 6 ks 9026538</t>
  </si>
  <si>
    <t>ZM869</t>
  </si>
  <si>
    <t>Jehla jednorázová septoject zelená G 30 0,3 x 16 mm bal. á 100 ks 9009059</t>
  </si>
  <si>
    <t>ZM900</t>
  </si>
  <si>
    <t>Čepy pro destičku na pálení keramiky 3 mm bal. á 12 ks SL9021</t>
  </si>
  <si>
    <t>ZM902</t>
  </si>
  <si>
    <t>Stojánek keramický A  VIB011</t>
  </si>
  <si>
    <t>ZC535</t>
  </si>
  <si>
    <t>Induret gel C100700</t>
  </si>
  <si>
    <t>ZD313</t>
  </si>
  <si>
    <t>Oranwash L 140 ml IX2877</t>
  </si>
  <si>
    <t>ZM870</t>
  </si>
  <si>
    <t>Čep gutaperčový 06 vel. 15 dentaclean 9003553</t>
  </si>
  <si>
    <t>ZM871</t>
  </si>
  <si>
    <t>Čep gutaperčový 06 vel. 20 dentaclean 9003555</t>
  </si>
  <si>
    <t>ZL448</t>
  </si>
  <si>
    <t>Matrice Hawe adapt 1205581205</t>
  </si>
  <si>
    <t>ZC469</t>
  </si>
  <si>
    <t>Superpont pulvis 100g 4321751</t>
  </si>
  <si>
    <t>ZM654</t>
  </si>
  <si>
    <t>Pinzeta na lepení zámků 025-277-00</t>
  </si>
  <si>
    <t>ZM904</t>
  </si>
  <si>
    <t>Stojánek keramický G VIB009</t>
  </si>
  <si>
    <t>ZK453</t>
  </si>
  <si>
    <t>Pronikač C pilot 053031020</t>
  </si>
  <si>
    <t>ZC253</t>
  </si>
  <si>
    <t>Čep 06 papírový 35 dentaclean 9019140</t>
  </si>
  <si>
    <t>ZG865</t>
  </si>
  <si>
    <t>Pásek strippingový 106-221</t>
  </si>
  <si>
    <t>ZF929</t>
  </si>
  <si>
    <t>Pronikač 053025030</t>
  </si>
  <si>
    <t>ZI257</t>
  </si>
  <si>
    <t>Čep gutaperčový č. 015 1559241</t>
  </si>
  <si>
    <t>ZJ039</t>
  </si>
  <si>
    <t>Adhezivum Xeno V 2,5 ml 60667317</t>
  </si>
  <si>
    <t>ZG867</t>
  </si>
  <si>
    <t>Pásek strippingový 106-221D</t>
  </si>
  <si>
    <t>ZM868</t>
  </si>
  <si>
    <t>Kroužek horní premoláry 790-218-02</t>
  </si>
  <si>
    <t>ZH125</t>
  </si>
  <si>
    <t>Čep gutaperčový sada 02% 015-40 VDW525230 1552432</t>
  </si>
  <si>
    <t>ZB196</t>
  </si>
  <si>
    <t>Šití prolen bl 4-0 bal. á 36 ks EH7151H</t>
  </si>
  <si>
    <t>ZD736</t>
  </si>
  <si>
    <t>Šití silkam černý 4/0 (1.5) bal. á 36 ks C0760293</t>
  </si>
  <si>
    <t>ZB443</t>
  </si>
  <si>
    <t>Šití silkam černý 4/0 (1.5) bal. á 36 ks C0760137</t>
  </si>
  <si>
    <t>ZC151</t>
  </si>
  <si>
    <t>Šití safil quick 3/0 (2) bal. á 36 ks C1046014</t>
  </si>
  <si>
    <t>ZI407</t>
  </si>
  <si>
    <t>Šití premilene 6/0 (0.7) bal. á 36 ks C2090211</t>
  </si>
  <si>
    <t>ZB444</t>
  </si>
  <si>
    <t>Šití silkam černý 4/0 (1.5) bal. á 36 ks C0761290</t>
  </si>
  <si>
    <t>ZA360</t>
  </si>
  <si>
    <t>Jehla sterican 0,5 x 25 mm oranžová 9186158</t>
  </si>
  <si>
    <t>ZA833</t>
  </si>
  <si>
    <t>Jehla injekční 0,8 x 40 mm zelená 4657527</t>
  </si>
  <si>
    <t>ZA834</t>
  </si>
  <si>
    <t>Jehla injekční 0,7 x 40 mm černá 4660021</t>
  </si>
  <si>
    <t>ZD515</t>
  </si>
  <si>
    <t>Jehla jednorázová septoject G30 0,3 x 25 mm á 100 ks 0038505</t>
  </si>
  <si>
    <t>ZI757</t>
  </si>
  <si>
    <t>Rukavice vinyl bez p. S á 100 ks EFEKTVR02</t>
  </si>
  <si>
    <t>ZI758</t>
  </si>
  <si>
    <t>Rukavice vinyl bez p. M á 100 ks EFEKTVR03</t>
  </si>
  <si>
    <t>ZK474</t>
  </si>
  <si>
    <t>Rukavice operační latexové s pudrem ansell medigrip plus vel. 6,5 303503</t>
  </si>
  <si>
    <t>ZK475</t>
  </si>
  <si>
    <t>Rukavice operační latexové s pudrem ansell medigrip plus vel. 7,0 303504 (303364)</t>
  </si>
  <si>
    <t>ZK476</t>
  </si>
  <si>
    <t>Rukavice operační latexové s pudrem ansell medigrip plus vel. 7,5 303505 (302925)</t>
  </si>
  <si>
    <t>ZK477</t>
  </si>
  <si>
    <t>Rukavice operační latexové s pudrem ansell medigrip plus vel. 8,0 303506(303366)</t>
  </si>
  <si>
    <t>ZL071</t>
  </si>
  <si>
    <t>Rukavice operační gammex bez pudru PF EnLite vel. 6,5 353383</t>
  </si>
  <si>
    <t>ZC063</t>
  </si>
  <si>
    <t>Rukavice latex bez p. M 9421615 - povoleno pouze pro ÚČOCH a KZL</t>
  </si>
  <si>
    <t>ZK098</t>
  </si>
  <si>
    <t>Rukavice latex s p. L kartón 2000 ks 8951473 - povoleno pouze pro ÚČOCH a KZL</t>
  </si>
  <si>
    <t>ZK093</t>
  </si>
  <si>
    <t>Rukavice latex s p. S kartón 2000 ks 8958864 - povoleno pouze pro ÚČOCH a KZL</t>
  </si>
  <si>
    <t>ZJ594</t>
  </si>
  <si>
    <t>Rukavice nitril Sterling bez p., á 200 ks XS 13938</t>
  </si>
  <si>
    <t>ZK094</t>
  </si>
  <si>
    <t>Rukavice latex s p. M kartón 2000 ks 8955565 - povoleno pouze pro ÚČOCH a KZL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</si>
  <si>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</si>
  <si>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</si>
  <si>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</si>
  <si>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</si>
  <si>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</si>
  <si>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</si>
  <si>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50115050</t>
  </si>
  <si>
    <t>502 SZM obvazový (112 02 040)</t>
  </si>
  <si>
    <t>50115060</t>
  </si>
  <si>
    <t>503 SZM ostatní zdravotnický (112 02 100)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</si>
  <si>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</si>
  <si>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</si>
  <si>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</si>
  <si>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</si>
  <si>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</si>
  <si>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</si>
  <si>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</si>
  <si>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</si>
  <si>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Spotřeba zdravotnického materiálu - orientační přehled</t>
  </si>
  <si>
    <t>ON Data</t>
  </si>
  <si>
    <t>014 - Pracoviště praktického zubního lékaře</t>
  </si>
  <si>
    <t>015 - Pracoviště čelistní ortopedie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</si>
  <si>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</si>
  <si>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</si>
  <si>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</si>
  <si>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</si>
  <si>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</si>
  <si>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Zdravotní výkony vykázané na pracovišti v rámci ambulantní péče dle lékařů *</t>
  </si>
  <si>
    <t>014</t>
  </si>
  <si>
    <t>4</t>
  </si>
  <si>
    <t>0071601</t>
  </si>
  <si>
    <t>0072001</t>
  </si>
  <si>
    <t>0072041</t>
  </si>
  <si>
    <t>0080001</t>
  </si>
  <si>
    <t>0080011</t>
  </si>
  <si>
    <t>0080012</t>
  </si>
  <si>
    <t>0080021</t>
  </si>
  <si>
    <t>0080031</t>
  </si>
  <si>
    <t>0080051</t>
  </si>
  <si>
    <t>0080061</t>
  </si>
  <si>
    <t>0081042</t>
  </si>
  <si>
    <t>0081052</t>
  </si>
  <si>
    <t>0081062</t>
  </si>
  <si>
    <t>0081102</t>
  </si>
  <si>
    <t>0081112</t>
  </si>
  <si>
    <t>0081114</t>
  </si>
  <si>
    <t>0081115</t>
  </si>
  <si>
    <t>0081124</t>
  </si>
  <si>
    <t>0081132</t>
  </si>
  <si>
    <t>0081231</t>
  </si>
  <si>
    <t>0081303</t>
  </si>
  <si>
    <t>0081311</t>
  </si>
  <si>
    <t>0081312</t>
  </si>
  <si>
    <t>0081531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</si>
  <si>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</si>
  <si>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</si>
  <si>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</si>
  <si>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</si>
  <si>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</si>
  <si>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</si>
  <si>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</si>
  <si>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</si>
  <si>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</si>
  <si>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0082114</t>
  </si>
  <si>
    <t>0082201</t>
  </si>
  <si>
    <t>0082211</t>
  </si>
  <si>
    <t>0082213</t>
  </si>
  <si>
    <t>0082301</t>
  </si>
  <si>
    <t>0082311</t>
  </si>
  <si>
    <t>0082320</t>
  </si>
  <si>
    <t>0082331</t>
  </si>
  <si>
    <t>0082332</t>
  </si>
  <si>
    <t>0083003</t>
  </si>
  <si>
    <t>0084021</t>
  </si>
  <si>
    <t>0181132</t>
  </si>
  <si>
    <t>0081051</t>
  </si>
  <si>
    <t>0081202</t>
  </si>
  <si>
    <t>0081222</t>
  </si>
  <si>
    <t>0082353</t>
  </si>
  <si>
    <t>V</t>
  </si>
  <si>
    <t>00900</t>
  </si>
  <si>
    <t>KOMPLEXNÍ VYŠETŘENÍ STOMATOLOGEM PŘI REGISTRACI PO</t>
  </si>
  <si>
    <t>00901</t>
  </si>
  <si>
    <t>OPAKOVANÉ KOMPLEXNÍ VYŠETŘENÍ A OŠETŘENÍ REGISTROV</t>
  </si>
  <si>
    <t>00906</t>
  </si>
  <si>
    <t>STOMATOLOGICKÉ OŠETŘENÍ POJIŠTĚNCE DO 6 LET NEBO H</t>
  </si>
  <si>
    <t>00910</t>
  </si>
  <si>
    <t>ZHOTOVENÍ INTRAORÁLNÍHO RENTGENOVÉHO SNÍMKU</t>
  </si>
  <si>
    <t>00911</t>
  </si>
  <si>
    <t>ZHOTOVENÍ EXTRAORÁLNÍHO RENTGENOVÉHO SNÍMKU</t>
  </si>
  <si>
    <t>00915</t>
  </si>
  <si>
    <t>ZHOTOVENÍ TELERENTGENOVÉHO SNÍMKU LBI</t>
  </si>
  <si>
    <t>00916</t>
  </si>
  <si>
    <t>ANESTEZIE NA FORAMEN MANDIBULAE A INFRAORBITALE</t>
  </si>
  <si>
    <t>00920</t>
  </si>
  <si>
    <t>OŠETŘENÍ ZUBNÍHO KAZU - STÁLÝ ZUB - FOTOKOMPOZITNÍ</t>
  </si>
  <si>
    <t>00921</t>
  </si>
  <si>
    <t>OŠETŘENÍ ZUBNÍHO KAZU - STÁLÝ ZUB</t>
  </si>
  <si>
    <t>00925</t>
  </si>
  <si>
    <t>KONZERVATIVNÍ LÉČBA KOMPLIKACÍ ZUBNÍHO KAZU II - S</t>
  </si>
  <si>
    <t>00931</t>
  </si>
  <si>
    <t>KOMPLEXNÍ LÉČBA CHRONICKÝCH ONEMOCNĚNÍ PARODONTU</t>
  </si>
  <si>
    <t>00935</t>
  </si>
  <si>
    <t>SUBGINGIVÁLNÍ OŠETŘENÍ</t>
  </si>
  <si>
    <t>00936</t>
  </si>
  <si>
    <t>ODEBRÁNÍ A ZAJIŠTĚNÍ PŘENOSU TRANSPLANTÁTU</t>
  </si>
  <si>
    <t>00940</t>
  </si>
  <si>
    <t>KOMPLEXNÍ VYŠETŘENÍ A NÁVRH LÉČBY ONEMOCNĚNÍ ÚSTNÍ</t>
  </si>
  <si>
    <t>00941</t>
  </si>
  <si>
    <t>KONTROLNÍ VYŠETŘENÍ A LÉČBA ONEMOCNĚNÍ ÚSTNÍ SLIZN</t>
  </si>
  <si>
    <t>00945</t>
  </si>
  <si>
    <t>CÍLENÉ VYŠETŘENÍ</t>
  </si>
  <si>
    <t>00946</t>
  </si>
  <si>
    <t>00950</t>
  </si>
  <si>
    <t>EXTRAKCE STÁLÉHO ZUBU</t>
  </si>
  <si>
    <t>00951</t>
  </si>
  <si>
    <t>CHIRURGIE TVRDÝCH TKÁNÍ DUTINY ÚSTNÍ MALÉHO ROZSAH</t>
  </si>
  <si>
    <t>00955</t>
  </si>
  <si>
    <t>CHIRURGIE MĚKKÝCH TKÁNÍ DUTINY ÚSTNÍ A JEJÍHO OKOL</t>
  </si>
  <si>
    <t>00956</t>
  </si>
  <si>
    <t>00961</t>
  </si>
  <si>
    <t xml:space="preserve">OŠETŘENÍ KOMPLIKACÍ CHIRURGICKÝCH VÝKONŮ V DUTINĚ </t>
  </si>
  <si>
    <t>00970</t>
  </si>
  <si>
    <t>SEJMUTÍ FIXNÍ NÁHRADY - ZA KAŽDOU PILÍŘOVOU KONSTR</t>
  </si>
  <si>
    <t>00971</t>
  </si>
  <si>
    <t>PROVIZORNÍ OCHRANNÁ KORUNKA</t>
  </si>
  <si>
    <t>09547</t>
  </si>
  <si>
    <t>REGULAČNÍ POPLATEK -- POJIŠTĚNEC OD ÚHRADY POPLATK</t>
  </si>
  <si>
    <t>00974</t>
  </si>
  <si>
    <t>ODEVZDÁNÍ STOMATOLOGICKÉHO VÝROBKU</t>
  </si>
  <si>
    <t>00913</t>
  </si>
  <si>
    <t>ZHOTOVENÍ ORTOPANTOMOGRAMU</t>
  </si>
  <si>
    <t>09543</t>
  </si>
  <si>
    <t>SIGNÁLNÍ VÝKON KLINICKÉHO VYŠETŘENÍ / DO 31.12.201</t>
  </si>
  <si>
    <t>00909</t>
  </si>
  <si>
    <t>KLINICKÉ STOMATOLOGICKÉ VYŠETŘENÍ</t>
  </si>
  <si>
    <t>00963</t>
  </si>
  <si>
    <t>INJEKCE I.M., I.V., I.D., S.C.</t>
  </si>
  <si>
    <t>00914</t>
  </si>
  <si>
    <t>VYHODNOCENÍ ORTOPANTOMOGRAMU</t>
  </si>
  <si>
    <t>00953</t>
  </si>
  <si>
    <t>CHIRURGICKÉ OŠETŘOVÁNÍ RETENCE ZUBŮ</t>
  </si>
  <si>
    <t>00934</t>
  </si>
  <si>
    <t>CHIRURGICKÁ LÉČBA ONEMOCNĚNÍ PARODONTU VELKÉHO ROZ</t>
  </si>
  <si>
    <t>00932</t>
  </si>
  <si>
    <t>LÉČBA CHRONICKÝCH ONEMOCNĚNÍ PARODONTU</t>
  </si>
  <si>
    <t>00917</t>
  </si>
  <si>
    <t>ANESTEZIE INFILTRAČNÍ</t>
  </si>
  <si>
    <t>00973</t>
  </si>
  <si>
    <t>OPRAVA NEBO ÚPRAVA SNÍMATELNÉ NÁHRADY V ORDINACI</t>
  </si>
  <si>
    <t>00949</t>
  </si>
  <si>
    <t>EXTRAKCE DOČASNÉHO ZUBU</t>
  </si>
  <si>
    <t>00923</t>
  </si>
  <si>
    <t>KONZERVATIVNÍ LÉČBA KOMPLIKACÍ ZUBNÍHO KAZU - STÁL</t>
  </si>
  <si>
    <t>00922</t>
  </si>
  <si>
    <t>OŠETŘENÍ ZUBNÍHO KAZU - DOČASNÝ ZUB</t>
  </si>
  <si>
    <t>00907</t>
  </si>
  <si>
    <t>STOMATOLOGICKÉ OŠETŘENÍ  POJIŠTĚNCE OD 6 DO 15 LET</t>
  </si>
  <si>
    <t>00952</t>
  </si>
  <si>
    <t>CHIRURGIE TVRDÝCH TKÁNÍ DUTINY ÚSTNÍ VELKÉHO ROZSA</t>
  </si>
  <si>
    <t>00959</t>
  </si>
  <si>
    <t>INTRAORÁLNÍ INCIZE</t>
  </si>
  <si>
    <t>00938</t>
  </si>
  <si>
    <t>PŘECHODNÉ DLAHY KE STABILIZACI ZUBŮ S OSLABENÝM PA</t>
  </si>
  <si>
    <t>00954</t>
  </si>
  <si>
    <t>KONZERVAČNĚ - CHIRURGICKÁ LÉČBA KOMPLIKACÍ ZUBNÍHO</t>
  </si>
  <si>
    <t>00908</t>
  </si>
  <si>
    <t>AKUTNÍ OŠETŘENÍ A VYŠETŘENÍ NEREGISTROVANÉHO POJIŠ</t>
  </si>
  <si>
    <t>00933</t>
  </si>
  <si>
    <t>CHIRURGICKÁ LÉČBA ONEMOCNĚNÍ PARODONTU MALÉHO ROZS</t>
  </si>
  <si>
    <t>00943</t>
  </si>
  <si>
    <t>MĚŘENÍ GALVANICKÝCH PROUDŮ</t>
  </si>
  <si>
    <t>00912</t>
  </si>
  <si>
    <t>NÁPLŇ SLINNÉ ŽLÁZY KONTRASTNÍ LÁTKOU</t>
  </si>
  <si>
    <t>00903</t>
  </si>
  <si>
    <t>VYŽÁDANÉ VYŠETŘENí ODBORNÍKEM NEBO SPECIALISTOU</t>
  </si>
  <si>
    <t>015</t>
  </si>
  <si>
    <t>0070001</t>
  </si>
  <si>
    <t>0074021</t>
  </si>
  <si>
    <t>0076001</t>
  </si>
  <si>
    <t>0076011</t>
  </si>
  <si>
    <t>0076012</t>
  </si>
  <si>
    <t>0076017</t>
  </si>
  <si>
    <t>0076031</t>
  </si>
  <si>
    <t>0076033</t>
  </si>
  <si>
    <t>0076034</t>
  </si>
  <si>
    <t>0076041</t>
  </si>
  <si>
    <t>0076071</t>
  </si>
  <si>
    <t>0076080</t>
  </si>
  <si>
    <t>0076081</t>
  </si>
  <si>
    <t>0080002</t>
  </si>
  <si>
    <t>0086001</t>
  </si>
  <si>
    <t>0086031</t>
  </si>
  <si>
    <t>0086037</t>
  </si>
  <si>
    <t>0086071</t>
  </si>
  <si>
    <t>0086080</t>
  </si>
  <si>
    <t>0086081</t>
  </si>
  <si>
    <t>0086070</t>
  </si>
  <si>
    <t>00981</t>
  </si>
  <si>
    <t>DIAGNOSTIKA ORTODONTICKÝCH ANOMÁLIÍ</t>
  </si>
  <si>
    <t>00984</t>
  </si>
  <si>
    <t>KONTROLA LÉČBY ORTODONTICKÝCH ANOMÁLIÍ JINÝMI POST</t>
  </si>
  <si>
    <t>00985</t>
  </si>
  <si>
    <t xml:space="preserve">UKONČENÍ LÉČBY ORTODONTICKÝCH ANOMÁLIÍ S POUŽITÍM </t>
  </si>
  <si>
    <t>00986</t>
  </si>
  <si>
    <t>KONTROLA VE FÁZI RETENCE NEBO AKTIVNÍ SLEDOVÁNÍ VE</t>
  </si>
  <si>
    <t>00990</t>
  </si>
  <si>
    <t>DIAGNOSTICKÁ PŘESTAVBA ORTODONTICKÉHO MODELU</t>
  </si>
  <si>
    <t>00994</t>
  </si>
  <si>
    <t>ZAHÁJENÍ LÉČBY ORTODONTICKÝCH ANOMÁLIÍ MALÝM FIXNÍ</t>
  </si>
  <si>
    <t>00982</t>
  </si>
  <si>
    <t>ZAHÁJENÍ LÉČBY ORTODONTICKÝCH ANOMÁLIÍ FIXNÍM ORTO</t>
  </si>
  <si>
    <t>00989</t>
  </si>
  <si>
    <t>ANALÝZA ORTODONTICKÝCH MODELŮ</t>
  </si>
  <si>
    <t>00987</t>
  </si>
  <si>
    <t>STANOVENÍ FÁZE RŮSTU</t>
  </si>
  <si>
    <t>00988</t>
  </si>
  <si>
    <t>ANALÝZA TELERENTGENOVÉHO SNÍMKU LBI</t>
  </si>
  <si>
    <t>00983</t>
  </si>
  <si>
    <t xml:space="preserve">KONTROLA LÉČBY ORTODONTICKÝCH ANOMÁLIÍ S POUŽITÍM </t>
  </si>
  <si>
    <t>00993</t>
  </si>
  <si>
    <t>NAVÁZÁNÍ PARCIÁLNÍHO OBLOUKU</t>
  </si>
  <si>
    <t>Zdravotní výkony + ZUM + ZULP vykázané na pracovišti v rámci ambulantní péče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</si>
</sst>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25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9" fillId="0" borderId="1" xfId="0" applyFont="1" applyFill="1" applyBorder="1"/>
    <xf numFmtId="0" fontId="39" fillId="0" borderId="2" xfId="0" applyFont="1" applyFill="1" applyBorder="1"/>
    <xf numFmtId="3" fontId="28" fillId="0" borderId="27" xfId="78" applyNumberFormat="1" applyFont="1" applyFill="1" applyBorder="1" applyAlignment="1">
      <alignment horizontal="right"/>
    </xf>
    <xf numFmtId="9" fontId="28" fillId="0" borderId="27" xfId="78" applyNumberFormat="1" applyFont="1" applyFill="1" applyBorder="1" applyAlignment="1">
      <alignment horizontal="right"/>
    </xf>
    <xf numFmtId="3" fontId="28" fillId="0" borderId="20" xfId="78" applyNumberFormat="1" applyFont="1" applyFill="1" applyBorder="1" applyAlignment="1">
      <alignment horizontal="right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28" fillId="2" borderId="26" xfId="78" applyFont="1" applyFill="1" applyBorder="1" applyAlignment="1">
      <alignment horizontal="right"/>
    </xf>
    <xf numFmtId="3" fontId="28" fillId="2" borderId="52" xfId="78" applyNumberFormat="1" applyFont="1" applyFill="1" applyBorder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28" fillId="0" borderId="2" xfId="78" applyFont="1" applyFill="1" applyBorder="1" applyAlignment="1">
      <alignment horizontal="left"/>
    </xf>
    <xf numFmtId="0" fontId="31" fillId="2" borderId="42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169" fontId="32" fillId="0" borderId="0" xfId="0" applyNumberFormat="1" applyFont="1" applyFill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51" xfId="1" applyFont="1" applyFill="1" applyBorder="1"/>
    <xf numFmtId="0" fontId="45" fillId="2" borderId="4" xfId="1" applyFont="1" applyFill="1" applyBorder="1"/>
    <xf numFmtId="0" fontId="45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7" xfId="0" applyNumberFormat="1" applyFont="1" applyFill="1" applyBorder="1"/>
    <xf numFmtId="9" fontId="39" fillId="2" borderId="52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5" fillId="2" borderId="34" xfId="1" applyFont="1" applyFill="1" applyBorder="1" applyAlignment="1">
      <alignment horizontal="left" indent="4"/>
    </xf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9" xfId="1" applyFont="1" applyFill="1" applyBorder="1" applyAlignment="1">
      <alignment horizontal="left"/>
    </xf>
    <xf numFmtId="0" fontId="45" fillId="4" borderId="34" xfId="1" applyFont="1" applyFill="1" applyBorder="1" applyAlignment="1">
      <alignment horizontal="left" indent="2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/>
    <xf numFmtId="16" fontId="40" fillId="0" borderId="0" xfId="0" quotePrefix="1" applyNumberFormat="1" applyFont="1" applyFill="1"/>
    <xf numFmtId="0" fontId="40" fillId="0" borderId="0" xfId="0" quotePrefix="1" applyFont="1" applyFill="1"/>
    <xf numFmtId="171" fontId="40" fillId="0" borderId="0" xfId="0" applyNumberFormat="1" applyFont="1" applyFill="1"/>
    <xf numFmtId="172" fontId="40" fillId="0" borderId="0" xfId="0" applyNumberFormat="1" applyFont="1" applyFill="1"/>
    <xf numFmtId="3" fontId="40" fillId="0" borderId="0" xfId="0" applyNumberFormat="1" applyFont="1" applyFill="1"/>
    <xf numFmtId="0" fontId="7" fillId="0" borderId="0" xfId="81" applyFont="1" applyFill="1"/>
    <xf numFmtId="0" fontId="50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4" xfId="0" applyNumberFormat="1" applyFont="1" applyFill="1" applyBorder="1" applyAlignment="1"/>
    <xf numFmtId="3" fontId="32" fillId="0" borderId="42" xfId="0" applyNumberFormat="1" applyFont="1" applyFill="1" applyBorder="1" applyAlignment="1"/>
    <xf numFmtId="9" fontId="32" fillId="0" borderId="42" xfId="0" applyNumberFormat="1" applyFont="1" applyFill="1" applyBorder="1" applyAlignment="1"/>
    <xf numFmtId="3" fontId="0" fillId="0" borderId="0" xfId="0" applyNumberFormat="1"/>
    <xf numFmtId="3" fontId="0" fillId="7" borderId="62" xfId="0" applyNumberFormat="1" applyFont="1" applyFill="1" applyBorder="1"/>
    <xf numFmtId="3" fontId="52" fillId="8" borderId="63" xfId="0" applyNumberFormat="1" applyFont="1" applyFill="1" applyBorder="1"/>
    <xf numFmtId="3" fontId="52" fillId="8" borderId="62" xfId="0" applyNumberFormat="1" applyFont="1" applyFill="1" applyBorder="1"/>
    <xf numFmtId="0" fontId="53" fillId="0" borderId="0" xfId="1" applyFont="1" applyFill="1"/>
    <xf numFmtId="3" fontId="51" fillId="0" borderId="0" xfId="26" applyNumberFormat="1" applyFont="1" applyFill="1" applyBorder="1" applyAlignment="1"/>
    <xf numFmtId="3" fontId="39" fillId="2" borderId="66" xfId="0" applyNumberFormat="1" applyFont="1" applyFill="1" applyBorder="1" applyAlignment="1">
      <alignment horizontal="center" vertical="center"/>
    </xf>
    <xf numFmtId="0" fontId="39" fillId="2" borderId="67" xfId="0" applyFont="1" applyFill="1" applyBorder="1" applyAlignment="1">
      <alignment horizontal="center" vertical="center"/>
    </xf>
    <xf numFmtId="3" fontId="54" fillId="2" borderId="69" xfId="0" applyNumberFormat="1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39" fillId="2" borderId="72" xfId="0" applyFont="1" applyFill="1" applyBorder="1" applyAlignment="1"/>
    <xf numFmtId="0" fontId="39" fillId="2" borderId="74" xfId="0" applyFont="1" applyFill="1" applyBorder="1" applyAlignment="1">
      <alignment horizontal="left" indent="1"/>
    </xf>
    <xf numFmtId="0" fontId="39" fillId="2" borderId="80" xfId="0" applyFont="1" applyFill="1" applyBorder="1" applyAlignment="1">
      <alignment horizontal="left" indent="1"/>
    </xf>
    <xf numFmtId="0" fontId="39" fillId="4" borderId="72" xfId="0" applyFont="1" applyFill="1" applyBorder="1" applyAlignment="1"/>
    <xf numFmtId="0" fontId="39" fillId="4" borderId="74" xfId="0" applyFont="1" applyFill="1" applyBorder="1" applyAlignment="1">
      <alignment horizontal="left" indent="1"/>
    </xf>
    <xf numFmtId="0" fontId="39" fillId="4" borderId="85" xfId="0" applyFont="1" applyFill="1" applyBorder="1" applyAlignment="1">
      <alignment horizontal="left" indent="1"/>
    </xf>
    <xf numFmtId="0" fontId="32" fillId="2" borderId="74" xfId="0" quotePrefix="1" applyFont="1" applyFill="1" applyBorder="1" applyAlignment="1">
      <alignment horizontal="left" indent="2"/>
    </xf>
    <xf numFmtId="0" fontId="32" fillId="2" borderId="80" xfId="0" quotePrefix="1" applyFont="1" applyFill="1" applyBorder="1" applyAlignment="1">
      <alignment horizontal="left" indent="2"/>
    </xf>
    <xf numFmtId="0" fontId="39" fillId="2" borderId="72" xfId="0" applyFont="1" applyFill="1" applyBorder="1" applyAlignment="1">
      <alignment horizontal="left" indent="1"/>
    </xf>
    <xf numFmtId="0" fontId="39" fillId="2" borderId="85" xfId="0" applyFont="1" applyFill="1" applyBorder="1" applyAlignment="1">
      <alignment horizontal="left" indent="1"/>
    </xf>
    <xf numFmtId="0" fontId="39" fillId="4" borderId="80" xfId="0" applyFont="1" applyFill="1" applyBorder="1" applyAlignment="1">
      <alignment horizontal="left" indent="1"/>
    </xf>
    <xf numFmtId="0" fontId="32" fillId="0" borderId="90" xfId="0" applyFont="1" applyBorder="1"/>
    <xf numFmtId="3" fontId="32" fillId="0" borderId="90" xfId="0" applyNumberFormat="1" applyFont="1" applyBorder="1"/>
    <xf numFmtId="0" fontId="39" fillId="4" borderId="64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9" xfId="0" applyNumberFormat="1" applyFont="1" applyFill="1" applyBorder="1" applyAlignment="1">
      <alignment horizontal="center" vertical="center"/>
    </xf>
    <xf numFmtId="3" fontId="54" fillId="2" borderId="87" xfId="0" applyNumberFormat="1" applyFont="1" applyFill="1" applyBorder="1" applyAlignment="1">
      <alignment horizontal="center" vertical="center" wrapText="1"/>
    </xf>
    <xf numFmtId="173" fontId="39" fillId="4" borderId="73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4" borderId="67" xfId="0" applyNumberFormat="1" applyFont="1" applyFill="1" applyBorder="1" applyAlignment="1"/>
    <xf numFmtId="173" fontId="39" fillId="0" borderId="75" xfId="0" applyNumberFormat="1" applyFont="1" applyBorder="1"/>
    <xf numFmtId="173" fontId="32" fillId="0" borderId="79" xfId="0" applyNumberFormat="1" applyFont="1" applyBorder="1"/>
    <xf numFmtId="173" fontId="32" fillId="0" borderId="77" xfId="0" applyNumberFormat="1" applyFont="1" applyBorder="1"/>
    <xf numFmtId="173" fontId="39" fillId="0" borderId="86" xfId="0" applyNumberFormat="1" applyFont="1" applyBorder="1"/>
    <xf numFmtId="173" fontId="32" fillId="0" borderId="87" xfId="0" applyNumberFormat="1" applyFont="1" applyBorder="1"/>
    <xf numFmtId="173" fontId="32" fillId="0" borderId="70" xfId="0" applyNumberFormat="1" applyFont="1" applyBorder="1"/>
    <xf numFmtId="173" fontId="39" fillId="2" borderId="88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2" borderId="67" xfId="0" applyNumberFormat="1" applyFont="1" applyFill="1" applyBorder="1" applyAlignment="1"/>
    <xf numFmtId="173" fontId="39" fillId="0" borderId="81" xfId="0" applyNumberFormat="1" applyFont="1" applyBorder="1"/>
    <xf numFmtId="173" fontId="32" fillId="0" borderId="82" xfId="0" applyNumberFormat="1" applyFont="1" applyBorder="1"/>
    <xf numFmtId="173" fontId="32" fillId="0" borderId="83" xfId="0" applyNumberFormat="1" applyFont="1" applyBorder="1"/>
    <xf numFmtId="173" fontId="39" fillId="0" borderId="73" xfId="0" applyNumberFormat="1" applyFont="1" applyBorder="1"/>
    <xf numFmtId="173" fontId="32" fillId="0" borderId="89" xfId="0" applyNumberFormat="1" applyFont="1" applyBorder="1"/>
    <xf numFmtId="173" fontId="32" fillId="0" borderId="67" xfId="0" applyNumberFormat="1" applyFont="1" applyBorder="1"/>
    <xf numFmtId="174" fontId="39" fillId="2" borderId="73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2" fillId="2" borderId="67" xfId="0" applyNumberFormat="1" applyFont="1" applyFill="1" applyBorder="1" applyAlignment="1"/>
    <xf numFmtId="174" fontId="39" fillId="0" borderId="75" xfId="0" applyNumberFormat="1" applyFont="1" applyBorder="1"/>
    <xf numFmtId="174" fontId="32" fillId="0" borderId="76" xfId="0" applyNumberFormat="1" applyFont="1" applyBorder="1"/>
    <xf numFmtId="174" fontId="32" fillId="0" borderId="77" xfId="0" applyNumberFormat="1" applyFont="1" applyBorder="1"/>
    <xf numFmtId="174" fontId="32" fillId="0" borderId="79" xfId="0" applyNumberFormat="1" applyFont="1" applyBorder="1"/>
    <xf numFmtId="174" fontId="39" fillId="0" borderId="81" xfId="0" applyNumberFormat="1" applyFont="1" applyBorder="1"/>
    <xf numFmtId="174" fontId="32" fillId="0" borderId="82" xfId="0" applyNumberFormat="1" applyFont="1" applyBorder="1"/>
    <xf numFmtId="174" fontId="32" fillId="0" borderId="83" xfId="0" applyNumberFormat="1" applyFont="1" applyBorder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173" fontId="39" fillId="4" borderId="73" xfId="0" applyNumberFormat="1" applyFont="1" applyFill="1" applyBorder="1" applyAlignment="1">
      <alignment horizontal="center"/>
    </xf>
    <xf numFmtId="175" fontId="39" fillId="0" borderId="81" xfId="0" applyNumberFormat="1" applyFont="1" applyBorder="1"/>
    <xf numFmtId="0" fontId="31" fillId="2" borderId="96" xfId="74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8" xfId="0" applyFont="1" applyFill="1" applyBorder="1"/>
    <xf numFmtId="0" fontId="32" fillId="0" borderId="79" xfId="0" applyFont="1" applyBorder="1" applyAlignment="1"/>
    <xf numFmtId="9" fontId="32" fillId="0" borderId="7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0" fontId="32" fillId="0" borderId="90" xfId="0" applyFont="1" applyFill="1" applyBorder="1" applyAlignment="1"/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9" fillId="0" borderId="75" xfId="0" applyNumberFormat="1" applyFont="1" applyBorder="1"/>
    <xf numFmtId="9" fontId="32" fillId="0" borderId="79" xfId="0" applyNumberFormat="1" applyFont="1" applyBorder="1"/>
    <xf numFmtId="9" fontId="32" fillId="0" borderId="7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6" xfId="81" applyFont="1" applyFill="1" applyBorder="1" applyAlignment="1">
      <alignment horizontal="center"/>
    </xf>
    <xf numFmtId="0" fontId="31" fillId="2" borderId="94" xfId="81" applyFont="1" applyFill="1" applyBorder="1" applyAlignment="1">
      <alignment horizontal="center"/>
    </xf>
    <xf numFmtId="0" fontId="31" fillId="2" borderId="73" xfId="81" applyFont="1" applyFill="1" applyBorder="1" applyAlignment="1">
      <alignment horizontal="center"/>
    </xf>
    <xf numFmtId="0" fontId="31" fillId="2" borderId="95" xfId="81" applyFont="1" applyFill="1" applyBorder="1" applyAlignment="1">
      <alignment horizontal="center"/>
    </xf>
    <xf numFmtId="0" fontId="31" fillId="2" borderId="8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>
      <alignment wrapText="1"/>
    </xf>
    <xf numFmtId="0" fontId="5" fillId="0" borderId="1" xfId="14" applyFont="1" applyFill="1" applyBorder="1" applyAlignment="1"/>
    <xf numFmtId="3" fontId="28" fillId="2" borderId="54" xfId="78" applyNumberFormat="1" applyFont="1" applyFill="1" applyBorder="1" applyAlignment="1">
      <alignment horizontal="left"/>
    </xf>
    <xf numFmtId="0" fontId="32" fillId="2" borderId="46" xfId="0" applyFont="1" applyFill="1" applyBorder="1" applyAlignment="1"/>
    <xf numFmtId="3" fontId="28" fillId="2" borderId="48" xfId="78" applyNumberFormat="1" applyFont="1" applyFill="1" applyBorder="1" applyAlignment="1"/>
    <xf numFmtId="0" fontId="39" fillId="2" borderId="54" xfId="0" applyFont="1" applyFill="1" applyBorder="1" applyAlignment="1">
      <alignment horizontal="left"/>
    </xf>
    <xf numFmtId="0" fontId="32" fillId="2" borderId="42" xfId="0" applyFont="1" applyFill="1" applyBorder="1" applyAlignment="1">
      <alignment horizontal="left"/>
    </xf>
    <xf numFmtId="0" fontId="32" fillId="2" borderId="46" xfId="0" applyFont="1" applyFill="1" applyBorder="1" applyAlignment="1">
      <alignment horizontal="left"/>
    </xf>
    <xf numFmtId="0" fontId="39" fillId="2" borderId="48" xfId="0" applyFont="1" applyFill="1" applyBorder="1" applyAlignment="1">
      <alignment horizontal="left"/>
    </xf>
    <xf numFmtId="3" fontId="39" fillId="2" borderId="48" xfId="0" applyNumberFormat="1" applyFont="1" applyFill="1" applyBorder="1" applyAlignment="1">
      <alignment horizontal="left"/>
    </xf>
    <xf numFmtId="3" fontId="32" fillId="2" borderId="43" xfId="0" applyNumberFormat="1" applyFont="1" applyFill="1" applyBorder="1" applyAlignment="1">
      <alignment horizontal="left"/>
    </xf>
    <xf numFmtId="9" fontId="3" fillId="2" borderId="99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8" xfId="80" applyNumberFormat="1" applyFont="1" applyFill="1" applyBorder="1" applyAlignment="1">
      <alignment horizontal="left"/>
    </xf>
    <xf numFmtId="3" fontId="3" fillId="2" borderId="8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6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2" xfId="26" applyNumberFormat="1" applyFont="1" applyFill="1" applyBorder="1" applyAlignment="1">
      <alignment horizontal="center"/>
    </xf>
    <xf numFmtId="3" fontId="31" fillId="2" borderId="43" xfId="26" applyNumberFormat="1" applyFont="1" applyFill="1" applyBorder="1" applyAlignment="1">
      <alignment horizontal="center"/>
    </xf>
    <xf numFmtId="3" fontId="31" fillId="2" borderId="97" xfId="26" applyNumberFormat="1" applyFont="1" applyFill="1" applyBorder="1" applyAlignment="1">
      <alignment horizontal="center"/>
    </xf>
    <xf numFmtId="3" fontId="31" fillId="2" borderId="90" xfId="26" applyNumberFormat="1" applyFont="1" applyFill="1" applyBorder="1" applyAlignment="1">
      <alignment horizontal="center"/>
    </xf>
    <xf numFmtId="3" fontId="31" fillId="2" borderId="65" xfId="26" applyNumberFormat="1" applyFont="1" applyFill="1" applyBorder="1" applyAlignment="1">
      <alignment horizontal="center"/>
    </xf>
    <xf numFmtId="3" fontId="31" fillId="2" borderId="43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 wrapText="1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3" xfId="0" applyFont="1" applyFill="1" applyBorder="1" applyAlignment="1">
      <alignment horizontal="center"/>
    </xf>
    <xf numFmtId="9" fontId="43" fillId="2" borderId="43" xfId="0" applyNumberFormat="1" applyFont="1" applyFill="1" applyBorder="1" applyAlignment="1">
      <alignment horizontal="center" vertical="top"/>
    </xf>
    <xf numFmtId="0" fontId="31" fillId="2" borderId="64" xfId="0" applyNumberFormat="1" applyFont="1" applyFill="1" applyBorder="1" applyAlignment="1">
      <alignment horizontal="center" vertical="top"/>
    </xf>
    <xf numFmtId="3" fontId="33" fillId="9" borderId="101" xfId="0" applyNumberFormat="1" applyFont="1" applyFill="1" applyBorder="1" applyAlignment="1">
      <alignment horizontal="right" vertical="top"/>
    </xf>
    <xf numFmtId="3" fontId="33" fillId="9" borderId="102" xfId="0" applyNumberFormat="1" applyFont="1" applyFill="1" applyBorder="1" applyAlignment="1">
      <alignment horizontal="right" vertical="top"/>
    </xf>
    <xf numFmtId="176" fontId="33" fillId="9" borderId="103" xfId="0" applyNumberFormat="1" applyFont="1" applyFill="1" applyBorder="1" applyAlignment="1">
      <alignment horizontal="right" vertical="top"/>
    </xf>
    <xf numFmtId="3" fontId="33" fillId="0" borderId="101" xfId="0" applyNumberFormat="1" applyFont="1" applyBorder="1" applyAlignment="1">
      <alignment horizontal="right" vertical="top"/>
    </xf>
    <xf numFmtId="176" fontId="33" fillId="9" borderId="104" xfId="0" applyNumberFormat="1" applyFont="1" applyFill="1" applyBorder="1" applyAlignment="1">
      <alignment horizontal="right" vertical="top"/>
    </xf>
    <xf numFmtId="3" fontId="35" fillId="9" borderId="106" xfId="0" applyNumberFormat="1" applyFont="1" applyFill="1" applyBorder="1" applyAlignment="1">
      <alignment horizontal="right" vertical="top"/>
    </xf>
    <xf numFmtId="3" fontId="35" fillId="9" borderId="107" xfId="0" applyNumberFormat="1" applyFont="1" applyFill="1" applyBorder="1" applyAlignment="1">
      <alignment horizontal="right" vertical="top"/>
    </xf>
    <xf numFmtId="0" fontId="35" fillId="9" borderId="108" xfId="0" applyFont="1" applyFill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0" fontId="35" fillId="9" borderId="109" xfId="0" applyFont="1" applyFill="1" applyBorder="1" applyAlignment="1">
      <alignment horizontal="right" vertical="top"/>
    </xf>
    <xf numFmtId="0" fontId="33" fillId="9" borderId="103" xfId="0" applyFont="1" applyFill="1" applyBorder="1" applyAlignment="1">
      <alignment horizontal="right" vertical="top"/>
    </xf>
    <xf numFmtId="0" fontId="33" fillId="9" borderId="104" xfId="0" applyFont="1" applyFill="1" applyBorder="1" applyAlignment="1">
      <alignment horizontal="right" vertical="top"/>
    </xf>
    <xf numFmtId="176" fontId="35" fillId="9" borderId="108" xfId="0" applyNumberFormat="1" applyFont="1" applyFill="1" applyBorder="1" applyAlignment="1">
      <alignment horizontal="right" vertical="top"/>
    </xf>
    <xf numFmtId="176" fontId="35" fillId="9" borderId="109" xfId="0" applyNumberFormat="1" applyFont="1" applyFill="1" applyBorder="1" applyAlignment="1">
      <alignment horizontal="right" vertical="top"/>
    </xf>
    <xf numFmtId="3" fontId="35" fillId="0" borderId="110" xfId="0" applyNumberFormat="1" applyFont="1" applyBorder="1" applyAlignment="1">
      <alignment horizontal="right" vertical="top"/>
    </xf>
    <xf numFmtId="3" fontId="35" fillId="0" borderId="111" xfId="0" applyNumberFormat="1" applyFont="1" applyBorder="1" applyAlignment="1">
      <alignment horizontal="right" vertical="top"/>
    </xf>
    <xf numFmtId="3" fontId="35" fillId="0" borderId="112" xfId="0" applyNumberFormat="1" applyFont="1" applyBorder="1" applyAlignment="1">
      <alignment horizontal="right" vertical="top"/>
    </xf>
    <xf numFmtId="176" fontId="35" fillId="9" borderId="113" xfId="0" applyNumberFormat="1" applyFont="1" applyFill="1" applyBorder="1" applyAlignment="1">
      <alignment horizontal="right" vertical="top"/>
    </xf>
    <xf numFmtId="0" fontId="37" fillId="10" borderId="100" xfId="0" applyFont="1" applyFill="1" applyBorder="1" applyAlignment="1">
      <alignment vertical="top"/>
    </xf>
    <xf numFmtId="0" fontId="37" fillId="10" borderId="100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4"/>
    </xf>
    <xf numFmtId="0" fontId="38" fillId="10" borderId="105" xfId="0" applyFont="1" applyFill="1" applyBorder="1" applyAlignment="1">
      <alignment vertical="top" indent="6"/>
    </xf>
    <xf numFmtId="0" fontId="37" fillId="10" borderId="100" xfId="0" applyFont="1" applyFill="1" applyBorder="1" applyAlignment="1">
      <alignment vertical="top" indent="8"/>
    </xf>
    <xf numFmtId="0" fontId="38" fillId="10" borderId="105" xfId="0" applyFont="1" applyFill="1" applyBorder="1" applyAlignment="1">
      <alignment vertical="top" indent="2"/>
    </xf>
    <xf numFmtId="0" fontId="37" fillId="10" borderId="10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4"/>
    </xf>
    <xf numFmtId="0" fontId="32" fillId="10" borderId="100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4" xfId="53" applyNumberFormat="1" applyFont="1" applyFill="1" applyBorder="1" applyAlignment="1">
      <alignment horizontal="left"/>
    </xf>
    <xf numFmtId="164" fontId="31" fillId="2" borderId="115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3" fontId="32" fillId="0" borderId="115" xfId="0" applyNumberFormat="1" applyFont="1" applyFill="1" applyBorder="1"/>
    <xf numFmtId="3" fontId="32" fillId="0" borderId="117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76" xfId="0" applyFont="1" applyFill="1" applyBorder="1"/>
    <xf numFmtId="0" fontId="32" fillId="0" borderId="77" xfId="0" applyFont="1" applyFill="1" applyBorder="1"/>
    <xf numFmtId="164" fontId="32" fillId="0" borderId="77" xfId="0" applyNumberFormat="1" applyFont="1" applyFill="1" applyBorder="1"/>
    <xf numFmtId="164" fontId="32" fillId="0" borderId="77" xfId="0" applyNumberFormat="1" applyFont="1" applyFill="1" applyBorder="1" applyAlignment="1">
      <alignment horizontal="right"/>
    </xf>
    <xf numFmtId="3" fontId="32" fillId="0" borderId="77" xfId="0" applyNumberFormat="1" applyFont="1" applyFill="1" applyBorder="1"/>
    <xf numFmtId="3" fontId="32" fillId="0" borderId="78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9" fillId="2" borderId="114" xfId="0" applyFont="1" applyFill="1" applyBorder="1"/>
    <xf numFmtId="3" fontId="39" fillId="2" borderId="116" xfId="0" applyNumberFormat="1" applyFont="1" applyFill="1" applyBorder="1"/>
    <xf numFmtId="9" fontId="39" fillId="2" borderId="61" xfId="0" applyNumberFormat="1" applyFont="1" applyFill="1" applyBorder="1"/>
    <xf numFmtId="3" fontId="39" fillId="2" borderId="55" xfId="0" applyNumberFormat="1" applyFont="1" applyFill="1" applyBorder="1"/>
    <xf numFmtId="9" fontId="32" fillId="0" borderId="115" xfId="0" applyNumberFormat="1" applyFont="1" applyFill="1" applyBorder="1"/>
    <xf numFmtId="9" fontId="32" fillId="0" borderId="67" xfId="0" applyNumberFormat="1" applyFont="1" applyFill="1" applyBorder="1"/>
    <xf numFmtId="9" fontId="32" fillId="0" borderId="70" xfId="0" applyNumberFormat="1" applyFont="1" applyFill="1" applyBorder="1"/>
    <xf numFmtId="3" fontId="32" fillId="0" borderId="27" xfId="0" applyNumberFormat="1" applyFont="1" applyFill="1" applyBorder="1"/>
    <xf numFmtId="0" fontId="39" fillId="10" borderId="19" xfId="0" applyFont="1" applyFill="1" applyBorder="1"/>
    <xf numFmtId="3" fontId="39" fillId="10" borderId="27" xfId="0" applyNumberFormat="1" applyFont="1" applyFill="1" applyBorder="1"/>
    <xf numFmtId="9" fontId="39" fillId="10" borderId="27" xfId="0" applyNumberFormat="1" applyFont="1" applyFill="1" applyBorder="1"/>
    <xf numFmtId="3" fontId="39" fillId="10" borderId="20" xfId="0" applyNumberFormat="1" applyFont="1" applyFill="1" applyBorder="1"/>
    <xf numFmtId="0" fontId="39" fillId="0" borderId="114" xfId="0" applyFont="1" applyFill="1" applyBorder="1"/>
    <xf numFmtId="0" fontId="32" fillId="5" borderId="10" xfId="0" applyFont="1" applyFill="1" applyBorder="1" applyAlignment="1">
      <alignment wrapText="1"/>
    </xf>
    <xf numFmtId="9" fontId="32" fillId="0" borderId="77" xfId="0" applyNumberFormat="1" applyFont="1" applyFill="1" applyBorder="1"/>
    <xf numFmtId="3" fontId="32" fillId="0" borderId="83" xfId="0" applyNumberFormat="1" applyFont="1" applyFill="1" applyBorder="1"/>
    <xf numFmtId="9" fontId="32" fillId="0" borderId="83" xfId="0" applyNumberFormat="1" applyFont="1" applyFill="1" applyBorder="1"/>
    <xf numFmtId="3" fontId="32" fillId="0" borderId="84" xfId="0" applyNumberFormat="1" applyFont="1" applyFill="1" applyBorder="1"/>
    <xf numFmtId="0" fontId="39" fillId="0" borderId="66" xfId="0" applyFont="1" applyFill="1" applyBorder="1"/>
    <xf numFmtId="0" fontId="39" fillId="0" borderId="118" xfId="0" applyFont="1" applyFill="1" applyBorder="1"/>
    <xf numFmtId="0" fontId="39" fillId="2" borderId="115" xfId="0" applyFont="1" applyFill="1" applyBorder="1"/>
    <xf numFmtId="3" fontId="39" fillId="2" borderId="0" xfId="0" applyNumberFormat="1" applyFont="1" applyFill="1" applyBorder="1"/>
    <xf numFmtId="3" fontId="39" fillId="2" borderId="16" xfId="0" applyNumberFormat="1" applyFont="1" applyFill="1" applyBorder="1"/>
    <xf numFmtId="0" fontId="3" fillId="2" borderId="114" xfId="79" applyFont="1" applyFill="1" applyBorder="1" applyAlignment="1">
      <alignment horizontal="left"/>
    </xf>
    <xf numFmtId="3" fontId="3" fillId="2" borderId="83" xfId="80" applyNumberFormat="1" applyFont="1" applyFill="1" applyBorder="1"/>
    <xf numFmtId="3" fontId="3" fillId="2" borderId="84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9" fontId="3" fillId="2" borderId="84" xfId="80" applyNumberFormat="1" applyFont="1" applyFill="1" applyBorder="1"/>
    <xf numFmtId="9" fontId="32" fillId="0" borderId="68" xfId="0" applyNumberFormat="1" applyFont="1" applyFill="1" applyBorder="1"/>
    <xf numFmtId="9" fontId="32" fillId="0" borderId="71" xfId="0" applyNumberFormat="1" applyFont="1" applyFill="1" applyBorder="1"/>
    <xf numFmtId="0" fontId="39" fillId="0" borderId="96" xfId="0" applyFont="1" applyFill="1" applyBorder="1"/>
    <xf numFmtId="0" fontId="39" fillId="0" borderId="95" xfId="0" applyFont="1" applyFill="1" applyBorder="1" applyAlignment="1">
      <alignment horizontal="left" indent="1"/>
    </xf>
    <xf numFmtId="9" fontId="32" fillId="0" borderId="89" xfId="0" applyNumberFormat="1" applyFont="1" applyFill="1" applyBorder="1"/>
    <xf numFmtId="9" fontId="32" fillId="0" borderId="87" xfId="0" applyNumberFormat="1" applyFont="1" applyFill="1" applyBorder="1"/>
    <xf numFmtId="3" fontId="32" fillId="0" borderId="66" xfId="0" applyNumberFormat="1" applyFont="1" applyFill="1" applyBorder="1"/>
    <xf numFmtId="3" fontId="32" fillId="0" borderId="69" xfId="0" applyNumberFormat="1" applyFont="1" applyFill="1" applyBorder="1"/>
    <xf numFmtId="9" fontId="32" fillId="0" borderId="93" xfId="0" applyNumberFormat="1" applyFont="1" applyFill="1" applyBorder="1"/>
    <xf numFmtId="9" fontId="32" fillId="0" borderId="92" xfId="0" applyNumberFormat="1" applyFont="1" applyFill="1" applyBorder="1"/>
    <xf numFmtId="173" fontId="39" fillId="4" borderId="119" xfId="0" applyNumberFormat="1" applyFont="1" applyFill="1" applyBorder="1" applyAlignment="1">
      <alignment horizontal="center"/>
    </xf>
    <xf numFmtId="173" fontId="39" fillId="4" borderId="120" xfId="0" applyNumberFormat="1" applyFont="1" applyFill="1" applyBorder="1" applyAlignment="1">
      <alignment horizontal="center"/>
    </xf>
    <xf numFmtId="173" fontId="32" fillId="0" borderId="121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/>
    </xf>
    <xf numFmtId="173" fontId="32" fillId="0" borderId="122" xfId="0" applyNumberFormat="1" applyFont="1" applyBorder="1" applyAlignment="1">
      <alignment horizontal="right" wrapText="1"/>
    </xf>
    <xf numFmtId="175" fontId="32" fillId="0" borderId="121" xfId="0" applyNumberFormat="1" applyFont="1" applyBorder="1" applyAlignment="1">
      <alignment horizontal="right"/>
    </xf>
    <xf numFmtId="175" fontId="32" fillId="0" borderId="122" xfId="0" applyNumberFormat="1" applyFont="1" applyBorder="1" applyAlignment="1">
      <alignment horizontal="right"/>
    </xf>
    <xf numFmtId="173" fontId="32" fillId="0" borderId="123" xfId="0" applyNumberFormat="1" applyFont="1" applyBorder="1" applyAlignment="1">
      <alignment horizontal="right"/>
    </xf>
    <xf numFmtId="173" fontId="32" fillId="0" borderId="124" xfId="0" applyNumberFormat="1" applyFont="1" applyBorder="1" applyAlignment="1">
      <alignment horizontal="right"/>
    </xf>
    <xf numFmtId="0" fontId="39" fillId="2" borderId="93" xfId="0" applyFont="1" applyFill="1" applyBorder="1" applyAlignment="1">
      <alignment horizontal="center" vertical="center"/>
    </xf>
    <xf numFmtId="0" fontId="54" fillId="2" borderId="92" xfId="0" applyFont="1" applyFill="1" applyBorder="1" applyAlignment="1">
      <alignment horizontal="center" vertical="center" wrapText="1"/>
    </xf>
    <xf numFmtId="174" fontId="32" fillId="2" borderId="93" xfId="0" applyNumberFormat="1" applyFont="1" applyFill="1" applyBorder="1" applyAlignment="1"/>
    <xf numFmtId="174" fontId="32" fillId="0" borderId="91" xfId="0" applyNumberFormat="1" applyFont="1" applyBorder="1"/>
    <xf numFmtId="174" fontId="32" fillId="0" borderId="126" xfId="0" applyNumberFormat="1" applyFont="1" applyBorder="1"/>
    <xf numFmtId="173" fontId="39" fillId="4" borderId="93" xfId="0" applyNumberFormat="1" applyFont="1" applyFill="1" applyBorder="1" applyAlignment="1"/>
    <xf numFmtId="173" fontId="32" fillId="0" borderId="91" xfId="0" applyNumberFormat="1" applyFont="1" applyBorder="1"/>
    <xf numFmtId="173" fontId="32" fillId="0" borderId="92" xfId="0" applyNumberFormat="1" applyFont="1" applyBorder="1"/>
    <xf numFmtId="173" fontId="39" fillId="2" borderId="93" xfId="0" applyNumberFormat="1" applyFont="1" applyFill="1" applyBorder="1" applyAlignment="1"/>
    <xf numFmtId="173" fontId="32" fillId="0" borderId="126" xfId="0" applyNumberFormat="1" applyFont="1" applyBorder="1"/>
    <xf numFmtId="173" fontId="32" fillId="0" borderId="93" xfId="0" applyNumberFormat="1" applyFont="1" applyBorder="1"/>
    <xf numFmtId="9" fontId="32" fillId="0" borderId="91" xfId="0" applyNumberFormat="1" applyFont="1" applyBorder="1"/>
    <xf numFmtId="173" fontId="39" fillId="4" borderId="127" xfId="0" applyNumberFormat="1" applyFont="1" applyFill="1" applyBorder="1" applyAlignment="1">
      <alignment horizontal="center"/>
    </xf>
    <xf numFmtId="0" fontId="0" fillId="0" borderId="128" xfId="0" applyBorder="1" applyAlignment="1">
      <alignment horizontal="right"/>
    </xf>
    <xf numFmtId="173" fontId="32" fillId="0" borderId="128" xfId="0" applyNumberFormat="1" applyFont="1" applyBorder="1" applyAlignment="1">
      <alignment horizontal="right"/>
    </xf>
    <xf numFmtId="175" fontId="32" fillId="0" borderId="128" xfId="0" applyNumberFormat="1" applyFont="1" applyBorder="1" applyAlignment="1">
      <alignment horizontal="right"/>
    </xf>
    <xf numFmtId="173" fontId="32" fillId="0" borderId="129" xfId="0" applyNumberFormat="1" applyFont="1" applyBorder="1" applyAlignment="1">
      <alignment horizontal="right"/>
    </xf>
    <xf numFmtId="0" fontId="0" fillId="0" borderId="125" xfId="0" applyBorder="1"/>
    <xf numFmtId="173" fontId="39" fillId="4" borderId="72" xfId="0" applyNumberFormat="1" applyFont="1" applyFill="1" applyBorder="1" applyAlignment="1">
      <alignment horizontal="center"/>
    </xf>
    <xf numFmtId="173" fontId="32" fillId="0" borderId="74" xfId="0" applyNumberFormat="1" applyFont="1" applyBorder="1" applyAlignment="1">
      <alignment horizontal="right"/>
    </xf>
    <xf numFmtId="175" fontId="32" fillId="0" borderId="74" xfId="0" applyNumberFormat="1" applyFont="1" applyBorder="1" applyAlignment="1">
      <alignment horizontal="right"/>
    </xf>
    <xf numFmtId="173" fontId="32" fillId="0" borderId="85" xfId="0" applyNumberFormat="1" applyFont="1" applyBorder="1" applyAlignment="1">
      <alignment horizontal="right"/>
    </xf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0" fontId="31" fillId="2" borderId="16" xfId="26" applyNumberFormat="1" applyFont="1" applyFill="1" applyBorder="1" applyAlignment="1">
      <alignment horizontal="right"/>
    </xf>
    <xf numFmtId="169" fontId="32" fillId="0" borderId="67" xfId="0" applyNumberFormat="1" applyFont="1" applyFill="1" applyBorder="1"/>
    <xf numFmtId="169" fontId="32" fillId="0" borderId="70" xfId="0" applyNumberFormat="1" applyFont="1" applyFill="1" applyBorder="1"/>
    <xf numFmtId="0" fontId="39" fillId="0" borderId="69" xfId="0" applyFont="1" applyFill="1" applyBorder="1"/>
    <xf numFmtId="0" fontId="58" fillId="0" borderId="0" xfId="0" applyFont="1" applyFill="1"/>
    <xf numFmtId="0" fontId="59" fillId="0" borderId="0" xfId="0" applyFont="1" applyFill="1"/>
    <xf numFmtId="0" fontId="31" fillId="2" borderId="16" xfId="26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3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3"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0.5811648328968293</c:v>
                </c:pt>
                <c:pt idx="1">
                  <c:v>0.5736537737632319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945096"/>
        <c:axId val="1200943528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0.52424126006057692</c:v>
                </c:pt>
                <c:pt idx="1">
                  <c:v>0.52424126006057692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0945880"/>
        <c:axId val="1200944312"/>
      </c:scatterChart>
      <c:catAx>
        <c:axId val="1200945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00943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0943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200945096"/>
        <c:crosses val="autoZero"/>
        <c:crossBetween val="between"/>
      </c:valAx>
      <c:valAx>
        <c:axId val="120094588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00944312"/>
        <c:crosses val="max"/>
        <c:crossBetween val="midCat"/>
      </c:valAx>
      <c:valAx>
        <c:axId val="12009443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0094588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3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15" bestFit="1" customWidth="1"/>
    <col min="2" max="2" width="102.21875" style="115" bestFit="1" customWidth="1"/>
    <col min="3" max="3" width="16.109375" style="47" hidden="1" customWidth="1"/>
    <col min="4" max="16384" width="8.88671875" style="115"/>
  </cols>
  <sheetData>
    <row r="1" spans="1:3" ht="18.600000000000001" customHeight="1" thickBot="1" x14ac:dyDescent="0.4">
      <c r="A1" s="302" t="s">
        <v>94</v>
      </c>
      <c r="B1" s="302"/>
    </row>
    <row r="2" spans="1:3" ht="14.4" customHeight="1" thickBot="1" x14ac:dyDescent="0.35">
      <c r="A2" s="212" t="s">
        <v>254</v>
      </c>
      <c r="B2" s="46"/>
    </row>
    <row r="3" spans="1:3" ht="14.4" customHeight="1" thickBot="1" x14ac:dyDescent="0.35">
      <c r="A3" s="298" t="s">
        <v>121</v>
      </c>
      <c r="B3" s="299"/>
    </row>
    <row r="4" spans="1:3" ht="14.4" customHeight="1" x14ac:dyDescent="0.3">
      <c r="A4" s="128" t="str">
        <f t="shared" ref="A4:A8" si="0">HYPERLINK("#'"&amp;C4&amp;"'!A1",C4)</f>
        <v>Motivace</v>
      </c>
      <c r="B4" s="74" t="s">
        <v>105</v>
      </c>
      <c r="C4" s="47" t="s">
        <v>106</v>
      </c>
    </row>
    <row r="5" spans="1:3" ht="14.4" customHeight="1" x14ac:dyDescent="0.3">
      <c r="A5" s="129" t="str">
        <f t="shared" si="0"/>
        <v>HI</v>
      </c>
      <c r="B5" s="75" t="s">
        <v>118</v>
      </c>
      <c r="C5" s="47" t="s">
        <v>97</v>
      </c>
    </row>
    <row r="6" spans="1:3" ht="14.4" customHeight="1" x14ac:dyDescent="0.3">
      <c r="A6" s="130" t="str">
        <f t="shared" si="0"/>
        <v>HI Graf</v>
      </c>
      <c r="B6" s="76" t="s">
        <v>91</v>
      </c>
      <c r="C6" s="47" t="s">
        <v>98</v>
      </c>
    </row>
    <row r="7" spans="1:3" ht="14.4" customHeight="1" x14ac:dyDescent="0.3">
      <c r="A7" s="130" t="str">
        <f t="shared" si="0"/>
        <v>Man Tab</v>
      </c>
      <c r="B7" s="76" t="s">
        <v>256</v>
      </c>
      <c r="C7" s="47" t="s">
        <v>99</v>
      </c>
    </row>
    <row r="8" spans="1:3" ht="14.4" customHeight="1" thickBot="1" x14ac:dyDescent="0.35">
      <c r="A8" s="131" t="str">
        <f t="shared" si="0"/>
        <v>HV</v>
      </c>
      <c r="B8" s="77" t="s">
        <v>48</v>
      </c>
      <c r="C8" s="47" t="s">
        <v>53</v>
      </c>
    </row>
    <row r="9" spans="1:3" ht="14.4" customHeight="1" thickBot="1" x14ac:dyDescent="0.35">
      <c r="A9" s="78"/>
      <c r="B9" s="78"/>
    </row>
    <row r="10" spans="1:3" ht="14.4" customHeight="1" thickBot="1" x14ac:dyDescent="0.35">
      <c r="A10" s="300" t="s">
        <v>95</v>
      </c>
      <c r="B10" s="299"/>
    </row>
    <row r="11" spans="1:3" ht="14.4" customHeight="1" x14ac:dyDescent="0.3">
      <c r="A11" s="132" t="str">
        <f t="shared" ref="A11" si="1">HYPERLINK("#'"&amp;C11&amp;"'!A1",C11)</f>
        <v>Léky Žádanky</v>
      </c>
      <c r="B11" s="75" t="s">
        <v>119</v>
      </c>
      <c r="C11" s="47" t="s">
        <v>100</v>
      </c>
    </row>
    <row r="12" spans="1:3" ht="14.4" customHeight="1" x14ac:dyDescent="0.3">
      <c r="A12" s="130" t="str">
        <f t="shared" ref="A12:A18" si="2">HYPERLINK("#'"&amp;C12&amp;"'!A1",C12)</f>
        <v>LŽ Detail</v>
      </c>
      <c r="B12" s="76" t="s">
        <v>139</v>
      </c>
      <c r="C12" s="47" t="s">
        <v>101</v>
      </c>
    </row>
    <row r="13" spans="1:3" ht="28.8" customHeight="1" x14ac:dyDescent="0.3">
      <c r="A13" s="130" t="str">
        <f t="shared" si="2"/>
        <v>LŽ PL</v>
      </c>
      <c r="B13" s="446" t="s">
        <v>140</v>
      </c>
      <c r="C13" s="47" t="s">
        <v>125</v>
      </c>
    </row>
    <row r="14" spans="1:3" ht="14.4" customHeight="1" x14ac:dyDescent="0.3">
      <c r="A14" s="130" t="str">
        <f t="shared" si="2"/>
        <v>LŽ PL Detail</v>
      </c>
      <c r="B14" s="76" t="s">
        <v>582</v>
      </c>
      <c r="C14" s="47" t="s">
        <v>126</v>
      </c>
    </row>
    <row r="15" spans="1:3" ht="14.4" customHeight="1" x14ac:dyDescent="0.3">
      <c r="A15" s="130" t="str">
        <f t="shared" si="2"/>
        <v>LŽ Statim</v>
      </c>
      <c r="B15" s="286" t="s">
        <v>219</v>
      </c>
      <c r="C15" s="47" t="s">
        <v>229</v>
      </c>
    </row>
    <row r="16" spans="1:3" ht="14.4" customHeight="1" x14ac:dyDescent="0.3">
      <c r="A16" s="132" t="str">
        <f t="shared" ref="A16" si="3">HYPERLINK("#'"&amp;C16&amp;"'!A1",C16)</f>
        <v>Materiál Žádanky</v>
      </c>
      <c r="B16" s="76" t="s">
        <v>120</v>
      </c>
      <c r="C16" s="47" t="s">
        <v>102</v>
      </c>
    </row>
    <row r="17" spans="1:3" ht="14.4" customHeight="1" x14ac:dyDescent="0.3">
      <c r="A17" s="130" t="str">
        <f t="shared" si="2"/>
        <v>MŽ Detail</v>
      </c>
      <c r="B17" s="76" t="s">
        <v>999</v>
      </c>
      <c r="C17" s="47" t="s">
        <v>103</v>
      </c>
    </row>
    <row r="18" spans="1:3" ht="14.4" customHeight="1" thickBot="1" x14ac:dyDescent="0.35">
      <c r="A18" s="132" t="str">
        <f t="shared" si="2"/>
        <v>Osobní náklady</v>
      </c>
      <c r="B18" s="76" t="s">
        <v>92</v>
      </c>
      <c r="C18" s="47" t="s">
        <v>104</v>
      </c>
    </row>
    <row r="19" spans="1:3" ht="14.4" customHeight="1" thickBot="1" x14ac:dyDescent="0.35">
      <c r="A19" s="79"/>
      <c r="B19" s="79"/>
    </row>
    <row r="20" spans="1:3" ht="14.4" customHeight="1" thickBot="1" x14ac:dyDescent="0.35">
      <c r="A20" s="301" t="s">
        <v>96</v>
      </c>
      <c r="B20" s="299"/>
    </row>
    <row r="21" spans="1:3" ht="14.4" customHeight="1" x14ac:dyDescent="0.3">
      <c r="A21" s="133" t="str">
        <f t="shared" ref="A21:A23" si="4">HYPERLINK("#'"&amp;C21&amp;"'!A1",C21)</f>
        <v>ZV Vykáz.-A</v>
      </c>
      <c r="B21" s="75" t="s">
        <v>1006</v>
      </c>
      <c r="C21" s="47" t="s">
        <v>107</v>
      </c>
    </row>
    <row r="22" spans="1:3" ht="14.4" customHeight="1" x14ac:dyDescent="0.3">
      <c r="A22" s="130" t="str">
        <f t="shared" ref="A22" si="5">HYPERLINK("#'"&amp;C22&amp;"'!A1",C22)</f>
        <v>ZV Vykáz.-A Lékaři</v>
      </c>
      <c r="B22" s="76" t="s">
        <v>1008</v>
      </c>
      <c r="C22" s="47" t="s">
        <v>232</v>
      </c>
    </row>
    <row r="23" spans="1:3" ht="14.4" customHeight="1" x14ac:dyDescent="0.3">
      <c r="A23" s="130" t="str">
        <f t="shared" si="4"/>
        <v>ZV Vykáz.-A Detail</v>
      </c>
      <c r="B23" s="76" t="s">
        <v>1203</v>
      </c>
      <c r="C23" s="47" t="s">
        <v>108</v>
      </c>
    </row>
  </sheetData>
  <mergeCells count="4">
    <mergeCell ref="A3:B3"/>
    <mergeCell ref="A10:B10"/>
    <mergeCell ref="A20:B20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15" bestFit="1" customWidth="1"/>
    <col min="2" max="2" width="8.88671875" style="115" bestFit="1" customWidth="1"/>
    <col min="3" max="3" width="7" style="115" bestFit="1" customWidth="1"/>
    <col min="4" max="4" width="53.44140625" style="115" bestFit="1" customWidth="1"/>
    <col min="5" max="5" width="28.44140625" style="115" bestFit="1" customWidth="1"/>
    <col min="6" max="6" width="6.6640625" style="191" customWidth="1"/>
    <col min="7" max="7" width="10" style="191" customWidth="1"/>
    <col min="8" max="8" width="6.77734375" style="194" bestFit="1" customWidth="1"/>
    <col min="9" max="9" width="6.6640625" style="191" customWidth="1"/>
    <col min="10" max="10" width="10" style="191" customWidth="1"/>
    <col min="11" max="11" width="6.77734375" style="194" bestFit="1" customWidth="1"/>
    <col min="12" max="12" width="6.6640625" style="191" customWidth="1"/>
    <col min="13" max="13" width="10" style="191" customWidth="1"/>
    <col min="14" max="16384" width="8.88671875" style="115"/>
  </cols>
  <sheetData>
    <row r="1" spans="1:13" ht="18.600000000000001" customHeight="1" thickBot="1" x14ac:dyDescent="0.4">
      <c r="A1" s="340" t="s">
        <v>582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  <c r="L1" s="302"/>
      <c r="M1" s="302"/>
    </row>
    <row r="2" spans="1:13" ht="14.4" customHeight="1" thickBot="1" x14ac:dyDescent="0.35">
      <c r="A2" s="212" t="s">
        <v>254</v>
      </c>
      <c r="B2" s="190"/>
      <c r="C2" s="190"/>
      <c r="D2" s="190"/>
      <c r="E2" s="190"/>
      <c r="F2" s="198"/>
      <c r="G2" s="198"/>
      <c r="H2" s="199"/>
      <c r="I2" s="198"/>
      <c r="J2" s="198"/>
      <c r="K2" s="199"/>
      <c r="L2" s="198"/>
    </row>
    <row r="3" spans="1:13" ht="14.4" customHeight="1" thickBot="1" x14ac:dyDescent="0.35">
      <c r="E3" s="71" t="s">
        <v>109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4</v>
      </c>
      <c r="J3" s="43">
        <f>SUBTOTAL(9,J6:J1048576)</f>
        <v>442.08000208869106</v>
      </c>
      <c r="K3" s="44">
        <f>IF(M3=0,0,J3/M3)</f>
        <v>1</v>
      </c>
      <c r="L3" s="43">
        <f>SUBTOTAL(9,L6:L1048576)</f>
        <v>4</v>
      </c>
      <c r="M3" s="45">
        <f>SUBTOTAL(9,M6:M1048576)</f>
        <v>442.08000208869106</v>
      </c>
    </row>
    <row r="4" spans="1:13" ht="14.4" customHeight="1" thickBot="1" x14ac:dyDescent="0.35">
      <c r="A4" s="41"/>
      <c r="B4" s="41"/>
      <c r="C4" s="41"/>
      <c r="D4" s="41"/>
      <c r="E4" s="42"/>
      <c r="F4" s="344" t="s">
        <v>111</v>
      </c>
      <c r="G4" s="345"/>
      <c r="H4" s="346"/>
      <c r="I4" s="347" t="s">
        <v>110</v>
      </c>
      <c r="J4" s="345"/>
      <c r="K4" s="346"/>
      <c r="L4" s="348" t="s">
        <v>3</v>
      </c>
      <c r="M4" s="349"/>
    </row>
    <row r="5" spans="1:13" ht="14.4" customHeight="1" thickBot="1" x14ac:dyDescent="0.35">
      <c r="A5" s="433" t="s">
        <v>112</v>
      </c>
      <c r="B5" s="453" t="s">
        <v>113</v>
      </c>
      <c r="C5" s="453" t="s">
        <v>58</v>
      </c>
      <c r="D5" s="453" t="s">
        <v>114</v>
      </c>
      <c r="E5" s="453" t="s">
        <v>115</v>
      </c>
      <c r="F5" s="454" t="s">
        <v>15</v>
      </c>
      <c r="G5" s="454" t="s">
        <v>14</v>
      </c>
      <c r="H5" s="435" t="s">
        <v>116</v>
      </c>
      <c r="I5" s="434" t="s">
        <v>15</v>
      </c>
      <c r="J5" s="454" t="s">
        <v>14</v>
      </c>
      <c r="K5" s="435" t="s">
        <v>116</v>
      </c>
      <c r="L5" s="434" t="s">
        <v>15</v>
      </c>
      <c r="M5" s="455" t="s">
        <v>14</v>
      </c>
    </row>
    <row r="6" spans="1:13" ht="14.4" customHeight="1" x14ac:dyDescent="0.3">
      <c r="A6" s="415" t="s">
        <v>429</v>
      </c>
      <c r="B6" s="416" t="s">
        <v>578</v>
      </c>
      <c r="C6" s="416" t="s">
        <v>563</v>
      </c>
      <c r="D6" s="416" t="s">
        <v>579</v>
      </c>
      <c r="E6" s="416" t="s">
        <v>580</v>
      </c>
      <c r="F6" s="419"/>
      <c r="G6" s="419"/>
      <c r="H6" s="438">
        <v>0</v>
      </c>
      <c r="I6" s="419">
        <v>3</v>
      </c>
      <c r="J6" s="419">
        <v>337.66000208869104</v>
      </c>
      <c r="K6" s="438">
        <v>1</v>
      </c>
      <c r="L6" s="419">
        <v>3</v>
      </c>
      <c r="M6" s="420">
        <v>337.66000208869104</v>
      </c>
    </row>
    <row r="7" spans="1:13" ht="14.4" customHeight="1" thickBot="1" x14ac:dyDescent="0.35">
      <c r="A7" s="427" t="s">
        <v>429</v>
      </c>
      <c r="B7" s="428" t="s">
        <v>581</v>
      </c>
      <c r="C7" s="428" t="s">
        <v>558</v>
      </c>
      <c r="D7" s="428" t="s">
        <v>559</v>
      </c>
      <c r="E7" s="428" t="s">
        <v>560</v>
      </c>
      <c r="F7" s="431"/>
      <c r="G7" s="431"/>
      <c r="H7" s="439">
        <v>0</v>
      </c>
      <c r="I7" s="431">
        <v>1</v>
      </c>
      <c r="J7" s="431">
        <v>104.42</v>
      </c>
      <c r="K7" s="439">
        <v>1</v>
      </c>
      <c r="L7" s="431">
        <v>1</v>
      </c>
      <c r="M7" s="432">
        <v>104.42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2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90" customWidth="1"/>
    <col min="2" max="2" width="5.44140625" style="191" bestFit="1" customWidth="1"/>
    <col min="3" max="3" width="6.109375" style="191" bestFit="1" customWidth="1"/>
    <col min="4" max="4" width="7.44140625" style="191" bestFit="1" customWidth="1"/>
    <col min="5" max="5" width="6.21875" style="191" bestFit="1" customWidth="1"/>
    <col min="6" max="6" width="6.33203125" style="194" bestFit="1" customWidth="1"/>
    <col min="7" max="7" width="6.109375" style="194" bestFit="1" customWidth="1"/>
    <col min="8" max="8" width="7.44140625" style="194" bestFit="1" customWidth="1"/>
    <col min="9" max="9" width="6.21875" style="194" bestFit="1" customWidth="1"/>
    <col min="10" max="10" width="5.44140625" style="191" bestFit="1" customWidth="1"/>
    <col min="11" max="11" width="6.109375" style="191" bestFit="1" customWidth="1"/>
    <col min="12" max="12" width="7.44140625" style="191" bestFit="1" customWidth="1"/>
    <col min="13" max="13" width="6.21875" style="191" bestFit="1" customWidth="1"/>
    <col min="14" max="14" width="5.33203125" style="194" bestFit="1" customWidth="1"/>
    <col min="15" max="15" width="6.109375" style="194" bestFit="1" customWidth="1"/>
    <col min="16" max="16" width="7.44140625" style="194" bestFit="1" customWidth="1"/>
    <col min="17" max="17" width="6.21875" style="194" bestFit="1" customWidth="1"/>
    <col min="18" max="16384" width="8.88671875" style="115"/>
  </cols>
  <sheetData>
    <row r="1" spans="1:17" ht="18.600000000000001" customHeight="1" thickBot="1" x14ac:dyDescent="0.4">
      <c r="A1" s="340" t="s">
        <v>219</v>
      </c>
      <c r="B1" s="340"/>
      <c r="C1" s="340"/>
      <c r="D1" s="340"/>
      <c r="E1" s="340"/>
      <c r="F1" s="303"/>
      <c r="G1" s="303"/>
      <c r="H1" s="303"/>
      <c r="I1" s="303"/>
      <c r="J1" s="333"/>
      <c r="K1" s="333"/>
      <c r="L1" s="333"/>
      <c r="M1" s="333"/>
      <c r="N1" s="333"/>
      <c r="O1" s="333"/>
      <c r="P1" s="333"/>
      <c r="Q1" s="333"/>
    </row>
    <row r="2" spans="1:17" ht="14.4" customHeight="1" thickBot="1" x14ac:dyDescent="0.35">
      <c r="A2" s="212" t="s">
        <v>254</v>
      </c>
      <c r="B2" s="198"/>
      <c r="C2" s="198"/>
      <c r="D2" s="198"/>
      <c r="E2" s="198"/>
    </row>
    <row r="3" spans="1:17" ht="14.4" customHeight="1" thickBot="1" x14ac:dyDescent="0.35">
      <c r="A3" s="279" t="s">
        <v>3</v>
      </c>
      <c r="B3" s="283">
        <f>SUM(B6:B1048576)</f>
        <v>159</v>
      </c>
      <c r="C3" s="284">
        <f>SUM(C6:C1048576)</f>
        <v>0</v>
      </c>
      <c r="D3" s="284">
        <f>SUM(D6:D1048576)</f>
        <v>0</v>
      </c>
      <c r="E3" s="285">
        <f>SUM(E6:E1048576)</f>
        <v>0</v>
      </c>
      <c r="F3" s="282">
        <f>IF(SUM($B3:$E3)=0,"",B3/SUM($B3:$E3))</f>
        <v>1</v>
      </c>
      <c r="G3" s="280">
        <f t="shared" ref="G3:I3" si="0">IF(SUM($B3:$E3)=0,"",C3/SUM($B3:$E3))</f>
        <v>0</v>
      </c>
      <c r="H3" s="280">
        <f t="shared" si="0"/>
        <v>0</v>
      </c>
      <c r="I3" s="281">
        <f t="shared" si="0"/>
        <v>0</v>
      </c>
      <c r="J3" s="284">
        <f>SUM(J6:J1048576)</f>
        <v>23</v>
      </c>
      <c r="K3" s="284">
        <f>SUM(K6:K1048576)</f>
        <v>0</v>
      </c>
      <c r="L3" s="284">
        <f>SUM(L6:L1048576)</f>
        <v>0</v>
      </c>
      <c r="M3" s="285">
        <f>SUM(M6:M1048576)</f>
        <v>0</v>
      </c>
      <c r="N3" s="282">
        <f>IF(SUM($J3:$M3)=0,"",J3/SUM($J3:$M3))</f>
        <v>1</v>
      </c>
      <c r="O3" s="280">
        <f t="shared" ref="O3:Q3" si="1">IF(SUM($J3:$M3)=0,"",K3/SUM($J3:$M3))</f>
        <v>0</v>
      </c>
      <c r="P3" s="280">
        <f t="shared" si="1"/>
        <v>0</v>
      </c>
      <c r="Q3" s="281">
        <f t="shared" si="1"/>
        <v>0</v>
      </c>
    </row>
    <row r="4" spans="1:17" ht="14.4" customHeight="1" thickBot="1" x14ac:dyDescent="0.35">
      <c r="A4" s="278"/>
      <c r="B4" s="353" t="s">
        <v>221</v>
      </c>
      <c r="C4" s="354"/>
      <c r="D4" s="354"/>
      <c r="E4" s="355"/>
      <c r="F4" s="350" t="s">
        <v>226</v>
      </c>
      <c r="G4" s="351"/>
      <c r="H4" s="351"/>
      <c r="I4" s="352"/>
      <c r="J4" s="353" t="s">
        <v>227</v>
      </c>
      <c r="K4" s="354"/>
      <c r="L4" s="354"/>
      <c r="M4" s="355"/>
      <c r="N4" s="350" t="s">
        <v>228</v>
      </c>
      <c r="O4" s="351"/>
      <c r="P4" s="351"/>
      <c r="Q4" s="352"/>
    </row>
    <row r="5" spans="1:17" ht="14.4" customHeight="1" thickBot="1" x14ac:dyDescent="0.35">
      <c r="A5" s="456" t="s">
        <v>220</v>
      </c>
      <c r="B5" s="457" t="s">
        <v>222</v>
      </c>
      <c r="C5" s="457" t="s">
        <v>223</v>
      </c>
      <c r="D5" s="457" t="s">
        <v>224</v>
      </c>
      <c r="E5" s="458" t="s">
        <v>225</v>
      </c>
      <c r="F5" s="459" t="s">
        <v>222</v>
      </c>
      <c r="G5" s="460" t="s">
        <v>223</v>
      </c>
      <c r="H5" s="460" t="s">
        <v>224</v>
      </c>
      <c r="I5" s="461" t="s">
        <v>225</v>
      </c>
      <c r="J5" s="457" t="s">
        <v>222</v>
      </c>
      <c r="K5" s="457" t="s">
        <v>223</v>
      </c>
      <c r="L5" s="457" t="s">
        <v>224</v>
      </c>
      <c r="M5" s="458" t="s">
        <v>225</v>
      </c>
      <c r="N5" s="459" t="s">
        <v>222</v>
      </c>
      <c r="O5" s="460" t="s">
        <v>223</v>
      </c>
      <c r="P5" s="460" t="s">
        <v>224</v>
      </c>
      <c r="Q5" s="461" t="s">
        <v>225</v>
      </c>
    </row>
    <row r="6" spans="1:17" ht="14.4" customHeight="1" x14ac:dyDescent="0.3">
      <c r="A6" s="464" t="s">
        <v>583</v>
      </c>
      <c r="B6" s="468"/>
      <c r="C6" s="419"/>
      <c r="D6" s="419"/>
      <c r="E6" s="420"/>
      <c r="F6" s="466"/>
      <c r="G6" s="438"/>
      <c r="H6" s="438"/>
      <c r="I6" s="470"/>
      <c r="J6" s="468"/>
      <c r="K6" s="419"/>
      <c r="L6" s="419"/>
      <c r="M6" s="420"/>
      <c r="N6" s="466"/>
      <c r="O6" s="438"/>
      <c r="P6" s="438"/>
      <c r="Q6" s="462"/>
    </row>
    <row r="7" spans="1:17" ht="14.4" customHeight="1" thickBot="1" x14ac:dyDescent="0.35">
      <c r="A7" s="465" t="s">
        <v>584</v>
      </c>
      <c r="B7" s="469">
        <v>159</v>
      </c>
      <c r="C7" s="431"/>
      <c r="D7" s="431"/>
      <c r="E7" s="432"/>
      <c r="F7" s="467">
        <v>1</v>
      </c>
      <c r="G7" s="439">
        <v>0</v>
      </c>
      <c r="H7" s="439">
        <v>0</v>
      </c>
      <c r="I7" s="471">
        <v>0</v>
      </c>
      <c r="J7" s="469">
        <v>23</v>
      </c>
      <c r="K7" s="431"/>
      <c r="L7" s="431"/>
      <c r="M7" s="432"/>
      <c r="N7" s="467">
        <v>1</v>
      </c>
      <c r="O7" s="439">
        <v>0</v>
      </c>
      <c r="P7" s="439">
        <v>0</v>
      </c>
      <c r="Q7" s="46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3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120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254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2013</v>
      </c>
      <c r="D3" s="271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218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3" t="s">
        <v>424</v>
      </c>
      <c r="B5" s="404" t="s">
        <v>425</v>
      </c>
      <c r="C5" s="405" t="s">
        <v>426</v>
      </c>
      <c r="D5" s="405" t="s">
        <v>426</v>
      </c>
      <c r="E5" s="405"/>
      <c r="F5" s="405" t="s">
        <v>426</v>
      </c>
      <c r="G5" s="405" t="s">
        <v>426</v>
      </c>
      <c r="H5" s="405" t="s">
        <v>426</v>
      </c>
      <c r="I5" s="406" t="s">
        <v>426</v>
      </c>
      <c r="J5" s="407" t="s">
        <v>56</v>
      </c>
    </row>
    <row r="6" spans="1:10" ht="14.4" customHeight="1" x14ac:dyDescent="0.3">
      <c r="A6" s="403" t="s">
        <v>424</v>
      </c>
      <c r="B6" s="404" t="s">
        <v>585</v>
      </c>
      <c r="C6" s="405">
        <v>0.40844999999999976</v>
      </c>
      <c r="D6" s="405">
        <v>0</v>
      </c>
      <c r="E6" s="405"/>
      <c r="F6" s="405" t="s">
        <v>426</v>
      </c>
      <c r="G6" s="405" t="s">
        <v>426</v>
      </c>
      <c r="H6" s="405" t="s">
        <v>426</v>
      </c>
      <c r="I6" s="406" t="s">
        <v>426</v>
      </c>
      <c r="J6" s="407" t="s">
        <v>1</v>
      </c>
    </row>
    <row r="7" spans="1:10" ht="14.4" customHeight="1" x14ac:dyDescent="0.3">
      <c r="A7" s="403" t="s">
        <v>424</v>
      </c>
      <c r="B7" s="404" t="s">
        <v>586</v>
      </c>
      <c r="C7" s="405">
        <v>8.7120000000000003E-2</v>
      </c>
      <c r="D7" s="405">
        <v>0</v>
      </c>
      <c r="E7" s="405"/>
      <c r="F7" s="405" t="s">
        <v>426</v>
      </c>
      <c r="G7" s="405" t="s">
        <v>426</v>
      </c>
      <c r="H7" s="405" t="s">
        <v>426</v>
      </c>
      <c r="I7" s="406" t="s">
        <v>426</v>
      </c>
      <c r="J7" s="407" t="s">
        <v>1</v>
      </c>
    </row>
    <row r="8" spans="1:10" ht="14.4" customHeight="1" x14ac:dyDescent="0.3">
      <c r="A8" s="403" t="s">
        <v>424</v>
      </c>
      <c r="B8" s="404" t="s">
        <v>269</v>
      </c>
      <c r="C8" s="405">
        <v>8.2299999999999998E-2</v>
      </c>
      <c r="D8" s="405">
        <v>0</v>
      </c>
      <c r="E8" s="405"/>
      <c r="F8" s="405">
        <v>0</v>
      </c>
      <c r="G8" s="405">
        <v>0.12920499593033333</v>
      </c>
      <c r="H8" s="405">
        <v>-0.12920499593033333</v>
      </c>
      <c r="I8" s="406">
        <v>0</v>
      </c>
      <c r="J8" s="407" t="s">
        <v>1</v>
      </c>
    </row>
    <row r="9" spans="1:10" ht="14.4" customHeight="1" x14ac:dyDescent="0.3">
      <c r="A9" s="403" t="s">
        <v>424</v>
      </c>
      <c r="B9" s="404" t="s">
        <v>270</v>
      </c>
      <c r="C9" s="405">
        <v>7.7928700000000006</v>
      </c>
      <c r="D9" s="405">
        <v>8.8115199999999998</v>
      </c>
      <c r="E9" s="405"/>
      <c r="F9" s="405">
        <v>14.279579999999001</v>
      </c>
      <c r="G9" s="405">
        <v>10.166666346441167</v>
      </c>
      <c r="H9" s="405">
        <v>4.1129136535578343</v>
      </c>
      <c r="I9" s="406">
        <v>1.4045488966988235</v>
      </c>
      <c r="J9" s="407" t="s">
        <v>1</v>
      </c>
    </row>
    <row r="10" spans="1:10" ht="14.4" customHeight="1" x14ac:dyDescent="0.3">
      <c r="A10" s="403" t="s">
        <v>424</v>
      </c>
      <c r="B10" s="404" t="s">
        <v>271</v>
      </c>
      <c r="C10" s="405">
        <v>10.822890000000001</v>
      </c>
      <c r="D10" s="405">
        <v>13.81147</v>
      </c>
      <c r="E10" s="405"/>
      <c r="F10" s="405">
        <v>8.6057600000000001</v>
      </c>
      <c r="G10" s="405">
        <v>14.666666204702167</v>
      </c>
      <c r="H10" s="405">
        <v>-6.0609062047021673</v>
      </c>
      <c r="I10" s="406">
        <v>0.58675638211776948</v>
      </c>
      <c r="J10" s="407" t="s">
        <v>1</v>
      </c>
    </row>
    <row r="11" spans="1:10" ht="14.4" customHeight="1" x14ac:dyDescent="0.3">
      <c r="A11" s="403" t="s">
        <v>424</v>
      </c>
      <c r="B11" s="404" t="s">
        <v>272</v>
      </c>
      <c r="C11" s="405">
        <v>8.912609999999999</v>
      </c>
      <c r="D11" s="405">
        <v>7.8479600000000005</v>
      </c>
      <c r="E11" s="405"/>
      <c r="F11" s="405">
        <v>15.32249</v>
      </c>
      <c r="G11" s="405">
        <v>12.499999606280168</v>
      </c>
      <c r="H11" s="405">
        <v>2.822490393719832</v>
      </c>
      <c r="I11" s="406">
        <v>1.2257992386097176</v>
      </c>
      <c r="J11" s="407" t="s">
        <v>1</v>
      </c>
    </row>
    <row r="12" spans="1:10" ht="14.4" customHeight="1" x14ac:dyDescent="0.3">
      <c r="A12" s="403" t="s">
        <v>424</v>
      </c>
      <c r="B12" s="404" t="s">
        <v>273</v>
      </c>
      <c r="C12" s="405">
        <v>0.39800000000000002</v>
      </c>
      <c r="D12" s="405">
        <v>0.42</v>
      </c>
      <c r="E12" s="405"/>
      <c r="F12" s="405">
        <v>1.0923500000000002</v>
      </c>
      <c r="G12" s="405">
        <v>0.9999999685023333</v>
      </c>
      <c r="H12" s="405">
        <v>9.2350031497666851E-2</v>
      </c>
      <c r="I12" s="406">
        <v>1.0923500344064774</v>
      </c>
      <c r="J12" s="407" t="s">
        <v>1</v>
      </c>
    </row>
    <row r="13" spans="1:10" ht="14.4" customHeight="1" x14ac:dyDescent="0.3">
      <c r="A13" s="403" t="s">
        <v>424</v>
      </c>
      <c r="B13" s="404" t="s">
        <v>274</v>
      </c>
      <c r="C13" s="405">
        <v>24.05293</v>
      </c>
      <c r="D13" s="405">
        <v>27.19896</v>
      </c>
      <c r="E13" s="405"/>
      <c r="F13" s="405">
        <v>30.825800000000001</v>
      </c>
      <c r="G13" s="405">
        <v>29.833332393655667</v>
      </c>
      <c r="H13" s="405">
        <v>0.99246760634433429</v>
      </c>
      <c r="I13" s="406">
        <v>1.0332670716515528</v>
      </c>
      <c r="J13" s="407" t="s">
        <v>1</v>
      </c>
    </row>
    <row r="14" spans="1:10" ht="14.4" customHeight="1" x14ac:dyDescent="0.3">
      <c r="A14" s="403" t="s">
        <v>424</v>
      </c>
      <c r="B14" s="404" t="s">
        <v>587</v>
      </c>
      <c r="C14" s="405">
        <v>0</v>
      </c>
      <c r="D14" s="405" t="s">
        <v>426</v>
      </c>
      <c r="E14" s="405"/>
      <c r="F14" s="405" t="s">
        <v>426</v>
      </c>
      <c r="G14" s="405" t="s">
        <v>426</v>
      </c>
      <c r="H14" s="405" t="s">
        <v>426</v>
      </c>
      <c r="I14" s="406" t="s">
        <v>426</v>
      </c>
      <c r="J14" s="407" t="s">
        <v>1</v>
      </c>
    </row>
    <row r="15" spans="1:10" ht="14.4" customHeight="1" x14ac:dyDescent="0.3">
      <c r="A15" s="403" t="s">
        <v>424</v>
      </c>
      <c r="B15" s="404" t="s">
        <v>275</v>
      </c>
      <c r="C15" s="405">
        <v>583.86057000000005</v>
      </c>
      <c r="D15" s="405">
        <v>566.38065000000097</v>
      </c>
      <c r="E15" s="405"/>
      <c r="F15" s="405">
        <v>421.90636000000001</v>
      </c>
      <c r="G15" s="405">
        <v>579.66664840857163</v>
      </c>
      <c r="H15" s="405">
        <v>-157.76028840857163</v>
      </c>
      <c r="I15" s="406">
        <v>0.72784308215473525</v>
      </c>
      <c r="J15" s="407" t="s">
        <v>1</v>
      </c>
    </row>
    <row r="16" spans="1:10" ht="14.4" customHeight="1" x14ac:dyDescent="0.3">
      <c r="A16" s="403" t="s">
        <v>424</v>
      </c>
      <c r="B16" s="404" t="s">
        <v>427</v>
      </c>
      <c r="C16" s="405">
        <v>636.41774000000009</v>
      </c>
      <c r="D16" s="405">
        <v>624.470560000001</v>
      </c>
      <c r="E16" s="405"/>
      <c r="F16" s="405">
        <v>492.03233999999901</v>
      </c>
      <c r="G16" s="405">
        <v>647.9625179240835</v>
      </c>
      <c r="H16" s="405">
        <v>-155.93017792408449</v>
      </c>
      <c r="I16" s="406">
        <v>0.75935308970702908</v>
      </c>
      <c r="J16" s="407" t="s">
        <v>428</v>
      </c>
    </row>
    <row r="18" spans="1:10" ht="14.4" customHeight="1" x14ac:dyDescent="0.3">
      <c r="A18" s="403" t="s">
        <v>424</v>
      </c>
      <c r="B18" s="404" t="s">
        <v>425</v>
      </c>
      <c r="C18" s="405" t="s">
        <v>426</v>
      </c>
      <c r="D18" s="405" t="s">
        <v>426</v>
      </c>
      <c r="E18" s="405"/>
      <c r="F18" s="405" t="s">
        <v>426</v>
      </c>
      <c r="G18" s="405" t="s">
        <v>426</v>
      </c>
      <c r="H18" s="405" t="s">
        <v>426</v>
      </c>
      <c r="I18" s="406" t="s">
        <v>426</v>
      </c>
      <c r="J18" s="407" t="s">
        <v>56</v>
      </c>
    </row>
    <row r="19" spans="1:10" ht="14.4" customHeight="1" x14ac:dyDescent="0.3">
      <c r="A19" s="403" t="s">
        <v>429</v>
      </c>
      <c r="B19" s="404" t="s">
        <v>430</v>
      </c>
      <c r="C19" s="405" t="s">
        <v>426</v>
      </c>
      <c r="D19" s="405" t="s">
        <v>426</v>
      </c>
      <c r="E19" s="405"/>
      <c r="F19" s="405" t="s">
        <v>426</v>
      </c>
      <c r="G19" s="405" t="s">
        <v>426</v>
      </c>
      <c r="H19" s="405" t="s">
        <v>426</v>
      </c>
      <c r="I19" s="406" t="s">
        <v>426</v>
      </c>
      <c r="J19" s="407" t="s">
        <v>0</v>
      </c>
    </row>
    <row r="20" spans="1:10" ht="14.4" customHeight="1" x14ac:dyDescent="0.3">
      <c r="A20" s="403" t="s">
        <v>429</v>
      </c>
      <c r="B20" s="404" t="s">
        <v>585</v>
      </c>
      <c r="C20" s="405">
        <v>0.40844999999999976</v>
      </c>
      <c r="D20" s="405">
        <v>0</v>
      </c>
      <c r="E20" s="405"/>
      <c r="F20" s="405" t="s">
        <v>426</v>
      </c>
      <c r="G20" s="405" t="s">
        <v>426</v>
      </c>
      <c r="H20" s="405" t="s">
        <v>426</v>
      </c>
      <c r="I20" s="406" t="s">
        <v>426</v>
      </c>
      <c r="J20" s="407" t="s">
        <v>1</v>
      </c>
    </row>
    <row r="21" spans="1:10" ht="14.4" customHeight="1" x14ac:dyDescent="0.3">
      <c r="A21" s="403" t="s">
        <v>429</v>
      </c>
      <c r="B21" s="404" t="s">
        <v>586</v>
      </c>
      <c r="C21" s="405">
        <v>8.7120000000000003E-2</v>
      </c>
      <c r="D21" s="405">
        <v>0</v>
      </c>
      <c r="E21" s="405"/>
      <c r="F21" s="405" t="s">
        <v>426</v>
      </c>
      <c r="G21" s="405" t="s">
        <v>426</v>
      </c>
      <c r="H21" s="405" t="s">
        <v>426</v>
      </c>
      <c r="I21" s="406" t="s">
        <v>426</v>
      </c>
      <c r="J21" s="407" t="s">
        <v>1</v>
      </c>
    </row>
    <row r="22" spans="1:10" ht="14.4" customHeight="1" x14ac:dyDescent="0.3">
      <c r="A22" s="403" t="s">
        <v>429</v>
      </c>
      <c r="B22" s="404" t="s">
        <v>269</v>
      </c>
      <c r="C22" s="405">
        <v>8.2299999999999998E-2</v>
      </c>
      <c r="D22" s="405">
        <v>0</v>
      </c>
      <c r="E22" s="405"/>
      <c r="F22" s="405">
        <v>0</v>
      </c>
      <c r="G22" s="405">
        <v>0.12920499593033333</v>
      </c>
      <c r="H22" s="405">
        <v>-0.12920499593033333</v>
      </c>
      <c r="I22" s="406">
        <v>0</v>
      </c>
      <c r="J22" s="407" t="s">
        <v>1</v>
      </c>
    </row>
    <row r="23" spans="1:10" ht="14.4" customHeight="1" x14ac:dyDescent="0.3">
      <c r="A23" s="403" t="s">
        <v>429</v>
      </c>
      <c r="B23" s="404" t="s">
        <v>270</v>
      </c>
      <c r="C23" s="405">
        <v>7.7928700000000006</v>
      </c>
      <c r="D23" s="405">
        <v>8.8115199999999998</v>
      </c>
      <c r="E23" s="405"/>
      <c r="F23" s="405">
        <v>14.279579999999001</v>
      </c>
      <c r="G23" s="405">
        <v>10.166666346441167</v>
      </c>
      <c r="H23" s="405">
        <v>4.1129136535578343</v>
      </c>
      <c r="I23" s="406">
        <v>1.4045488966988235</v>
      </c>
      <c r="J23" s="407" t="s">
        <v>1</v>
      </c>
    </row>
    <row r="24" spans="1:10" ht="14.4" customHeight="1" x14ac:dyDescent="0.3">
      <c r="A24" s="403" t="s">
        <v>429</v>
      </c>
      <c r="B24" s="404" t="s">
        <v>271</v>
      </c>
      <c r="C24" s="405">
        <v>10.822890000000001</v>
      </c>
      <c r="D24" s="405">
        <v>13.81147</v>
      </c>
      <c r="E24" s="405"/>
      <c r="F24" s="405">
        <v>8.6057600000000001</v>
      </c>
      <c r="G24" s="405">
        <v>14.666666204702167</v>
      </c>
      <c r="H24" s="405">
        <v>-6.0609062047021673</v>
      </c>
      <c r="I24" s="406">
        <v>0.58675638211776948</v>
      </c>
      <c r="J24" s="407" t="s">
        <v>1</v>
      </c>
    </row>
    <row r="25" spans="1:10" ht="14.4" customHeight="1" x14ac:dyDescent="0.3">
      <c r="A25" s="403" t="s">
        <v>429</v>
      </c>
      <c r="B25" s="404" t="s">
        <v>272</v>
      </c>
      <c r="C25" s="405">
        <v>8.912609999999999</v>
      </c>
      <c r="D25" s="405">
        <v>7.8479600000000005</v>
      </c>
      <c r="E25" s="405"/>
      <c r="F25" s="405">
        <v>15.32249</v>
      </c>
      <c r="G25" s="405">
        <v>12.499999606280168</v>
      </c>
      <c r="H25" s="405">
        <v>2.822490393719832</v>
      </c>
      <c r="I25" s="406">
        <v>1.2257992386097176</v>
      </c>
      <c r="J25" s="407" t="s">
        <v>1</v>
      </c>
    </row>
    <row r="26" spans="1:10" ht="14.4" customHeight="1" x14ac:dyDescent="0.3">
      <c r="A26" s="403" t="s">
        <v>429</v>
      </c>
      <c r="B26" s="404" t="s">
        <v>273</v>
      </c>
      <c r="C26" s="405">
        <v>0.39800000000000002</v>
      </c>
      <c r="D26" s="405">
        <v>0.42</v>
      </c>
      <c r="E26" s="405"/>
      <c r="F26" s="405">
        <v>1.0923500000000002</v>
      </c>
      <c r="G26" s="405">
        <v>0.9999999685023333</v>
      </c>
      <c r="H26" s="405">
        <v>9.2350031497666851E-2</v>
      </c>
      <c r="I26" s="406">
        <v>1.0923500344064774</v>
      </c>
      <c r="J26" s="407" t="s">
        <v>1</v>
      </c>
    </row>
    <row r="27" spans="1:10" ht="14.4" customHeight="1" x14ac:dyDescent="0.3">
      <c r="A27" s="403" t="s">
        <v>429</v>
      </c>
      <c r="B27" s="404" t="s">
        <v>274</v>
      </c>
      <c r="C27" s="405">
        <v>24.05293</v>
      </c>
      <c r="D27" s="405">
        <v>27.19896</v>
      </c>
      <c r="E27" s="405"/>
      <c r="F27" s="405">
        <v>30.825800000000001</v>
      </c>
      <c r="G27" s="405">
        <v>29.833332393655667</v>
      </c>
      <c r="H27" s="405">
        <v>0.99246760634433429</v>
      </c>
      <c r="I27" s="406">
        <v>1.0332670716515528</v>
      </c>
      <c r="J27" s="407" t="s">
        <v>1</v>
      </c>
    </row>
    <row r="28" spans="1:10" ht="14.4" customHeight="1" x14ac:dyDescent="0.3">
      <c r="A28" s="403" t="s">
        <v>429</v>
      </c>
      <c r="B28" s="404" t="s">
        <v>587</v>
      </c>
      <c r="C28" s="405">
        <v>0</v>
      </c>
      <c r="D28" s="405" t="s">
        <v>426</v>
      </c>
      <c r="E28" s="405"/>
      <c r="F28" s="405" t="s">
        <v>426</v>
      </c>
      <c r="G28" s="405" t="s">
        <v>426</v>
      </c>
      <c r="H28" s="405" t="s">
        <v>426</v>
      </c>
      <c r="I28" s="406" t="s">
        <v>426</v>
      </c>
      <c r="J28" s="407" t="s">
        <v>1</v>
      </c>
    </row>
    <row r="29" spans="1:10" ht="14.4" customHeight="1" x14ac:dyDescent="0.3">
      <c r="A29" s="403" t="s">
        <v>429</v>
      </c>
      <c r="B29" s="404" t="s">
        <v>275</v>
      </c>
      <c r="C29" s="405">
        <v>583.86057000000005</v>
      </c>
      <c r="D29" s="405">
        <v>566.38065000000097</v>
      </c>
      <c r="E29" s="405"/>
      <c r="F29" s="405">
        <v>421.90636000000001</v>
      </c>
      <c r="G29" s="405">
        <v>579.66664840857163</v>
      </c>
      <c r="H29" s="405">
        <v>-157.76028840857163</v>
      </c>
      <c r="I29" s="406">
        <v>0.72784308215473525</v>
      </c>
      <c r="J29" s="407" t="s">
        <v>1</v>
      </c>
    </row>
    <row r="30" spans="1:10" ht="14.4" customHeight="1" x14ac:dyDescent="0.3">
      <c r="A30" s="403" t="s">
        <v>429</v>
      </c>
      <c r="B30" s="404" t="s">
        <v>431</v>
      </c>
      <c r="C30" s="405">
        <v>636.41774000000009</v>
      </c>
      <c r="D30" s="405">
        <v>624.470560000001</v>
      </c>
      <c r="E30" s="405"/>
      <c r="F30" s="405">
        <v>492.03233999999901</v>
      </c>
      <c r="G30" s="405">
        <v>647.9625179240835</v>
      </c>
      <c r="H30" s="405">
        <v>-155.93017792408449</v>
      </c>
      <c r="I30" s="406">
        <v>0.75935308970702908</v>
      </c>
      <c r="J30" s="407" t="s">
        <v>432</v>
      </c>
    </row>
    <row r="31" spans="1:10" ht="14.4" customHeight="1" x14ac:dyDescent="0.3">
      <c r="A31" s="403" t="s">
        <v>426</v>
      </c>
      <c r="B31" s="404" t="s">
        <v>426</v>
      </c>
      <c r="C31" s="405" t="s">
        <v>426</v>
      </c>
      <c r="D31" s="405" t="s">
        <v>426</v>
      </c>
      <c r="E31" s="405"/>
      <c r="F31" s="405" t="s">
        <v>426</v>
      </c>
      <c r="G31" s="405" t="s">
        <v>426</v>
      </c>
      <c r="H31" s="405" t="s">
        <v>426</v>
      </c>
      <c r="I31" s="406" t="s">
        <v>426</v>
      </c>
      <c r="J31" s="407" t="s">
        <v>433</v>
      </c>
    </row>
    <row r="32" spans="1:10" ht="14.4" customHeight="1" x14ac:dyDescent="0.3">
      <c r="A32" s="403" t="s">
        <v>588</v>
      </c>
      <c r="B32" s="404" t="s">
        <v>589</v>
      </c>
      <c r="C32" s="405" t="s">
        <v>426</v>
      </c>
      <c r="D32" s="405" t="s">
        <v>426</v>
      </c>
      <c r="E32" s="405"/>
      <c r="F32" s="405" t="s">
        <v>426</v>
      </c>
      <c r="G32" s="405" t="s">
        <v>426</v>
      </c>
      <c r="H32" s="405" t="s">
        <v>426</v>
      </c>
      <c r="I32" s="406" t="s">
        <v>426</v>
      </c>
      <c r="J32" s="407" t="s">
        <v>0</v>
      </c>
    </row>
    <row r="33" spans="1:10" ht="14.4" customHeight="1" x14ac:dyDescent="0.3">
      <c r="A33" s="403" t="s">
        <v>588</v>
      </c>
      <c r="B33" s="404" t="s">
        <v>274</v>
      </c>
      <c r="C33" s="405">
        <v>0</v>
      </c>
      <c r="D33" s="405" t="s">
        <v>426</v>
      </c>
      <c r="E33" s="405"/>
      <c r="F33" s="405" t="s">
        <v>426</v>
      </c>
      <c r="G33" s="405" t="s">
        <v>426</v>
      </c>
      <c r="H33" s="405" t="s">
        <v>426</v>
      </c>
      <c r="I33" s="406" t="s">
        <v>426</v>
      </c>
      <c r="J33" s="407" t="s">
        <v>1</v>
      </c>
    </row>
    <row r="34" spans="1:10" ht="14.4" customHeight="1" x14ac:dyDescent="0.3">
      <c r="A34" s="403" t="s">
        <v>588</v>
      </c>
      <c r="B34" s="404" t="s">
        <v>590</v>
      </c>
      <c r="C34" s="405">
        <v>0</v>
      </c>
      <c r="D34" s="405" t="s">
        <v>426</v>
      </c>
      <c r="E34" s="405"/>
      <c r="F34" s="405" t="s">
        <v>426</v>
      </c>
      <c r="G34" s="405" t="s">
        <v>426</v>
      </c>
      <c r="H34" s="405" t="s">
        <v>426</v>
      </c>
      <c r="I34" s="406" t="s">
        <v>426</v>
      </c>
      <c r="J34" s="407" t="s">
        <v>432</v>
      </c>
    </row>
    <row r="35" spans="1:10" ht="14.4" customHeight="1" x14ac:dyDescent="0.3">
      <c r="A35" s="403" t="s">
        <v>426</v>
      </c>
      <c r="B35" s="404" t="s">
        <v>426</v>
      </c>
      <c r="C35" s="405" t="s">
        <v>426</v>
      </c>
      <c r="D35" s="405" t="s">
        <v>426</v>
      </c>
      <c r="E35" s="405"/>
      <c r="F35" s="405" t="s">
        <v>426</v>
      </c>
      <c r="G35" s="405" t="s">
        <v>426</v>
      </c>
      <c r="H35" s="405" t="s">
        <v>426</v>
      </c>
      <c r="I35" s="406" t="s">
        <v>426</v>
      </c>
      <c r="J35" s="407" t="s">
        <v>433</v>
      </c>
    </row>
    <row r="36" spans="1:10" ht="14.4" customHeight="1" x14ac:dyDescent="0.3">
      <c r="A36" s="403" t="s">
        <v>424</v>
      </c>
      <c r="B36" s="404" t="s">
        <v>427</v>
      </c>
      <c r="C36" s="405">
        <v>636.41774000000009</v>
      </c>
      <c r="D36" s="405">
        <v>624.470560000001</v>
      </c>
      <c r="E36" s="405"/>
      <c r="F36" s="405">
        <v>492.03233999999901</v>
      </c>
      <c r="G36" s="405">
        <v>647.9625179240835</v>
      </c>
      <c r="H36" s="405">
        <v>-155.93017792408449</v>
      </c>
      <c r="I36" s="406">
        <v>0.75935308970702908</v>
      </c>
      <c r="J36" s="407" t="s">
        <v>428</v>
      </c>
    </row>
  </sheetData>
  <mergeCells count="3">
    <mergeCell ref="A1:I1"/>
    <mergeCell ref="F3:I3"/>
    <mergeCell ref="C4:D4"/>
  </mergeCells>
  <conditionalFormatting sqref="F17 F37:F65537">
    <cfRule type="cellIs" dxfId="20" priority="18" stopIfTrue="1" operator="greaterThan">
      <formula>1</formula>
    </cfRule>
  </conditionalFormatting>
  <conditionalFormatting sqref="H5:H16">
    <cfRule type="expression" dxfId="19" priority="14">
      <formula>$H5&gt;0</formula>
    </cfRule>
  </conditionalFormatting>
  <conditionalFormatting sqref="I5:I16">
    <cfRule type="expression" dxfId="18" priority="15">
      <formula>$I5&gt;1</formula>
    </cfRule>
  </conditionalFormatting>
  <conditionalFormatting sqref="B5:B16">
    <cfRule type="expression" dxfId="17" priority="11">
      <formula>OR($J5="NS",$J5="SumaNS",$J5="Účet")</formula>
    </cfRule>
  </conditionalFormatting>
  <conditionalFormatting sqref="F5:I16 B5:D16">
    <cfRule type="expression" dxfId="16" priority="17">
      <formula>AND($J5&lt;&gt;"",$J5&lt;&gt;"mezeraKL")</formula>
    </cfRule>
  </conditionalFormatting>
  <conditionalFormatting sqref="B5:D16 F5:I16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6 F5:I16">
    <cfRule type="expression" dxfId="14" priority="13">
      <formula>OR($J5="SumaNS",$J5="NS")</formula>
    </cfRule>
  </conditionalFormatting>
  <conditionalFormatting sqref="A5:A16">
    <cfRule type="expression" dxfId="13" priority="9">
      <formula>AND($J5&lt;&gt;"mezeraKL",$J5&lt;&gt;"")</formula>
    </cfRule>
  </conditionalFormatting>
  <conditionalFormatting sqref="A5:A16">
    <cfRule type="expression" dxfId="12" priority="10">
      <formula>AND($J5&lt;&gt;"",$J5&lt;&gt;"mezeraKL")</formula>
    </cfRule>
  </conditionalFormatting>
  <conditionalFormatting sqref="H18:H36">
    <cfRule type="expression" dxfId="11" priority="5">
      <formula>$H18&gt;0</formula>
    </cfRule>
  </conditionalFormatting>
  <conditionalFormatting sqref="A18:A36">
    <cfRule type="expression" dxfId="10" priority="2">
      <formula>AND($J18&lt;&gt;"mezeraKL",$J18&lt;&gt;"")</formula>
    </cfRule>
  </conditionalFormatting>
  <conditionalFormatting sqref="I18:I36">
    <cfRule type="expression" dxfId="9" priority="6">
      <formula>$I18&gt;1</formula>
    </cfRule>
  </conditionalFormatting>
  <conditionalFormatting sqref="B18:B36">
    <cfRule type="expression" dxfId="8" priority="1">
      <formula>OR($J18="NS",$J18="SumaNS",$J18="Účet")</formula>
    </cfRule>
  </conditionalFormatting>
  <conditionalFormatting sqref="A18:D36 F18:I36">
    <cfRule type="expression" dxfId="7" priority="8">
      <formula>AND($J18&lt;&gt;"",$J18&lt;&gt;"mezeraKL")</formula>
    </cfRule>
  </conditionalFormatting>
  <conditionalFormatting sqref="B18:D36 F18:I36">
    <cfRule type="expression" dxfId="6" priority="3">
      <formula>OR($J18="KL",$J18="SumaKL")</formula>
    </cfRule>
    <cfRule type="expression" priority="7" stopIfTrue="1">
      <formula>OR($J18="mezeraNS",$J18="mezeraKL")</formula>
    </cfRule>
  </conditionalFormatting>
  <conditionalFormatting sqref="B18:D36 F18:I36">
    <cfRule type="expression" dxfId="5" priority="4">
      <formula>OR($J18="SumaNS",$J18="NS")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0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12.44140625" style="193" hidden="1" customWidth="1" outlineLevel="1"/>
    <col min="8" max="8" width="25.77734375" style="193" customWidth="1" collapsed="1"/>
    <col min="9" max="9" width="7.77734375" style="191" customWidth="1"/>
    <col min="10" max="10" width="10" style="191" customWidth="1"/>
    <col min="11" max="11" width="11.109375" style="191" customWidth="1"/>
    <col min="12" max="16384" width="8.88671875" style="115"/>
  </cols>
  <sheetData>
    <row r="1" spans="1:11" ht="18.600000000000001" customHeight="1" thickBot="1" x14ac:dyDescent="0.4">
      <c r="A1" s="338" t="s">
        <v>999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</row>
    <row r="2" spans="1:11" ht="14.4" customHeight="1" thickBot="1" x14ac:dyDescent="0.35">
      <c r="A2" s="212" t="s">
        <v>254</v>
      </c>
      <c r="B2" s="62"/>
      <c r="C2" s="195"/>
      <c r="D2" s="195"/>
      <c r="E2" s="195"/>
      <c r="F2" s="195"/>
      <c r="G2" s="195"/>
      <c r="H2" s="195"/>
      <c r="I2" s="196"/>
      <c r="J2" s="196"/>
      <c r="K2" s="196"/>
    </row>
    <row r="3" spans="1:11" ht="14.4" customHeight="1" thickBot="1" x14ac:dyDescent="0.35">
      <c r="A3" s="62"/>
      <c r="B3" s="62"/>
      <c r="C3" s="334"/>
      <c r="D3" s="335"/>
      <c r="E3" s="335"/>
      <c r="F3" s="335"/>
      <c r="G3" s="335"/>
      <c r="H3" s="127" t="s">
        <v>109</v>
      </c>
      <c r="I3" s="84">
        <f>IF(J3&lt;&gt;0,K3/J3,0)</f>
        <v>7.5853658310979579</v>
      </c>
      <c r="J3" s="84">
        <f>SUBTOTAL(9,J5:J1048576)</f>
        <v>64866</v>
      </c>
      <c r="K3" s="85">
        <f>SUBTOTAL(9,K5:K1048576)</f>
        <v>492032.34000000014</v>
      </c>
    </row>
    <row r="4" spans="1:11" s="192" customFormat="1" ht="14.4" customHeight="1" thickBot="1" x14ac:dyDescent="0.35">
      <c r="A4" s="408" t="s">
        <v>4</v>
      </c>
      <c r="B4" s="409" t="s">
        <v>5</v>
      </c>
      <c r="C4" s="409" t="s">
        <v>0</v>
      </c>
      <c r="D4" s="409" t="s">
        <v>6</v>
      </c>
      <c r="E4" s="409" t="s">
        <v>7</v>
      </c>
      <c r="F4" s="409" t="s">
        <v>1</v>
      </c>
      <c r="G4" s="409" t="s">
        <v>58</v>
      </c>
      <c r="H4" s="410" t="s">
        <v>11</v>
      </c>
      <c r="I4" s="411" t="s">
        <v>123</v>
      </c>
      <c r="J4" s="411" t="s">
        <v>13</v>
      </c>
      <c r="K4" s="412" t="s">
        <v>134</v>
      </c>
    </row>
    <row r="5" spans="1:11" ht="14.4" customHeight="1" x14ac:dyDescent="0.3">
      <c r="A5" s="415" t="s">
        <v>424</v>
      </c>
      <c r="B5" s="416" t="s">
        <v>425</v>
      </c>
      <c r="C5" s="417" t="s">
        <v>429</v>
      </c>
      <c r="D5" s="418" t="s">
        <v>571</v>
      </c>
      <c r="E5" s="417" t="s">
        <v>987</v>
      </c>
      <c r="F5" s="418" t="s">
        <v>988</v>
      </c>
      <c r="G5" s="417" t="s">
        <v>591</v>
      </c>
      <c r="H5" s="417" t="s">
        <v>592</v>
      </c>
      <c r="I5" s="419">
        <v>260.3</v>
      </c>
      <c r="J5" s="419">
        <v>1</v>
      </c>
      <c r="K5" s="420">
        <v>260.3</v>
      </c>
    </row>
    <row r="6" spans="1:11" ht="14.4" customHeight="1" x14ac:dyDescent="0.3">
      <c r="A6" s="421" t="s">
        <v>424</v>
      </c>
      <c r="B6" s="422" t="s">
        <v>425</v>
      </c>
      <c r="C6" s="423" t="s">
        <v>429</v>
      </c>
      <c r="D6" s="424" t="s">
        <v>571</v>
      </c>
      <c r="E6" s="423" t="s">
        <v>987</v>
      </c>
      <c r="F6" s="424" t="s">
        <v>988</v>
      </c>
      <c r="G6" s="423" t="s">
        <v>593</v>
      </c>
      <c r="H6" s="423" t="s">
        <v>594</v>
      </c>
      <c r="I6" s="425">
        <v>0.33</v>
      </c>
      <c r="J6" s="425">
        <v>2500</v>
      </c>
      <c r="K6" s="426">
        <v>825</v>
      </c>
    </row>
    <row r="7" spans="1:11" ht="14.4" customHeight="1" x14ac:dyDescent="0.3">
      <c r="A7" s="421" t="s">
        <v>424</v>
      </c>
      <c r="B7" s="422" t="s">
        <v>425</v>
      </c>
      <c r="C7" s="423" t="s">
        <v>429</v>
      </c>
      <c r="D7" s="424" t="s">
        <v>571</v>
      </c>
      <c r="E7" s="423" t="s">
        <v>987</v>
      </c>
      <c r="F7" s="424" t="s">
        <v>988</v>
      </c>
      <c r="G7" s="423" t="s">
        <v>595</v>
      </c>
      <c r="H7" s="423" t="s">
        <v>596</v>
      </c>
      <c r="I7" s="425">
        <v>8.19</v>
      </c>
      <c r="J7" s="425">
        <v>4</v>
      </c>
      <c r="K7" s="426">
        <v>32.76</v>
      </c>
    </row>
    <row r="8" spans="1:11" ht="14.4" customHeight="1" x14ac:dyDescent="0.3">
      <c r="A8" s="421" t="s">
        <v>424</v>
      </c>
      <c r="B8" s="422" t="s">
        <v>425</v>
      </c>
      <c r="C8" s="423" t="s">
        <v>429</v>
      </c>
      <c r="D8" s="424" t="s">
        <v>571</v>
      </c>
      <c r="E8" s="423" t="s">
        <v>987</v>
      </c>
      <c r="F8" s="424" t="s">
        <v>988</v>
      </c>
      <c r="G8" s="423" t="s">
        <v>597</v>
      </c>
      <c r="H8" s="423" t="s">
        <v>598</v>
      </c>
      <c r="I8" s="425">
        <v>27.365000000000002</v>
      </c>
      <c r="J8" s="425">
        <v>11</v>
      </c>
      <c r="K8" s="426">
        <v>301.01</v>
      </c>
    </row>
    <row r="9" spans="1:11" ht="14.4" customHeight="1" x14ac:dyDescent="0.3">
      <c r="A9" s="421" t="s">
        <v>424</v>
      </c>
      <c r="B9" s="422" t="s">
        <v>425</v>
      </c>
      <c r="C9" s="423" t="s">
        <v>429</v>
      </c>
      <c r="D9" s="424" t="s">
        <v>571</v>
      </c>
      <c r="E9" s="423" t="s">
        <v>987</v>
      </c>
      <c r="F9" s="424" t="s">
        <v>988</v>
      </c>
      <c r="G9" s="423" t="s">
        <v>599</v>
      </c>
      <c r="H9" s="423" t="s">
        <v>600</v>
      </c>
      <c r="I9" s="425">
        <v>16.100000000000001</v>
      </c>
      <c r="J9" s="425">
        <v>50</v>
      </c>
      <c r="K9" s="426">
        <v>805</v>
      </c>
    </row>
    <row r="10" spans="1:11" ht="14.4" customHeight="1" x14ac:dyDescent="0.3">
      <c r="A10" s="421" t="s">
        <v>424</v>
      </c>
      <c r="B10" s="422" t="s">
        <v>425</v>
      </c>
      <c r="C10" s="423" t="s">
        <v>429</v>
      </c>
      <c r="D10" s="424" t="s">
        <v>571</v>
      </c>
      <c r="E10" s="423" t="s">
        <v>987</v>
      </c>
      <c r="F10" s="424" t="s">
        <v>988</v>
      </c>
      <c r="G10" s="423" t="s">
        <v>601</v>
      </c>
      <c r="H10" s="423" t="s">
        <v>602</v>
      </c>
      <c r="I10" s="425">
        <v>1.93</v>
      </c>
      <c r="J10" s="425">
        <v>100</v>
      </c>
      <c r="K10" s="426">
        <v>193.2</v>
      </c>
    </row>
    <row r="11" spans="1:11" ht="14.4" customHeight="1" x14ac:dyDescent="0.3">
      <c r="A11" s="421" t="s">
        <v>424</v>
      </c>
      <c r="B11" s="422" t="s">
        <v>425</v>
      </c>
      <c r="C11" s="423" t="s">
        <v>429</v>
      </c>
      <c r="D11" s="424" t="s">
        <v>571</v>
      </c>
      <c r="E11" s="423" t="s">
        <v>987</v>
      </c>
      <c r="F11" s="424" t="s">
        <v>988</v>
      </c>
      <c r="G11" s="423" t="s">
        <v>603</v>
      </c>
      <c r="H11" s="423" t="s">
        <v>604</v>
      </c>
      <c r="I11" s="425">
        <v>0.62</v>
      </c>
      <c r="J11" s="425">
        <v>2000</v>
      </c>
      <c r="K11" s="426">
        <v>1230.5999999999999</v>
      </c>
    </row>
    <row r="12" spans="1:11" ht="14.4" customHeight="1" x14ac:dyDescent="0.3">
      <c r="A12" s="421" t="s">
        <v>424</v>
      </c>
      <c r="B12" s="422" t="s">
        <v>425</v>
      </c>
      <c r="C12" s="423" t="s">
        <v>429</v>
      </c>
      <c r="D12" s="424" t="s">
        <v>571</v>
      </c>
      <c r="E12" s="423" t="s">
        <v>987</v>
      </c>
      <c r="F12" s="424" t="s">
        <v>988</v>
      </c>
      <c r="G12" s="423" t="s">
        <v>605</v>
      </c>
      <c r="H12" s="423" t="s">
        <v>606</v>
      </c>
      <c r="I12" s="425">
        <v>1.21</v>
      </c>
      <c r="J12" s="425">
        <v>1000</v>
      </c>
      <c r="K12" s="426">
        <v>1210</v>
      </c>
    </row>
    <row r="13" spans="1:11" ht="14.4" customHeight="1" x14ac:dyDescent="0.3">
      <c r="A13" s="421" t="s">
        <v>424</v>
      </c>
      <c r="B13" s="422" t="s">
        <v>425</v>
      </c>
      <c r="C13" s="423" t="s">
        <v>429</v>
      </c>
      <c r="D13" s="424" t="s">
        <v>571</v>
      </c>
      <c r="E13" s="423" t="s">
        <v>987</v>
      </c>
      <c r="F13" s="424" t="s">
        <v>988</v>
      </c>
      <c r="G13" s="423" t="s">
        <v>607</v>
      </c>
      <c r="H13" s="423" t="s">
        <v>608</v>
      </c>
      <c r="I13" s="425">
        <v>13.02</v>
      </c>
      <c r="J13" s="425">
        <v>1</v>
      </c>
      <c r="K13" s="426">
        <v>13.02</v>
      </c>
    </row>
    <row r="14" spans="1:11" ht="14.4" customHeight="1" x14ac:dyDescent="0.3">
      <c r="A14" s="421" t="s">
        <v>424</v>
      </c>
      <c r="B14" s="422" t="s">
        <v>425</v>
      </c>
      <c r="C14" s="423" t="s">
        <v>429</v>
      </c>
      <c r="D14" s="424" t="s">
        <v>571</v>
      </c>
      <c r="E14" s="423" t="s">
        <v>987</v>
      </c>
      <c r="F14" s="424" t="s">
        <v>988</v>
      </c>
      <c r="G14" s="423" t="s">
        <v>609</v>
      </c>
      <c r="H14" s="423" t="s">
        <v>610</v>
      </c>
      <c r="I14" s="425">
        <v>27.94</v>
      </c>
      <c r="J14" s="425">
        <v>24</v>
      </c>
      <c r="K14" s="426">
        <v>670.56</v>
      </c>
    </row>
    <row r="15" spans="1:11" ht="14.4" customHeight="1" x14ac:dyDescent="0.3">
      <c r="A15" s="421" t="s">
        <v>424</v>
      </c>
      <c r="B15" s="422" t="s">
        <v>425</v>
      </c>
      <c r="C15" s="423" t="s">
        <v>429</v>
      </c>
      <c r="D15" s="424" t="s">
        <v>571</v>
      </c>
      <c r="E15" s="423" t="s">
        <v>987</v>
      </c>
      <c r="F15" s="424" t="s">
        <v>988</v>
      </c>
      <c r="G15" s="423" t="s">
        <v>611</v>
      </c>
      <c r="H15" s="423" t="s">
        <v>612</v>
      </c>
      <c r="I15" s="425">
        <v>19.8</v>
      </c>
      <c r="J15" s="425">
        <v>2</v>
      </c>
      <c r="K15" s="426">
        <v>39.6</v>
      </c>
    </row>
    <row r="16" spans="1:11" ht="14.4" customHeight="1" x14ac:dyDescent="0.3">
      <c r="A16" s="421" t="s">
        <v>424</v>
      </c>
      <c r="B16" s="422" t="s">
        <v>425</v>
      </c>
      <c r="C16" s="423" t="s">
        <v>429</v>
      </c>
      <c r="D16" s="424" t="s">
        <v>571</v>
      </c>
      <c r="E16" s="423" t="s">
        <v>987</v>
      </c>
      <c r="F16" s="424" t="s">
        <v>988</v>
      </c>
      <c r="G16" s="423" t="s">
        <v>613</v>
      </c>
      <c r="H16" s="423" t="s">
        <v>614</v>
      </c>
      <c r="I16" s="425">
        <v>0.56000000000000005</v>
      </c>
      <c r="J16" s="425">
        <v>4000</v>
      </c>
      <c r="K16" s="426">
        <v>2240</v>
      </c>
    </row>
    <row r="17" spans="1:11" ht="14.4" customHeight="1" x14ac:dyDescent="0.3">
      <c r="A17" s="421" t="s">
        <v>424</v>
      </c>
      <c r="B17" s="422" t="s">
        <v>425</v>
      </c>
      <c r="C17" s="423" t="s">
        <v>429</v>
      </c>
      <c r="D17" s="424" t="s">
        <v>571</v>
      </c>
      <c r="E17" s="423" t="s">
        <v>987</v>
      </c>
      <c r="F17" s="424" t="s">
        <v>988</v>
      </c>
      <c r="G17" s="423" t="s">
        <v>615</v>
      </c>
      <c r="H17" s="423" t="s">
        <v>616</v>
      </c>
      <c r="I17" s="425">
        <v>1306.5</v>
      </c>
      <c r="J17" s="425">
        <v>2</v>
      </c>
      <c r="K17" s="426">
        <v>2613</v>
      </c>
    </row>
    <row r="18" spans="1:11" ht="14.4" customHeight="1" x14ac:dyDescent="0.3">
      <c r="A18" s="421" t="s">
        <v>424</v>
      </c>
      <c r="B18" s="422" t="s">
        <v>425</v>
      </c>
      <c r="C18" s="423" t="s">
        <v>429</v>
      </c>
      <c r="D18" s="424" t="s">
        <v>571</v>
      </c>
      <c r="E18" s="423" t="s">
        <v>987</v>
      </c>
      <c r="F18" s="424" t="s">
        <v>988</v>
      </c>
      <c r="G18" s="423" t="s">
        <v>617</v>
      </c>
      <c r="H18" s="423" t="s">
        <v>618</v>
      </c>
      <c r="I18" s="425">
        <v>5.09</v>
      </c>
      <c r="J18" s="425">
        <v>50</v>
      </c>
      <c r="K18" s="426">
        <v>254.73000000000002</v>
      </c>
    </row>
    <row r="19" spans="1:11" ht="14.4" customHeight="1" x14ac:dyDescent="0.3">
      <c r="A19" s="421" t="s">
        <v>424</v>
      </c>
      <c r="B19" s="422" t="s">
        <v>425</v>
      </c>
      <c r="C19" s="423" t="s">
        <v>429</v>
      </c>
      <c r="D19" s="424" t="s">
        <v>571</v>
      </c>
      <c r="E19" s="423" t="s">
        <v>987</v>
      </c>
      <c r="F19" s="424" t="s">
        <v>988</v>
      </c>
      <c r="G19" s="423" t="s">
        <v>619</v>
      </c>
      <c r="H19" s="423" t="s">
        <v>620</v>
      </c>
      <c r="I19" s="425">
        <v>5.09</v>
      </c>
      <c r="J19" s="425">
        <v>50</v>
      </c>
      <c r="K19" s="426">
        <v>254.73</v>
      </c>
    </row>
    <row r="20" spans="1:11" ht="14.4" customHeight="1" x14ac:dyDescent="0.3">
      <c r="A20" s="421" t="s">
        <v>424</v>
      </c>
      <c r="B20" s="422" t="s">
        <v>425</v>
      </c>
      <c r="C20" s="423" t="s">
        <v>429</v>
      </c>
      <c r="D20" s="424" t="s">
        <v>571</v>
      </c>
      <c r="E20" s="423" t="s">
        <v>987</v>
      </c>
      <c r="F20" s="424" t="s">
        <v>988</v>
      </c>
      <c r="G20" s="423" t="s">
        <v>621</v>
      </c>
      <c r="H20" s="423" t="s">
        <v>622</v>
      </c>
      <c r="I20" s="425">
        <v>1311</v>
      </c>
      <c r="J20" s="425">
        <v>2</v>
      </c>
      <c r="K20" s="426">
        <v>2622</v>
      </c>
    </row>
    <row r="21" spans="1:11" ht="14.4" customHeight="1" x14ac:dyDescent="0.3">
      <c r="A21" s="421" t="s">
        <v>424</v>
      </c>
      <c r="B21" s="422" t="s">
        <v>425</v>
      </c>
      <c r="C21" s="423" t="s">
        <v>429</v>
      </c>
      <c r="D21" s="424" t="s">
        <v>571</v>
      </c>
      <c r="E21" s="423" t="s">
        <v>987</v>
      </c>
      <c r="F21" s="424" t="s">
        <v>988</v>
      </c>
      <c r="G21" s="423" t="s">
        <v>623</v>
      </c>
      <c r="H21" s="423" t="s">
        <v>624</v>
      </c>
      <c r="I21" s="425">
        <v>11.74</v>
      </c>
      <c r="J21" s="425">
        <v>4</v>
      </c>
      <c r="K21" s="426">
        <v>46.97</v>
      </c>
    </row>
    <row r="22" spans="1:11" ht="14.4" customHeight="1" x14ac:dyDescent="0.3">
      <c r="A22" s="421" t="s">
        <v>424</v>
      </c>
      <c r="B22" s="422" t="s">
        <v>425</v>
      </c>
      <c r="C22" s="423" t="s">
        <v>429</v>
      </c>
      <c r="D22" s="424" t="s">
        <v>571</v>
      </c>
      <c r="E22" s="423" t="s">
        <v>987</v>
      </c>
      <c r="F22" s="424" t="s">
        <v>988</v>
      </c>
      <c r="G22" s="423" t="s">
        <v>625</v>
      </c>
      <c r="H22" s="423" t="s">
        <v>626</v>
      </c>
      <c r="I22" s="425">
        <v>14.09</v>
      </c>
      <c r="J22" s="425">
        <v>4</v>
      </c>
      <c r="K22" s="426">
        <v>56.36</v>
      </c>
    </row>
    <row r="23" spans="1:11" ht="14.4" customHeight="1" x14ac:dyDescent="0.3">
      <c r="A23" s="421" t="s">
        <v>424</v>
      </c>
      <c r="B23" s="422" t="s">
        <v>425</v>
      </c>
      <c r="C23" s="423" t="s">
        <v>429</v>
      </c>
      <c r="D23" s="424" t="s">
        <v>571</v>
      </c>
      <c r="E23" s="423" t="s">
        <v>987</v>
      </c>
      <c r="F23" s="424" t="s">
        <v>988</v>
      </c>
      <c r="G23" s="423" t="s">
        <v>627</v>
      </c>
      <c r="H23" s="423" t="s">
        <v>628</v>
      </c>
      <c r="I23" s="425">
        <v>12.91</v>
      </c>
      <c r="J23" s="425">
        <v>4</v>
      </c>
      <c r="K23" s="426">
        <v>51.64</v>
      </c>
    </row>
    <row r="24" spans="1:11" ht="14.4" customHeight="1" x14ac:dyDescent="0.3">
      <c r="A24" s="421" t="s">
        <v>424</v>
      </c>
      <c r="B24" s="422" t="s">
        <v>425</v>
      </c>
      <c r="C24" s="423" t="s">
        <v>429</v>
      </c>
      <c r="D24" s="424" t="s">
        <v>571</v>
      </c>
      <c r="E24" s="423" t="s">
        <v>987</v>
      </c>
      <c r="F24" s="424" t="s">
        <v>988</v>
      </c>
      <c r="G24" s="423" t="s">
        <v>629</v>
      </c>
      <c r="H24" s="423" t="s">
        <v>630</v>
      </c>
      <c r="I24" s="425">
        <v>0.19</v>
      </c>
      <c r="J24" s="425">
        <v>3000</v>
      </c>
      <c r="K24" s="426">
        <v>559.1</v>
      </c>
    </row>
    <row r="25" spans="1:11" ht="14.4" customHeight="1" x14ac:dyDescent="0.3">
      <c r="A25" s="421" t="s">
        <v>424</v>
      </c>
      <c r="B25" s="422" t="s">
        <v>425</v>
      </c>
      <c r="C25" s="423" t="s">
        <v>429</v>
      </c>
      <c r="D25" s="424" t="s">
        <v>571</v>
      </c>
      <c r="E25" s="423" t="s">
        <v>989</v>
      </c>
      <c r="F25" s="424" t="s">
        <v>990</v>
      </c>
      <c r="G25" s="423" t="s">
        <v>631</v>
      </c>
      <c r="H25" s="423" t="s">
        <v>632</v>
      </c>
      <c r="I25" s="425">
        <v>0.47499999999999998</v>
      </c>
      <c r="J25" s="425">
        <v>1100</v>
      </c>
      <c r="K25" s="426">
        <v>525</v>
      </c>
    </row>
    <row r="26" spans="1:11" ht="14.4" customHeight="1" x14ac:dyDescent="0.3">
      <c r="A26" s="421" t="s">
        <v>424</v>
      </c>
      <c r="B26" s="422" t="s">
        <v>425</v>
      </c>
      <c r="C26" s="423" t="s">
        <v>429</v>
      </c>
      <c r="D26" s="424" t="s">
        <v>571</v>
      </c>
      <c r="E26" s="423" t="s">
        <v>989</v>
      </c>
      <c r="F26" s="424" t="s">
        <v>990</v>
      </c>
      <c r="G26" s="423" t="s">
        <v>633</v>
      </c>
      <c r="H26" s="423" t="s">
        <v>634</v>
      </c>
      <c r="I26" s="425">
        <v>0.67</v>
      </c>
      <c r="J26" s="425">
        <v>2000</v>
      </c>
      <c r="K26" s="426">
        <v>1340</v>
      </c>
    </row>
    <row r="27" spans="1:11" ht="14.4" customHeight="1" x14ac:dyDescent="0.3">
      <c r="A27" s="421" t="s">
        <v>424</v>
      </c>
      <c r="B27" s="422" t="s">
        <v>425</v>
      </c>
      <c r="C27" s="423" t="s">
        <v>429</v>
      </c>
      <c r="D27" s="424" t="s">
        <v>571</v>
      </c>
      <c r="E27" s="423" t="s">
        <v>989</v>
      </c>
      <c r="F27" s="424" t="s">
        <v>990</v>
      </c>
      <c r="G27" s="423" t="s">
        <v>635</v>
      </c>
      <c r="H27" s="423" t="s">
        <v>636</v>
      </c>
      <c r="I27" s="425">
        <v>38.72</v>
      </c>
      <c r="J27" s="425">
        <v>36</v>
      </c>
      <c r="K27" s="426">
        <v>1393.92</v>
      </c>
    </row>
    <row r="28" spans="1:11" ht="14.4" customHeight="1" x14ac:dyDescent="0.3">
      <c r="A28" s="421" t="s">
        <v>424</v>
      </c>
      <c r="B28" s="422" t="s">
        <v>425</v>
      </c>
      <c r="C28" s="423" t="s">
        <v>429</v>
      </c>
      <c r="D28" s="424" t="s">
        <v>571</v>
      </c>
      <c r="E28" s="423" t="s">
        <v>989</v>
      </c>
      <c r="F28" s="424" t="s">
        <v>990</v>
      </c>
      <c r="G28" s="423" t="s">
        <v>637</v>
      </c>
      <c r="H28" s="423" t="s">
        <v>638</v>
      </c>
      <c r="I28" s="425">
        <v>33.880000000000003</v>
      </c>
      <c r="J28" s="425">
        <v>3</v>
      </c>
      <c r="K28" s="426">
        <v>101.64</v>
      </c>
    </row>
    <row r="29" spans="1:11" ht="14.4" customHeight="1" x14ac:dyDescent="0.3">
      <c r="A29" s="421" t="s">
        <v>424</v>
      </c>
      <c r="B29" s="422" t="s">
        <v>425</v>
      </c>
      <c r="C29" s="423" t="s">
        <v>429</v>
      </c>
      <c r="D29" s="424" t="s">
        <v>571</v>
      </c>
      <c r="E29" s="423" t="s">
        <v>989</v>
      </c>
      <c r="F29" s="424" t="s">
        <v>990</v>
      </c>
      <c r="G29" s="423" t="s">
        <v>639</v>
      </c>
      <c r="H29" s="423" t="s">
        <v>640</v>
      </c>
      <c r="I29" s="425">
        <v>2.85</v>
      </c>
      <c r="J29" s="425">
        <v>1</v>
      </c>
      <c r="K29" s="426">
        <v>2.85</v>
      </c>
    </row>
    <row r="30" spans="1:11" ht="14.4" customHeight="1" x14ac:dyDescent="0.3">
      <c r="A30" s="421" t="s">
        <v>424</v>
      </c>
      <c r="B30" s="422" t="s">
        <v>425</v>
      </c>
      <c r="C30" s="423" t="s">
        <v>429</v>
      </c>
      <c r="D30" s="424" t="s">
        <v>571</v>
      </c>
      <c r="E30" s="423" t="s">
        <v>989</v>
      </c>
      <c r="F30" s="424" t="s">
        <v>990</v>
      </c>
      <c r="G30" s="423" t="s">
        <v>641</v>
      </c>
      <c r="H30" s="423" t="s">
        <v>642</v>
      </c>
      <c r="I30" s="425">
        <v>2.9</v>
      </c>
      <c r="J30" s="425">
        <v>200</v>
      </c>
      <c r="K30" s="426">
        <v>580</v>
      </c>
    </row>
    <row r="31" spans="1:11" ht="14.4" customHeight="1" x14ac:dyDescent="0.3">
      <c r="A31" s="421" t="s">
        <v>424</v>
      </c>
      <c r="B31" s="422" t="s">
        <v>425</v>
      </c>
      <c r="C31" s="423" t="s">
        <v>429</v>
      </c>
      <c r="D31" s="424" t="s">
        <v>571</v>
      </c>
      <c r="E31" s="423" t="s">
        <v>989</v>
      </c>
      <c r="F31" s="424" t="s">
        <v>990</v>
      </c>
      <c r="G31" s="423" t="s">
        <v>643</v>
      </c>
      <c r="H31" s="423" t="s">
        <v>644</v>
      </c>
      <c r="I31" s="425">
        <v>12.1</v>
      </c>
      <c r="J31" s="425">
        <v>6</v>
      </c>
      <c r="K31" s="426">
        <v>72.599999999999994</v>
      </c>
    </row>
    <row r="32" spans="1:11" ht="14.4" customHeight="1" x14ac:dyDescent="0.3">
      <c r="A32" s="421" t="s">
        <v>424</v>
      </c>
      <c r="B32" s="422" t="s">
        <v>425</v>
      </c>
      <c r="C32" s="423" t="s">
        <v>429</v>
      </c>
      <c r="D32" s="424" t="s">
        <v>571</v>
      </c>
      <c r="E32" s="423" t="s">
        <v>989</v>
      </c>
      <c r="F32" s="424" t="s">
        <v>990</v>
      </c>
      <c r="G32" s="423" t="s">
        <v>645</v>
      </c>
      <c r="H32" s="423" t="s">
        <v>646</v>
      </c>
      <c r="I32" s="425">
        <v>21.23</v>
      </c>
      <c r="J32" s="425">
        <v>50</v>
      </c>
      <c r="K32" s="426">
        <v>1061.5</v>
      </c>
    </row>
    <row r="33" spans="1:11" ht="14.4" customHeight="1" x14ac:dyDescent="0.3">
      <c r="A33" s="421" t="s">
        <v>424</v>
      </c>
      <c r="B33" s="422" t="s">
        <v>425</v>
      </c>
      <c r="C33" s="423" t="s">
        <v>429</v>
      </c>
      <c r="D33" s="424" t="s">
        <v>571</v>
      </c>
      <c r="E33" s="423" t="s">
        <v>989</v>
      </c>
      <c r="F33" s="424" t="s">
        <v>990</v>
      </c>
      <c r="G33" s="423" t="s">
        <v>647</v>
      </c>
      <c r="H33" s="423" t="s">
        <v>648</v>
      </c>
      <c r="I33" s="425">
        <v>2.9</v>
      </c>
      <c r="J33" s="425">
        <v>100</v>
      </c>
      <c r="K33" s="426">
        <v>290.39999999999998</v>
      </c>
    </row>
    <row r="34" spans="1:11" ht="14.4" customHeight="1" x14ac:dyDescent="0.3">
      <c r="A34" s="421" t="s">
        <v>424</v>
      </c>
      <c r="B34" s="422" t="s">
        <v>425</v>
      </c>
      <c r="C34" s="423" t="s">
        <v>429</v>
      </c>
      <c r="D34" s="424" t="s">
        <v>571</v>
      </c>
      <c r="E34" s="423" t="s">
        <v>989</v>
      </c>
      <c r="F34" s="424" t="s">
        <v>990</v>
      </c>
      <c r="G34" s="423" t="s">
        <v>649</v>
      </c>
      <c r="H34" s="423" t="s">
        <v>650</v>
      </c>
      <c r="I34" s="425">
        <v>63.25</v>
      </c>
      <c r="J34" s="425">
        <v>40</v>
      </c>
      <c r="K34" s="426">
        <v>2530</v>
      </c>
    </row>
    <row r="35" spans="1:11" ht="14.4" customHeight="1" x14ac:dyDescent="0.3">
      <c r="A35" s="421" t="s">
        <v>424</v>
      </c>
      <c r="B35" s="422" t="s">
        <v>425</v>
      </c>
      <c r="C35" s="423" t="s">
        <v>429</v>
      </c>
      <c r="D35" s="424" t="s">
        <v>571</v>
      </c>
      <c r="E35" s="423" t="s">
        <v>989</v>
      </c>
      <c r="F35" s="424" t="s">
        <v>990</v>
      </c>
      <c r="G35" s="423" t="s">
        <v>651</v>
      </c>
      <c r="H35" s="423" t="s">
        <v>652</v>
      </c>
      <c r="I35" s="425">
        <v>141.57</v>
      </c>
      <c r="J35" s="425">
        <v>5</v>
      </c>
      <c r="K35" s="426">
        <v>707.85</v>
      </c>
    </row>
    <row r="36" spans="1:11" ht="14.4" customHeight="1" x14ac:dyDescent="0.3">
      <c r="A36" s="421" t="s">
        <v>424</v>
      </c>
      <c r="B36" s="422" t="s">
        <v>425</v>
      </c>
      <c r="C36" s="423" t="s">
        <v>429</v>
      </c>
      <c r="D36" s="424" t="s">
        <v>571</v>
      </c>
      <c r="E36" s="423" t="s">
        <v>991</v>
      </c>
      <c r="F36" s="424" t="s">
        <v>992</v>
      </c>
      <c r="G36" s="423" t="s">
        <v>653</v>
      </c>
      <c r="H36" s="423" t="s">
        <v>654</v>
      </c>
      <c r="I36" s="425">
        <v>2.57</v>
      </c>
      <c r="J36" s="425">
        <v>800</v>
      </c>
      <c r="K36" s="426">
        <v>2056.88</v>
      </c>
    </row>
    <row r="37" spans="1:11" ht="14.4" customHeight="1" x14ac:dyDescent="0.3">
      <c r="A37" s="421" t="s">
        <v>424</v>
      </c>
      <c r="B37" s="422" t="s">
        <v>425</v>
      </c>
      <c r="C37" s="423" t="s">
        <v>429</v>
      </c>
      <c r="D37" s="424" t="s">
        <v>571</v>
      </c>
      <c r="E37" s="423" t="s">
        <v>991</v>
      </c>
      <c r="F37" s="424" t="s">
        <v>992</v>
      </c>
      <c r="G37" s="423" t="s">
        <v>655</v>
      </c>
      <c r="H37" s="423" t="s">
        <v>656</v>
      </c>
      <c r="I37" s="425">
        <v>3943.36</v>
      </c>
      <c r="J37" s="425">
        <v>8</v>
      </c>
      <c r="K37" s="426">
        <v>31546.9</v>
      </c>
    </row>
    <row r="38" spans="1:11" ht="14.4" customHeight="1" x14ac:dyDescent="0.3">
      <c r="A38" s="421" t="s">
        <v>424</v>
      </c>
      <c r="B38" s="422" t="s">
        <v>425</v>
      </c>
      <c r="C38" s="423" t="s">
        <v>429</v>
      </c>
      <c r="D38" s="424" t="s">
        <v>571</v>
      </c>
      <c r="E38" s="423" t="s">
        <v>991</v>
      </c>
      <c r="F38" s="424" t="s">
        <v>992</v>
      </c>
      <c r="G38" s="423" t="s">
        <v>657</v>
      </c>
      <c r="H38" s="423" t="s">
        <v>658</v>
      </c>
      <c r="I38" s="425">
        <v>3943.35</v>
      </c>
      <c r="J38" s="425">
        <v>3</v>
      </c>
      <c r="K38" s="426">
        <v>11830.05</v>
      </c>
    </row>
    <row r="39" spans="1:11" ht="14.4" customHeight="1" x14ac:dyDescent="0.3">
      <c r="A39" s="421" t="s">
        <v>424</v>
      </c>
      <c r="B39" s="422" t="s">
        <v>425</v>
      </c>
      <c r="C39" s="423" t="s">
        <v>429</v>
      </c>
      <c r="D39" s="424" t="s">
        <v>571</v>
      </c>
      <c r="E39" s="423" t="s">
        <v>991</v>
      </c>
      <c r="F39" s="424" t="s">
        <v>992</v>
      </c>
      <c r="G39" s="423" t="s">
        <v>659</v>
      </c>
      <c r="H39" s="423" t="s">
        <v>660</v>
      </c>
      <c r="I39" s="425">
        <v>126.45</v>
      </c>
      <c r="J39" s="425">
        <v>10</v>
      </c>
      <c r="K39" s="426">
        <v>1264.45</v>
      </c>
    </row>
    <row r="40" spans="1:11" ht="14.4" customHeight="1" x14ac:dyDescent="0.3">
      <c r="A40" s="421" t="s">
        <v>424</v>
      </c>
      <c r="B40" s="422" t="s">
        <v>425</v>
      </c>
      <c r="C40" s="423" t="s">
        <v>429</v>
      </c>
      <c r="D40" s="424" t="s">
        <v>571</v>
      </c>
      <c r="E40" s="423" t="s">
        <v>991</v>
      </c>
      <c r="F40" s="424" t="s">
        <v>992</v>
      </c>
      <c r="G40" s="423" t="s">
        <v>661</v>
      </c>
      <c r="H40" s="423" t="s">
        <v>662</v>
      </c>
      <c r="I40" s="425">
        <v>281.23333333333335</v>
      </c>
      <c r="J40" s="425">
        <v>10</v>
      </c>
      <c r="K40" s="426">
        <v>2774.2</v>
      </c>
    </row>
    <row r="41" spans="1:11" ht="14.4" customHeight="1" x14ac:dyDescent="0.3">
      <c r="A41" s="421" t="s">
        <v>424</v>
      </c>
      <c r="B41" s="422" t="s">
        <v>425</v>
      </c>
      <c r="C41" s="423" t="s">
        <v>429</v>
      </c>
      <c r="D41" s="424" t="s">
        <v>571</v>
      </c>
      <c r="E41" s="423" t="s">
        <v>991</v>
      </c>
      <c r="F41" s="424" t="s">
        <v>992</v>
      </c>
      <c r="G41" s="423" t="s">
        <v>663</v>
      </c>
      <c r="H41" s="423" t="s">
        <v>664</v>
      </c>
      <c r="I41" s="425">
        <v>261.11</v>
      </c>
      <c r="J41" s="425">
        <v>4</v>
      </c>
      <c r="K41" s="426">
        <v>1044.43</v>
      </c>
    </row>
    <row r="42" spans="1:11" ht="14.4" customHeight="1" x14ac:dyDescent="0.3">
      <c r="A42" s="421" t="s">
        <v>424</v>
      </c>
      <c r="B42" s="422" t="s">
        <v>425</v>
      </c>
      <c r="C42" s="423" t="s">
        <v>429</v>
      </c>
      <c r="D42" s="424" t="s">
        <v>571</v>
      </c>
      <c r="E42" s="423" t="s">
        <v>991</v>
      </c>
      <c r="F42" s="424" t="s">
        <v>992</v>
      </c>
      <c r="G42" s="423" t="s">
        <v>665</v>
      </c>
      <c r="H42" s="423" t="s">
        <v>666</v>
      </c>
      <c r="I42" s="425">
        <v>350.59666666666664</v>
      </c>
      <c r="J42" s="425">
        <v>5</v>
      </c>
      <c r="K42" s="426">
        <v>1752.99</v>
      </c>
    </row>
    <row r="43" spans="1:11" ht="14.4" customHeight="1" x14ac:dyDescent="0.3">
      <c r="A43" s="421" t="s">
        <v>424</v>
      </c>
      <c r="B43" s="422" t="s">
        <v>425</v>
      </c>
      <c r="C43" s="423" t="s">
        <v>429</v>
      </c>
      <c r="D43" s="424" t="s">
        <v>571</v>
      </c>
      <c r="E43" s="423" t="s">
        <v>991</v>
      </c>
      <c r="F43" s="424" t="s">
        <v>992</v>
      </c>
      <c r="G43" s="423" t="s">
        <v>667</v>
      </c>
      <c r="H43" s="423" t="s">
        <v>668</v>
      </c>
      <c r="I43" s="425">
        <v>286.22400000000005</v>
      </c>
      <c r="J43" s="425">
        <v>29</v>
      </c>
      <c r="K43" s="426">
        <v>8300.5400000000009</v>
      </c>
    </row>
    <row r="44" spans="1:11" ht="14.4" customHeight="1" x14ac:dyDescent="0.3">
      <c r="A44" s="421" t="s">
        <v>424</v>
      </c>
      <c r="B44" s="422" t="s">
        <v>425</v>
      </c>
      <c r="C44" s="423" t="s">
        <v>429</v>
      </c>
      <c r="D44" s="424" t="s">
        <v>571</v>
      </c>
      <c r="E44" s="423" t="s">
        <v>991</v>
      </c>
      <c r="F44" s="424" t="s">
        <v>992</v>
      </c>
      <c r="G44" s="423" t="s">
        <v>669</v>
      </c>
      <c r="H44" s="423" t="s">
        <v>670</v>
      </c>
      <c r="I44" s="425">
        <v>546.01</v>
      </c>
      <c r="J44" s="425">
        <v>3</v>
      </c>
      <c r="K44" s="426">
        <v>1638.04</v>
      </c>
    </row>
    <row r="45" spans="1:11" ht="14.4" customHeight="1" x14ac:dyDescent="0.3">
      <c r="A45" s="421" t="s">
        <v>424</v>
      </c>
      <c r="B45" s="422" t="s">
        <v>425</v>
      </c>
      <c r="C45" s="423" t="s">
        <v>429</v>
      </c>
      <c r="D45" s="424" t="s">
        <v>571</v>
      </c>
      <c r="E45" s="423" t="s">
        <v>991</v>
      </c>
      <c r="F45" s="424" t="s">
        <v>992</v>
      </c>
      <c r="G45" s="423" t="s">
        <v>671</v>
      </c>
      <c r="H45" s="423" t="s">
        <v>672</v>
      </c>
      <c r="I45" s="425">
        <v>196.56</v>
      </c>
      <c r="J45" s="425">
        <v>3</v>
      </c>
      <c r="K45" s="426">
        <v>589.69000000000005</v>
      </c>
    </row>
    <row r="46" spans="1:11" ht="14.4" customHeight="1" x14ac:dyDescent="0.3">
      <c r="A46" s="421" t="s">
        <v>424</v>
      </c>
      <c r="B46" s="422" t="s">
        <v>425</v>
      </c>
      <c r="C46" s="423" t="s">
        <v>429</v>
      </c>
      <c r="D46" s="424" t="s">
        <v>571</v>
      </c>
      <c r="E46" s="423" t="s">
        <v>991</v>
      </c>
      <c r="F46" s="424" t="s">
        <v>992</v>
      </c>
      <c r="G46" s="423" t="s">
        <v>673</v>
      </c>
      <c r="H46" s="423" t="s">
        <v>674</v>
      </c>
      <c r="I46" s="425">
        <v>175.45</v>
      </c>
      <c r="J46" s="425">
        <v>20</v>
      </c>
      <c r="K46" s="426">
        <v>3509</v>
      </c>
    </row>
    <row r="47" spans="1:11" ht="14.4" customHeight="1" x14ac:dyDescent="0.3">
      <c r="A47" s="421" t="s">
        <v>424</v>
      </c>
      <c r="B47" s="422" t="s">
        <v>425</v>
      </c>
      <c r="C47" s="423" t="s">
        <v>429</v>
      </c>
      <c r="D47" s="424" t="s">
        <v>571</v>
      </c>
      <c r="E47" s="423" t="s">
        <v>991</v>
      </c>
      <c r="F47" s="424" t="s">
        <v>992</v>
      </c>
      <c r="G47" s="423" t="s">
        <v>675</v>
      </c>
      <c r="H47" s="423" t="s">
        <v>676</v>
      </c>
      <c r="I47" s="425">
        <v>31.66</v>
      </c>
      <c r="J47" s="425">
        <v>100</v>
      </c>
      <c r="K47" s="426">
        <v>3165.72</v>
      </c>
    </row>
    <row r="48" spans="1:11" ht="14.4" customHeight="1" x14ac:dyDescent="0.3">
      <c r="A48" s="421" t="s">
        <v>424</v>
      </c>
      <c r="B48" s="422" t="s">
        <v>425</v>
      </c>
      <c r="C48" s="423" t="s">
        <v>429</v>
      </c>
      <c r="D48" s="424" t="s">
        <v>571</v>
      </c>
      <c r="E48" s="423" t="s">
        <v>991</v>
      </c>
      <c r="F48" s="424" t="s">
        <v>992</v>
      </c>
      <c r="G48" s="423" t="s">
        <v>677</v>
      </c>
      <c r="H48" s="423" t="s">
        <v>678</v>
      </c>
      <c r="I48" s="425">
        <v>33.700000000000003</v>
      </c>
      <c r="J48" s="425">
        <v>75</v>
      </c>
      <c r="K48" s="426">
        <v>2527.7400000000002</v>
      </c>
    </row>
    <row r="49" spans="1:11" ht="14.4" customHeight="1" x14ac:dyDescent="0.3">
      <c r="A49" s="421" t="s">
        <v>424</v>
      </c>
      <c r="B49" s="422" t="s">
        <v>425</v>
      </c>
      <c r="C49" s="423" t="s">
        <v>429</v>
      </c>
      <c r="D49" s="424" t="s">
        <v>571</v>
      </c>
      <c r="E49" s="423" t="s">
        <v>991</v>
      </c>
      <c r="F49" s="424" t="s">
        <v>992</v>
      </c>
      <c r="G49" s="423" t="s">
        <v>679</v>
      </c>
      <c r="H49" s="423" t="s">
        <v>680</v>
      </c>
      <c r="I49" s="425">
        <v>5232.5</v>
      </c>
      <c r="J49" s="425">
        <v>3</v>
      </c>
      <c r="K49" s="426">
        <v>15697.5</v>
      </c>
    </row>
    <row r="50" spans="1:11" ht="14.4" customHeight="1" x14ac:dyDescent="0.3">
      <c r="A50" s="421" t="s">
        <v>424</v>
      </c>
      <c r="B50" s="422" t="s">
        <v>425</v>
      </c>
      <c r="C50" s="423" t="s">
        <v>429</v>
      </c>
      <c r="D50" s="424" t="s">
        <v>571</v>
      </c>
      <c r="E50" s="423" t="s">
        <v>991</v>
      </c>
      <c r="F50" s="424" t="s">
        <v>992</v>
      </c>
      <c r="G50" s="423" t="s">
        <v>681</v>
      </c>
      <c r="H50" s="423" t="s">
        <v>682</v>
      </c>
      <c r="I50" s="425">
        <v>1.19</v>
      </c>
      <c r="J50" s="425">
        <v>2700</v>
      </c>
      <c r="K50" s="426">
        <v>3201.37</v>
      </c>
    </row>
    <row r="51" spans="1:11" ht="14.4" customHeight="1" x14ac:dyDescent="0.3">
      <c r="A51" s="421" t="s">
        <v>424</v>
      </c>
      <c r="B51" s="422" t="s">
        <v>425</v>
      </c>
      <c r="C51" s="423" t="s">
        <v>429</v>
      </c>
      <c r="D51" s="424" t="s">
        <v>571</v>
      </c>
      <c r="E51" s="423" t="s">
        <v>991</v>
      </c>
      <c r="F51" s="424" t="s">
        <v>992</v>
      </c>
      <c r="G51" s="423" t="s">
        <v>683</v>
      </c>
      <c r="H51" s="423" t="s">
        <v>684</v>
      </c>
      <c r="I51" s="425">
        <v>107.16</v>
      </c>
      <c r="J51" s="425">
        <v>14</v>
      </c>
      <c r="K51" s="426">
        <v>1500.29</v>
      </c>
    </row>
    <row r="52" spans="1:11" ht="14.4" customHeight="1" x14ac:dyDescent="0.3">
      <c r="A52" s="421" t="s">
        <v>424</v>
      </c>
      <c r="B52" s="422" t="s">
        <v>425</v>
      </c>
      <c r="C52" s="423" t="s">
        <v>429</v>
      </c>
      <c r="D52" s="424" t="s">
        <v>571</v>
      </c>
      <c r="E52" s="423" t="s">
        <v>991</v>
      </c>
      <c r="F52" s="424" t="s">
        <v>992</v>
      </c>
      <c r="G52" s="423" t="s">
        <v>685</v>
      </c>
      <c r="H52" s="423" t="s">
        <v>686</v>
      </c>
      <c r="I52" s="425">
        <v>270.13</v>
      </c>
      <c r="J52" s="425">
        <v>1</v>
      </c>
      <c r="K52" s="426">
        <v>270.13</v>
      </c>
    </row>
    <row r="53" spans="1:11" ht="14.4" customHeight="1" x14ac:dyDescent="0.3">
      <c r="A53" s="421" t="s">
        <v>424</v>
      </c>
      <c r="B53" s="422" t="s">
        <v>425</v>
      </c>
      <c r="C53" s="423" t="s">
        <v>429</v>
      </c>
      <c r="D53" s="424" t="s">
        <v>571</v>
      </c>
      <c r="E53" s="423" t="s">
        <v>991</v>
      </c>
      <c r="F53" s="424" t="s">
        <v>992</v>
      </c>
      <c r="G53" s="423" t="s">
        <v>687</v>
      </c>
      <c r="H53" s="423" t="s">
        <v>688</v>
      </c>
      <c r="I53" s="425">
        <v>174.23</v>
      </c>
      <c r="J53" s="425">
        <v>22</v>
      </c>
      <c r="K53" s="426">
        <v>3833.04</v>
      </c>
    </row>
    <row r="54" spans="1:11" ht="14.4" customHeight="1" x14ac:dyDescent="0.3">
      <c r="A54" s="421" t="s">
        <v>424</v>
      </c>
      <c r="B54" s="422" t="s">
        <v>425</v>
      </c>
      <c r="C54" s="423" t="s">
        <v>429</v>
      </c>
      <c r="D54" s="424" t="s">
        <v>571</v>
      </c>
      <c r="E54" s="423" t="s">
        <v>991</v>
      </c>
      <c r="F54" s="424" t="s">
        <v>992</v>
      </c>
      <c r="G54" s="423" t="s">
        <v>689</v>
      </c>
      <c r="H54" s="423" t="s">
        <v>690</v>
      </c>
      <c r="I54" s="425">
        <v>117.24</v>
      </c>
      <c r="J54" s="425">
        <v>9</v>
      </c>
      <c r="K54" s="426">
        <v>1055.1499999999999</v>
      </c>
    </row>
    <row r="55" spans="1:11" ht="14.4" customHeight="1" x14ac:dyDescent="0.3">
      <c r="A55" s="421" t="s">
        <v>424</v>
      </c>
      <c r="B55" s="422" t="s">
        <v>425</v>
      </c>
      <c r="C55" s="423" t="s">
        <v>429</v>
      </c>
      <c r="D55" s="424" t="s">
        <v>571</v>
      </c>
      <c r="E55" s="423" t="s">
        <v>991</v>
      </c>
      <c r="F55" s="424" t="s">
        <v>992</v>
      </c>
      <c r="G55" s="423" t="s">
        <v>691</v>
      </c>
      <c r="H55" s="423" t="s">
        <v>692</v>
      </c>
      <c r="I55" s="425">
        <v>21.01</v>
      </c>
      <c r="J55" s="425">
        <v>100</v>
      </c>
      <c r="K55" s="426">
        <v>2101.2800000000002</v>
      </c>
    </row>
    <row r="56" spans="1:11" ht="14.4" customHeight="1" x14ac:dyDescent="0.3">
      <c r="A56" s="421" t="s">
        <v>424</v>
      </c>
      <c r="B56" s="422" t="s">
        <v>425</v>
      </c>
      <c r="C56" s="423" t="s">
        <v>429</v>
      </c>
      <c r="D56" s="424" t="s">
        <v>571</v>
      </c>
      <c r="E56" s="423" t="s">
        <v>991</v>
      </c>
      <c r="F56" s="424" t="s">
        <v>992</v>
      </c>
      <c r="G56" s="423" t="s">
        <v>693</v>
      </c>
      <c r="H56" s="423" t="s">
        <v>694</v>
      </c>
      <c r="I56" s="425">
        <v>1094.33</v>
      </c>
      <c r="J56" s="425">
        <v>3</v>
      </c>
      <c r="K56" s="426">
        <v>3283</v>
      </c>
    </row>
    <row r="57" spans="1:11" ht="14.4" customHeight="1" x14ac:dyDescent="0.3">
      <c r="A57" s="421" t="s">
        <v>424</v>
      </c>
      <c r="B57" s="422" t="s">
        <v>425</v>
      </c>
      <c r="C57" s="423" t="s">
        <v>429</v>
      </c>
      <c r="D57" s="424" t="s">
        <v>571</v>
      </c>
      <c r="E57" s="423" t="s">
        <v>991</v>
      </c>
      <c r="F57" s="424" t="s">
        <v>992</v>
      </c>
      <c r="G57" s="423" t="s">
        <v>695</v>
      </c>
      <c r="H57" s="423" t="s">
        <v>696</v>
      </c>
      <c r="I57" s="425">
        <v>20.7</v>
      </c>
      <c r="J57" s="425">
        <v>90</v>
      </c>
      <c r="K57" s="426">
        <v>1863</v>
      </c>
    </row>
    <row r="58" spans="1:11" ht="14.4" customHeight="1" x14ac:dyDescent="0.3">
      <c r="A58" s="421" t="s">
        <v>424</v>
      </c>
      <c r="B58" s="422" t="s">
        <v>425</v>
      </c>
      <c r="C58" s="423" t="s">
        <v>429</v>
      </c>
      <c r="D58" s="424" t="s">
        <v>571</v>
      </c>
      <c r="E58" s="423" t="s">
        <v>991</v>
      </c>
      <c r="F58" s="424" t="s">
        <v>992</v>
      </c>
      <c r="G58" s="423" t="s">
        <v>697</v>
      </c>
      <c r="H58" s="423" t="s">
        <v>698</v>
      </c>
      <c r="I58" s="425">
        <v>138</v>
      </c>
      <c r="J58" s="425">
        <v>45</v>
      </c>
      <c r="K58" s="426">
        <v>6210</v>
      </c>
    </row>
    <row r="59" spans="1:11" ht="14.4" customHeight="1" x14ac:dyDescent="0.3">
      <c r="A59" s="421" t="s">
        <v>424</v>
      </c>
      <c r="B59" s="422" t="s">
        <v>425</v>
      </c>
      <c r="C59" s="423" t="s">
        <v>429</v>
      </c>
      <c r="D59" s="424" t="s">
        <v>571</v>
      </c>
      <c r="E59" s="423" t="s">
        <v>991</v>
      </c>
      <c r="F59" s="424" t="s">
        <v>992</v>
      </c>
      <c r="G59" s="423" t="s">
        <v>699</v>
      </c>
      <c r="H59" s="423" t="s">
        <v>700</v>
      </c>
      <c r="I59" s="425">
        <v>2288.5</v>
      </c>
      <c r="J59" s="425">
        <v>2</v>
      </c>
      <c r="K59" s="426">
        <v>4577</v>
      </c>
    </row>
    <row r="60" spans="1:11" ht="14.4" customHeight="1" x14ac:dyDescent="0.3">
      <c r="A60" s="421" t="s">
        <v>424</v>
      </c>
      <c r="B60" s="422" t="s">
        <v>425</v>
      </c>
      <c r="C60" s="423" t="s">
        <v>429</v>
      </c>
      <c r="D60" s="424" t="s">
        <v>571</v>
      </c>
      <c r="E60" s="423" t="s">
        <v>991</v>
      </c>
      <c r="F60" s="424" t="s">
        <v>992</v>
      </c>
      <c r="G60" s="423" t="s">
        <v>701</v>
      </c>
      <c r="H60" s="423" t="s">
        <v>702</v>
      </c>
      <c r="I60" s="425">
        <v>4114</v>
      </c>
      <c r="J60" s="425">
        <v>1</v>
      </c>
      <c r="K60" s="426">
        <v>4114</v>
      </c>
    </row>
    <row r="61" spans="1:11" ht="14.4" customHeight="1" x14ac:dyDescent="0.3">
      <c r="A61" s="421" t="s">
        <v>424</v>
      </c>
      <c r="B61" s="422" t="s">
        <v>425</v>
      </c>
      <c r="C61" s="423" t="s">
        <v>429</v>
      </c>
      <c r="D61" s="424" t="s">
        <v>571</v>
      </c>
      <c r="E61" s="423" t="s">
        <v>991</v>
      </c>
      <c r="F61" s="424" t="s">
        <v>992</v>
      </c>
      <c r="G61" s="423" t="s">
        <v>703</v>
      </c>
      <c r="H61" s="423" t="s">
        <v>704</v>
      </c>
      <c r="I61" s="425">
        <v>138</v>
      </c>
      <c r="J61" s="425">
        <v>25</v>
      </c>
      <c r="K61" s="426">
        <v>3450</v>
      </c>
    </row>
    <row r="62" spans="1:11" ht="14.4" customHeight="1" x14ac:dyDescent="0.3">
      <c r="A62" s="421" t="s">
        <v>424</v>
      </c>
      <c r="B62" s="422" t="s">
        <v>425</v>
      </c>
      <c r="C62" s="423" t="s">
        <v>429</v>
      </c>
      <c r="D62" s="424" t="s">
        <v>571</v>
      </c>
      <c r="E62" s="423" t="s">
        <v>991</v>
      </c>
      <c r="F62" s="424" t="s">
        <v>992</v>
      </c>
      <c r="G62" s="423" t="s">
        <v>705</v>
      </c>
      <c r="H62" s="423" t="s">
        <v>706</v>
      </c>
      <c r="I62" s="425">
        <v>20.7</v>
      </c>
      <c r="J62" s="425">
        <v>90</v>
      </c>
      <c r="K62" s="426">
        <v>1863</v>
      </c>
    </row>
    <row r="63" spans="1:11" ht="14.4" customHeight="1" x14ac:dyDescent="0.3">
      <c r="A63" s="421" t="s">
        <v>424</v>
      </c>
      <c r="B63" s="422" t="s">
        <v>425</v>
      </c>
      <c r="C63" s="423" t="s">
        <v>429</v>
      </c>
      <c r="D63" s="424" t="s">
        <v>571</v>
      </c>
      <c r="E63" s="423" t="s">
        <v>991</v>
      </c>
      <c r="F63" s="424" t="s">
        <v>992</v>
      </c>
      <c r="G63" s="423" t="s">
        <v>707</v>
      </c>
      <c r="H63" s="423" t="s">
        <v>708</v>
      </c>
      <c r="I63" s="425">
        <v>1499.62</v>
      </c>
      <c r="J63" s="425">
        <v>2</v>
      </c>
      <c r="K63" s="426">
        <v>2999.24</v>
      </c>
    </row>
    <row r="64" spans="1:11" ht="14.4" customHeight="1" x14ac:dyDescent="0.3">
      <c r="A64" s="421" t="s">
        <v>424</v>
      </c>
      <c r="B64" s="422" t="s">
        <v>425</v>
      </c>
      <c r="C64" s="423" t="s">
        <v>429</v>
      </c>
      <c r="D64" s="424" t="s">
        <v>571</v>
      </c>
      <c r="E64" s="423" t="s">
        <v>991</v>
      </c>
      <c r="F64" s="424" t="s">
        <v>992</v>
      </c>
      <c r="G64" s="423" t="s">
        <v>709</v>
      </c>
      <c r="H64" s="423" t="s">
        <v>710</v>
      </c>
      <c r="I64" s="425">
        <v>20.99</v>
      </c>
      <c r="J64" s="425">
        <v>50</v>
      </c>
      <c r="K64" s="426">
        <v>1049.31</v>
      </c>
    </row>
    <row r="65" spans="1:11" ht="14.4" customHeight="1" x14ac:dyDescent="0.3">
      <c r="A65" s="421" t="s">
        <v>424</v>
      </c>
      <c r="B65" s="422" t="s">
        <v>425</v>
      </c>
      <c r="C65" s="423" t="s">
        <v>429</v>
      </c>
      <c r="D65" s="424" t="s">
        <v>571</v>
      </c>
      <c r="E65" s="423" t="s">
        <v>991</v>
      </c>
      <c r="F65" s="424" t="s">
        <v>992</v>
      </c>
      <c r="G65" s="423" t="s">
        <v>711</v>
      </c>
      <c r="H65" s="423" t="s">
        <v>712</v>
      </c>
      <c r="I65" s="425">
        <v>53.718000000000004</v>
      </c>
      <c r="J65" s="425">
        <v>100</v>
      </c>
      <c r="K65" s="426">
        <v>5371.75</v>
      </c>
    </row>
    <row r="66" spans="1:11" ht="14.4" customHeight="1" x14ac:dyDescent="0.3">
      <c r="A66" s="421" t="s">
        <v>424</v>
      </c>
      <c r="B66" s="422" t="s">
        <v>425</v>
      </c>
      <c r="C66" s="423" t="s">
        <v>429</v>
      </c>
      <c r="D66" s="424" t="s">
        <v>571</v>
      </c>
      <c r="E66" s="423" t="s">
        <v>991</v>
      </c>
      <c r="F66" s="424" t="s">
        <v>992</v>
      </c>
      <c r="G66" s="423" t="s">
        <v>713</v>
      </c>
      <c r="H66" s="423" t="s">
        <v>714</v>
      </c>
      <c r="I66" s="425">
        <v>11.5</v>
      </c>
      <c r="J66" s="425">
        <v>90</v>
      </c>
      <c r="K66" s="426">
        <v>1035</v>
      </c>
    </row>
    <row r="67" spans="1:11" ht="14.4" customHeight="1" x14ac:dyDescent="0.3">
      <c r="A67" s="421" t="s">
        <v>424</v>
      </c>
      <c r="B67" s="422" t="s">
        <v>425</v>
      </c>
      <c r="C67" s="423" t="s">
        <v>429</v>
      </c>
      <c r="D67" s="424" t="s">
        <v>571</v>
      </c>
      <c r="E67" s="423" t="s">
        <v>991</v>
      </c>
      <c r="F67" s="424" t="s">
        <v>992</v>
      </c>
      <c r="G67" s="423" t="s">
        <v>715</v>
      </c>
      <c r="H67" s="423" t="s">
        <v>716</v>
      </c>
      <c r="I67" s="425">
        <v>4207.8600000000006</v>
      </c>
      <c r="J67" s="425">
        <v>7</v>
      </c>
      <c r="K67" s="426">
        <v>29455.05</v>
      </c>
    </row>
    <row r="68" spans="1:11" ht="14.4" customHeight="1" x14ac:dyDescent="0.3">
      <c r="A68" s="421" t="s">
        <v>424</v>
      </c>
      <c r="B68" s="422" t="s">
        <v>425</v>
      </c>
      <c r="C68" s="423" t="s">
        <v>429</v>
      </c>
      <c r="D68" s="424" t="s">
        <v>571</v>
      </c>
      <c r="E68" s="423" t="s">
        <v>991</v>
      </c>
      <c r="F68" s="424" t="s">
        <v>992</v>
      </c>
      <c r="G68" s="423" t="s">
        <v>717</v>
      </c>
      <c r="H68" s="423" t="s">
        <v>718</v>
      </c>
      <c r="I68" s="425">
        <v>826</v>
      </c>
      <c r="J68" s="425">
        <v>2</v>
      </c>
      <c r="K68" s="426">
        <v>1652</v>
      </c>
    </row>
    <row r="69" spans="1:11" ht="14.4" customHeight="1" x14ac:dyDescent="0.3">
      <c r="A69" s="421" t="s">
        <v>424</v>
      </c>
      <c r="B69" s="422" t="s">
        <v>425</v>
      </c>
      <c r="C69" s="423" t="s">
        <v>429</v>
      </c>
      <c r="D69" s="424" t="s">
        <v>571</v>
      </c>
      <c r="E69" s="423" t="s">
        <v>991</v>
      </c>
      <c r="F69" s="424" t="s">
        <v>992</v>
      </c>
      <c r="G69" s="423" t="s">
        <v>719</v>
      </c>
      <c r="H69" s="423" t="s">
        <v>720</v>
      </c>
      <c r="I69" s="425">
        <v>1122.8699999999999</v>
      </c>
      <c r="J69" s="425">
        <v>1</v>
      </c>
      <c r="K69" s="426">
        <v>1122.8699999999999</v>
      </c>
    </row>
    <row r="70" spans="1:11" ht="14.4" customHeight="1" x14ac:dyDescent="0.3">
      <c r="A70" s="421" t="s">
        <v>424</v>
      </c>
      <c r="B70" s="422" t="s">
        <v>425</v>
      </c>
      <c r="C70" s="423" t="s">
        <v>429</v>
      </c>
      <c r="D70" s="424" t="s">
        <v>571</v>
      </c>
      <c r="E70" s="423" t="s">
        <v>991</v>
      </c>
      <c r="F70" s="424" t="s">
        <v>992</v>
      </c>
      <c r="G70" s="423" t="s">
        <v>721</v>
      </c>
      <c r="H70" s="423" t="s">
        <v>722</v>
      </c>
      <c r="I70" s="425">
        <v>159.69999999999999</v>
      </c>
      <c r="J70" s="425">
        <v>7</v>
      </c>
      <c r="K70" s="426">
        <v>1117.9000000000001</v>
      </c>
    </row>
    <row r="71" spans="1:11" ht="14.4" customHeight="1" x14ac:dyDescent="0.3">
      <c r="A71" s="421" t="s">
        <v>424</v>
      </c>
      <c r="B71" s="422" t="s">
        <v>425</v>
      </c>
      <c r="C71" s="423" t="s">
        <v>429</v>
      </c>
      <c r="D71" s="424" t="s">
        <v>571</v>
      </c>
      <c r="E71" s="423" t="s">
        <v>991</v>
      </c>
      <c r="F71" s="424" t="s">
        <v>992</v>
      </c>
      <c r="G71" s="423" t="s">
        <v>723</v>
      </c>
      <c r="H71" s="423" t="s">
        <v>724</v>
      </c>
      <c r="I71" s="425">
        <v>1380.92</v>
      </c>
      <c r="J71" s="425">
        <v>8</v>
      </c>
      <c r="K71" s="426">
        <v>11047.36</v>
      </c>
    </row>
    <row r="72" spans="1:11" ht="14.4" customHeight="1" x14ac:dyDescent="0.3">
      <c r="A72" s="421" t="s">
        <v>424</v>
      </c>
      <c r="B72" s="422" t="s">
        <v>425</v>
      </c>
      <c r="C72" s="423" t="s">
        <v>429</v>
      </c>
      <c r="D72" s="424" t="s">
        <v>571</v>
      </c>
      <c r="E72" s="423" t="s">
        <v>991</v>
      </c>
      <c r="F72" s="424" t="s">
        <v>992</v>
      </c>
      <c r="G72" s="423" t="s">
        <v>725</v>
      </c>
      <c r="H72" s="423" t="s">
        <v>726</v>
      </c>
      <c r="I72" s="425">
        <v>1023</v>
      </c>
      <c r="J72" s="425">
        <v>14</v>
      </c>
      <c r="K72" s="426">
        <v>14322</v>
      </c>
    </row>
    <row r="73" spans="1:11" ht="14.4" customHeight="1" x14ac:dyDescent="0.3">
      <c r="A73" s="421" t="s">
        <v>424</v>
      </c>
      <c r="B73" s="422" t="s">
        <v>425</v>
      </c>
      <c r="C73" s="423" t="s">
        <v>429</v>
      </c>
      <c r="D73" s="424" t="s">
        <v>571</v>
      </c>
      <c r="E73" s="423" t="s">
        <v>991</v>
      </c>
      <c r="F73" s="424" t="s">
        <v>992</v>
      </c>
      <c r="G73" s="423" t="s">
        <v>727</v>
      </c>
      <c r="H73" s="423" t="s">
        <v>728</v>
      </c>
      <c r="I73" s="425">
        <v>435.6</v>
      </c>
      <c r="J73" s="425">
        <v>2</v>
      </c>
      <c r="K73" s="426">
        <v>871.2</v>
      </c>
    </row>
    <row r="74" spans="1:11" ht="14.4" customHeight="1" x14ac:dyDescent="0.3">
      <c r="A74" s="421" t="s">
        <v>424</v>
      </c>
      <c r="B74" s="422" t="s">
        <v>425</v>
      </c>
      <c r="C74" s="423" t="s">
        <v>429</v>
      </c>
      <c r="D74" s="424" t="s">
        <v>571</v>
      </c>
      <c r="E74" s="423" t="s">
        <v>991</v>
      </c>
      <c r="F74" s="424" t="s">
        <v>992</v>
      </c>
      <c r="G74" s="423" t="s">
        <v>729</v>
      </c>
      <c r="H74" s="423" t="s">
        <v>730</v>
      </c>
      <c r="I74" s="425">
        <v>1121.9749999999999</v>
      </c>
      <c r="J74" s="425">
        <v>3</v>
      </c>
      <c r="K74" s="426">
        <v>3437.8500000000004</v>
      </c>
    </row>
    <row r="75" spans="1:11" ht="14.4" customHeight="1" x14ac:dyDescent="0.3">
      <c r="A75" s="421" t="s">
        <v>424</v>
      </c>
      <c r="B75" s="422" t="s">
        <v>425</v>
      </c>
      <c r="C75" s="423" t="s">
        <v>429</v>
      </c>
      <c r="D75" s="424" t="s">
        <v>571</v>
      </c>
      <c r="E75" s="423" t="s">
        <v>991</v>
      </c>
      <c r="F75" s="424" t="s">
        <v>992</v>
      </c>
      <c r="G75" s="423" t="s">
        <v>731</v>
      </c>
      <c r="H75" s="423" t="s">
        <v>732</v>
      </c>
      <c r="I75" s="425">
        <v>1120.2</v>
      </c>
      <c r="J75" s="425">
        <v>2</v>
      </c>
      <c r="K75" s="426">
        <v>2240.4</v>
      </c>
    </row>
    <row r="76" spans="1:11" ht="14.4" customHeight="1" x14ac:dyDescent="0.3">
      <c r="A76" s="421" t="s">
        <v>424</v>
      </c>
      <c r="B76" s="422" t="s">
        <v>425</v>
      </c>
      <c r="C76" s="423" t="s">
        <v>429</v>
      </c>
      <c r="D76" s="424" t="s">
        <v>571</v>
      </c>
      <c r="E76" s="423" t="s">
        <v>991</v>
      </c>
      <c r="F76" s="424" t="s">
        <v>992</v>
      </c>
      <c r="G76" s="423" t="s">
        <v>733</v>
      </c>
      <c r="H76" s="423" t="s">
        <v>734</v>
      </c>
      <c r="I76" s="425">
        <v>565.91499999999996</v>
      </c>
      <c r="J76" s="425">
        <v>9</v>
      </c>
      <c r="K76" s="426">
        <v>5093.24</v>
      </c>
    </row>
    <row r="77" spans="1:11" ht="14.4" customHeight="1" x14ac:dyDescent="0.3">
      <c r="A77" s="421" t="s">
        <v>424</v>
      </c>
      <c r="B77" s="422" t="s">
        <v>425</v>
      </c>
      <c r="C77" s="423" t="s">
        <v>429</v>
      </c>
      <c r="D77" s="424" t="s">
        <v>571</v>
      </c>
      <c r="E77" s="423" t="s">
        <v>991</v>
      </c>
      <c r="F77" s="424" t="s">
        <v>992</v>
      </c>
      <c r="G77" s="423" t="s">
        <v>735</v>
      </c>
      <c r="H77" s="423" t="s">
        <v>736</v>
      </c>
      <c r="I77" s="425">
        <v>1349.39</v>
      </c>
      <c r="J77" s="425">
        <v>2</v>
      </c>
      <c r="K77" s="426">
        <v>2698.78</v>
      </c>
    </row>
    <row r="78" spans="1:11" ht="14.4" customHeight="1" x14ac:dyDescent="0.3">
      <c r="A78" s="421" t="s">
        <v>424</v>
      </c>
      <c r="B78" s="422" t="s">
        <v>425</v>
      </c>
      <c r="C78" s="423" t="s">
        <v>429</v>
      </c>
      <c r="D78" s="424" t="s">
        <v>571</v>
      </c>
      <c r="E78" s="423" t="s">
        <v>991</v>
      </c>
      <c r="F78" s="424" t="s">
        <v>992</v>
      </c>
      <c r="G78" s="423" t="s">
        <v>737</v>
      </c>
      <c r="H78" s="423" t="s">
        <v>738</v>
      </c>
      <c r="I78" s="425">
        <v>68.413333333333341</v>
      </c>
      <c r="J78" s="425">
        <v>150</v>
      </c>
      <c r="K78" s="426">
        <v>10261.9</v>
      </c>
    </row>
    <row r="79" spans="1:11" ht="14.4" customHeight="1" x14ac:dyDescent="0.3">
      <c r="A79" s="421" t="s">
        <v>424</v>
      </c>
      <c r="B79" s="422" t="s">
        <v>425</v>
      </c>
      <c r="C79" s="423" t="s">
        <v>429</v>
      </c>
      <c r="D79" s="424" t="s">
        <v>571</v>
      </c>
      <c r="E79" s="423" t="s">
        <v>991</v>
      </c>
      <c r="F79" s="424" t="s">
        <v>992</v>
      </c>
      <c r="G79" s="423" t="s">
        <v>739</v>
      </c>
      <c r="H79" s="423" t="s">
        <v>740</v>
      </c>
      <c r="I79" s="425">
        <v>345</v>
      </c>
      <c r="J79" s="425">
        <v>2</v>
      </c>
      <c r="K79" s="426">
        <v>690</v>
      </c>
    </row>
    <row r="80" spans="1:11" ht="14.4" customHeight="1" x14ac:dyDescent="0.3">
      <c r="A80" s="421" t="s">
        <v>424</v>
      </c>
      <c r="B80" s="422" t="s">
        <v>425</v>
      </c>
      <c r="C80" s="423" t="s">
        <v>429</v>
      </c>
      <c r="D80" s="424" t="s">
        <v>571</v>
      </c>
      <c r="E80" s="423" t="s">
        <v>991</v>
      </c>
      <c r="F80" s="424" t="s">
        <v>992</v>
      </c>
      <c r="G80" s="423" t="s">
        <v>741</v>
      </c>
      <c r="H80" s="423" t="s">
        <v>742</v>
      </c>
      <c r="I80" s="425">
        <v>883.3</v>
      </c>
      <c r="J80" s="425">
        <v>6</v>
      </c>
      <c r="K80" s="426">
        <v>5299.8</v>
      </c>
    </row>
    <row r="81" spans="1:11" ht="14.4" customHeight="1" x14ac:dyDescent="0.3">
      <c r="A81" s="421" t="s">
        <v>424</v>
      </c>
      <c r="B81" s="422" t="s">
        <v>425</v>
      </c>
      <c r="C81" s="423" t="s">
        <v>429</v>
      </c>
      <c r="D81" s="424" t="s">
        <v>571</v>
      </c>
      <c r="E81" s="423" t="s">
        <v>991</v>
      </c>
      <c r="F81" s="424" t="s">
        <v>992</v>
      </c>
      <c r="G81" s="423" t="s">
        <v>743</v>
      </c>
      <c r="H81" s="423" t="s">
        <v>744</v>
      </c>
      <c r="I81" s="425">
        <v>3943.35</v>
      </c>
      <c r="J81" s="425">
        <v>1</v>
      </c>
      <c r="K81" s="426">
        <v>3943.35</v>
      </c>
    </row>
    <row r="82" spans="1:11" ht="14.4" customHeight="1" x14ac:dyDescent="0.3">
      <c r="A82" s="421" t="s">
        <v>424</v>
      </c>
      <c r="B82" s="422" t="s">
        <v>425</v>
      </c>
      <c r="C82" s="423" t="s">
        <v>429</v>
      </c>
      <c r="D82" s="424" t="s">
        <v>571</v>
      </c>
      <c r="E82" s="423" t="s">
        <v>991</v>
      </c>
      <c r="F82" s="424" t="s">
        <v>992</v>
      </c>
      <c r="G82" s="423" t="s">
        <v>745</v>
      </c>
      <c r="H82" s="423" t="s">
        <v>746</v>
      </c>
      <c r="I82" s="425">
        <v>5.43</v>
      </c>
      <c r="J82" s="425">
        <v>240</v>
      </c>
      <c r="K82" s="426">
        <v>1310.96</v>
      </c>
    </row>
    <row r="83" spans="1:11" ht="14.4" customHeight="1" x14ac:dyDescent="0.3">
      <c r="A83" s="421" t="s">
        <v>424</v>
      </c>
      <c r="B83" s="422" t="s">
        <v>425</v>
      </c>
      <c r="C83" s="423" t="s">
        <v>429</v>
      </c>
      <c r="D83" s="424" t="s">
        <v>571</v>
      </c>
      <c r="E83" s="423" t="s">
        <v>991</v>
      </c>
      <c r="F83" s="424" t="s">
        <v>992</v>
      </c>
      <c r="G83" s="423" t="s">
        <v>747</v>
      </c>
      <c r="H83" s="423" t="s">
        <v>748</v>
      </c>
      <c r="I83" s="425">
        <v>423.5</v>
      </c>
      <c r="J83" s="425">
        <v>12</v>
      </c>
      <c r="K83" s="426">
        <v>4888.3999999999996</v>
      </c>
    </row>
    <row r="84" spans="1:11" ht="14.4" customHeight="1" x14ac:dyDescent="0.3">
      <c r="A84" s="421" t="s">
        <v>424</v>
      </c>
      <c r="B84" s="422" t="s">
        <v>425</v>
      </c>
      <c r="C84" s="423" t="s">
        <v>429</v>
      </c>
      <c r="D84" s="424" t="s">
        <v>571</v>
      </c>
      <c r="E84" s="423" t="s">
        <v>991</v>
      </c>
      <c r="F84" s="424" t="s">
        <v>992</v>
      </c>
      <c r="G84" s="423" t="s">
        <v>749</v>
      </c>
      <c r="H84" s="423" t="s">
        <v>750</v>
      </c>
      <c r="I84" s="425">
        <v>59.293333333333329</v>
      </c>
      <c r="J84" s="425">
        <v>90</v>
      </c>
      <c r="K84" s="426">
        <v>5336.4</v>
      </c>
    </row>
    <row r="85" spans="1:11" ht="14.4" customHeight="1" x14ac:dyDescent="0.3">
      <c r="A85" s="421" t="s">
        <v>424</v>
      </c>
      <c r="B85" s="422" t="s">
        <v>425</v>
      </c>
      <c r="C85" s="423" t="s">
        <v>429</v>
      </c>
      <c r="D85" s="424" t="s">
        <v>571</v>
      </c>
      <c r="E85" s="423" t="s">
        <v>991</v>
      </c>
      <c r="F85" s="424" t="s">
        <v>992</v>
      </c>
      <c r="G85" s="423" t="s">
        <v>751</v>
      </c>
      <c r="H85" s="423" t="s">
        <v>752</v>
      </c>
      <c r="I85" s="425">
        <v>113.08</v>
      </c>
      <c r="J85" s="425">
        <v>2</v>
      </c>
      <c r="K85" s="426">
        <v>226.15</v>
      </c>
    </row>
    <row r="86" spans="1:11" ht="14.4" customHeight="1" x14ac:dyDescent="0.3">
      <c r="A86" s="421" t="s">
        <v>424</v>
      </c>
      <c r="B86" s="422" t="s">
        <v>425</v>
      </c>
      <c r="C86" s="423" t="s">
        <v>429</v>
      </c>
      <c r="D86" s="424" t="s">
        <v>571</v>
      </c>
      <c r="E86" s="423" t="s">
        <v>991</v>
      </c>
      <c r="F86" s="424" t="s">
        <v>992</v>
      </c>
      <c r="G86" s="423" t="s">
        <v>753</v>
      </c>
      <c r="H86" s="423" t="s">
        <v>754</v>
      </c>
      <c r="I86" s="425">
        <v>4207.87</v>
      </c>
      <c r="J86" s="425">
        <v>5</v>
      </c>
      <c r="K86" s="426">
        <v>21039.35</v>
      </c>
    </row>
    <row r="87" spans="1:11" ht="14.4" customHeight="1" x14ac:dyDescent="0.3">
      <c r="A87" s="421" t="s">
        <v>424</v>
      </c>
      <c r="B87" s="422" t="s">
        <v>425</v>
      </c>
      <c r="C87" s="423" t="s">
        <v>429</v>
      </c>
      <c r="D87" s="424" t="s">
        <v>571</v>
      </c>
      <c r="E87" s="423" t="s">
        <v>991</v>
      </c>
      <c r="F87" s="424" t="s">
        <v>992</v>
      </c>
      <c r="G87" s="423" t="s">
        <v>755</v>
      </c>
      <c r="H87" s="423" t="s">
        <v>756</v>
      </c>
      <c r="I87" s="425">
        <v>195.03</v>
      </c>
      <c r="J87" s="425">
        <v>2</v>
      </c>
      <c r="K87" s="426">
        <v>390.05</v>
      </c>
    </row>
    <row r="88" spans="1:11" ht="14.4" customHeight="1" x14ac:dyDescent="0.3">
      <c r="A88" s="421" t="s">
        <v>424</v>
      </c>
      <c r="B88" s="422" t="s">
        <v>425</v>
      </c>
      <c r="C88" s="423" t="s">
        <v>429</v>
      </c>
      <c r="D88" s="424" t="s">
        <v>571</v>
      </c>
      <c r="E88" s="423" t="s">
        <v>991</v>
      </c>
      <c r="F88" s="424" t="s">
        <v>992</v>
      </c>
      <c r="G88" s="423" t="s">
        <v>757</v>
      </c>
      <c r="H88" s="423" t="s">
        <v>758</v>
      </c>
      <c r="I88" s="425">
        <v>145.6</v>
      </c>
      <c r="J88" s="425">
        <v>24</v>
      </c>
      <c r="K88" s="426">
        <v>3494.39</v>
      </c>
    </row>
    <row r="89" spans="1:11" ht="14.4" customHeight="1" x14ac:dyDescent="0.3">
      <c r="A89" s="421" t="s">
        <v>424</v>
      </c>
      <c r="B89" s="422" t="s">
        <v>425</v>
      </c>
      <c r="C89" s="423" t="s">
        <v>429</v>
      </c>
      <c r="D89" s="424" t="s">
        <v>571</v>
      </c>
      <c r="E89" s="423" t="s">
        <v>991</v>
      </c>
      <c r="F89" s="424" t="s">
        <v>992</v>
      </c>
      <c r="G89" s="423" t="s">
        <v>759</v>
      </c>
      <c r="H89" s="423" t="s">
        <v>760</v>
      </c>
      <c r="I89" s="425">
        <v>994.62</v>
      </c>
      <c r="J89" s="425">
        <v>1</v>
      </c>
      <c r="K89" s="426">
        <v>994.62</v>
      </c>
    </row>
    <row r="90" spans="1:11" ht="14.4" customHeight="1" x14ac:dyDescent="0.3">
      <c r="A90" s="421" t="s">
        <v>424</v>
      </c>
      <c r="B90" s="422" t="s">
        <v>425</v>
      </c>
      <c r="C90" s="423" t="s">
        <v>429</v>
      </c>
      <c r="D90" s="424" t="s">
        <v>571</v>
      </c>
      <c r="E90" s="423" t="s">
        <v>991</v>
      </c>
      <c r="F90" s="424" t="s">
        <v>992</v>
      </c>
      <c r="G90" s="423" t="s">
        <v>761</v>
      </c>
      <c r="H90" s="423" t="s">
        <v>762</v>
      </c>
      <c r="I90" s="425">
        <v>41.74</v>
      </c>
      <c r="J90" s="425">
        <v>20</v>
      </c>
      <c r="K90" s="426">
        <v>834.9</v>
      </c>
    </row>
    <row r="91" spans="1:11" ht="14.4" customHeight="1" x14ac:dyDescent="0.3">
      <c r="A91" s="421" t="s">
        <v>424</v>
      </c>
      <c r="B91" s="422" t="s">
        <v>425</v>
      </c>
      <c r="C91" s="423" t="s">
        <v>429</v>
      </c>
      <c r="D91" s="424" t="s">
        <v>571</v>
      </c>
      <c r="E91" s="423" t="s">
        <v>991</v>
      </c>
      <c r="F91" s="424" t="s">
        <v>992</v>
      </c>
      <c r="G91" s="423" t="s">
        <v>763</v>
      </c>
      <c r="H91" s="423" t="s">
        <v>764</v>
      </c>
      <c r="I91" s="425">
        <v>1.75</v>
      </c>
      <c r="J91" s="425">
        <v>200</v>
      </c>
      <c r="K91" s="426">
        <v>349.4</v>
      </c>
    </row>
    <row r="92" spans="1:11" ht="14.4" customHeight="1" x14ac:dyDescent="0.3">
      <c r="A92" s="421" t="s">
        <v>424</v>
      </c>
      <c r="B92" s="422" t="s">
        <v>425</v>
      </c>
      <c r="C92" s="423" t="s">
        <v>429</v>
      </c>
      <c r="D92" s="424" t="s">
        <v>571</v>
      </c>
      <c r="E92" s="423" t="s">
        <v>991</v>
      </c>
      <c r="F92" s="424" t="s">
        <v>992</v>
      </c>
      <c r="G92" s="423" t="s">
        <v>765</v>
      </c>
      <c r="H92" s="423" t="s">
        <v>766</v>
      </c>
      <c r="I92" s="425">
        <v>360.58</v>
      </c>
      <c r="J92" s="425">
        <v>3</v>
      </c>
      <c r="K92" s="426">
        <v>1081.74</v>
      </c>
    </row>
    <row r="93" spans="1:11" ht="14.4" customHeight="1" x14ac:dyDescent="0.3">
      <c r="A93" s="421" t="s">
        <v>424</v>
      </c>
      <c r="B93" s="422" t="s">
        <v>425</v>
      </c>
      <c r="C93" s="423" t="s">
        <v>429</v>
      </c>
      <c r="D93" s="424" t="s">
        <v>571</v>
      </c>
      <c r="E93" s="423" t="s">
        <v>991</v>
      </c>
      <c r="F93" s="424" t="s">
        <v>992</v>
      </c>
      <c r="G93" s="423" t="s">
        <v>767</v>
      </c>
      <c r="H93" s="423" t="s">
        <v>768</v>
      </c>
      <c r="I93" s="425">
        <v>1005.12</v>
      </c>
      <c r="J93" s="425">
        <v>5</v>
      </c>
      <c r="K93" s="426">
        <v>5025.6000000000004</v>
      </c>
    </row>
    <row r="94" spans="1:11" ht="14.4" customHeight="1" x14ac:dyDescent="0.3">
      <c r="A94" s="421" t="s">
        <v>424</v>
      </c>
      <c r="B94" s="422" t="s">
        <v>425</v>
      </c>
      <c r="C94" s="423" t="s">
        <v>429</v>
      </c>
      <c r="D94" s="424" t="s">
        <v>571</v>
      </c>
      <c r="E94" s="423" t="s">
        <v>991</v>
      </c>
      <c r="F94" s="424" t="s">
        <v>992</v>
      </c>
      <c r="G94" s="423" t="s">
        <v>769</v>
      </c>
      <c r="H94" s="423" t="s">
        <v>770</v>
      </c>
      <c r="I94" s="425">
        <v>808.1</v>
      </c>
      <c r="J94" s="425">
        <v>1</v>
      </c>
      <c r="K94" s="426">
        <v>808.1</v>
      </c>
    </row>
    <row r="95" spans="1:11" ht="14.4" customHeight="1" x14ac:dyDescent="0.3">
      <c r="A95" s="421" t="s">
        <v>424</v>
      </c>
      <c r="B95" s="422" t="s">
        <v>425</v>
      </c>
      <c r="C95" s="423" t="s">
        <v>429</v>
      </c>
      <c r="D95" s="424" t="s">
        <v>571</v>
      </c>
      <c r="E95" s="423" t="s">
        <v>991</v>
      </c>
      <c r="F95" s="424" t="s">
        <v>992</v>
      </c>
      <c r="G95" s="423" t="s">
        <v>771</v>
      </c>
      <c r="H95" s="423" t="s">
        <v>772</v>
      </c>
      <c r="I95" s="425">
        <v>1128</v>
      </c>
      <c r="J95" s="425">
        <v>2</v>
      </c>
      <c r="K95" s="426">
        <v>2256</v>
      </c>
    </row>
    <row r="96" spans="1:11" ht="14.4" customHeight="1" x14ac:dyDescent="0.3">
      <c r="A96" s="421" t="s">
        <v>424</v>
      </c>
      <c r="B96" s="422" t="s">
        <v>425</v>
      </c>
      <c r="C96" s="423" t="s">
        <v>429</v>
      </c>
      <c r="D96" s="424" t="s">
        <v>571</v>
      </c>
      <c r="E96" s="423" t="s">
        <v>991</v>
      </c>
      <c r="F96" s="424" t="s">
        <v>992</v>
      </c>
      <c r="G96" s="423" t="s">
        <v>773</v>
      </c>
      <c r="H96" s="423" t="s">
        <v>774</v>
      </c>
      <c r="I96" s="425">
        <v>2194.9</v>
      </c>
      <c r="J96" s="425">
        <v>1</v>
      </c>
      <c r="K96" s="426">
        <v>2194.9</v>
      </c>
    </row>
    <row r="97" spans="1:11" ht="14.4" customHeight="1" x14ac:dyDescent="0.3">
      <c r="A97" s="421" t="s">
        <v>424</v>
      </c>
      <c r="B97" s="422" t="s">
        <v>425</v>
      </c>
      <c r="C97" s="423" t="s">
        <v>429</v>
      </c>
      <c r="D97" s="424" t="s">
        <v>571</v>
      </c>
      <c r="E97" s="423" t="s">
        <v>991</v>
      </c>
      <c r="F97" s="424" t="s">
        <v>992</v>
      </c>
      <c r="G97" s="423" t="s">
        <v>775</v>
      </c>
      <c r="H97" s="423" t="s">
        <v>776</v>
      </c>
      <c r="I97" s="425">
        <v>399.3</v>
      </c>
      <c r="J97" s="425">
        <v>1</v>
      </c>
      <c r="K97" s="426">
        <v>399.3</v>
      </c>
    </row>
    <row r="98" spans="1:11" ht="14.4" customHeight="1" x14ac:dyDescent="0.3">
      <c r="A98" s="421" t="s">
        <v>424</v>
      </c>
      <c r="B98" s="422" t="s">
        <v>425</v>
      </c>
      <c r="C98" s="423" t="s">
        <v>429</v>
      </c>
      <c r="D98" s="424" t="s">
        <v>571</v>
      </c>
      <c r="E98" s="423" t="s">
        <v>991</v>
      </c>
      <c r="F98" s="424" t="s">
        <v>992</v>
      </c>
      <c r="G98" s="423" t="s">
        <v>777</v>
      </c>
      <c r="H98" s="423" t="s">
        <v>778</v>
      </c>
      <c r="I98" s="425">
        <v>1.39</v>
      </c>
      <c r="J98" s="425">
        <v>1000</v>
      </c>
      <c r="K98" s="426">
        <v>1385.99</v>
      </c>
    </row>
    <row r="99" spans="1:11" ht="14.4" customHeight="1" x14ac:dyDescent="0.3">
      <c r="A99" s="421" t="s">
        <v>424</v>
      </c>
      <c r="B99" s="422" t="s">
        <v>425</v>
      </c>
      <c r="C99" s="423" t="s">
        <v>429</v>
      </c>
      <c r="D99" s="424" t="s">
        <v>571</v>
      </c>
      <c r="E99" s="423" t="s">
        <v>991</v>
      </c>
      <c r="F99" s="424" t="s">
        <v>992</v>
      </c>
      <c r="G99" s="423" t="s">
        <v>779</v>
      </c>
      <c r="H99" s="423" t="s">
        <v>780</v>
      </c>
      <c r="I99" s="425">
        <v>7.01</v>
      </c>
      <c r="J99" s="425">
        <v>120</v>
      </c>
      <c r="K99" s="426">
        <v>840.8</v>
      </c>
    </row>
    <row r="100" spans="1:11" ht="14.4" customHeight="1" x14ac:dyDescent="0.3">
      <c r="A100" s="421" t="s">
        <v>424</v>
      </c>
      <c r="B100" s="422" t="s">
        <v>425</v>
      </c>
      <c r="C100" s="423" t="s">
        <v>429</v>
      </c>
      <c r="D100" s="424" t="s">
        <v>571</v>
      </c>
      <c r="E100" s="423" t="s">
        <v>991</v>
      </c>
      <c r="F100" s="424" t="s">
        <v>992</v>
      </c>
      <c r="G100" s="423" t="s">
        <v>781</v>
      </c>
      <c r="H100" s="423" t="s">
        <v>782</v>
      </c>
      <c r="I100" s="425">
        <v>20.99</v>
      </c>
      <c r="J100" s="425">
        <v>50</v>
      </c>
      <c r="K100" s="426">
        <v>1049.31</v>
      </c>
    </row>
    <row r="101" spans="1:11" ht="14.4" customHeight="1" x14ac:dyDescent="0.3">
      <c r="A101" s="421" t="s">
        <v>424</v>
      </c>
      <c r="B101" s="422" t="s">
        <v>425</v>
      </c>
      <c r="C101" s="423" t="s">
        <v>429</v>
      </c>
      <c r="D101" s="424" t="s">
        <v>571</v>
      </c>
      <c r="E101" s="423" t="s">
        <v>991</v>
      </c>
      <c r="F101" s="424" t="s">
        <v>992</v>
      </c>
      <c r="G101" s="423" t="s">
        <v>783</v>
      </c>
      <c r="H101" s="423" t="s">
        <v>784</v>
      </c>
      <c r="I101" s="425">
        <v>2.38</v>
      </c>
      <c r="J101" s="425">
        <v>100</v>
      </c>
      <c r="K101" s="426">
        <v>238.37</v>
      </c>
    </row>
    <row r="102" spans="1:11" ht="14.4" customHeight="1" x14ac:dyDescent="0.3">
      <c r="A102" s="421" t="s">
        <v>424</v>
      </c>
      <c r="B102" s="422" t="s">
        <v>425</v>
      </c>
      <c r="C102" s="423" t="s">
        <v>429</v>
      </c>
      <c r="D102" s="424" t="s">
        <v>571</v>
      </c>
      <c r="E102" s="423" t="s">
        <v>991</v>
      </c>
      <c r="F102" s="424" t="s">
        <v>992</v>
      </c>
      <c r="G102" s="423" t="s">
        <v>785</v>
      </c>
      <c r="H102" s="423" t="s">
        <v>786</v>
      </c>
      <c r="I102" s="425">
        <v>6785</v>
      </c>
      <c r="J102" s="425">
        <v>1</v>
      </c>
      <c r="K102" s="426">
        <v>6785</v>
      </c>
    </row>
    <row r="103" spans="1:11" ht="14.4" customHeight="1" x14ac:dyDescent="0.3">
      <c r="A103" s="421" t="s">
        <v>424</v>
      </c>
      <c r="B103" s="422" t="s">
        <v>425</v>
      </c>
      <c r="C103" s="423" t="s">
        <v>429</v>
      </c>
      <c r="D103" s="424" t="s">
        <v>571</v>
      </c>
      <c r="E103" s="423" t="s">
        <v>991</v>
      </c>
      <c r="F103" s="424" t="s">
        <v>992</v>
      </c>
      <c r="G103" s="423" t="s">
        <v>787</v>
      </c>
      <c r="H103" s="423" t="s">
        <v>788</v>
      </c>
      <c r="I103" s="425">
        <v>482.79</v>
      </c>
      <c r="J103" s="425">
        <v>2</v>
      </c>
      <c r="K103" s="426">
        <v>965.58</v>
      </c>
    </row>
    <row r="104" spans="1:11" ht="14.4" customHeight="1" x14ac:dyDescent="0.3">
      <c r="A104" s="421" t="s">
        <v>424</v>
      </c>
      <c r="B104" s="422" t="s">
        <v>425</v>
      </c>
      <c r="C104" s="423" t="s">
        <v>429</v>
      </c>
      <c r="D104" s="424" t="s">
        <v>571</v>
      </c>
      <c r="E104" s="423" t="s">
        <v>991</v>
      </c>
      <c r="F104" s="424" t="s">
        <v>992</v>
      </c>
      <c r="G104" s="423" t="s">
        <v>789</v>
      </c>
      <c r="H104" s="423" t="s">
        <v>790</v>
      </c>
      <c r="I104" s="425">
        <v>83.13</v>
      </c>
      <c r="J104" s="425">
        <v>75</v>
      </c>
      <c r="K104" s="426">
        <v>6234.89</v>
      </c>
    </row>
    <row r="105" spans="1:11" ht="14.4" customHeight="1" x14ac:dyDescent="0.3">
      <c r="A105" s="421" t="s">
        <v>424</v>
      </c>
      <c r="B105" s="422" t="s">
        <v>425</v>
      </c>
      <c r="C105" s="423" t="s">
        <v>429</v>
      </c>
      <c r="D105" s="424" t="s">
        <v>571</v>
      </c>
      <c r="E105" s="423" t="s">
        <v>991</v>
      </c>
      <c r="F105" s="424" t="s">
        <v>992</v>
      </c>
      <c r="G105" s="423" t="s">
        <v>791</v>
      </c>
      <c r="H105" s="423" t="s">
        <v>792</v>
      </c>
      <c r="I105" s="425">
        <v>232.75</v>
      </c>
      <c r="J105" s="425">
        <v>4</v>
      </c>
      <c r="K105" s="426">
        <v>931</v>
      </c>
    </row>
    <row r="106" spans="1:11" ht="14.4" customHeight="1" x14ac:dyDescent="0.3">
      <c r="A106" s="421" t="s">
        <v>424</v>
      </c>
      <c r="B106" s="422" t="s">
        <v>425</v>
      </c>
      <c r="C106" s="423" t="s">
        <v>429</v>
      </c>
      <c r="D106" s="424" t="s">
        <v>571</v>
      </c>
      <c r="E106" s="423" t="s">
        <v>991</v>
      </c>
      <c r="F106" s="424" t="s">
        <v>992</v>
      </c>
      <c r="G106" s="423" t="s">
        <v>793</v>
      </c>
      <c r="H106" s="423" t="s">
        <v>794</v>
      </c>
      <c r="I106" s="425">
        <v>88.51</v>
      </c>
      <c r="J106" s="425">
        <v>20</v>
      </c>
      <c r="K106" s="426">
        <v>1770.26</v>
      </c>
    </row>
    <row r="107" spans="1:11" ht="14.4" customHeight="1" x14ac:dyDescent="0.3">
      <c r="A107" s="421" t="s">
        <v>424</v>
      </c>
      <c r="B107" s="422" t="s">
        <v>425</v>
      </c>
      <c r="C107" s="423" t="s">
        <v>429</v>
      </c>
      <c r="D107" s="424" t="s">
        <v>571</v>
      </c>
      <c r="E107" s="423" t="s">
        <v>991</v>
      </c>
      <c r="F107" s="424" t="s">
        <v>992</v>
      </c>
      <c r="G107" s="423" t="s">
        <v>795</v>
      </c>
      <c r="H107" s="423" t="s">
        <v>796</v>
      </c>
      <c r="I107" s="425">
        <v>907.5</v>
      </c>
      <c r="J107" s="425">
        <v>2</v>
      </c>
      <c r="K107" s="426">
        <v>1815</v>
      </c>
    </row>
    <row r="108" spans="1:11" ht="14.4" customHeight="1" x14ac:dyDescent="0.3">
      <c r="A108" s="421" t="s">
        <v>424</v>
      </c>
      <c r="B108" s="422" t="s">
        <v>425</v>
      </c>
      <c r="C108" s="423" t="s">
        <v>429</v>
      </c>
      <c r="D108" s="424" t="s">
        <v>571</v>
      </c>
      <c r="E108" s="423" t="s">
        <v>991</v>
      </c>
      <c r="F108" s="424" t="s">
        <v>992</v>
      </c>
      <c r="G108" s="423" t="s">
        <v>797</v>
      </c>
      <c r="H108" s="423" t="s">
        <v>798</v>
      </c>
      <c r="I108" s="425">
        <v>155.13249999999999</v>
      </c>
      <c r="J108" s="425">
        <v>7</v>
      </c>
      <c r="K108" s="426">
        <v>1085.9499999999998</v>
      </c>
    </row>
    <row r="109" spans="1:11" ht="14.4" customHeight="1" x14ac:dyDescent="0.3">
      <c r="A109" s="421" t="s">
        <v>424</v>
      </c>
      <c r="B109" s="422" t="s">
        <v>425</v>
      </c>
      <c r="C109" s="423" t="s">
        <v>429</v>
      </c>
      <c r="D109" s="424" t="s">
        <v>571</v>
      </c>
      <c r="E109" s="423" t="s">
        <v>991</v>
      </c>
      <c r="F109" s="424" t="s">
        <v>992</v>
      </c>
      <c r="G109" s="423" t="s">
        <v>799</v>
      </c>
      <c r="H109" s="423" t="s">
        <v>800</v>
      </c>
      <c r="I109" s="425">
        <v>516.04999999999995</v>
      </c>
      <c r="J109" s="425">
        <v>1</v>
      </c>
      <c r="K109" s="426">
        <v>516.04999999999995</v>
      </c>
    </row>
    <row r="110" spans="1:11" ht="14.4" customHeight="1" x14ac:dyDescent="0.3">
      <c r="A110" s="421" t="s">
        <v>424</v>
      </c>
      <c r="B110" s="422" t="s">
        <v>425</v>
      </c>
      <c r="C110" s="423" t="s">
        <v>429</v>
      </c>
      <c r="D110" s="424" t="s">
        <v>571</v>
      </c>
      <c r="E110" s="423" t="s">
        <v>991</v>
      </c>
      <c r="F110" s="424" t="s">
        <v>992</v>
      </c>
      <c r="G110" s="423" t="s">
        <v>801</v>
      </c>
      <c r="H110" s="423" t="s">
        <v>802</v>
      </c>
      <c r="I110" s="425">
        <v>589</v>
      </c>
      <c r="J110" s="425">
        <v>4</v>
      </c>
      <c r="K110" s="426">
        <v>2356</v>
      </c>
    </row>
    <row r="111" spans="1:11" ht="14.4" customHeight="1" x14ac:dyDescent="0.3">
      <c r="A111" s="421" t="s">
        <v>424</v>
      </c>
      <c r="B111" s="422" t="s">
        <v>425</v>
      </c>
      <c r="C111" s="423" t="s">
        <v>429</v>
      </c>
      <c r="D111" s="424" t="s">
        <v>571</v>
      </c>
      <c r="E111" s="423" t="s">
        <v>991</v>
      </c>
      <c r="F111" s="424" t="s">
        <v>992</v>
      </c>
      <c r="G111" s="423" t="s">
        <v>803</v>
      </c>
      <c r="H111" s="423" t="s">
        <v>804</v>
      </c>
      <c r="I111" s="425">
        <v>3402</v>
      </c>
      <c r="J111" s="425">
        <v>1</v>
      </c>
      <c r="K111" s="426">
        <v>3402</v>
      </c>
    </row>
    <row r="112" spans="1:11" ht="14.4" customHeight="1" x14ac:dyDescent="0.3">
      <c r="A112" s="421" t="s">
        <v>424</v>
      </c>
      <c r="B112" s="422" t="s">
        <v>425</v>
      </c>
      <c r="C112" s="423" t="s">
        <v>429</v>
      </c>
      <c r="D112" s="424" t="s">
        <v>571</v>
      </c>
      <c r="E112" s="423" t="s">
        <v>991</v>
      </c>
      <c r="F112" s="424" t="s">
        <v>992</v>
      </c>
      <c r="G112" s="423" t="s">
        <v>805</v>
      </c>
      <c r="H112" s="423" t="s">
        <v>806</v>
      </c>
      <c r="I112" s="425">
        <v>71.39</v>
      </c>
      <c r="J112" s="425">
        <v>30</v>
      </c>
      <c r="K112" s="426">
        <v>2141.6999999999998</v>
      </c>
    </row>
    <row r="113" spans="1:11" ht="14.4" customHeight="1" x14ac:dyDescent="0.3">
      <c r="A113" s="421" t="s">
        <v>424</v>
      </c>
      <c r="B113" s="422" t="s">
        <v>425</v>
      </c>
      <c r="C113" s="423" t="s">
        <v>429</v>
      </c>
      <c r="D113" s="424" t="s">
        <v>571</v>
      </c>
      <c r="E113" s="423" t="s">
        <v>991</v>
      </c>
      <c r="F113" s="424" t="s">
        <v>992</v>
      </c>
      <c r="G113" s="423" t="s">
        <v>807</v>
      </c>
      <c r="H113" s="423" t="s">
        <v>808</v>
      </c>
      <c r="I113" s="425">
        <v>621</v>
      </c>
      <c r="J113" s="425">
        <v>2</v>
      </c>
      <c r="K113" s="426">
        <v>1242</v>
      </c>
    </row>
    <row r="114" spans="1:11" ht="14.4" customHeight="1" x14ac:dyDescent="0.3">
      <c r="A114" s="421" t="s">
        <v>424</v>
      </c>
      <c r="B114" s="422" t="s">
        <v>425</v>
      </c>
      <c r="C114" s="423" t="s">
        <v>429</v>
      </c>
      <c r="D114" s="424" t="s">
        <v>571</v>
      </c>
      <c r="E114" s="423" t="s">
        <v>991</v>
      </c>
      <c r="F114" s="424" t="s">
        <v>992</v>
      </c>
      <c r="G114" s="423" t="s">
        <v>809</v>
      </c>
      <c r="H114" s="423" t="s">
        <v>810</v>
      </c>
      <c r="I114" s="425">
        <v>3943.35</v>
      </c>
      <c r="J114" s="425">
        <v>2</v>
      </c>
      <c r="K114" s="426">
        <v>7886.7</v>
      </c>
    </row>
    <row r="115" spans="1:11" ht="14.4" customHeight="1" x14ac:dyDescent="0.3">
      <c r="A115" s="421" t="s">
        <v>424</v>
      </c>
      <c r="B115" s="422" t="s">
        <v>425</v>
      </c>
      <c r="C115" s="423" t="s">
        <v>429</v>
      </c>
      <c r="D115" s="424" t="s">
        <v>571</v>
      </c>
      <c r="E115" s="423" t="s">
        <v>991</v>
      </c>
      <c r="F115" s="424" t="s">
        <v>992</v>
      </c>
      <c r="G115" s="423" t="s">
        <v>811</v>
      </c>
      <c r="H115" s="423" t="s">
        <v>812</v>
      </c>
      <c r="I115" s="425">
        <v>45.98</v>
      </c>
      <c r="J115" s="425">
        <v>20</v>
      </c>
      <c r="K115" s="426">
        <v>919.61</v>
      </c>
    </row>
    <row r="116" spans="1:11" ht="14.4" customHeight="1" x14ac:dyDescent="0.3">
      <c r="A116" s="421" t="s">
        <v>424</v>
      </c>
      <c r="B116" s="422" t="s">
        <v>425</v>
      </c>
      <c r="C116" s="423" t="s">
        <v>429</v>
      </c>
      <c r="D116" s="424" t="s">
        <v>571</v>
      </c>
      <c r="E116" s="423" t="s">
        <v>991</v>
      </c>
      <c r="F116" s="424" t="s">
        <v>992</v>
      </c>
      <c r="G116" s="423" t="s">
        <v>813</v>
      </c>
      <c r="H116" s="423" t="s">
        <v>814</v>
      </c>
      <c r="I116" s="425">
        <v>580.79999999999995</v>
      </c>
      <c r="J116" s="425">
        <v>8</v>
      </c>
      <c r="K116" s="426">
        <v>4646.3999999999996</v>
      </c>
    </row>
    <row r="117" spans="1:11" ht="14.4" customHeight="1" x14ac:dyDescent="0.3">
      <c r="A117" s="421" t="s">
        <v>424</v>
      </c>
      <c r="B117" s="422" t="s">
        <v>425</v>
      </c>
      <c r="C117" s="423" t="s">
        <v>429</v>
      </c>
      <c r="D117" s="424" t="s">
        <v>571</v>
      </c>
      <c r="E117" s="423" t="s">
        <v>991</v>
      </c>
      <c r="F117" s="424" t="s">
        <v>992</v>
      </c>
      <c r="G117" s="423" t="s">
        <v>815</v>
      </c>
      <c r="H117" s="423" t="s">
        <v>816</v>
      </c>
      <c r="I117" s="425">
        <v>767.65</v>
      </c>
      <c r="J117" s="425">
        <v>1</v>
      </c>
      <c r="K117" s="426">
        <v>767.65</v>
      </c>
    </row>
    <row r="118" spans="1:11" ht="14.4" customHeight="1" x14ac:dyDescent="0.3">
      <c r="A118" s="421" t="s">
        <v>424</v>
      </c>
      <c r="B118" s="422" t="s">
        <v>425</v>
      </c>
      <c r="C118" s="423" t="s">
        <v>429</v>
      </c>
      <c r="D118" s="424" t="s">
        <v>571</v>
      </c>
      <c r="E118" s="423" t="s">
        <v>991</v>
      </c>
      <c r="F118" s="424" t="s">
        <v>992</v>
      </c>
      <c r="G118" s="423" t="s">
        <v>817</v>
      </c>
      <c r="H118" s="423" t="s">
        <v>818</v>
      </c>
      <c r="I118" s="425">
        <v>387.2</v>
      </c>
      <c r="J118" s="425">
        <v>2</v>
      </c>
      <c r="K118" s="426">
        <v>774.4</v>
      </c>
    </row>
    <row r="119" spans="1:11" ht="14.4" customHeight="1" x14ac:dyDescent="0.3">
      <c r="A119" s="421" t="s">
        <v>424</v>
      </c>
      <c r="B119" s="422" t="s">
        <v>425</v>
      </c>
      <c r="C119" s="423" t="s">
        <v>429</v>
      </c>
      <c r="D119" s="424" t="s">
        <v>571</v>
      </c>
      <c r="E119" s="423" t="s">
        <v>991</v>
      </c>
      <c r="F119" s="424" t="s">
        <v>992</v>
      </c>
      <c r="G119" s="423" t="s">
        <v>819</v>
      </c>
      <c r="H119" s="423" t="s">
        <v>820</v>
      </c>
      <c r="I119" s="425">
        <v>59.29</v>
      </c>
      <c r="J119" s="425">
        <v>30</v>
      </c>
      <c r="K119" s="426">
        <v>1778.7</v>
      </c>
    </row>
    <row r="120" spans="1:11" ht="14.4" customHeight="1" x14ac:dyDescent="0.3">
      <c r="A120" s="421" t="s">
        <v>424</v>
      </c>
      <c r="B120" s="422" t="s">
        <v>425</v>
      </c>
      <c r="C120" s="423" t="s">
        <v>429</v>
      </c>
      <c r="D120" s="424" t="s">
        <v>571</v>
      </c>
      <c r="E120" s="423" t="s">
        <v>991</v>
      </c>
      <c r="F120" s="424" t="s">
        <v>992</v>
      </c>
      <c r="G120" s="423" t="s">
        <v>821</v>
      </c>
      <c r="H120" s="423" t="s">
        <v>822</v>
      </c>
      <c r="I120" s="425">
        <v>591.64</v>
      </c>
      <c r="J120" s="425">
        <v>2</v>
      </c>
      <c r="K120" s="426">
        <v>1183.28</v>
      </c>
    </row>
    <row r="121" spans="1:11" ht="14.4" customHeight="1" x14ac:dyDescent="0.3">
      <c r="A121" s="421" t="s">
        <v>424</v>
      </c>
      <c r="B121" s="422" t="s">
        <v>425</v>
      </c>
      <c r="C121" s="423" t="s">
        <v>429</v>
      </c>
      <c r="D121" s="424" t="s">
        <v>571</v>
      </c>
      <c r="E121" s="423" t="s">
        <v>991</v>
      </c>
      <c r="F121" s="424" t="s">
        <v>992</v>
      </c>
      <c r="G121" s="423" t="s">
        <v>823</v>
      </c>
      <c r="H121" s="423" t="s">
        <v>824</v>
      </c>
      <c r="I121" s="425">
        <v>385.99</v>
      </c>
      <c r="J121" s="425">
        <v>5</v>
      </c>
      <c r="K121" s="426">
        <v>1929.95</v>
      </c>
    </row>
    <row r="122" spans="1:11" ht="14.4" customHeight="1" x14ac:dyDescent="0.3">
      <c r="A122" s="421" t="s">
        <v>424</v>
      </c>
      <c r="B122" s="422" t="s">
        <v>425</v>
      </c>
      <c r="C122" s="423" t="s">
        <v>429</v>
      </c>
      <c r="D122" s="424" t="s">
        <v>571</v>
      </c>
      <c r="E122" s="423" t="s">
        <v>991</v>
      </c>
      <c r="F122" s="424" t="s">
        <v>992</v>
      </c>
      <c r="G122" s="423" t="s">
        <v>825</v>
      </c>
      <c r="H122" s="423" t="s">
        <v>826</v>
      </c>
      <c r="I122" s="425">
        <v>3.72</v>
      </c>
      <c r="J122" s="425">
        <v>180</v>
      </c>
      <c r="K122" s="426">
        <v>668.85</v>
      </c>
    </row>
    <row r="123" spans="1:11" ht="14.4" customHeight="1" x14ac:dyDescent="0.3">
      <c r="A123" s="421" t="s">
        <v>424</v>
      </c>
      <c r="B123" s="422" t="s">
        <v>425</v>
      </c>
      <c r="C123" s="423" t="s">
        <v>429</v>
      </c>
      <c r="D123" s="424" t="s">
        <v>571</v>
      </c>
      <c r="E123" s="423" t="s">
        <v>991</v>
      </c>
      <c r="F123" s="424" t="s">
        <v>992</v>
      </c>
      <c r="G123" s="423" t="s">
        <v>827</v>
      </c>
      <c r="H123" s="423" t="s">
        <v>828</v>
      </c>
      <c r="I123" s="425">
        <v>126.44</v>
      </c>
      <c r="J123" s="425">
        <v>2</v>
      </c>
      <c r="K123" s="426">
        <v>252.89</v>
      </c>
    </row>
    <row r="124" spans="1:11" ht="14.4" customHeight="1" x14ac:dyDescent="0.3">
      <c r="A124" s="421" t="s">
        <v>424</v>
      </c>
      <c r="B124" s="422" t="s">
        <v>425</v>
      </c>
      <c r="C124" s="423" t="s">
        <v>429</v>
      </c>
      <c r="D124" s="424" t="s">
        <v>571</v>
      </c>
      <c r="E124" s="423" t="s">
        <v>991</v>
      </c>
      <c r="F124" s="424" t="s">
        <v>992</v>
      </c>
      <c r="G124" s="423" t="s">
        <v>829</v>
      </c>
      <c r="H124" s="423" t="s">
        <v>830</v>
      </c>
      <c r="I124" s="425">
        <v>323.06</v>
      </c>
      <c r="J124" s="425">
        <v>2</v>
      </c>
      <c r="K124" s="426">
        <v>646.12</v>
      </c>
    </row>
    <row r="125" spans="1:11" ht="14.4" customHeight="1" x14ac:dyDescent="0.3">
      <c r="A125" s="421" t="s">
        <v>424</v>
      </c>
      <c r="B125" s="422" t="s">
        <v>425</v>
      </c>
      <c r="C125" s="423" t="s">
        <v>429</v>
      </c>
      <c r="D125" s="424" t="s">
        <v>571</v>
      </c>
      <c r="E125" s="423" t="s">
        <v>991</v>
      </c>
      <c r="F125" s="424" t="s">
        <v>992</v>
      </c>
      <c r="G125" s="423" t="s">
        <v>831</v>
      </c>
      <c r="H125" s="423" t="s">
        <v>832</v>
      </c>
      <c r="I125" s="425">
        <v>1.7949999999999999</v>
      </c>
      <c r="J125" s="425">
        <v>500</v>
      </c>
      <c r="K125" s="426">
        <v>892.77</v>
      </c>
    </row>
    <row r="126" spans="1:11" ht="14.4" customHeight="1" x14ac:dyDescent="0.3">
      <c r="A126" s="421" t="s">
        <v>424</v>
      </c>
      <c r="B126" s="422" t="s">
        <v>425</v>
      </c>
      <c r="C126" s="423" t="s">
        <v>429</v>
      </c>
      <c r="D126" s="424" t="s">
        <v>571</v>
      </c>
      <c r="E126" s="423" t="s">
        <v>991</v>
      </c>
      <c r="F126" s="424" t="s">
        <v>992</v>
      </c>
      <c r="G126" s="423" t="s">
        <v>833</v>
      </c>
      <c r="H126" s="423" t="s">
        <v>834</v>
      </c>
      <c r="I126" s="425">
        <v>3353.05</v>
      </c>
      <c r="J126" s="425">
        <v>2</v>
      </c>
      <c r="K126" s="426">
        <v>6706.1</v>
      </c>
    </row>
    <row r="127" spans="1:11" ht="14.4" customHeight="1" x14ac:dyDescent="0.3">
      <c r="A127" s="421" t="s">
        <v>424</v>
      </c>
      <c r="B127" s="422" t="s">
        <v>425</v>
      </c>
      <c r="C127" s="423" t="s">
        <v>429</v>
      </c>
      <c r="D127" s="424" t="s">
        <v>571</v>
      </c>
      <c r="E127" s="423" t="s">
        <v>991</v>
      </c>
      <c r="F127" s="424" t="s">
        <v>992</v>
      </c>
      <c r="G127" s="423" t="s">
        <v>835</v>
      </c>
      <c r="H127" s="423" t="s">
        <v>836</v>
      </c>
      <c r="I127" s="425">
        <v>514.25</v>
      </c>
      <c r="J127" s="425">
        <v>1</v>
      </c>
      <c r="K127" s="426">
        <v>514.25</v>
      </c>
    </row>
    <row r="128" spans="1:11" ht="14.4" customHeight="1" x14ac:dyDescent="0.3">
      <c r="A128" s="421" t="s">
        <v>424</v>
      </c>
      <c r="B128" s="422" t="s">
        <v>425</v>
      </c>
      <c r="C128" s="423" t="s">
        <v>429</v>
      </c>
      <c r="D128" s="424" t="s">
        <v>571</v>
      </c>
      <c r="E128" s="423" t="s">
        <v>991</v>
      </c>
      <c r="F128" s="424" t="s">
        <v>992</v>
      </c>
      <c r="G128" s="423" t="s">
        <v>837</v>
      </c>
      <c r="H128" s="423" t="s">
        <v>838</v>
      </c>
      <c r="I128" s="425">
        <v>1.84</v>
      </c>
      <c r="J128" s="425">
        <v>200</v>
      </c>
      <c r="K128" s="426">
        <v>368.66</v>
      </c>
    </row>
    <row r="129" spans="1:11" ht="14.4" customHeight="1" x14ac:dyDescent="0.3">
      <c r="A129" s="421" t="s">
        <v>424</v>
      </c>
      <c r="B129" s="422" t="s">
        <v>425</v>
      </c>
      <c r="C129" s="423" t="s">
        <v>429</v>
      </c>
      <c r="D129" s="424" t="s">
        <v>571</v>
      </c>
      <c r="E129" s="423" t="s">
        <v>991</v>
      </c>
      <c r="F129" s="424" t="s">
        <v>992</v>
      </c>
      <c r="G129" s="423" t="s">
        <v>839</v>
      </c>
      <c r="H129" s="423" t="s">
        <v>840</v>
      </c>
      <c r="I129" s="425">
        <v>1.7949999999999999</v>
      </c>
      <c r="J129" s="425">
        <v>400</v>
      </c>
      <c r="K129" s="426">
        <v>718.09</v>
      </c>
    </row>
    <row r="130" spans="1:11" ht="14.4" customHeight="1" x14ac:dyDescent="0.3">
      <c r="A130" s="421" t="s">
        <v>424</v>
      </c>
      <c r="B130" s="422" t="s">
        <v>425</v>
      </c>
      <c r="C130" s="423" t="s">
        <v>429</v>
      </c>
      <c r="D130" s="424" t="s">
        <v>571</v>
      </c>
      <c r="E130" s="423" t="s">
        <v>991</v>
      </c>
      <c r="F130" s="424" t="s">
        <v>992</v>
      </c>
      <c r="G130" s="423" t="s">
        <v>841</v>
      </c>
      <c r="H130" s="423" t="s">
        <v>842</v>
      </c>
      <c r="I130" s="425">
        <v>962.41666666666663</v>
      </c>
      <c r="J130" s="425">
        <v>5</v>
      </c>
      <c r="K130" s="426">
        <v>4802.16</v>
      </c>
    </row>
    <row r="131" spans="1:11" ht="14.4" customHeight="1" x14ac:dyDescent="0.3">
      <c r="A131" s="421" t="s">
        <v>424</v>
      </c>
      <c r="B131" s="422" t="s">
        <v>425</v>
      </c>
      <c r="C131" s="423" t="s">
        <v>429</v>
      </c>
      <c r="D131" s="424" t="s">
        <v>571</v>
      </c>
      <c r="E131" s="423" t="s">
        <v>991</v>
      </c>
      <c r="F131" s="424" t="s">
        <v>992</v>
      </c>
      <c r="G131" s="423" t="s">
        <v>843</v>
      </c>
      <c r="H131" s="423" t="s">
        <v>844</v>
      </c>
      <c r="I131" s="425">
        <v>145.61000000000001</v>
      </c>
      <c r="J131" s="425">
        <v>26</v>
      </c>
      <c r="K131" s="426">
        <v>3785.96</v>
      </c>
    </row>
    <row r="132" spans="1:11" ht="14.4" customHeight="1" x14ac:dyDescent="0.3">
      <c r="A132" s="421" t="s">
        <v>424</v>
      </c>
      <c r="B132" s="422" t="s">
        <v>425</v>
      </c>
      <c r="C132" s="423" t="s">
        <v>429</v>
      </c>
      <c r="D132" s="424" t="s">
        <v>571</v>
      </c>
      <c r="E132" s="423" t="s">
        <v>991</v>
      </c>
      <c r="F132" s="424" t="s">
        <v>992</v>
      </c>
      <c r="G132" s="423" t="s">
        <v>845</v>
      </c>
      <c r="H132" s="423" t="s">
        <v>846</v>
      </c>
      <c r="I132" s="425">
        <v>37.51</v>
      </c>
      <c r="J132" s="425">
        <v>18</v>
      </c>
      <c r="K132" s="426">
        <v>675.18</v>
      </c>
    </row>
    <row r="133" spans="1:11" ht="14.4" customHeight="1" x14ac:dyDescent="0.3">
      <c r="A133" s="421" t="s">
        <v>424</v>
      </c>
      <c r="B133" s="422" t="s">
        <v>425</v>
      </c>
      <c r="C133" s="423" t="s">
        <v>429</v>
      </c>
      <c r="D133" s="424" t="s">
        <v>571</v>
      </c>
      <c r="E133" s="423" t="s">
        <v>991</v>
      </c>
      <c r="F133" s="424" t="s">
        <v>992</v>
      </c>
      <c r="G133" s="423" t="s">
        <v>847</v>
      </c>
      <c r="H133" s="423" t="s">
        <v>848</v>
      </c>
      <c r="I133" s="425">
        <v>71.39</v>
      </c>
      <c r="J133" s="425">
        <v>30</v>
      </c>
      <c r="K133" s="426">
        <v>2141.6999999999998</v>
      </c>
    </row>
    <row r="134" spans="1:11" ht="14.4" customHeight="1" x14ac:dyDescent="0.3">
      <c r="A134" s="421" t="s">
        <v>424</v>
      </c>
      <c r="B134" s="422" t="s">
        <v>425</v>
      </c>
      <c r="C134" s="423" t="s">
        <v>429</v>
      </c>
      <c r="D134" s="424" t="s">
        <v>571</v>
      </c>
      <c r="E134" s="423" t="s">
        <v>991</v>
      </c>
      <c r="F134" s="424" t="s">
        <v>992</v>
      </c>
      <c r="G134" s="423" t="s">
        <v>849</v>
      </c>
      <c r="H134" s="423" t="s">
        <v>850</v>
      </c>
      <c r="I134" s="425">
        <v>383.57</v>
      </c>
      <c r="J134" s="425">
        <v>2</v>
      </c>
      <c r="K134" s="426">
        <v>767.14</v>
      </c>
    </row>
    <row r="135" spans="1:11" ht="14.4" customHeight="1" x14ac:dyDescent="0.3">
      <c r="A135" s="421" t="s">
        <v>424</v>
      </c>
      <c r="B135" s="422" t="s">
        <v>425</v>
      </c>
      <c r="C135" s="423" t="s">
        <v>429</v>
      </c>
      <c r="D135" s="424" t="s">
        <v>571</v>
      </c>
      <c r="E135" s="423" t="s">
        <v>991</v>
      </c>
      <c r="F135" s="424" t="s">
        <v>992</v>
      </c>
      <c r="G135" s="423" t="s">
        <v>851</v>
      </c>
      <c r="H135" s="423" t="s">
        <v>852</v>
      </c>
      <c r="I135" s="425">
        <v>1004.01</v>
      </c>
      <c r="J135" s="425">
        <v>2</v>
      </c>
      <c r="K135" s="426">
        <v>2008.02</v>
      </c>
    </row>
    <row r="136" spans="1:11" ht="14.4" customHeight="1" x14ac:dyDescent="0.3">
      <c r="A136" s="421" t="s">
        <v>424</v>
      </c>
      <c r="B136" s="422" t="s">
        <v>425</v>
      </c>
      <c r="C136" s="423" t="s">
        <v>429</v>
      </c>
      <c r="D136" s="424" t="s">
        <v>571</v>
      </c>
      <c r="E136" s="423" t="s">
        <v>991</v>
      </c>
      <c r="F136" s="424" t="s">
        <v>992</v>
      </c>
      <c r="G136" s="423" t="s">
        <v>853</v>
      </c>
      <c r="H136" s="423" t="s">
        <v>854</v>
      </c>
      <c r="I136" s="425">
        <v>145.59</v>
      </c>
      <c r="J136" s="425">
        <v>41</v>
      </c>
      <c r="K136" s="426">
        <v>5969.19</v>
      </c>
    </row>
    <row r="137" spans="1:11" ht="14.4" customHeight="1" x14ac:dyDescent="0.3">
      <c r="A137" s="421" t="s">
        <v>424</v>
      </c>
      <c r="B137" s="422" t="s">
        <v>425</v>
      </c>
      <c r="C137" s="423" t="s">
        <v>429</v>
      </c>
      <c r="D137" s="424" t="s">
        <v>571</v>
      </c>
      <c r="E137" s="423" t="s">
        <v>991</v>
      </c>
      <c r="F137" s="424" t="s">
        <v>992</v>
      </c>
      <c r="G137" s="423" t="s">
        <v>855</v>
      </c>
      <c r="H137" s="423" t="s">
        <v>856</v>
      </c>
      <c r="I137" s="425">
        <v>172.99</v>
      </c>
      <c r="J137" s="425">
        <v>1</v>
      </c>
      <c r="K137" s="426">
        <v>172.99</v>
      </c>
    </row>
    <row r="138" spans="1:11" ht="14.4" customHeight="1" x14ac:dyDescent="0.3">
      <c r="A138" s="421" t="s">
        <v>424</v>
      </c>
      <c r="B138" s="422" t="s">
        <v>425</v>
      </c>
      <c r="C138" s="423" t="s">
        <v>429</v>
      </c>
      <c r="D138" s="424" t="s">
        <v>571</v>
      </c>
      <c r="E138" s="423" t="s">
        <v>991</v>
      </c>
      <c r="F138" s="424" t="s">
        <v>992</v>
      </c>
      <c r="G138" s="423" t="s">
        <v>857</v>
      </c>
      <c r="H138" s="423" t="s">
        <v>858</v>
      </c>
      <c r="I138" s="425">
        <v>1122.8800000000001</v>
      </c>
      <c r="J138" s="425">
        <v>2</v>
      </c>
      <c r="K138" s="426">
        <v>2245.75</v>
      </c>
    </row>
    <row r="139" spans="1:11" ht="14.4" customHeight="1" x14ac:dyDescent="0.3">
      <c r="A139" s="421" t="s">
        <v>424</v>
      </c>
      <c r="B139" s="422" t="s">
        <v>425</v>
      </c>
      <c r="C139" s="423" t="s">
        <v>429</v>
      </c>
      <c r="D139" s="424" t="s">
        <v>571</v>
      </c>
      <c r="E139" s="423" t="s">
        <v>991</v>
      </c>
      <c r="F139" s="424" t="s">
        <v>992</v>
      </c>
      <c r="G139" s="423" t="s">
        <v>859</v>
      </c>
      <c r="H139" s="423" t="s">
        <v>860</v>
      </c>
      <c r="I139" s="425">
        <v>370</v>
      </c>
      <c r="J139" s="425">
        <v>3</v>
      </c>
      <c r="K139" s="426">
        <v>1110</v>
      </c>
    </row>
    <row r="140" spans="1:11" ht="14.4" customHeight="1" x14ac:dyDescent="0.3">
      <c r="A140" s="421" t="s">
        <v>424</v>
      </c>
      <c r="B140" s="422" t="s">
        <v>425</v>
      </c>
      <c r="C140" s="423" t="s">
        <v>429</v>
      </c>
      <c r="D140" s="424" t="s">
        <v>571</v>
      </c>
      <c r="E140" s="423" t="s">
        <v>991</v>
      </c>
      <c r="F140" s="424" t="s">
        <v>992</v>
      </c>
      <c r="G140" s="423" t="s">
        <v>861</v>
      </c>
      <c r="H140" s="423" t="s">
        <v>862</v>
      </c>
      <c r="I140" s="425">
        <v>100.01</v>
      </c>
      <c r="J140" s="425">
        <v>4</v>
      </c>
      <c r="K140" s="426">
        <v>400.03</v>
      </c>
    </row>
    <row r="141" spans="1:11" ht="14.4" customHeight="1" x14ac:dyDescent="0.3">
      <c r="A141" s="421" t="s">
        <v>424</v>
      </c>
      <c r="B141" s="422" t="s">
        <v>425</v>
      </c>
      <c r="C141" s="423" t="s">
        <v>429</v>
      </c>
      <c r="D141" s="424" t="s">
        <v>571</v>
      </c>
      <c r="E141" s="423" t="s">
        <v>991</v>
      </c>
      <c r="F141" s="424" t="s">
        <v>992</v>
      </c>
      <c r="G141" s="423" t="s">
        <v>863</v>
      </c>
      <c r="H141" s="423" t="s">
        <v>864</v>
      </c>
      <c r="I141" s="425">
        <v>3.83</v>
      </c>
      <c r="J141" s="425">
        <v>400</v>
      </c>
      <c r="K141" s="426">
        <v>1533.0700000000002</v>
      </c>
    </row>
    <row r="142" spans="1:11" ht="14.4" customHeight="1" x14ac:dyDescent="0.3">
      <c r="A142" s="421" t="s">
        <v>424</v>
      </c>
      <c r="B142" s="422" t="s">
        <v>425</v>
      </c>
      <c r="C142" s="423" t="s">
        <v>429</v>
      </c>
      <c r="D142" s="424" t="s">
        <v>571</v>
      </c>
      <c r="E142" s="423" t="s">
        <v>991</v>
      </c>
      <c r="F142" s="424" t="s">
        <v>992</v>
      </c>
      <c r="G142" s="423" t="s">
        <v>865</v>
      </c>
      <c r="H142" s="423" t="s">
        <v>866</v>
      </c>
      <c r="I142" s="425">
        <v>1.84</v>
      </c>
      <c r="J142" s="425">
        <v>200</v>
      </c>
      <c r="K142" s="426">
        <v>368.66</v>
      </c>
    </row>
    <row r="143" spans="1:11" ht="14.4" customHeight="1" x14ac:dyDescent="0.3">
      <c r="A143" s="421" t="s">
        <v>424</v>
      </c>
      <c r="B143" s="422" t="s">
        <v>425</v>
      </c>
      <c r="C143" s="423" t="s">
        <v>429</v>
      </c>
      <c r="D143" s="424" t="s">
        <v>571</v>
      </c>
      <c r="E143" s="423" t="s">
        <v>991</v>
      </c>
      <c r="F143" s="424" t="s">
        <v>992</v>
      </c>
      <c r="G143" s="423" t="s">
        <v>867</v>
      </c>
      <c r="H143" s="423" t="s">
        <v>868</v>
      </c>
      <c r="I143" s="425">
        <v>865.15</v>
      </c>
      <c r="J143" s="425">
        <v>1</v>
      </c>
      <c r="K143" s="426">
        <v>865.15</v>
      </c>
    </row>
    <row r="144" spans="1:11" ht="14.4" customHeight="1" x14ac:dyDescent="0.3">
      <c r="A144" s="421" t="s">
        <v>424</v>
      </c>
      <c r="B144" s="422" t="s">
        <v>425</v>
      </c>
      <c r="C144" s="423" t="s">
        <v>429</v>
      </c>
      <c r="D144" s="424" t="s">
        <v>571</v>
      </c>
      <c r="E144" s="423" t="s">
        <v>991</v>
      </c>
      <c r="F144" s="424" t="s">
        <v>992</v>
      </c>
      <c r="G144" s="423" t="s">
        <v>869</v>
      </c>
      <c r="H144" s="423" t="s">
        <v>870</v>
      </c>
      <c r="I144" s="425">
        <v>2731</v>
      </c>
      <c r="J144" s="425">
        <v>4</v>
      </c>
      <c r="K144" s="426">
        <v>10923.99</v>
      </c>
    </row>
    <row r="145" spans="1:11" ht="14.4" customHeight="1" x14ac:dyDescent="0.3">
      <c r="A145" s="421" t="s">
        <v>424</v>
      </c>
      <c r="B145" s="422" t="s">
        <v>425</v>
      </c>
      <c r="C145" s="423" t="s">
        <v>429</v>
      </c>
      <c r="D145" s="424" t="s">
        <v>571</v>
      </c>
      <c r="E145" s="423" t="s">
        <v>991</v>
      </c>
      <c r="F145" s="424" t="s">
        <v>992</v>
      </c>
      <c r="G145" s="423" t="s">
        <v>871</v>
      </c>
      <c r="H145" s="423" t="s">
        <v>872</v>
      </c>
      <c r="I145" s="425">
        <v>11.5</v>
      </c>
      <c r="J145" s="425">
        <v>90</v>
      </c>
      <c r="K145" s="426">
        <v>1035</v>
      </c>
    </row>
    <row r="146" spans="1:11" ht="14.4" customHeight="1" x14ac:dyDescent="0.3">
      <c r="A146" s="421" t="s">
        <v>424</v>
      </c>
      <c r="B146" s="422" t="s">
        <v>425</v>
      </c>
      <c r="C146" s="423" t="s">
        <v>429</v>
      </c>
      <c r="D146" s="424" t="s">
        <v>571</v>
      </c>
      <c r="E146" s="423" t="s">
        <v>991</v>
      </c>
      <c r="F146" s="424" t="s">
        <v>992</v>
      </c>
      <c r="G146" s="423" t="s">
        <v>873</v>
      </c>
      <c r="H146" s="423" t="s">
        <v>874</v>
      </c>
      <c r="I146" s="425">
        <v>145.6</v>
      </c>
      <c r="J146" s="425">
        <v>29</v>
      </c>
      <c r="K146" s="426">
        <v>4222.3599999999997</v>
      </c>
    </row>
    <row r="147" spans="1:11" ht="14.4" customHeight="1" x14ac:dyDescent="0.3">
      <c r="A147" s="421" t="s">
        <v>424</v>
      </c>
      <c r="B147" s="422" t="s">
        <v>425</v>
      </c>
      <c r="C147" s="423" t="s">
        <v>429</v>
      </c>
      <c r="D147" s="424" t="s">
        <v>571</v>
      </c>
      <c r="E147" s="423" t="s">
        <v>991</v>
      </c>
      <c r="F147" s="424" t="s">
        <v>992</v>
      </c>
      <c r="G147" s="423" t="s">
        <v>875</v>
      </c>
      <c r="H147" s="423" t="s">
        <v>876</v>
      </c>
      <c r="I147" s="425">
        <v>1.7949999999999999</v>
      </c>
      <c r="J147" s="425">
        <v>400</v>
      </c>
      <c r="K147" s="426">
        <v>718.06999999999994</v>
      </c>
    </row>
    <row r="148" spans="1:11" ht="14.4" customHeight="1" x14ac:dyDescent="0.3">
      <c r="A148" s="421" t="s">
        <v>424</v>
      </c>
      <c r="B148" s="422" t="s">
        <v>425</v>
      </c>
      <c r="C148" s="423" t="s">
        <v>429</v>
      </c>
      <c r="D148" s="424" t="s">
        <v>571</v>
      </c>
      <c r="E148" s="423" t="s">
        <v>991</v>
      </c>
      <c r="F148" s="424" t="s">
        <v>992</v>
      </c>
      <c r="G148" s="423" t="s">
        <v>877</v>
      </c>
      <c r="H148" s="423" t="s">
        <v>878</v>
      </c>
      <c r="I148" s="425">
        <v>473.11</v>
      </c>
      <c r="J148" s="425">
        <v>2</v>
      </c>
      <c r="K148" s="426">
        <v>946.22</v>
      </c>
    </row>
    <row r="149" spans="1:11" ht="14.4" customHeight="1" x14ac:dyDescent="0.3">
      <c r="A149" s="421" t="s">
        <v>424</v>
      </c>
      <c r="B149" s="422" t="s">
        <v>425</v>
      </c>
      <c r="C149" s="423" t="s">
        <v>429</v>
      </c>
      <c r="D149" s="424" t="s">
        <v>571</v>
      </c>
      <c r="E149" s="423" t="s">
        <v>991</v>
      </c>
      <c r="F149" s="424" t="s">
        <v>992</v>
      </c>
      <c r="G149" s="423" t="s">
        <v>879</v>
      </c>
      <c r="H149" s="423" t="s">
        <v>880</v>
      </c>
      <c r="I149" s="425">
        <v>2432.1</v>
      </c>
      <c r="J149" s="425">
        <v>1</v>
      </c>
      <c r="K149" s="426">
        <v>2432.1</v>
      </c>
    </row>
    <row r="150" spans="1:11" ht="14.4" customHeight="1" x14ac:dyDescent="0.3">
      <c r="A150" s="421" t="s">
        <v>424</v>
      </c>
      <c r="B150" s="422" t="s">
        <v>425</v>
      </c>
      <c r="C150" s="423" t="s">
        <v>429</v>
      </c>
      <c r="D150" s="424" t="s">
        <v>571</v>
      </c>
      <c r="E150" s="423" t="s">
        <v>991</v>
      </c>
      <c r="F150" s="424" t="s">
        <v>992</v>
      </c>
      <c r="G150" s="423" t="s">
        <v>881</v>
      </c>
      <c r="H150" s="423" t="s">
        <v>882</v>
      </c>
      <c r="I150" s="425">
        <v>98.31</v>
      </c>
      <c r="J150" s="425">
        <v>12</v>
      </c>
      <c r="K150" s="426">
        <v>1179.75</v>
      </c>
    </row>
    <row r="151" spans="1:11" ht="14.4" customHeight="1" x14ac:dyDescent="0.3">
      <c r="A151" s="421" t="s">
        <v>424</v>
      </c>
      <c r="B151" s="422" t="s">
        <v>425</v>
      </c>
      <c r="C151" s="423" t="s">
        <v>429</v>
      </c>
      <c r="D151" s="424" t="s">
        <v>571</v>
      </c>
      <c r="E151" s="423" t="s">
        <v>991</v>
      </c>
      <c r="F151" s="424" t="s">
        <v>992</v>
      </c>
      <c r="G151" s="423" t="s">
        <v>883</v>
      </c>
      <c r="H151" s="423" t="s">
        <v>884</v>
      </c>
      <c r="I151" s="425">
        <v>73.81</v>
      </c>
      <c r="J151" s="425">
        <v>6</v>
      </c>
      <c r="K151" s="426">
        <v>442.86</v>
      </c>
    </row>
    <row r="152" spans="1:11" ht="14.4" customHeight="1" x14ac:dyDescent="0.3">
      <c r="A152" s="421" t="s">
        <v>424</v>
      </c>
      <c r="B152" s="422" t="s">
        <v>425</v>
      </c>
      <c r="C152" s="423" t="s">
        <v>429</v>
      </c>
      <c r="D152" s="424" t="s">
        <v>571</v>
      </c>
      <c r="E152" s="423" t="s">
        <v>991</v>
      </c>
      <c r="F152" s="424" t="s">
        <v>992</v>
      </c>
      <c r="G152" s="423" t="s">
        <v>885</v>
      </c>
      <c r="H152" s="423" t="s">
        <v>886</v>
      </c>
      <c r="I152" s="425">
        <v>1115</v>
      </c>
      <c r="J152" s="425">
        <v>1</v>
      </c>
      <c r="K152" s="426">
        <v>1115</v>
      </c>
    </row>
    <row r="153" spans="1:11" ht="14.4" customHeight="1" x14ac:dyDescent="0.3">
      <c r="A153" s="421" t="s">
        <v>424</v>
      </c>
      <c r="B153" s="422" t="s">
        <v>425</v>
      </c>
      <c r="C153" s="423" t="s">
        <v>429</v>
      </c>
      <c r="D153" s="424" t="s">
        <v>571</v>
      </c>
      <c r="E153" s="423" t="s">
        <v>991</v>
      </c>
      <c r="F153" s="424" t="s">
        <v>992</v>
      </c>
      <c r="G153" s="423" t="s">
        <v>887</v>
      </c>
      <c r="H153" s="423" t="s">
        <v>888</v>
      </c>
      <c r="I153" s="425">
        <v>913.49</v>
      </c>
      <c r="J153" s="425">
        <v>1</v>
      </c>
      <c r="K153" s="426">
        <v>913.49</v>
      </c>
    </row>
    <row r="154" spans="1:11" ht="14.4" customHeight="1" x14ac:dyDescent="0.3">
      <c r="A154" s="421" t="s">
        <v>424</v>
      </c>
      <c r="B154" s="422" t="s">
        <v>425</v>
      </c>
      <c r="C154" s="423" t="s">
        <v>429</v>
      </c>
      <c r="D154" s="424" t="s">
        <v>571</v>
      </c>
      <c r="E154" s="423" t="s">
        <v>991</v>
      </c>
      <c r="F154" s="424" t="s">
        <v>992</v>
      </c>
      <c r="G154" s="423" t="s">
        <v>889</v>
      </c>
      <c r="H154" s="423" t="s">
        <v>890</v>
      </c>
      <c r="I154" s="425">
        <v>124.63</v>
      </c>
      <c r="J154" s="425">
        <v>20</v>
      </c>
      <c r="K154" s="426">
        <v>2492.6</v>
      </c>
    </row>
    <row r="155" spans="1:11" ht="14.4" customHeight="1" x14ac:dyDescent="0.3">
      <c r="A155" s="421" t="s">
        <v>424</v>
      </c>
      <c r="B155" s="422" t="s">
        <v>425</v>
      </c>
      <c r="C155" s="423" t="s">
        <v>429</v>
      </c>
      <c r="D155" s="424" t="s">
        <v>571</v>
      </c>
      <c r="E155" s="423" t="s">
        <v>991</v>
      </c>
      <c r="F155" s="424" t="s">
        <v>992</v>
      </c>
      <c r="G155" s="423" t="s">
        <v>891</v>
      </c>
      <c r="H155" s="423" t="s">
        <v>892</v>
      </c>
      <c r="I155" s="425">
        <v>379.94</v>
      </c>
      <c r="J155" s="425">
        <v>2</v>
      </c>
      <c r="K155" s="426">
        <v>759.88</v>
      </c>
    </row>
    <row r="156" spans="1:11" ht="14.4" customHeight="1" x14ac:dyDescent="0.3">
      <c r="A156" s="421" t="s">
        <v>424</v>
      </c>
      <c r="B156" s="422" t="s">
        <v>425</v>
      </c>
      <c r="C156" s="423" t="s">
        <v>429</v>
      </c>
      <c r="D156" s="424" t="s">
        <v>571</v>
      </c>
      <c r="E156" s="423" t="s">
        <v>991</v>
      </c>
      <c r="F156" s="424" t="s">
        <v>992</v>
      </c>
      <c r="G156" s="423" t="s">
        <v>893</v>
      </c>
      <c r="H156" s="423" t="s">
        <v>894</v>
      </c>
      <c r="I156" s="425">
        <v>19.96</v>
      </c>
      <c r="J156" s="425">
        <v>10</v>
      </c>
      <c r="K156" s="426">
        <v>199.65</v>
      </c>
    </row>
    <row r="157" spans="1:11" ht="14.4" customHeight="1" x14ac:dyDescent="0.3">
      <c r="A157" s="421" t="s">
        <v>424</v>
      </c>
      <c r="B157" s="422" t="s">
        <v>425</v>
      </c>
      <c r="C157" s="423" t="s">
        <v>429</v>
      </c>
      <c r="D157" s="424" t="s">
        <v>571</v>
      </c>
      <c r="E157" s="423" t="s">
        <v>991</v>
      </c>
      <c r="F157" s="424" t="s">
        <v>992</v>
      </c>
      <c r="G157" s="423" t="s">
        <v>895</v>
      </c>
      <c r="H157" s="423" t="s">
        <v>896</v>
      </c>
      <c r="I157" s="425">
        <v>144.66999999999999</v>
      </c>
      <c r="J157" s="425">
        <v>6</v>
      </c>
      <c r="K157" s="426">
        <v>868</v>
      </c>
    </row>
    <row r="158" spans="1:11" ht="14.4" customHeight="1" x14ac:dyDescent="0.3">
      <c r="A158" s="421" t="s">
        <v>424</v>
      </c>
      <c r="B158" s="422" t="s">
        <v>425</v>
      </c>
      <c r="C158" s="423" t="s">
        <v>429</v>
      </c>
      <c r="D158" s="424" t="s">
        <v>571</v>
      </c>
      <c r="E158" s="423" t="s">
        <v>991</v>
      </c>
      <c r="F158" s="424" t="s">
        <v>992</v>
      </c>
      <c r="G158" s="423" t="s">
        <v>897</v>
      </c>
      <c r="H158" s="423" t="s">
        <v>898</v>
      </c>
      <c r="I158" s="425">
        <v>3.14</v>
      </c>
      <c r="J158" s="425">
        <v>300</v>
      </c>
      <c r="K158" s="426">
        <v>927.78</v>
      </c>
    </row>
    <row r="159" spans="1:11" ht="14.4" customHeight="1" x14ac:dyDescent="0.3">
      <c r="A159" s="421" t="s">
        <v>424</v>
      </c>
      <c r="B159" s="422" t="s">
        <v>425</v>
      </c>
      <c r="C159" s="423" t="s">
        <v>429</v>
      </c>
      <c r="D159" s="424" t="s">
        <v>571</v>
      </c>
      <c r="E159" s="423" t="s">
        <v>991</v>
      </c>
      <c r="F159" s="424" t="s">
        <v>992</v>
      </c>
      <c r="G159" s="423" t="s">
        <v>899</v>
      </c>
      <c r="H159" s="423" t="s">
        <v>900</v>
      </c>
      <c r="I159" s="425">
        <v>98.82</v>
      </c>
      <c r="J159" s="425">
        <v>12</v>
      </c>
      <c r="K159" s="426">
        <v>1185.8</v>
      </c>
    </row>
    <row r="160" spans="1:11" ht="14.4" customHeight="1" x14ac:dyDescent="0.3">
      <c r="A160" s="421" t="s">
        <v>424</v>
      </c>
      <c r="B160" s="422" t="s">
        <v>425</v>
      </c>
      <c r="C160" s="423" t="s">
        <v>429</v>
      </c>
      <c r="D160" s="424" t="s">
        <v>571</v>
      </c>
      <c r="E160" s="423" t="s">
        <v>991</v>
      </c>
      <c r="F160" s="424" t="s">
        <v>992</v>
      </c>
      <c r="G160" s="423" t="s">
        <v>901</v>
      </c>
      <c r="H160" s="423" t="s">
        <v>902</v>
      </c>
      <c r="I160" s="425">
        <v>69.37</v>
      </c>
      <c r="J160" s="425">
        <v>6</v>
      </c>
      <c r="K160" s="426">
        <v>416.24</v>
      </c>
    </row>
    <row r="161" spans="1:11" ht="14.4" customHeight="1" x14ac:dyDescent="0.3">
      <c r="A161" s="421" t="s">
        <v>424</v>
      </c>
      <c r="B161" s="422" t="s">
        <v>425</v>
      </c>
      <c r="C161" s="423" t="s">
        <v>429</v>
      </c>
      <c r="D161" s="424" t="s">
        <v>571</v>
      </c>
      <c r="E161" s="423" t="s">
        <v>991</v>
      </c>
      <c r="F161" s="424" t="s">
        <v>992</v>
      </c>
      <c r="G161" s="423" t="s">
        <v>903</v>
      </c>
      <c r="H161" s="423" t="s">
        <v>904</v>
      </c>
      <c r="I161" s="425">
        <v>363</v>
      </c>
      <c r="J161" s="425">
        <v>1</v>
      </c>
      <c r="K161" s="426">
        <v>363</v>
      </c>
    </row>
    <row r="162" spans="1:11" ht="14.4" customHeight="1" x14ac:dyDescent="0.3">
      <c r="A162" s="421" t="s">
        <v>424</v>
      </c>
      <c r="B162" s="422" t="s">
        <v>425</v>
      </c>
      <c r="C162" s="423" t="s">
        <v>429</v>
      </c>
      <c r="D162" s="424" t="s">
        <v>571</v>
      </c>
      <c r="E162" s="423" t="s">
        <v>991</v>
      </c>
      <c r="F162" s="424" t="s">
        <v>992</v>
      </c>
      <c r="G162" s="423" t="s">
        <v>905</v>
      </c>
      <c r="H162" s="423" t="s">
        <v>906</v>
      </c>
      <c r="I162" s="425">
        <v>402.93</v>
      </c>
      <c r="J162" s="425">
        <v>1</v>
      </c>
      <c r="K162" s="426">
        <v>402.93</v>
      </c>
    </row>
    <row r="163" spans="1:11" ht="14.4" customHeight="1" x14ac:dyDescent="0.3">
      <c r="A163" s="421" t="s">
        <v>424</v>
      </c>
      <c r="B163" s="422" t="s">
        <v>425</v>
      </c>
      <c r="C163" s="423" t="s">
        <v>429</v>
      </c>
      <c r="D163" s="424" t="s">
        <v>571</v>
      </c>
      <c r="E163" s="423" t="s">
        <v>991</v>
      </c>
      <c r="F163" s="424" t="s">
        <v>992</v>
      </c>
      <c r="G163" s="423" t="s">
        <v>907</v>
      </c>
      <c r="H163" s="423" t="s">
        <v>908</v>
      </c>
      <c r="I163" s="425">
        <v>3.72</v>
      </c>
      <c r="J163" s="425">
        <v>120</v>
      </c>
      <c r="K163" s="426">
        <v>445.9</v>
      </c>
    </row>
    <row r="164" spans="1:11" ht="14.4" customHeight="1" x14ac:dyDescent="0.3">
      <c r="A164" s="421" t="s">
        <v>424</v>
      </c>
      <c r="B164" s="422" t="s">
        <v>425</v>
      </c>
      <c r="C164" s="423" t="s">
        <v>429</v>
      </c>
      <c r="D164" s="424" t="s">
        <v>571</v>
      </c>
      <c r="E164" s="423" t="s">
        <v>991</v>
      </c>
      <c r="F164" s="424" t="s">
        <v>992</v>
      </c>
      <c r="G164" s="423" t="s">
        <v>909</v>
      </c>
      <c r="H164" s="423" t="s">
        <v>910</v>
      </c>
      <c r="I164" s="425">
        <v>3.72</v>
      </c>
      <c r="J164" s="425">
        <v>120</v>
      </c>
      <c r="K164" s="426">
        <v>445.9</v>
      </c>
    </row>
    <row r="165" spans="1:11" ht="14.4" customHeight="1" x14ac:dyDescent="0.3">
      <c r="A165" s="421" t="s">
        <v>424</v>
      </c>
      <c r="B165" s="422" t="s">
        <v>425</v>
      </c>
      <c r="C165" s="423" t="s">
        <v>429</v>
      </c>
      <c r="D165" s="424" t="s">
        <v>571</v>
      </c>
      <c r="E165" s="423" t="s">
        <v>991</v>
      </c>
      <c r="F165" s="424" t="s">
        <v>992</v>
      </c>
      <c r="G165" s="423" t="s">
        <v>911</v>
      </c>
      <c r="H165" s="423" t="s">
        <v>912</v>
      </c>
      <c r="I165" s="425">
        <v>5.35</v>
      </c>
      <c r="J165" s="425">
        <v>60</v>
      </c>
      <c r="K165" s="426">
        <v>321.10000000000002</v>
      </c>
    </row>
    <row r="166" spans="1:11" ht="14.4" customHeight="1" x14ac:dyDescent="0.3">
      <c r="A166" s="421" t="s">
        <v>424</v>
      </c>
      <c r="B166" s="422" t="s">
        <v>425</v>
      </c>
      <c r="C166" s="423" t="s">
        <v>429</v>
      </c>
      <c r="D166" s="424" t="s">
        <v>571</v>
      </c>
      <c r="E166" s="423" t="s">
        <v>991</v>
      </c>
      <c r="F166" s="424" t="s">
        <v>992</v>
      </c>
      <c r="G166" s="423" t="s">
        <v>913</v>
      </c>
      <c r="H166" s="423" t="s">
        <v>914</v>
      </c>
      <c r="I166" s="425">
        <v>126.89</v>
      </c>
      <c r="J166" s="425">
        <v>5</v>
      </c>
      <c r="K166" s="426">
        <v>634.46</v>
      </c>
    </row>
    <row r="167" spans="1:11" ht="14.4" customHeight="1" x14ac:dyDescent="0.3">
      <c r="A167" s="421" t="s">
        <v>424</v>
      </c>
      <c r="B167" s="422" t="s">
        <v>425</v>
      </c>
      <c r="C167" s="423" t="s">
        <v>429</v>
      </c>
      <c r="D167" s="424" t="s">
        <v>571</v>
      </c>
      <c r="E167" s="423" t="s">
        <v>991</v>
      </c>
      <c r="F167" s="424" t="s">
        <v>992</v>
      </c>
      <c r="G167" s="423" t="s">
        <v>915</v>
      </c>
      <c r="H167" s="423" t="s">
        <v>916</v>
      </c>
      <c r="I167" s="425">
        <v>1681.01</v>
      </c>
      <c r="J167" s="425">
        <v>2</v>
      </c>
      <c r="K167" s="426">
        <v>3362.01</v>
      </c>
    </row>
    <row r="168" spans="1:11" ht="14.4" customHeight="1" x14ac:dyDescent="0.3">
      <c r="A168" s="421" t="s">
        <v>424</v>
      </c>
      <c r="B168" s="422" t="s">
        <v>425</v>
      </c>
      <c r="C168" s="423" t="s">
        <v>429</v>
      </c>
      <c r="D168" s="424" t="s">
        <v>571</v>
      </c>
      <c r="E168" s="423" t="s">
        <v>991</v>
      </c>
      <c r="F168" s="424" t="s">
        <v>992</v>
      </c>
      <c r="G168" s="423" t="s">
        <v>917</v>
      </c>
      <c r="H168" s="423" t="s">
        <v>918</v>
      </c>
      <c r="I168" s="425">
        <v>184.53</v>
      </c>
      <c r="J168" s="425">
        <v>6</v>
      </c>
      <c r="K168" s="426">
        <v>1107.1500000000001</v>
      </c>
    </row>
    <row r="169" spans="1:11" ht="14.4" customHeight="1" x14ac:dyDescent="0.3">
      <c r="A169" s="421" t="s">
        <v>424</v>
      </c>
      <c r="B169" s="422" t="s">
        <v>425</v>
      </c>
      <c r="C169" s="423" t="s">
        <v>429</v>
      </c>
      <c r="D169" s="424" t="s">
        <v>571</v>
      </c>
      <c r="E169" s="423" t="s">
        <v>991</v>
      </c>
      <c r="F169" s="424" t="s">
        <v>992</v>
      </c>
      <c r="G169" s="423" t="s">
        <v>919</v>
      </c>
      <c r="H169" s="423" t="s">
        <v>920</v>
      </c>
      <c r="I169" s="425">
        <v>59.29</v>
      </c>
      <c r="J169" s="425">
        <v>30</v>
      </c>
      <c r="K169" s="426">
        <v>1778.7</v>
      </c>
    </row>
    <row r="170" spans="1:11" ht="14.4" customHeight="1" x14ac:dyDescent="0.3">
      <c r="A170" s="421" t="s">
        <v>424</v>
      </c>
      <c r="B170" s="422" t="s">
        <v>425</v>
      </c>
      <c r="C170" s="423" t="s">
        <v>429</v>
      </c>
      <c r="D170" s="424" t="s">
        <v>571</v>
      </c>
      <c r="E170" s="423" t="s">
        <v>991</v>
      </c>
      <c r="F170" s="424" t="s">
        <v>992</v>
      </c>
      <c r="G170" s="423" t="s">
        <v>921</v>
      </c>
      <c r="H170" s="423" t="s">
        <v>922</v>
      </c>
      <c r="I170" s="425">
        <v>1.84</v>
      </c>
      <c r="J170" s="425">
        <v>200</v>
      </c>
      <c r="K170" s="426">
        <v>368.67</v>
      </c>
    </row>
    <row r="171" spans="1:11" ht="14.4" customHeight="1" x14ac:dyDescent="0.3">
      <c r="A171" s="421" t="s">
        <v>424</v>
      </c>
      <c r="B171" s="422" t="s">
        <v>425</v>
      </c>
      <c r="C171" s="423" t="s">
        <v>429</v>
      </c>
      <c r="D171" s="424" t="s">
        <v>571</v>
      </c>
      <c r="E171" s="423" t="s">
        <v>991</v>
      </c>
      <c r="F171" s="424" t="s">
        <v>992</v>
      </c>
      <c r="G171" s="423" t="s">
        <v>923</v>
      </c>
      <c r="H171" s="423" t="s">
        <v>924</v>
      </c>
      <c r="I171" s="425">
        <v>665</v>
      </c>
      <c r="J171" s="425">
        <v>2</v>
      </c>
      <c r="K171" s="426">
        <v>1330</v>
      </c>
    </row>
    <row r="172" spans="1:11" ht="14.4" customHeight="1" x14ac:dyDescent="0.3">
      <c r="A172" s="421" t="s">
        <v>424</v>
      </c>
      <c r="B172" s="422" t="s">
        <v>425</v>
      </c>
      <c r="C172" s="423" t="s">
        <v>429</v>
      </c>
      <c r="D172" s="424" t="s">
        <v>571</v>
      </c>
      <c r="E172" s="423" t="s">
        <v>991</v>
      </c>
      <c r="F172" s="424" t="s">
        <v>992</v>
      </c>
      <c r="G172" s="423" t="s">
        <v>925</v>
      </c>
      <c r="H172" s="423" t="s">
        <v>926</v>
      </c>
      <c r="I172" s="425">
        <v>59.29</v>
      </c>
      <c r="J172" s="425">
        <v>60</v>
      </c>
      <c r="K172" s="426">
        <v>3557.4</v>
      </c>
    </row>
    <row r="173" spans="1:11" ht="14.4" customHeight="1" x14ac:dyDescent="0.3">
      <c r="A173" s="421" t="s">
        <v>424</v>
      </c>
      <c r="B173" s="422" t="s">
        <v>425</v>
      </c>
      <c r="C173" s="423" t="s">
        <v>429</v>
      </c>
      <c r="D173" s="424" t="s">
        <v>571</v>
      </c>
      <c r="E173" s="423" t="s">
        <v>991</v>
      </c>
      <c r="F173" s="424" t="s">
        <v>992</v>
      </c>
      <c r="G173" s="423" t="s">
        <v>927</v>
      </c>
      <c r="H173" s="423" t="s">
        <v>928</v>
      </c>
      <c r="I173" s="425">
        <v>309.35000000000002</v>
      </c>
      <c r="J173" s="425">
        <v>6</v>
      </c>
      <c r="K173" s="426">
        <v>1856.1</v>
      </c>
    </row>
    <row r="174" spans="1:11" ht="14.4" customHeight="1" x14ac:dyDescent="0.3">
      <c r="A174" s="421" t="s">
        <v>424</v>
      </c>
      <c r="B174" s="422" t="s">
        <v>425</v>
      </c>
      <c r="C174" s="423" t="s">
        <v>429</v>
      </c>
      <c r="D174" s="424" t="s">
        <v>571</v>
      </c>
      <c r="E174" s="423" t="s">
        <v>991</v>
      </c>
      <c r="F174" s="424" t="s">
        <v>992</v>
      </c>
      <c r="G174" s="423" t="s">
        <v>929</v>
      </c>
      <c r="H174" s="423" t="s">
        <v>930</v>
      </c>
      <c r="I174" s="425">
        <v>1924</v>
      </c>
      <c r="J174" s="425">
        <v>1</v>
      </c>
      <c r="K174" s="426">
        <v>1924</v>
      </c>
    </row>
    <row r="175" spans="1:11" ht="14.4" customHeight="1" x14ac:dyDescent="0.3">
      <c r="A175" s="421" t="s">
        <v>424</v>
      </c>
      <c r="B175" s="422" t="s">
        <v>425</v>
      </c>
      <c r="C175" s="423" t="s">
        <v>429</v>
      </c>
      <c r="D175" s="424" t="s">
        <v>571</v>
      </c>
      <c r="E175" s="423" t="s">
        <v>991</v>
      </c>
      <c r="F175" s="424" t="s">
        <v>992</v>
      </c>
      <c r="G175" s="423" t="s">
        <v>931</v>
      </c>
      <c r="H175" s="423" t="s">
        <v>932</v>
      </c>
      <c r="I175" s="425">
        <v>665</v>
      </c>
      <c r="J175" s="425">
        <v>2</v>
      </c>
      <c r="K175" s="426">
        <v>1330</v>
      </c>
    </row>
    <row r="176" spans="1:11" ht="14.4" customHeight="1" x14ac:dyDescent="0.3">
      <c r="A176" s="421" t="s">
        <v>424</v>
      </c>
      <c r="B176" s="422" t="s">
        <v>425</v>
      </c>
      <c r="C176" s="423" t="s">
        <v>429</v>
      </c>
      <c r="D176" s="424" t="s">
        <v>571</v>
      </c>
      <c r="E176" s="423" t="s">
        <v>991</v>
      </c>
      <c r="F176" s="424" t="s">
        <v>992</v>
      </c>
      <c r="G176" s="423" t="s">
        <v>933</v>
      </c>
      <c r="H176" s="423" t="s">
        <v>934</v>
      </c>
      <c r="I176" s="425">
        <v>101.61</v>
      </c>
      <c r="J176" s="425">
        <v>13</v>
      </c>
      <c r="K176" s="426">
        <v>1320.88</v>
      </c>
    </row>
    <row r="177" spans="1:11" ht="14.4" customHeight="1" x14ac:dyDescent="0.3">
      <c r="A177" s="421" t="s">
        <v>424</v>
      </c>
      <c r="B177" s="422" t="s">
        <v>425</v>
      </c>
      <c r="C177" s="423" t="s">
        <v>429</v>
      </c>
      <c r="D177" s="424" t="s">
        <v>571</v>
      </c>
      <c r="E177" s="423" t="s">
        <v>991</v>
      </c>
      <c r="F177" s="424" t="s">
        <v>992</v>
      </c>
      <c r="G177" s="423" t="s">
        <v>935</v>
      </c>
      <c r="H177" s="423" t="s">
        <v>936</v>
      </c>
      <c r="I177" s="425">
        <v>240.35</v>
      </c>
      <c r="J177" s="425">
        <v>4</v>
      </c>
      <c r="K177" s="426">
        <v>961.4</v>
      </c>
    </row>
    <row r="178" spans="1:11" ht="14.4" customHeight="1" x14ac:dyDescent="0.3">
      <c r="A178" s="421" t="s">
        <v>424</v>
      </c>
      <c r="B178" s="422" t="s">
        <v>425</v>
      </c>
      <c r="C178" s="423" t="s">
        <v>429</v>
      </c>
      <c r="D178" s="424" t="s">
        <v>571</v>
      </c>
      <c r="E178" s="423" t="s">
        <v>993</v>
      </c>
      <c r="F178" s="424" t="s">
        <v>994</v>
      </c>
      <c r="G178" s="423" t="s">
        <v>937</v>
      </c>
      <c r="H178" s="423" t="s">
        <v>938</v>
      </c>
      <c r="I178" s="425">
        <v>54.22</v>
      </c>
      <c r="J178" s="425">
        <v>36</v>
      </c>
      <c r="K178" s="426">
        <v>1952.07</v>
      </c>
    </row>
    <row r="179" spans="1:11" ht="14.4" customHeight="1" x14ac:dyDescent="0.3">
      <c r="A179" s="421" t="s">
        <v>424</v>
      </c>
      <c r="B179" s="422" t="s">
        <v>425</v>
      </c>
      <c r="C179" s="423" t="s">
        <v>429</v>
      </c>
      <c r="D179" s="424" t="s">
        <v>571</v>
      </c>
      <c r="E179" s="423" t="s">
        <v>993</v>
      </c>
      <c r="F179" s="424" t="s">
        <v>994</v>
      </c>
      <c r="G179" s="423" t="s">
        <v>939</v>
      </c>
      <c r="H179" s="423" t="s">
        <v>940</v>
      </c>
      <c r="I179" s="425">
        <v>43.92</v>
      </c>
      <c r="J179" s="425">
        <v>36</v>
      </c>
      <c r="K179" s="426">
        <v>1581.25</v>
      </c>
    </row>
    <row r="180" spans="1:11" ht="14.4" customHeight="1" x14ac:dyDescent="0.3">
      <c r="A180" s="421" t="s">
        <v>424</v>
      </c>
      <c r="B180" s="422" t="s">
        <v>425</v>
      </c>
      <c r="C180" s="423" t="s">
        <v>429</v>
      </c>
      <c r="D180" s="424" t="s">
        <v>571</v>
      </c>
      <c r="E180" s="423" t="s">
        <v>993</v>
      </c>
      <c r="F180" s="424" t="s">
        <v>994</v>
      </c>
      <c r="G180" s="423" t="s">
        <v>941</v>
      </c>
      <c r="H180" s="423" t="s">
        <v>942</v>
      </c>
      <c r="I180" s="425">
        <v>45.11</v>
      </c>
      <c r="J180" s="425">
        <v>72</v>
      </c>
      <c r="K180" s="426">
        <v>3247.6</v>
      </c>
    </row>
    <row r="181" spans="1:11" ht="14.4" customHeight="1" x14ac:dyDescent="0.3">
      <c r="A181" s="421" t="s">
        <v>424</v>
      </c>
      <c r="B181" s="422" t="s">
        <v>425</v>
      </c>
      <c r="C181" s="423" t="s">
        <v>429</v>
      </c>
      <c r="D181" s="424" t="s">
        <v>571</v>
      </c>
      <c r="E181" s="423" t="s">
        <v>993</v>
      </c>
      <c r="F181" s="424" t="s">
        <v>994</v>
      </c>
      <c r="G181" s="423" t="s">
        <v>943</v>
      </c>
      <c r="H181" s="423" t="s">
        <v>944</v>
      </c>
      <c r="I181" s="425">
        <v>99.35</v>
      </c>
      <c r="J181" s="425">
        <v>36</v>
      </c>
      <c r="K181" s="426">
        <v>3576.58</v>
      </c>
    </row>
    <row r="182" spans="1:11" ht="14.4" customHeight="1" x14ac:dyDescent="0.3">
      <c r="A182" s="421" t="s">
        <v>424</v>
      </c>
      <c r="B182" s="422" t="s">
        <v>425</v>
      </c>
      <c r="C182" s="423" t="s">
        <v>429</v>
      </c>
      <c r="D182" s="424" t="s">
        <v>571</v>
      </c>
      <c r="E182" s="423" t="s">
        <v>993</v>
      </c>
      <c r="F182" s="424" t="s">
        <v>994</v>
      </c>
      <c r="G182" s="423" t="s">
        <v>945</v>
      </c>
      <c r="H182" s="423" t="s">
        <v>946</v>
      </c>
      <c r="I182" s="425">
        <v>66.47</v>
      </c>
      <c r="J182" s="425">
        <v>36</v>
      </c>
      <c r="K182" s="426">
        <v>2392.77</v>
      </c>
    </row>
    <row r="183" spans="1:11" ht="14.4" customHeight="1" x14ac:dyDescent="0.3">
      <c r="A183" s="421" t="s">
        <v>424</v>
      </c>
      <c r="B183" s="422" t="s">
        <v>425</v>
      </c>
      <c r="C183" s="423" t="s">
        <v>429</v>
      </c>
      <c r="D183" s="424" t="s">
        <v>571</v>
      </c>
      <c r="E183" s="423" t="s">
        <v>993</v>
      </c>
      <c r="F183" s="424" t="s">
        <v>994</v>
      </c>
      <c r="G183" s="423" t="s">
        <v>947</v>
      </c>
      <c r="H183" s="423" t="s">
        <v>948</v>
      </c>
      <c r="I183" s="425">
        <v>35.729999999999997</v>
      </c>
      <c r="J183" s="425">
        <v>72</v>
      </c>
      <c r="K183" s="426">
        <v>2572.2199999999998</v>
      </c>
    </row>
    <row r="184" spans="1:11" ht="14.4" customHeight="1" x14ac:dyDescent="0.3">
      <c r="A184" s="421" t="s">
        <v>424</v>
      </c>
      <c r="B184" s="422" t="s">
        <v>425</v>
      </c>
      <c r="C184" s="423" t="s">
        <v>429</v>
      </c>
      <c r="D184" s="424" t="s">
        <v>571</v>
      </c>
      <c r="E184" s="423" t="s">
        <v>995</v>
      </c>
      <c r="F184" s="424" t="s">
        <v>996</v>
      </c>
      <c r="G184" s="423" t="s">
        <v>949</v>
      </c>
      <c r="H184" s="423" t="s">
        <v>950</v>
      </c>
      <c r="I184" s="425">
        <v>0.3</v>
      </c>
      <c r="J184" s="425">
        <v>1300</v>
      </c>
      <c r="K184" s="426">
        <v>390</v>
      </c>
    </row>
    <row r="185" spans="1:11" ht="14.4" customHeight="1" x14ac:dyDescent="0.3">
      <c r="A185" s="421" t="s">
        <v>424</v>
      </c>
      <c r="B185" s="422" t="s">
        <v>425</v>
      </c>
      <c r="C185" s="423" t="s">
        <v>429</v>
      </c>
      <c r="D185" s="424" t="s">
        <v>571</v>
      </c>
      <c r="E185" s="423" t="s">
        <v>995</v>
      </c>
      <c r="F185" s="424" t="s">
        <v>996</v>
      </c>
      <c r="G185" s="423" t="s">
        <v>951</v>
      </c>
      <c r="H185" s="423" t="s">
        <v>952</v>
      </c>
      <c r="I185" s="425">
        <v>0.31</v>
      </c>
      <c r="J185" s="425">
        <v>500</v>
      </c>
      <c r="K185" s="426">
        <v>155</v>
      </c>
    </row>
    <row r="186" spans="1:11" ht="14.4" customHeight="1" x14ac:dyDescent="0.3">
      <c r="A186" s="421" t="s">
        <v>424</v>
      </c>
      <c r="B186" s="422" t="s">
        <v>425</v>
      </c>
      <c r="C186" s="423" t="s">
        <v>429</v>
      </c>
      <c r="D186" s="424" t="s">
        <v>571</v>
      </c>
      <c r="E186" s="423" t="s">
        <v>995</v>
      </c>
      <c r="F186" s="424" t="s">
        <v>996</v>
      </c>
      <c r="G186" s="423" t="s">
        <v>953</v>
      </c>
      <c r="H186" s="423" t="s">
        <v>954</v>
      </c>
      <c r="I186" s="425">
        <v>0.31</v>
      </c>
      <c r="J186" s="425">
        <v>800</v>
      </c>
      <c r="K186" s="426">
        <v>248</v>
      </c>
    </row>
    <row r="187" spans="1:11" ht="14.4" customHeight="1" x14ac:dyDescent="0.3">
      <c r="A187" s="421" t="s">
        <v>424</v>
      </c>
      <c r="B187" s="422" t="s">
        <v>425</v>
      </c>
      <c r="C187" s="423" t="s">
        <v>429</v>
      </c>
      <c r="D187" s="424" t="s">
        <v>571</v>
      </c>
      <c r="E187" s="423" t="s">
        <v>995</v>
      </c>
      <c r="F187" s="424" t="s">
        <v>996</v>
      </c>
      <c r="G187" s="423" t="s">
        <v>955</v>
      </c>
      <c r="H187" s="423" t="s">
        <v>956</v>
      </c>
      <c r="I187" s="425">
        <v>2.99</v>
      </c>
      <c r="J187" s="425">
        <v>100</v>
      </c>
      <c r="K187" s="426">
        <v>299.35000000000002</v>
      </c>
    </row>
    <row r="188" spans="1:11" ht="14.4" customHeight="1" x14ac:dyDescent="0.3">
      <c r="A188" s="421" t="s">
        <v>424</v>
      </c>
      <c r="B188" s="422" t="s">
        <v>425</v>
      </c>
      <c r="C188" s="423" t="s">
        <v>429</v>
      </c>
      <c r="D188" s="424" t="s">
        <v>571</v>
      </c>
      <c r="E188" s="423" t="s">
        <v>997</v>
      </c>
      <c r="F188" s="424" t="s">
        <v>998</v>
      </c>
      <c r="G188" s="423" t="s">
        <v>957</v>
      </c>
      <c r="H188" s="423" t="s">
        <v>958</v>
      </c>
      <c r="I188" s="425">
        <v>0.73</v>
      </c>
      <c r="J188" s="425">
        <v>200</v>
      </c>
      <c r="K188" s="426">
        <v>145.19999999999999</v>
      </c>
    </row>
    <row r="189" spans="1:11" ht="14.4" customHeight="1" x14ac:dyDescent="0.3">
      <c r="A189" s="421" t="s">
        <v>424</v>
      </c>
      <c r="B189" s="422" t="s">
        <v>425</v>
      </c>
      <c r="C189" s="423" t="s">
        <v>429</v>
      </c>
      <c r="D189" s="424" t="s">
        <v>571</v>
      </c>
      <c r="E189" s="423" t="s">
        <v>997</v>
      </c>
      <c r="F189" s="424" t="s">
        <v>998</v>
      </c>
      <c r="G189" s="423" t="s">
        <v>959</v>
      </c>
      <c r="H189" s="423" t="s">
        <v>960</v>
      </c>
      <c r="I189" s="425">
        <v>0.72499999999999998</v>
      </c>
      <c r="J189" s="425">
        <v>900</v>
      </c>
      <c r="K189" s="426">
        <v>653</v>
      </c>
    </row>
    <row r="190" spans="1:11" ht="14.4" customHeight="1" x14ac:dyDescent="0.3">
      <c r="A190" s="421" t="s">
        <v>424</v>
      </c>
      <c r="B190" s="422" t="s">
        <v>425</v>
      </c>
      <c r="C190" s="423" t="s">
        <v>429</v>
      </c>
      <c r="D190" s="424" t="s">
        <v>571</v>
      </c>
      <c r="E190" s="423" t="s">
        <v>997</v>
      </c>
      <c r="F190" s="424" t="s">
        <v>998</v>
      </c>
      <c r="G190" s="423" t="s">
        <v>961</v>
      </c>
      <c r="H190" s="423" t="s">
        <v>962</v>
      </c>
      <c r="I190" s="425">
        <v>7.503333333333333</v>
      </c>
      <c r="J190" s="425">
        <v>150</v>
      </c>
      <c r="K190" s="426">
        <v>1125.5</v>
      </c>
    </row>
    <row r="191" spans="1:11" ht="14.4" customHeight="1" x14ac:dyDescent="0.3">
      <c r="A191" s="421" t="s">
        <v>424</v>
      </c>
      <c r="B191" s="422" t="s">
        <v>425</v>
      </c>
      <c r="C191" s="423" t="s">
        <v>429</v>
      </c>
      <c r="D191" s="424" t="s">
        <v>571</v>
      </c>
      <c r="E191" s="423" t="s">
        <v>997</v>
      </c>
      <c r="F191" s="424" t="s">
        <v>998</v>
      </c>
      <c r="G191" s="423" t="s">
        <v>963</v>
      </c>
      <c r="H191" s="423" t="s">
        <v>964</v>
      </c>
      <c r="I191" s="425">
        <v>7.5</v>
      </c>
      <c r="J191" s="425">
        <v>100</v>
      </c>
      <c r="K191" s="426">
        <v>750</v>
      </c>
    </row>
    <row r="192" spans="1:11" ht="14.4" customHeight="1" x14ac:dyDescent="0.3">
      <c r="A192" s="421" t="s">
        <v>424</v>
      </c>
      <c r="B192" s="422" t="s">
        <v>425</v>
      </c>
      <c r="C192" s="423" t="s">
        <v>429</v>
      </c>
      <c r="D192" s="424" t="s">
        <v>571</v>
      </c>
      <c r="E192" s="423" t="s">
        <v>997</v>
      </c>
      <c r="F192" s="424" t="s">
        <v>998</v>
      </c>
      <c r="G192" s="423" t="s">
        <v>965</v>
      </c>
      <c r="H192" s="423" t="s">
        <v>966</v>
      </c>
      <c r="I192" s="425">
        <v>7.5</v>
      </c>
      <c r="J192" s="425">
        <v>100</v>
      </c>
      <c r="K192" s="426">
        <v>750</v>
      </c>
    </row>
    <row r="193" spans="1:11" ht="14.4" customHeight="1" x14ac:dyDescent="0.3">
      <c r="A193" s="421" t="s">
        <v>424</v>
      </c>
      <c r="B193" s="422" t="s">
        <v>425</v>
      </c>
      <c r="C193" s="423" t="s">
        <v>429</v>
      </c>
      <c r="D193" s="424" t="s">
        <v>571</v>
      </c>
      <c r="E193" s="423" t="s">
        <v>997</v>
      </c>
      <c r="F193" s="424" t="s">
        <v>998</v>
      </c>
      <c r="G193" s="423" t="s">
        <v>967</v>
      </c>
      <c r="H193" s="423" t="s">
        <v>968</v>
      </c>
      <c r="I193" s="425">
        <v>7.5</v>
      </c>
      <c r="J193" s="425">
        <v>150</v>
      </c>
      <c r="K193" s="426">
        <v>1125</v>
      </c>
    </row>
    <row r="194" spans="1:11" ht="14.4" customHeight="1" x14ac:dyDescent="0.3">
      <c r="A194" s="421" t="s">
        <v>424</v>
      </c>
      <c r="B194" s="422" t="s">
        <v>425</v>
      </c>
      <c r="C194" s="423" t="s">
        <v>429</v>
      </c>
      <c r="D194" s="424" t="s">
        <v>571</v>
      </c>
      <c r="E194" s="423" t="s">
        <v>997</v>
      </c>
      <c r="F194" s="424" t="s">
        <v>998</v>
      </c>
      <c r="G194" s="423" t="s">
        <v>969</v>
      </c>
      <c r="H194" s="423" t="s">
        <v>970</v>
      </c>
      <c r="I194" s="425">
        <v>11.01</v>
      </c>
      <c r="J194" s="425">
        <v>40</v>
      </c>
      <c r="K194" s="426">
        <v>440.4</v>
      </c>
    </row>
    <row r="195" spans="1:11" ht="14.4" customHeight="1" x14ac:dyDescent="0.3">
      <c r="A195" s="421" t="s">
        <v>424</v>
      </c>
      <c r="B195" s="422" t="s">
        <v>425</v>
      </c>
      <c r="C195" s="423" t="s">
        <v>429</v>
      </c>
      <c r="D195" s="424" t="s">
        <v>571</v>
      </c>
      <c r="E195" s="423" t="s">
        <v>997</v>
      </c>
      <c r="F195" s="424" t="s">
        <v>998</v>
      </c>
      <c r="G195" s="423" t="s">
        <v>971</v>
      </c>
      <c r="H195" s="423" t="s">
        <v>972</v>
      </c>
      <c r="I195" s="425">
        <v>1.22</v>
      </c>
      <c r="J195" s="425">
        <v>600</v>
      </c>
      <c r="K195" s="426">
        <v>731.43000000000006</v>
      </c>
    </row>
    <row r="196" spans="1:11" ht="14.4" customHeight="1" x14ac:dyDescent="0.3">
      <c r="A196" s="421" t="s">
        <v>424</v>
      </c>
      <c r="B196" s="422" t="s">
        <v>425</v>
      </c>
      <c r="C196" s="423" t="s">
        <v>429</v>
      </c>
      <c r="D196" s="424" t="s">
        <v>571</v>
      </c>
      <c r="E196" s="423" t="s">
        <v>997</v>
      </c>
      <c r="F196" s="424" t="s">
        <v>998</v>
      </c>
      <c r="G196" s="423" t="s">
        <v>973</v>
      </c>
      <c r="H196" s="423" t="s">
        <v>974</v>
      </c>
      <c r="I196" s="425">
        <v>0.81</v>
      </c>
      <c r="J196" s="425">
        <v>1000</v>
      </c>
      <c r="K196" s="426">
        <v>807.17</v>
      </c>
    </row>
    <row r="197" spans="1:11" ht="14.4" customHeight="1" x14ac:dyDescent="0.3">
      <c r="A197" s="421" t="s">
        <v>424</v>
      </c>
      <c r="B197" s="422" t="s">
        <v>425</v>
      </c>
      <c r="C197" s="423" t="s">
        <v>429</v>
      </c>
      <c r="D197" s="424" t="s">
        <v>571</v>
      </c>
      <c r="E197" s="423" t="s">
        <v>997</v>
      </c>
      <c r="F197" s="424" t="s">
        <v>998</v>
      </c>
      <c r="G197" s="423" t="s">
        <v>975</v>
      </c>
      <c r="H197" s="423" t="s">
        <v>976</v>
      </c>
      <c r="I197" s="425">
        <v>0.81</v>
      </c>
      <c r="J197" s="425">
        <v>2000</v>
      </c>
      <c r="K197" s="426">
        <v>1614.2</v>
      </c>
    </row>
    <row r="198" spans="1:11" ht="14.4" customHeight="1" x14ac:dyDescent="0.3">
      <c r="A198" s="421" t="s">
        <v>424</v>
      </c>
      <c r="B198" s="422" t="s">
        <v>425</v>
      </c>
      <c r="C198" s="423" t="s">
        <v>429</v>
      </c>
      <c r="D198" s="424" t="s">
        <v>571</v>
      </c>
      <c r="E198" s="423" t="s">
        <v>997</v>
      </c>
      <c r="F198" s="424" t="s">
        <v>998</v>
      </c>
      <c r="G198" s="423" t="s">
        <v>977</v>
      </c>
      <c r="H198" s="423" t="s">
        <v>978</v>
      </c>
      <c r="I198" s="425">
        <v>1.9</v>
      </c>
      <c r="J198" s="425">
        <v>1000</v>
      </c>
      <c r="K198" s="426">
        <v>1899.6999999999998</v>
      </c>
    </row>
    <row r="199" spans="1:11" ht="14.4" customHeight="1" x14ac:dyDescent="0.3">
      <c r="A199" s="421" t="s">
        <v>424</v>
      </c>
      <c r="B199" s="422" t="s">
        <v>425</v>
      </c>
      <c r="C199" s="423" t="s">
        <v>429</v>
      </c>
      <c r="D199" s="424" t="s">
        <v>571</v>
      </c>
      <c r="E199" s="423" t="s">
        <v>997</v>
      </c>
      <c r="F199" s="424" t="s">
        <v>998</v>
      </c>
      <c r="G199" s="423" t="s">
        <v>979</v>
      </c>
      <c r="H199" s="423" t="s">
        <v>980</v>
      </c>
      <c r="I199" s="425">
        <v>0.81</v>
      </c>
      <c r="J199" s="425">
        <v>2000</v>
      </c>
      <c r="K199" s="426">
        <v>1614.2</v>
      </c>
    </row>
    <row r="200" spans="1:11" ht="14.4" customHeight="1" x14ac:dyDescent="0.3">
      <c r="A200" s="421" t="s">
        <v>424</v>
      </c>
      <c r="B200" s="422" t="s">
        <v>425</v>
      </c>
      <c r="C200" s="423" t="s">
        <v>429</v>
      </c>
      <c r="D200" s="424" t="s">
        <v>571</v>
      </c>
      <c r="E200" s="423" t="s">
        <v>997</v>
      </c>
      <c r="F200" s="424" t="s">
        <v>998</v>
      </c>
      <c r="G200" s="423" t="s">
        <v>981</v>
      </c>
      <c r="H200" s="423" t="s">
        <v>982</v>
      </c>
      <c r="I200" s="425">
        <v>0.71</v>
      </c>
      <c r="J200" s="425">
        <v>11000</v>
      </c>
      <c r="K200" s="426">
        <v>7810</v>
      </c>
    </row>
    <row r="201" spans="1:11" ht="14.4" customHeight="1" x14ac:dyDescent="0.3">
      <c r="A201" s="421" t="s">
        <v>424</v>
      </c>
      <c r="B201" s="422" t="s">
        <v>425</v>
      </c>
      <c r="C201" s="423" t="s">
        <v>429</v>
      </c>
      <c r="D201" s="424" t="s">
        <v>571</v>
      </c>
      <c r="E201" s="423" t="s">
        <v>997</v>
      </c>
      <c r="F201" s="424" t="s">
        <v>998</v>
      </c>
      <c r="G201" s="423" t="s">
        <v>983</v>
      </c>
      <c r="H201" s="423" t="s">
        <v>984</v>
      </c>
      <c r="I201" s="425">
        <v>0.71</v>
      </c>
      <c r="J201" s="425">
        <v>11000</v>
      </c>
      <c r="K201" s="426">
        <v>7810</v>
      </c>
    </row>
    <row r="202" spans="1:11" ht="14.4" customHeight="1" thickBot="1" x14ac:dyDescent="0.35">
      <c r="A202" s="427" t="s">
        <v>424</v>
      </c>
      <c r="B202" s="428" t="s">
        <v>425</v>
      </c>
      <c r="C202" s="429" t="s">
        <v>429</v>
      </c>
      <c r="D202" s="430" t="s">
        <v>571</v>
      </c>
      <c r="E202" s="429" t="s">
        <v>997</v>
      </c>
      <c r="F202" s="430" t="s">
        <v>998</v>
      </c>
      <c r="G202" s="429" t="s">
        <v>985</v>
      </c>
      <c r="H202" s="429" t="s">
        <v>986</v>
      </c>
      <c r="I202" s="431">
        <v>0.71</v>
      </c>
      <c r="J202" s="431">
        <v>5000</v>
      </c>
      <c r="K202" s="432">
        <v>3550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3" width="13.109375" customWidth="1"/>
    <col min="4" max="4" width="13.109375" hidden="1" customWidth="1"/>
    <col min="5" max="6" width="13.109375" customWidth="1"/>
    <col min="7" max="11" width="13.109375" hidden="1" customWidth="1"/>
    <col min="12" max="12" width="13.109375" customWidth="1"/>
    <col min="13" max="32" width="13.109375" hidden="1" customWidth="1"/>
    <col min="33" max="34" width="13.109375" customWidth="1"/>
  </cols>
  <sheetData>
    <row r="1" spans="1:35" ht="18.600000000000001" thickBot="1" x14ac:dyDescent="0.4">
      <c r="A1" s="356" t="s">
        <v>92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</row>
    <row r="2" spans="1:35" ht="15" thickBot="1" x14ac:dyDescent="0.35">
      <c r="A2" s="212" t="s">
        <v>254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</row>
    <row r="3" spans="1:35" x14ac:dyDescent="0.3">
      <c r="A3" s="231" t="s">
        <v>179</v>
      </c>
      <c r="B3" s="357" t="s">
        <v>159</v>
      </c>
      <c r="C3" s="214">
        <v>0</v>
      </c>
      <c r="D3" s="215">
        <v>101</v>
      </c>
      <c r="E3" s="215">
        <v>102</v>
      </c>
      <c r="F3" s="234">
        <v>305</v>
      </c>
      <c r="G3" s="234">
        <v>306</v>
      </c>
      <c r="H3" s="234">
        <v>408</v>
      </c>
      <c r="I3" s="234">
        <v>409</v>
      </c>
      <c r="J3" s="234">
        <v>410</v>
      </c>
      <c r="K3" s="234">
        <v>415</v>
      </c>
      <c r="L3" s="234">
        <v>416</v>
      </c>
      <c r="M3" s="234">
        <v>418</v>
      </c>
      <c r="N3" s="234">
        <v>419</v>
      </c>
      <c r="O3" s="234">
        <v>420</v>
      </c>
      <c r="P3" s="234">
        <v>421</v>
      </c>
      <c r="Q3" s="234">
        <v>522</v>
      </c>
      <c r="R3" s="234">
        <v>523</v>
      </c>
      <c r="S3" s="234">
        <v>524</v>
      </c>
      <c r="T3" s="234">
        <v>525</v>
      </c>
      <c r="U3" s="234">
        <v>526</v>
      </c>
      <c r="V3" s="234">
        <v>527</v>
      </c>
      <c r="W3" s="234">
        <v>528</v>
      </c>
      <c r="X3" s="234">
        <v>629</v>
      </c>
      <c r="Y3" s="234">
        <v>630</v>
      </c>
      <c r="Z3" s="234">
        <v>636</v>
      </c>
      <c r="AA3" s="234">
        <v>637</v>
      </c>
      <c r="AB3" s="234">
        <v>640</v>
      </c>
      <c r="AC3" s="234">
        <v>642</v>
      </c>
      <c r="AD3" s="234">
        <v>743</v>
      </c>
      <c r="AE3" s="215">
        <v>745</v>
      </c>
      <c r="AF3" s="215">
        <v>746</v>
      </c>
      <c r="AG3" s="215">
        <v>930</v>
      </c>
      <c r="AH3" s="481">
        <v>940</v>
      </c>
      <c r="AI3" s="498"/>
    </row>
    <row r="4" spans="1:35" ht="36.6" outlineLevel="1" thickBot="1" x14ac:dyDescent="0.35">
      <c r="A4" s="232">
        <v>2015</v>
      </c>
      <c r="B4" s="358"/>
      <c r="C4" s="216" t="s">
        <v>160</v>
      </c>
      <c r="D4" s="217" t="s">
        <v>161</v>
      </c>
      <c r="E4" s="217" t="s">
        <v>162</v>
      </c>
      <c r="F4" s="235" t="s">
        <v>191</v>
      </c>
      <c r="G4" s="235" t="s">
        <v>192</v>
      </c>
      <c r="H4" s="235" t="s">
        <v>193</v>
      </c>
      <c r="I4" s="235" t="s">
        <v>194</v>
      </c>
      <c r="J4" s="235" t="s">
        <v>195</v>
      </c>
      <c r="K4" s="235" t="s">
        <v>196</v>
      </c>
      <c r="L4" s="235" t="s">
        <v>197</v>
      </c>
      <c r="M4" s="235" t="s">
        <v>198</v>
      </c>
      <c r="N4" s="235" t="s">
        <v>199</v>
      </c>
      <c r="O4" s="235" t="s">
        <v>200</v>
      </c>
      <c r="P4" s="235" t="s">
        <v>201</v>
      </c>
      <c r="Q4" s="235" t="s">
        <v>202</v>
      </c>
      <c r="R4" s="235" t="s">
        <v>203</v>
      </c>
      <c r="S4" s="235" t="s">
        <v>204</v>
      </c>
      <c r="T4" s="235" t="s">
        <v>205</v>
      </c>
      <c r="U4" s="235" t="s">
        <v>206</v>
      </c>
      <c r="V4" s="235" t="s">
        <v>207</v>
      </c>
      <c r="W4" s="235" t="s">
        <v>216</v>
      </c>
      <c r="X4" s="235" t="s">
        <v>208</v>
      </c>
      <c r="Y4" s="235" t="s">
        <v>217</v>
      </c>
      <c r="Z4" s="235" t="s">
        <v>209</v>
      </c>
      <c r="AA4" s="235" t="s">
        <v>210</v>
      </c>
      <c r="AB4" s="235" t="s">
        <v>211</v>
      </c>
      <c r="AC4" s="235" t="s">
        <v>212</v>
      </c>
      <c r="AD4" s="235" t="s">
        <v>213</v>
      </c>
      <c r="AE4" s="217" t="s">
        <v>214</v>
      </c>
      <c r="AF4" s="217" t="s">
        <v>215</v>
      </c>
      <c r="AG4" s="217" t="s">
        <v>181</v>
      </c>
      <c r="AH4" s="482" t="s">
        <v>163</v>
      </c>
      <c r="AI4" s="498"/>
    </row>
    <row r="5" spans="1:35" x14ac:dyDescent="0.3">
      <c r="A5" s="218" t="s">
        <v>164</v>
      </c>
      <c r="B5" s="254"/>
      <c r="C5" s="255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56"/>
      <c r="AA5" s="256"/>
      <c r="AB5" s="256"/>
      <c r="AC5" s="256"/>
      <c r="AD5" s="256"/>
      <c r="AE5" s="256"/>
      <c r="AF5" s="256"/>
      <c r="AG5" s="256"/>
      <c r="AH5" s="483"/>
      <c r="AI5" s="498"/>
    </row>
    <row r="6" spans="1:35" ht="15" collapsed="1" thickBot="1" x14ac:dyDescent="0.35">
      <c r="A6" s="219" t="s">
        <v>60</v>
      </c>
      <c r="B6" s="257">
        <f xml:space="preserve">
TRUNC(IF($A$4&lt;=12,SUMIFS('ON Data'!F:F,'ON Data'!$D:$D,$A$4,'ON Data'!$E:$E,1),SUMIFS('ON Data'!F:F,'ON Data'!$E:$E,1)/'ON Data'!$D$3),1)</f>
        <v>57.1</v>
      </c>
      <c r="C6" s="258">
        <f xml:space="preserve">
TRUNC(IF($A$4&lt;=12,SUMIFS('ON Data'!G:G,'ON Data'!$D:$D,$A$4,'ON Data'!$E:$E,1),SUMIFS('ON Data'!G:G,'ON Data'!$E:$E,1)/'ON Data'!$D$3),1)</f>
        <v>0</v>
      </c>
      <c r="D6" s="259">
        <f xml:space="preserve">
TRUNC(IF($A$4&lt;=12,SUMIFS('ON Data'!H:H,'ON Data'!$D:$D,$A$4,'ON Data'!$E:$E,1),SUMIFS('ON Data'!H:H,'ON Data'!$E:$E,1)/'ON Data'!$D$3),1)</f>
        <v>0</v>
      </c>
      <c r="E6" s="259">
        <f xml:space="preserve">
TRUNC(IF($A$4&lt;=12,SUMIFS('ON Data'!I:I,'ON Data'!$D:$D,$A$4,'ON Data'!$E:$E,1),SUMIFS('ON Data'!I:I,'ON Data'!$E:$E,1)/'ON Data'!$D$3),1)</f>
        <v>12.1</v>
      </c>
      <c r="F6" s="259">
        <f xml:space="preserve">
TRUNC(IF($A$4&lt;=12,SUMIFS('ON Data'!K:K,'ON Data'!$D:$D,$A$4,'ON Data'!$E:$E,1),SUMIFS('ON Data'!K:K,'ON Data'!$E:$E,1)/'ON Data'!$D$3),1)</f>
        <v>29</v>
      </c>
      <c r="G6" s="259">
        <f xml:space="preserve">
TRUNC(IF($A$4&lt;=12,SUMIFS('ON Data'!L:L,'ON Data'!$D:$D,$A$4,'ON Data'!$E:$E,1),SUMIFS('ON Data'!L:L,'ON Data'!$E:$E,1)/'ON Data'!$D$3),1)</f>
        <v>0</v>
      </c>
      <c r="H6" s="259">
        <f xml:space="preserve">
TRUNC(IF($A$4&lt;=12,SUMIFS('ON Data'!M:M,'ON Data'!$D:$D,$A$4,'ON Data'!$E:$E,1),SUMIFS('ON Data'!M:M,'ON Data'!$E:$E,1)/'ON Data'!$D$3),1)</f>
        <v>0</v>
      </c>
      <c r="I6" s="259">
        <f xml:space="preserve">
TRUNC(IF($A$4&lt;=12,SUMIFS('ON Data'!N:N,'ON Data'!$D:$D,$A$4,'ON Data'!$E:$E,1),SUMIFS('ON Data'!N:N,'ON Data'!$E:$E,1)/'ON Data'!$D$3),1)</f>
        <v>0</v>
      </c>
      <c r="J6" s="259">
        <f xml:space="preserve">
TRUNC(IF($A$4&lt;=12,SUMIFS('ON Data'!O:O,'ON Data'!$D:$D,$A$4,'ON Data'!$E:$E,1),SUMIFS('ON Data'!O:O,'ON Data'!$E:$E,1)/'ON Data'!$D$3),1)</f>
        <v>0</v>
      </c>
      <c r="K6" s="259">
        <f xml:space="preserve">
TRUNC(IF($A$4&lt;=12,SUMIFS('ON Data'!P:P,'ON Data'!$D:$D,$A$4,'ON Data'!$E:$E,1),SUMIFS('ON Data'!P:P,'ON Data'!$E:$E,1)/'ON Data'!$D$3),1)</f>
        <v>0</v>
      </c>
      <c r="L6" s="259">
        <f xml:space="preserve">
TRUNC(IF($A$4&lt;=12,SUMIFS('ON Data'!Q:Q,'ON Data'!$D:$D,$A$4,'ON Data'!$E:$E,1),SUMIFS('ON Data'!Q:Q,'ON Data'!$E:$E,1)/'ON Data'!$D$3),1)</f>
        <v>14</v>
      </c>
      <c r="M6" s="259">
        <f xml:space="preserve">
TRUNC(IF($A$4&lt;=12,SUMIFS('ON Data'!R:R,'ON Data'!$D:$D,$A$4,'ON Data'!$E:$E,1),SUMIFS('ON Data'!R:R,'ON Data'!$E:$E,1)/'ON Data'!$D$3),1)</f>
        <v>0</v>
      </c>
      <c r="N6" s="259">
        <f xml:space="preserve">
TRUNC(IF($A$4&lt;=12,SUMIFS('ON Data'!S:S,'ON Data'!$D:$D,$A$4,'ON Data'!$E:$E,1),SUMIFS('ON Data'!S:S,'ON Data'!$E:$E,1)/'ON Data'!$D$3),1)</f>
        <v>0</v>
      </c>
      <c r="O6" s="259">
        <f xml:space="preserve">
TRUNC(IF($A$4&lt;=12,SUMIFS('ON Data'!T:T,'ON Data'!$D:$D,$A$4,'ON Data'!$E:$E,1),SUMIFS('ON Data'!T:T,'ON Data'!$E:$E,1)/'ON Data'!$D$3),1)</f>
        <v>0</v>
      </c>
      <c r="P6" s="259">
        <f xml:space="preserve">
TRUNC(IF($A$4&lt;=12,SUMIFS('ON Data'!U:U,'ON Data'!$D:$D,$A$4,'ON Data'!$E:$E,1),SUMIFS('ON Data'!U:U,'ON Data'!$E:$E,1)/'ON Data'!$D$3),1)</f>
        <v>0</v>
      </c>
      <c r="Q6" s="259">
        <f xml:space="preserve">
TRUNC(IF($A$4&lt;=12,SUMIFS('ON Data'!V:V,'ON Data'!$D:$D,$A$4,'ON Data'!$E:$E,1),SUMIFS('ON Data'!V:V,'ON Data'!$E:$E,1)/'ON Data'!$D$3),1)</f>
        <v>0</v>
      </c>
      <c r="R6" s="259">
        <f xml:space="preserve">
TRUNC(IF($A$4&lt;=12,SUMIFS('ON Data'!W:W,'ON Data'!$D:$D,$A$4,'ON Data'!$E:$E,1),SUMIFS('ON Data'!W:W,'ON Data'!$E:$E,1)/'ON Data'!$D$3),1)</f>
        <v>0</v>
      </c>
      <c r="S6" s="259">
        <f xml:space="preserve">
TRUNC(IF($A$4&lt;=12,SUMIFS('ON Data'!X:X,'ON Data'!$D:$D,$A$4,'ON Data'!$E:$E,1),SUMIFS('ON Data'!X:X,'ON Data'!$E:$E,1)/'ON Data'!$D$3),1)</f>
        <v>0</v>
      </c>
      <c r="T6" s="259">
        <f xml:space="preserve">
TRUNC(IF($A$4&lt;=12,SUMIFS('ON Data'!Y:Y,'ON Data'!$D:$D,$A$4,'ON Data'!$E:$E,1),SUMIFS('ON Data'!Y:Y,'ON Data'!$E:$E,1)/'ON Data'!$D$3),1)</f>
        <v>0</v>
      </c>
      <c r="U6" s="259">
        <f xml:space="preserve">
TRUNC(IF($A$4&lt;=12,SUMIFS('ON Data'!Z:Z,'ON Data'!$D:$D,$A$4,'ON Data'!$E:$E,1),SUMIFS('ON Data'!Z:Z,'ON Data'!$E:$E,1)/'ON Data'!$D$3),1)</f>
        <v>0</v>
      </c>
      <c r="V6" s="259">
        <f xml:space="preserve">
TRUNC(IF($A$4&lt;=12,SUMIFS('ON Data'!AA:AA,'ON Data'!$D:$D,$A$4,'ON Data'!$E:$E,1),SUMIFS('ON Data'!AA:AA,'ON Data'!$E:$E,1)/'ON Data'!$D$3),1)</f>
        <v>0</v>
      </c>
      <c r="W6" s="259">
        <f xml:space="preserve">
TRUNC(IF($A$4&lt;=12,SUMIFS('ON Data'!AB:AB,'ON Data'!$D:$D,$A$4,'ON Data'!$E:$E,1),SUMIFS('ON Data'!AB:AB,'ON Data'!$E:$E,1)/'ON Data'!$D$3),1)</f>
        <v>0</v>
      </c>
      <c r="X6" s="259">
        <f xml:space="preserve">
TRUNC(IF($A$4&lt;=12,SUMIFS('ON Data'!AC:AC,'ON Data'!$D:$D,$A$4,'ON Data'!$E:$E,1),SUMIFS('ON Data'!AC:AC,'ON Data'!$E:$E,1)/'ON Data'!$D$3),1)</f>
        <v>0</v>
      </c>
      <c r="Y6" s="259">
        <f xml:space="preserve">
TRUNC(IF($A$4&lt;=12,SUMIFS('ON Data'!AD:AD,'ON Data'!$D:$D,$A$4,'ON Data'!$E:$E,1),SUMIFS('ON Data'!AD:AD,'ON Data'!$E:$E,1)/'ON Data'!$D$3),1)</f>
        <v>0</v>
      </c>
      <c r="Z6" s="259">
        <f xml:space="preserve">
TRUNC(IF($A$4&lt;=12,SUMIFS('ON Data'!AE:AE,'ON Data'!$D:$D,$A$4,'ON Data'!$E:$E,1),SUMIFS('ON Data'!AE:AE,'ON Data'!$E:$E,1)/'ON Data'!$D$3),1)</f>
        <v>0</v>
      </c>
      <c r="AA6" s="259">
        <f xml:space="preserve">
TRUNC(IF($A$4&lt;=12,SUMIFS('ON Data'!AF:AF,'ON Data'!$D:$D,$A$4,'ON Data'!$E:$E,1),SUMIFS('ON Data'!AF:AF,'ON Data'!$E:$E,1)/'ON Data'!$D$3),1)</f>
        <v>0</v>
      </c>
      <c r="AB6" s="259">
        <f xml:space="preserve">
TRUNC(IF($A$4&lt;=12,SUMIFS('ON Data'!AG:AG,'ON Data'!$D:$D,$A$4,'ON Data'!$E:$E,1),SUMIFS('ON Data'!AG:AG,'ON Data'!$E:$E,1)/'ON Data'!$D$3),1)</f>
        <v>0</v>
      </c>
      <c r="AC6" s="259">
        <f xml:space="preserve">
TRUNC(IF($A$4&lt;=12,SUMIFS('ON Data'!AH:AH,'ON Data'!$D:$D,$A$4,'ON Data'!$E:$E,1),SUMIFS('ON Data'!AH:AH,'ON Data'!$E:$E,1)/'ON Data'!$D$3),1)</f>
        <v>0</v>
      </c>
      <c r="AD6" s="259">
        <f xml:space="preserve">
TRUNC(IF($A$4&lt;=12,SUMIFS('ON Data'!AI:AI,'ON Data'!$D:$D,$A$4,'ON Data'!$E:$E,1),SUMIFS('ON Data'!AI:AI,'ON Data'!$E:$E,1)/'ON Data'!$D$3),1)</f>
        <v>0</v>
      </c>
      <c r="AE6" s="259">
        <f xml:space="preserve">
TRUNC(IF($A$4&lt;=12,SUMIFS('ON Data'!AJ:AJ,'ON Data'!$D:$D,$A$4,'ON Data'!$E:$E,1),SUMIFS('ON Data'!AJ:AJ,'ON Data'!$E:$E,1)/'ON Data'!$D$3),1)</f>
        <v>0</v>
      </c>
      <c r="AF6" s="259">
        <f xml:space="preserve">
TRUNC(IF($A$4&lt;=12,SUMIFS('ON Data'!AK:AK,'ON Data'!$D:$D,$A$4,'ON Data'!$E:$E,1),SUMIFS('ON Data'!AK:AK,'ON Data'!$E:$E,1)/'ON Data'!$D$3),1)</f>
        <v>0</v>
      </c>
      <c r="AG6" s="259">
        <f xml:space="preserve">
TRUNC(IF($A$4&lt;=12,SUMIFS('ON Data'!AM:AM,'ON Data'!$D:$D,$A$4,'ON Data'!$E:$E,1),SUMIFS('ON Data'!AM:AM,'ON Data'!$E:$E,1)/'ON Data'!$D$3),1)</f>
        <v>0.9</v>
      </c>
      <c r="AH6" s="484">
        <f xml:space="preserve">
TRUNC(IF($A$4&lt;=12,SUMIFS('ON Data'!AN:AN,'ON Data'!$D:$D,$A$4,'ON Data'!$E:$E,1),SUMIFS('ON Data'!AN:AN,'ON Data'!$E:$E,1)/'ON Data'!$D$3),1)</f>
        <v>1</v>
      </c>
      <c r="AI6" s="498"/>
    </row>
    <row r="7" spans="1:35" ht="15" hidden="1" outlineLevel="1" thickBot="1" x14ac:dyDescent="0.35">
      <c r="A7" s="219" t="s">
        <v>93</v>
      </c>
      <c r="B7" s="257"/>
      <c r="C7" s="260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484"/>
      <c r="AI7" s="498"/>
    </row>
    <row r="8" spans="1:35" ht="15" hidden="1" outlineLevel="1" thickBot="1" x14ac:dyDescent="0.35">
      <c r="A8" s="219" t="s">
        <v>62</v>
      </c>
      <c r="B8" s="257"/>
      <c r="C8" s="260"/>
      <c r="D8" s="259"/>
      <c r="E8" s="259"/>
      <c r="F8" s="259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259"/>
      <c r="AG8" s="259"/>
      <c r="AH8" s="484"/>
      <c r="AI8" s="498"/>
    </row>
    <row r="9" spans="1:35" ht="15" hidden="1" outlineLevel="1" thickBot="1" x14ac:dyDescent="0.35">
      <c r="A9" s="220" t="s">
        <v>55</v>
      </c>
      <c r="B9" s="261"/>
      <c r="C9" s="262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485"/>
      <c r="AI9" s="498"/>
    </row>
    <row r="10" spans="1:35" x14ac:dyDescent="0.3">
      <c r="A10" s="221" t="s">
        <v>165</v>
      </c>
      <c r="B10" s="236"/>
      <c r="C10" s="237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8"/>
      <c r="W10" s="238"/>
      <c r="X10" s="238"/>
      <c r="Y10" s="238"/>
      <c r="Z10" s="238"/>
      <c r="AA10" s="238"/>
      <c r="AB10" s="238"/>
      <c r="AC10" s="238"/>
      <c r="AD10" s="238"/>
      <c r="AE10" s="238"/>
      <c r="AF10" s="238"/>
      <c r="AG10" s="238"/>
      <c r="AH10" s="486"/>
      <c r="AI10" s="498"/>
    </row>
    <row r="11" spans="1:35" x14ac:dyDescent="0.3">
      <c r="A11" s="222" t="s">
        <v>166</v>
      </c>
      <c r="B11" s="239">
        <f xml:space="preserve">
IF($A$4&lt;=12,SUMIFS('ON Data'!F:F,'ON Data'!$D:$D,$A$4,'ON Data'!$E:$E,2),SUMIFS('ON Data'!F:F,'ON Data'!$E:$E,2))</f>
        <v>17411</v>
      </c>
      <c r="C11" s="240">
        <f xml:space="preserve">
IF($A$4&lt;=12,SUMIFS('ON Data'!G:G,'ON Data'!$D:$D,$A$4,'ON Data'!$E:$E,2),SUMIFS('ON Data'!G:G,'ON Data'!$E:$E,2))</f>
        <v>0</v>
      </c>
      <c r="D11" s="241">
        <f xml:space="preserve">
IF($A$4&lt;=12,SUMIFS('ON Data'!H:H,'ON Data'!$D:$D,$A$4,'ON Data'!$E:$E,2),SUMIFS('ON Data'!H:H,'ON Data'!$E:$E,2))</f>
        <v>0</v>
      </c>
      <c r="E11" s="241">
        <f xml:space="preserve">
IF($A$4&lt;=12,SUMIFS('ON Data'!I:I,'ON Data'!$D:$D,$A$4,'ON Data'!$E:$E,2),SUMIFS('ON Data'!I:I,'ON Data'!$E:$E,2))</f>
        <v>3589</v>
      </c>
      <c r="F11" s="241">
        <f xml:space="preserve">
IF($A$4&lt;=12,SUMIFS('ON Data'!K:K,'ON Data'!$D:$D,$A$4,'ON Data'!$E:$E,2),SUMIFS('ON Data'!K:K,'ON Data'!$E:$E,2))</f>
        <v>8804</v>
      </c>
      <c r="G11" s="241">
        <f xml:space="preserve">
IF($A$4&lt;=12,SUMIFS('ON Data'!L:L,'ON Data'!$D:$D,$A$4,'ON Data'!$E:$E,2),SUMIFS('ON Data'!L:L,'ON Data'!$E:$E,2))</f>
        <v>0</v>
      </c>
      <c r="H11" s="241">
        <f xml:space="preserve">
IF($A$4&lt;=12,SUMIFS('ON Data'!M:M,'ON Data'!$D:$D,$A$4,'ON Data'!$E:$E,2),SUMIFS('ON Data'!M:M,'ON Data'!$E:$E,2))</f>
        <v>0</v>
      </c>
      <c r="I11" s="241">
        <f xml:space="preserve">
IF($A$4&lt;=12,SUMIFS('ON Data'!N:N,'ON Data'!$D:$D,$A$4,'ON Data'!$E:$E,2),SUMIFS('ON Data'!N:N,'ON Data'!$E:$E,2))</f>
        <v>0</v>
      </c>
      <c r="J11" s="241">
        <f xml:space="preserve">
IF($A$4&lt;=12,SUMIFS('ON Data'!O:O,'ON Data'!$D:$D,$A$4,'ON Data'!$E:$E,2),SUMIFS('ON Data'!O:O,'ON Data'!$E:$E,2))</f>
        <v>0</v>
      </c>
      <c r="K11" s="241">
        <f xml:space="preserve">
IF($A$4&lt;=12,SUMIFS('ON Data'!P:P,'ON Data'!$D:$D,$A$4,'ON Data'!$E:$E,2),SUMIFS('ON Data'!P:P,'ON Data'!$E:$E,2))</f>
        <v>0</v>
      </c>
      <c r="L11" s="241">
        <f xml:space="preserve">
IF($A$4&lt;=12,SUMIFS('ON Data'!Q:Q,'ON Data'!$D:$D,$A$4,'ON Data'!$E:$E,2),SUMIFS('ON Data'!Q:Q,'ON Data'!$E:$E,2))</f>
        <v>4386.8</v>
      </c>
      <c r="M11" s="241">
        <f xml:space="preserve">
IF($A$4&lt;=12,SUMIFS('ON Data'!R:R,'ON Data'!$D:$D,$A$4,'ON Data'!$E:$E,2),SUMIFS('ON Data'!R:R,'ON Data'!$E:$E,2))</f>
        <v>0</v>
      </c>
      <c r="N11" s="241">
        <f xml:space="preserve">
IF($A$4&lt;=12,SUMIFS('ON Data'!S:S,'ON Data'!$D:$D,$A$4,'ON Data'!$E:$E,2),SUMIFS('ON Data'!S:S,'ON Data'!$E:$E,2))</f>
        <v>0</v>
      </c>
      <c r="O11" s="241">
        <f xml:space="preserve">
IF($A$4&lt;=12,SUMIFS('ON Data'!T:T,'ON Data'!$D:$D,$A$4,'ON Data'!$E:$E,2),SUMIFS('ON Data'!T:T,'ON Data'!$E:$E,2))</f>
        <v>0</v>
      </c>
      <c r="P11" s="241">
        <f xml:space="preserve">
IF($A$4&lt;=12,SUMIFS('ON Data'!U:U,'ON Data'!$D:$D,$A$4,'ON Data'!$E:$E,2),SUMIFS('ON Data'!U:U,'ON Data'!$E:$E,2))</f>
        <v>0</v>
      </c>
      <c r="Q11" s="241">
        <f xml:space="preserve">
IF($A$4&lt;=12,SUMIFS('ON Data'!V:V,'ON Data'!$D:$D,$A$4,'ON Data'!$E:$E,2),SUMIFS('ON Data'!V:V,'ON Data'!$E:$E,2))</f>
        <v>0</v>
      </c>
      <c r="R11" s="241">
        <f xml:space="preserve">
IF($A$4&lt;=12,SUMIFS('ON Data'!W:W,'ON Data'!$D:$D,$A$4,'ON Data'!$E:$E,2),SUMIFS('ON Data'!W:W,'ON Data'!$E:$E,2))</f>
        <v>0</v>
      </c>
      <c r="S11" s="241">
        <f xml:space="preserve">
IF($A$4&lt;=12,SUMIFS('ON Data'!X:X,'ON Data'!$D:$D,$A$4,'ON Data'!$E:$E,2),SUMIFS('ON Data'!X:X,'ON Data'!$E:$E,2))</f>
        <v>0</v>
      </c>
      <c r="T11" s="241">
        <f xml:space="preserve">
IF($A$4&lt;=12,SUMIFS('ON Data'!Y:Y,'ON Data'!$D:$D,$A$4,'ON Data'!$E:$E,2),SUMIFS('ON Data'!Y:Y,'ON Data'!$E:$E,2))</f>
        <v>0</v>
      </c>
      <c r="U11" s="241">
        <f xml:space="preserve">
IF($A$4&lt;=12,SUMIFS('ON Data'!Z:Z,'ON Data'!$D:$D,$A$4,'ON Data'!$E:$E,2),SUMIFS('ON Data'!Z:Z,'ON Data'!$E:$E,2))</f>
        <v>0</v>
      </c>
      <c r="V11" s="241">
        <f xml:space="preserve">
IF($A$4&lt;=12,SUMIFS('ON Data'!AA:AA,'ON Data'!$D:$D,$A$4,'ON Data'!$E:$E,2),SUMIFS('ON Data'!AA:AA,'ON Data'!$E:$E,2))</f>
        <v>0</v>
      </c>
      <c r="W11" s="241">
        <f xml:space="preserve">
IF($A$4&lt;=12,SUMIFS('ON Data'!AB:AB,'ON Data'!$D:$D,$A$4,'ON Data'!$E:$E,2),SUMIFS('ON Data'!AB:AB,'ON Data'!$E:$E,2))</f>
        <v>0</v>
      </c>
      <c r="X11" s="241">
        <f xml:space="preserve">
IF($A$4&lt;=12,SUMIFS('ON Data'!AC:AC,'ON Data'!$D:$D,$A$4,'ON Data'!$E:$E,2),SUMIFS('ON Data'!AC:AC,'ON Data'!$E:$E,2))</f>
        <v>0</v>
      </c>
      <c r="Y11" s="241">
        <f xml:space="preserve">
IF($A$4&lt;=12,SUMIFS('ON Data'!AD:AD,'ON Data'!$D:$D,$A$4,'ON Data'!$E:$E,2),SUMIFS('ON Data'!AD:AD,'ON Data'!$E:$E,2))</f>
        <v>0</v>
      </c>
      <c r="Z11" s="241">
        <f xml:space="preserve">
IF($A$4&lt;=12,SUMIFS('ON Data'!AE:AE,'ON Data'!$D:$D,$A$4,'ON Data'!$E:$E,2),SUMIFS('ON Data'!AE:AE,'ON Data'!$E:$E,2))</f>
        <v>0</v>
      </c>
      <c r="AA11" s="241">
        <f xml:space="preserve">
IF($A$4&lt;=12,SUMIFS('ON Data'!AF:AF,'ON Data'!$D:$D,$A$4,'ON Data'!$E:$E,2),SUMIFS('ON Data'!AF:AF,'ON Data'!$E:$E,2))</f>
        <v>0</v>
      </c>
      <c r="AB11" s="241">
        <f xml:space="preserve">
IF($A$4&lt;=12,SUMIFS('ON Data'!AG:AG,'ON Data'!$D:$D,$A$4,'ON Data'!$E:$E,2),SUMIFS('ON Data'!AG:AG,'ON Data'!$E:$E,2))</f>
        <v>0</v>
      </c>
      <c r="AC11" s="241">
        <f xml:space="preserve">
IF($A$4&lt;=12,SUMIFS('ON Data'!AH:AH,'ON Data'!$D:$D,$A$4,'ON Data'!$E:$E,2),SUMIFS('ON Data'!AH:AH,'ON Data'!$E:$E,2))</f>
        <v>0</v>
      </c>
      <c r="AD11" s="241">
        <f xml:space="preserve">
IF($A$4&lt;=12,SUMIFS('ON Data'!AI:AI,'ON Data'!$D:$D,$A$4,'ON Data'!$E:$E,2),SUMIFS('ON Data'!AI:AI,'ON Data'!$E:$E,2))</f>
        <v>0</v>
      </c>
      <c r="AE11" s="241">
        <f xml:space="preserve">
IF($A$4&lt;=12,SUMIFS('ON Data'!AJ:AJ,'ON Data'!$D:$D,$A$4,'ON Data'!$E:$E,2),SUMIFS('ON Data'!AJ:AJ,'ON Data'!$E:$E,2))</f>
        <v>0</v>
      </c>
      <c r="AF11" s="241">
        <f xml:space="preserve">
IF($A$4&lt;=12,SUMIFS('ON Data'!AK:AK,'ON Data'!$D:$D,$A$4,'ON Data'!$E:$E,2),SUMIFS('ON Data'!AK:AK,'ON Data'!$E:$E,2))</f>
        <v>0</v>
      </c>
      <c r="AG11" s="241">
        <f xml:space="preserve">
IF($A$4&lt;=12,SUMIFS('ON Data'!AM:AM,'ON Data'!$D:$D,$A$4,'ON Data'!$E:$E,2),SUMIFS('ON Data'!AM:AM,'ON Data'!$E:$E,2))</f>
        <v>295.20000000000005</v>
      </c>
      <c r="AH11" s="487">
        <f xml:space="preserve">
IF($A$4&lt;=12,SUMIFS('ON Data'!AN:AN,'ON Data'!$D:$D,$A$4,'ON Data'!$E:$E,2),SUMIFS('ON Data'!AN:AN,'ON Data'!$E:$E,2))</f>
        <v>336</v>
      </c>
      <c r="AI11" s="498"/>
    </row>
    <row r="12" spans="1:35" x14ac:dyDescent="0.3">
      <c r="A12" s="222" t="s">
        <v>167</v>
      </c>
      <c r="B12" s="239">
        <f xml:space="preserve">
IF($A$4&lt;=12,SUMIFS('ON Data'!F:F,'ON Data'!$D:$D,$A$4,'ON Data'!$E:$E,3),SUMIFS('ON Data'!F:F,'ON Data'!$E:$E,3))</f>
        <v>0</v>
      </c>
      <c r="C12" s="240">
        <f xml:space="preserve">
IF($A$4&lt;=12,SUMIFS('ON Data'!G:G,'ON Data'!$D:$D,$A$4,'ON Data'!$E:$E,3),SUMIFS('ON Data'!G:G,'ON Data'!$E:$E,3))</f>
        <v>0</v>
      </c>
      <c r="D12" s="241">
        <f xml:space="preserve">
IF($A$4&lt;=12,SUMIFS('ON Data'!H:H,'ON Data'!$D:$D,$A$4,'ON Data'!$E:$E,3),SUMIFS('ON Data'!H:H,'ON Data'!$E:$E,3))</f>
        <v>0</v>
      </c>
      <c r="E12" s="241">
        <f xml:space="preserve">
IF($A$4&lt;=12,SUMIFS('ON Data'!I:I,'ON Data'!$D:$D,$A$4,'ON Data'!$E:$E,3),SUMIFS('ON Data'!I:I,'ON Data'!$E:$E,3))</f>
        <v>0</v>
      </c>
      <c r="F12" s="241">
        <f xml:space="preserve">
IF($A$4&lt;=12,SUMIFS('ON Data'!K:K,'ON Data'!$D:$D,$A$4,'ON Data'!$E:$E,3),SUMIFS('ON Data'!K:K,'ON Data'!$E:$E,3))</f>
        <v>0</v>
      </c>
      <c r="G12" s="241">
        <f xml:space="preserve">
IF($A$4&lt;=12,SUMIFS('ON Data'!L:L,'ON Data'!$D:$D,$A$4,'ON Data'!$E:$E,3),SUMIFS('ON Data'!L:L,'ON Data'!$E:$E,3))</f>
        <v>0</v>
      </c>
      <c r="H12" s="241">
        <f xml:space="preserve">
IF($A$4&lt;=12,SUMIFS('ON Data'!M:M,'ON Data'!$D:$D,$A$4,'ON Data'!$E:$E,3),SUMIFS('ON Data'!M:M,'ON Data'!$E:$E,3))</f>
        <v>0</v>
      </c>
      <c r="I12" s="241">
        <f xml:space="preserve">
IF($A$4&lt;=12,SUMIFS('ON Data'!N:N,'ON Data'!$D:$D,$A$4,'ON Data'!$E:$E,3),SUMIFS('ON Data'!N:N,'ON Data'!$E:$E,3))</f>
        <v>0</v>
      </c>
      <c r="J12" s="241">
        <f xml:space="preserve">
IF($A$4&lt;=12,SUMIFS('ON Data'!O:O,'ON Data'!$D:$D,$A$4,'ON Data'!$E:$E,3),SUMIFS('ON Data'!O:O,'ON Data'!$E:$E,3))</f>
        <v>0</v>
      </c>
      <c r="K12" s="241">
        <f xml:space="preserve">
IF($A$4&lt;=12,SUMIFS('ON Data'!P:P,'ON Data'!$D:$D,$A$4,'ON Data'!$E:$E,3),SUMIFS('ON Data'!P:P,'ON Data'!$E:$E,3))</f>
        <v>0</v>
      </c>
      <c r="L12" s="241">
        <f xml:space="preserve">
IF($A$4&lt;=12,SUMIFS('ON Data'!Q:Q,'ON Data'!$D:$D,$A$4,'ON Data'!$E:$E,3),SUMIFS('ON Data'!Q:Q,'ON Data'!$E:$E,3))</f>
        <v>0</v>
      </c>
      <c r="M12" s="241">
        <f xml:space="preserve">
IF($A$4&lt;=12,SUMIFS('ON Data'!R:R,'ON Data'!$D:$D,$A$4,'ON Data'!$E:$E,3),SUMIFS('ON Data'!R:R,'ON Data'!$E:$E,3))</f>
        <v>0</v>
      </c>
      <c r="N12" s="241">
        <f xml:space="preserve">
IF($A$4&lt;=12,SUMIFS('ON Data'!S:S,'ON Data'!$D:$D,$A$4,'ON Data'!$E:$E,3),SUMIFS('ON Data'!S:S,'ON Data'!$E:$E,3))</f>
        <v>0</v>
      </c>
      <c r="O12" s="241">
        <f xml:space="preserve">
IF($A$4&lt;=12,SUMIFS('ON Data'!T:T,'ON Data'!$D:$D,$A$4,'ON Data'!$E:$E,3),SUMIFS('ON Data'!T:T,'ON Data'!$E:$E,3))</f>
        <v>0</v>
      </c>
      <c r="P12" s="241">
        <f xml:space="preserve">
IF($A$4&lt;=12,SUMIFS('ON Data'!U:U,'ON Data'!$D:$D,$A$4,'ON Data'!$E:$E,3),SUMIFS('ON Data'!U:U,'ON Data'!$E:$E,3))</f>
        <v>0</v>
      </c>
      <c r="Q12" s="241">
        <f xml:space="preserve">
IF($A$4&lt;=12,SUMIFS('ON Data'!V:V,'ON Data'!$D:$D,$A$4,'ON Data'!$E:$E,3),SUMIFS('ON Data'!V:V,'ON Data'!$E:$E,3))</f>
        <v>0</v>
      </c>
      <c r="R12" s="241">
        <f xml:space="preserve">
IF($A$4&lt;=12,SUMIFS('ON Data'!W:W,'ON Data'!$D:$D,$A$4,'ON Data'!$E:$E,3),SUMIFS('ON Data'!W:W,'ON Data'!$E:$E,3))</f>
        <v>0</v>
      </c>
      <c r="S12" s="241">
        <f xml:space="preserve">
IF($A$4&lt;=12,SUMIFS('ON Data'!X:X,'ON Data'!$D:$D,$A$4,'ON Data'!$E:$E,3),SUMIFS('ON Data'!X:X,'ON Data'!$E:$E,3))</f>
        <v>0</v>
      </c>
      <c r="T12" s="241">
        <f xml:space="preserve">
IF($A$4&lt;=12,SUMIFS('ON Data'!Y:Y,'ON Data'!$D:$D,$A$4,'ON Data'!$E:$E,3),SUMIFS('ON Data'!Y:Y,'ON Data'!$E:$E,3))</f>
        <v>0</v>
      </c>
      <c r="U12" s="241">
        <f xml:space="preserve">
IF($A$4&lt;=12,SUMIFS('ON Data'!Z:Z,'ON Data'!$D:$D,$A$4,'ON Data'!$E:$E,3),SUMIFS('ON Data'!Z:Z,'ON Data'!$E:$E,3))</f>
        <v>0</v>
      </c>
      <c r="V12" s="241">
        <f xml:space="preserve">
IF($A$4&lt;=12,SUMIFS('ON Data'!AA:AA,'ON Data'!$D:$D,$A$4,'ON Data'!$E:$E,3),SUMIFS('ON Data'!AA:AA,'ON Data'!$E:$E,3))</f>
        <v>0</v>
      </c>
      <c r="W12" s="241">
        <f xml:space="preserve">
IF($A$4&lt;=12,SUMIFS('ON Data'!AB:AB,'ON Data'!$D:$D,$A$4,'ON Data'!$E:$E,3),SUMIFS('ON Data'!AB:AB,'ON Data'!$E:$E,3))</f>
        <v>0</v>
      </c>
      <c r="X12" s="241">
        <f xml:space="preserve">
IF($A$4&lt;=12,SUMIFS('ON Data'!AC:AC,'ON Data'!$D:$D,$A$4,'ON Data'!$E:$E,3),SUMIFS('ON Data'!AC:AC,'ON Data'!$E:$E,3))</f>
        <v>0</v>
      </c>
      <c r="Y12" s="241">
        <f xml:space="preserve">
IF($A$4&lt;=12,SUMIFS('ON Data'!AD:AD,'ON Data'!$D:$D,$A$4,'ON Data'!$E:$E,3),SUMIFS('ON Data'!AD:AD,'ON Data'!$E:$E,3))</f>
        <v>0</v>
      </c>
      <c r="Z12" s="241">
        <f xml:space="preserve">
IF($A$4&lt;=12,SUMIFS('ON Data'!AE:AE,'ON Data'!$D:$D,$A$4,'ON Data'!$E:$E,3),SUMIFS('ON Data'!AE:AE,'ON Data'!$E:$E,3))</f>
        <v>0</v>
      </c>
      <c r="AA12" s="241">
        <f xml:space="preserve">
IF($A$4&lt;=12,SUMIFS('ON Data'!AF:AF,'ON Data'!$D:$D,$A$4,'ON Data'!$E:$E,3),SUMIFS('ON Data'!AF:AF,'ON Data'!$E:$E,3))</f>
        <v>0</v>
      </c>
      <c r="AB12" s="241">
        <f xml:space="preserve">
IF($A$4&lt;=12,SUMIFS('ON Data'!AG:AG,'ON Data'!$D:$D,$A$4,'ON Data'!$E:$E,3),SUMIFS('ON Data'!AG:AG,'ON Data'!$E:$E,3))</f>
        <v>0</v>
      </c>
      <c r="AC12" s="241">
        <f xml:space="preserve">
IF($A$4&lt;=12,SUMIFS('ON Data'!AH:AH,'ON Data'!$D:$D,$A$4,'ON Data'!$E:$E,3),SUMIFS('ON Data'!AH:AH,'ON Data'!$E:$E,3))</f>
        <v>0</v>
      </c>
      <c r="AD12" s="241">
        <f xml:space="preserve">
IF($A$4&lt;=12,SUMIFS('ON Data'!AI:AI,'ON Data'!$D:$D,$A$4,'ON Data'!$E:$E,3),SUMIFS('ON Data'!AI:AI,'ON Data'!$E:$E,3))</f>
        <v>0</v>
      </c>
      <c r="AE12" s="241">
        <f xml:space="preserve">
IF($A$4&lt;=12,SUMIFS('ON Data'!AJ:AJ,'ON Data'!$D:$D,$A$4,'ON Data'!$E:$E,3),SUMIFS('ON Data'!AJ:AJ,'ON Data'!$E:$E,3))</f>
        <v>0</v>
      </c>
      <c r="AF12" s="241">
        <f xml:space="preserve">
IF($A$4&lt;=12,SUMIFS('ON Data'!AK:AK,'ON Data'!$D:$D,$A$4,'ON Data'!$E:$E,3),SUMIFS('ON Data'!AK:AK,'ON Data'!$E:$E,3))</f>
        <v>0</v>
      </c>
      <c r="AG12" s="241">
        <f xml:space="preserve">
IF($A$4&lt;=12,SUMIFS('ON Data'!AM:AM,'ON Data'!$D:$D,$A$4,'ON Data'!$E:$E,3),SUMIFS('ON Data'!AM:AM,'ON Data'!$E:$E,3))</f>
        <v>0</v>
      </c>
      <c r="AH12" s="487">
        <f xml:space="preserve">
IF($A$4&lt;=12,SUMIFS('ON Data'!AN:AN,'ON Data'!$D:$D,$A$4,'ON Data'!$E:$E,3),SUMIFS('ON Data'!AN:AN,'ON Data'!$E:$E,3))</f>
        <v>0</v>
      </c>
      <c r="AI12" s="498"/>
    </row>
    <row r="13" spans="1:35" x14ac:dyDescent="0.3">
      <c r="A13" s="222" t="s">
        <v>174</v>
      </c>
      <c r="B13" s="239">
        <f xml:space="preserve">
IF($A$4&lt;=12,SUMIFS('ON Data'!F:F,'ON Data'!$D:$D,$A$4,'ON Data'!$E:$E,4),SUMIFS('ON Data'!F:F,'ON Data'!$E:$E,4))</f>
        <v>0</v>
      </c>
      <c r="C13" s="240">
        <f xml:space="preserve">
IF($A$4&lt;=12,SUMIFS('ON Data'!G:G,'ON Data'!$D:$D,$A$4,'ON Data'!$E:$E,4),SUMIFS('ON Data'!G:G,'ON Data'!$E:$E,4))</f>
        <v>0</v>
      </c>
      <c r="D13" s="241">
        <f xml:space="preserve">
IF($A$4&lt;=12,SUMIFS('ON Data'!H:H,'ON Data'!$D:$D,$A$4,'ON Data'!$E:$E,4),SUMIFS('ON Data'!H:H,'ON Data'!$E:$E,4))</f>
        <v>0</v>
      </c>
      <c r="E13" s="241">
        <f xml:space="preserve">
IF($A$4&lt;=12,SUMIFS('ON Data'!I:I,'ON Data'!$D:$D,$A$4,'ON Data'!$E:$E,4),SUMIFS('ON Data'!I:I,'ON Data'!$E:$E,4))</f>
        <v>0</v>
      </c>
      <c r="F13" s="241">
        <f xml:space="preserve">
IF($A$4&lt;=12,SUMIFS('ON Data'!K:K,'ON Data'!$D:$D,$A$4,'ON Data'!$E:$E,4),SUMIFS('ON Data'!K:K,'ON Data'!$E:$E,4))</f>
        <v>0</v>
      </c>
      <c r="G13" s="241">
        <f xml:space="preserve">
IF($A$4&lt;=12,SUMIFS('ON Data'!L:L,'ON Data'!$D:$D,$A$4,'ON Data'!$E:$E,4),SUMIFS('ON Data'!L:L,'ON Data'!$E:$E,4))</f>
        <v>0</v>
      </c>
      <c r="H13" s="241">
        <f xml:space="preserve">
IF($A$4&lt;=12,SUMIFS('ON Data'!M:M,'ON Data'!$D:$D,$A$4,'ON Data'!$E:$E,4),SUMIFS('ON Data'!M:M,'ON Data'!$E:$E,4))</f>
        <v>0</v>
      </c>
      <c r="I13" s="241">
        <f xml:space="preserve">
IF($A$4&lt;=12,SUMIFS('ON Data'!N:N,'ON Data'!$D:$D,$A$4,'ON Data'!$E:$E,4),SUMIFS('ON Data'!N:N,'ON Data'!$E:$E,4))</f>
        <v>0</v>
      </c>
      <c r="J13" s="241">
        <f xml:space="preserve">
IF($A$4&lt;=12,SUMIFS('ON Data'!O:O,'ON Data'!$D:$D,$A$4,'ON Data'!$E:$E,4),SUMIFS('ON Data'!O:O,'ON Data'!$E:$E,4))</f>
        <v>0</v>
      </c>
      <c r="K13" s="241">
        <f xml:space="preserve">
IF($A$4&lt;=12,SUMIFS('ON Data'!P:P,'ON Data'!$D:$D,$A$4,'ON Data'!$E:$E,4),SUMIFS('ON Data'!P:P,'ON Data'!$E:$E,4))</f>
        <v>0</v>
      </c>
      <c r="L13" s="241">
        <f xml:space="preserve">
IF($A$4&lt;=12,SUMIFS('ON Data'!Q:Q,'ON Data'!$D:$D,$A$4,'ON Data'!$E:$E,4),SUMIFS('ON Data'!Q:Q,'ON Data'!$E:$E,4))</f>
        <v>0</v>
      </c>
      <c r="M13" s="241">
        <f xml:space="preserve">
IF($A$4&lt;=12,SUMIFS('ON Data'!R:R,'ON Data'!$D:$D,$A$4,'ON Data'!$E:$E,4),SUMIFS('ON Data'!R:R,'ON Data'!$E:$E,4))</f>
        <v>0</v>
      </c>
      <c r="N13" s="241">
        <f xml:space="preserve">
IF($A$4&lt;=12,SUMIFS('ON Data'!S:S,'ON Data'!$D:$D,$A$4,'ON Data'!$E:$E,4),SUMIFS('ON Data'!S:S,'ON Data'!$E:$E,4))</f>
        <v>0</v>
      </c>
      <c r="O13" s="241">
        <f xml:space="preserve">
IF($A$4&lt;=12,SUMIFS('ON Data'!T:T,'ON Data'!$D:$D,$A$4,'ON Data'!$E:$E,4),SUMIFS('ON Data'!T:T,'ON Data'!$E:$E,4))</f>
        <v>0</v>
      </c>
      <c r="P13" s="241">
        <f xml:space="preserve">
IF($A$4&lt;=12,SUMIFS('ON Data'!U:U,'ON Data'!$D:$D,$A$4,'ON Data'!$E:$E,4),SUMIFS('ON Data'!U:U,'ON Data'!$E:$E,4))</f>
        <v>0</v>
      </c>
      <c r="Q13" s="241">
        <f xml:space="preserve">
IF($A$4&lt;=12,SUMIFS('ON Data'!V:V,'ON Data'!$D:$D,$A$4,'ON Data'!$E:$E,4),SUMIFS('ON Data'!V:V,'ON Data'!$E:$E,4))</f>
        <v>0</v>
      </c>
      <c r="R13" s="241">
        <f xml:space="preserve">
IF($A$4&lt;=12,SUMIFS('ON Data'!W:W,'ON Data'!$D:$D,$A$4,'ON Data'!$E:$E,4),SUMIFS('ON Data'!W:W,'ON Data'!$E:$E,4))</f>
        <v>0</v>
      </c>
      <c r="S13" s="241">
        <f xml:space="preserve">
IF($A$4&lt;=12,SUMIFS('ON Data'!X:X,'ON Data'!$D:$D,$A$4,'ON Data'!$E:$E,4),SUMIFS('ON Data'!X:X,'ON Data'!$E:$E,4))</f>
        <v>0</v>
      </c>
      <c r="T13" s="241">
        <f xml:space="preserve">
IF($A$4&lt;=12,SUMIFS('ON Data'!Y:Y,'ON Data'!$D:$D,$A$4,'ON Data'!$E:$E,4),SUMIFS('ON Data'!Y:Y,'ON Data'!$E:$E,4))</f>
        <v>0</v>
      </c>
      <c r="U13" s="241">
        <f xml:space="preserve">
IF($A$4&lt;=12,SUMIFS('ON Data'!Z:Z,'ON Data'!$D:$D,$A$4,'ON Data'!$E:$E,4),SUMIFS('ON Data'!Z:Z,'ON Data'!$E:$E,4))</f>
        <v>0</v>
      </c>
      <c r="V13" s="241">
        <f xml:space="preserve">
IF($A$4&lt;=12,SUMIFS('ON Data'!AA:AA,'ON Data'!$D:$D,$A$4,'ON Data'!$E:$E,4),SUMIFS('ON Data'!AA:AA,'ON Data'!$E:$E,4))</f>
        <v>0</v>
      </c>
      <c r="W13" s="241">
        <f xml:space="preserve">
IF($A$4&lt;=12,SUMIFS('ON Data'!AB:AB,'ON Data'!$D:$D,$A$4,'ON Data'!$E:$E,4),SUMIFS('ON Data'!AB:AB,'ON Data'!$E:$E,4))</f>
        <v>0</v>
      </c>
      <c r="X13" s="241">
        <f xml:space="preserve">
IF($A$4&lt;=12,SUMIFS('ON Data'!AC:AC,'ON Data'!$D:$D,$A$4,'ON Data'!$E:$E,4),SUMIFS('ON Data'!AC:AC,'ON Data'!$E:$E,4))</f>
        <v>0</v>
      </c>
      <c r="Y13" s="241">
        <f xml:space="preserve">
IF($A$4&lt;=12,SUMIFS('ON Data'!AD:AD,'ON Data'!$D:$D,$A$4,'ON Data'!$E:$E,4),SUMIFS('ON Data'!AD:AD,'ON Data'!$E:$E,4))</f>
        <v>0</v>
      </c>
      <c r="Z13" s="241">
        <f xml:space="preserve">
IF($A$4&lt;=12,SUMIFS('ON Data'!AE:AE,'ON Data'!$D:$D,$A$4,'ON Data'!$E:$E,4),SUMIFS('ON Data'!AE:AE,'ON Data'!$E:$E,4))</f>
        <v>0</v>
      </c>
      <c r="AA13" s="241">
        <f xml:space="preserve">
IF($A$4&lt;=12,SUMIFS('ON Data'!AF:AF,'ON Data'!$D:$D,$A$4,'ON Data'!$E:$E,4),SUMIFS('ON Data'!AF:AF,'ON Data'!$E:$E,4))</f>
        <v>0</v>
      </c>
      <c r="AB13" s="241">
        <f xml:space="preserve">
IF($A$4&lt;=12,SUMIFS('ON Data'!AG:AG,'ON Data'!$D:$D,$A$4,'ON Data'!$E:$E,4),SUMIFS('ON Data'!AG:AG,'ON Data'!$E:$E,4))</f>
        <v>0</v>
      </c>
      <c r="AC13" s="241">
        <f xml:space="preserve">
IF($A$4&lt;=12,SUMIFS('ON Data'!AH:AH,'ON Data'!$D:$D,$A$4,'ON Data'!$E:$E,4),SUMIFS('ON Data'!AH:AH,'ON Data'!$E:$E,4))</f>
        <v>0</v>
      </c>
      <c r="AD13" s="241">
        <f xml:space="preserve">
IF($A$4&lt;=12,SUMIFS('ON Data'!AI:AI,'ON Data'!$D:$D,$A$4,'ON Data'!$E:$E,4),SUMIFS('ON Data'!AI:AI,'ON Data'!$E:$E,4))</f>
        <v>0</v>
      </c>
      <c r="AE13" s="241">
        <f xml:space="preserve">
IF($A$4&lt;=12,SUMIFS('ON Data'!AJ:AJ,'ON Data'!$D:$D,$A$4,'ON Data'!$E:$E,4),SUMIFS('ON Data'!AJ:AJ,'ON Data'!$E:$E,4))</f>
        <v>0</v>
      </c>
      <c r="AF13" s="241">
        <f xml:space="preserve">
IF($A$4&lt;=12,SUMIFS('ON Data'!AK:AK,'ON Data'!$D:$D,$A$4,'ON Data'!$E:$E,4),SUMIFS('ON Data'!AK:AK,'ON Data'!$E:$E,4))</f>
        <v>0</v>
      </c>
      <c r="AG13" s="241">
        <f xml:space="preserve">
IF($A$4&lt;=12,SUMIFS('ON Data'!AM:AM,'ON Data'!$D:$D,$A$4,'ON Data'!$E:$E,4),SUMIFS('ON Data'!AM:AM,'ON Data'!$E:$E,4))</f>
        <v>0</v>
      </c>
      <c r="AH13" s="487">
        <f xml:space="preserve">
IF($A$4&lt;=12,SUMIFS('ON Data'!AN:AN,'ON Data'!$D:$D,$A$4,'ON Data'!$E:$E,4),SUMIFS('ON Data'!AN:AN,'ON Data'!$E:$E,4))</f>
        <v>0</v>
      </c>
      <c r="AI13" s="498"/>
    </row>
    <row r="14" spans="1:35" ht="15" thickBot="1" x14ac:dyDescent="0.35">
      <c r="A14" s="223" t="s">
        <v>168</v>
      </c>
      <c r="B14" s="242">
        <f xml:space="preserve">
IF($A$4&lt;=12,SUMIFS('ON Data'!F:F,'ON Data'!$D:$D,$A$4,'ON Data'!$E:$E,5),SUMIFS('ON Data'!F:F,'ON Data'!$E:$E,5))</f>
        <v>206</v>
      </c>
      <c r="C14" s="243">
        <f xml:space="preserve">
IF($A$4&lt;=12,SUMIFS('ON Data'!G:G,'ON Data'!$D:$D,$A$4,'ON Data'!$E:$E,5),SUMIFS('ON Data'!G:G,'ON Data'!$E:$E,5))</f>
        <v>206</v>
      </c>
      <c r="D14" s="244">
        <f xml:space="preserve">
IF($A$4&lt;=12,SUMIFS('ON Data'!H:H,'ON Data'!$D:$D,$A$4,'ON Data'!$E:$E,5),SUMIFS('ON Data'!H:H,'ON Data'!$E:$E,5))</f>
        <v>0</v>
      </c>
      <c r="E14" s="244">
        <f xml:space="preserve">
IF($A$4&lt;=12,SUMIFS('ON Data'!I:I,'ON Data'!$D:$D,$A$4,'ON Data'!$E:$E,5),SUMIFS('ON Data'!I:I,'ON Data'!$E:$E,5))</f>
        <v>0</v>
      </c>
      <c r="F14" s="244">
        <f xml:space="preserve">
IF($A$4&lt;=12,SUMIFS('ON Data'!K:K,'ON Data'!$D:$D,$A$4,'ON Data'!$E:$E,5),SUMIFS('ON Data'!K:K,'ON Data'!$E:$E,5))</f>
        <v>0</v>
      </c>
      <c r="G14" s="244">
        <f xml:space="preserve">
IF($A$4&lt;=12,SUMIFS('ON Data'!L:L,'ON Data'!$D:$D,$A$4,'ON Data'!$E:$E,5),SUMIFS('ON Data'!L:L,'ON Data'!$E:$E,5))</f>
        <v>0</v>
      </c>
      <c r="H14" s="244">
        <f xml:space="preserve">
IF($A$4&lt;=12,SUMIFS('ON Data'!M:M,'ON Data'!$D:$D,$A$4,'ON Data'!$E:$E,5),SUMIFS('ON Data'!M:M,'ON Data'!$E:$E,5))</f>
        <v>0</v>
      </c>
      <c r="I14" s="244">
        <f xml:space="preserve">
IF($A$4&lt;=12,SUMIFS('ON Data'!N:N,'ON Data'!$D:$D,$A$4,'ON Data'!$E:$E,5),SUMIFS('ON Data'!N:N,'ON Data'!$E:$E,5))</f>
        <v>0</v>
      </c>
      <c r="J14" s="244">
        <f xml:space="preserve">
IF($A$4&lt;=12,SUMIFS('ON Data'!O:O,'ON Data'!$D:$D,$A$4,'ON Data'!$E:$E,5),SUMIFS('ON Data'!O:O,'ON Data'!$E:$E,5))</f>
        <v>0</v>
      </c>
      <c r="K14" s="244">
        <f xml:space="preserve">
IF($A$4&lt;=12,SUMIFS('ON Data'!P:P,'ON Data'!$D:$D,$A$4,'ON Data'!$E:$E,5),SUMIFS('ON Data'!P:P,'ON Data'!$E:$E,5))</f>
        <v>0</v>
      </c>
      <c r="L14" s="244">
        <f xml:space="preserve">
IF($A$4&lt;=12,SUMIFS('ON Data'!Q:Q,'ON Data'!$D:$D,$A$4,'ON Data'!$E:$E,5),SUMIFS('ON Data'!Q:Q,'ON Data'!$E:$E,5))</f>
        <v>0</v>
      </c>
      <c r="M14" s="244">
        <f xml:space="preserve">
IF($A$4&lt;=12,SUMIFS('ON Data'!R:R,'ON Data'!$D:$D,$A$4,'ON Data'!$E:$E,5),SUMIFS('ON Data'!R:R,'ON Data'!$E:$E,5))</f>
        <v>0</v>
      </c>
      <c r="N14" s="244">
        <f xml:space="preserve">
IF($A$4&lt;=12,SUMIFS('ON Data'!S:S,'ON Data'!$D:$D,$A$4,'ON Data'!$E:$E,5),SUMIFS('ON Data'!S:S,'ON Data'!$E:$E,5))</f>
        <v>0</v>
      </c>
      <c r="O14" s="244">
        <f xml:space="preserve">
IF($A$4&lt;=12,SUMIFS('ON Data'!T:T,'ON Data'!$D:$D,$A$4,'ON Data'!$E:$E,5),SUMIFS('ON Data'!T:T,'ON Data'!$E:$E,5))</f>
        <v>0</v>
      </c>
      <c r="P14" s="244">
        <f xml:space="preserve">
IF($A$4&lt;=12,SUMIFS('ON Data'!U:U,'ON Data'!$D:$D,$A$4,'ON Data'!$E:$E,5),SUMIFS('ON Data'!U:U,'ON Data'!$E:$E,5))</f>
        <v>0</v>
      </c>
      <c r="Q14" s="244">
        <f xml:space="preserve">
IF($A$4&lt;=12,SUMIFS('ON Data'!V:V,'ON Data'!$D:$D,$A$4,'ON Data'!$E:$E,5),SUMIFS('ON Data'!V:V,'ON Data'!$E:$E,5))</f>
        <v>0</v>
      </c>
      <c r="R14" s="244">
        <f xml:space="preserve">
IF($A$4&lt;=12,SUMIFS('ON Data'!W:W,'ON Data'!$D:$D,$A$4,'ON Data'!$E:$E,5),SUMIFS('ON Data'!W:W,'ON Data'!$E:$E,5))</f>
        <v>0</v>
      </c>
      <c r="S14" s="244">
        <f xml:space="preserve">
IF($A$4&lt;=12,SUMIFS('ON Data'!X:X,'ON Data'!$D:$D,$A$4,'ON Data'!$E:$E,5),SUMIFS('ON Data'!X:X,'ON Data'!$E:$E,5))</f>
        <v>0</v>
      </c>
      <c r="T14" s="244">
        <f xml:space="preserve">
IF($A$4&lt;=12,SUMIFS('ON Data'!Y:Y,'ON Data'!$D:$D,$A$4,'ON Data'!$E:$E,5),SUMIFS('ON Data'!Y:Y,'ON Data'!$E:$E,5))</f>
        <v>0</v>
      </c>
      <c r="U14" s="244">
        <f xml:space="preserve">
IF($A$4&lt;=12,SUMIFS('ON Data'!Z:Z,'ON Data'!$D:$D,$A$4,'ON Data'!$E:$E,5),SUMIFS('ON Data'!Z:Z,'ON Data'!$E:$E,5))</f>
        <v>0</v>
      </c>
      <c r="V14" s="244">
        <f xml:space="preserve">
IF($A$4&lt;=12,SUMIFS('ON Data'!AA:AA,'ON Data'!$D:$D,$A$4,'ON Data'!$E:$E,5),SUMIFS('ON Data'!AA:AA,'ON Data'!$E:$E,5))</f>
        <v>0</v>
      </c>
      <c r="W14" s="244">
        <f xml:space="preserve">
IF($A$4&lt;=12,SUMIFS('ON Data'!AB:AB,'ON Data'!$D:$D,$A$4,'ON Data'!$E:$E,5),SUMIFS('ON Data'!AB:AB,'ON Data'!$E:$E,5))</f>
        <v>0</v>
      </c>
      <c r="X14" s="244">
        <f xml:space="preserve">
IF($A$4&lt;=12,SUMIFS('ON Data'!AC:AC,'ON Data'!$D:$D,$A$4,'ON Data'!$E:$E,5),SUMIFS('ON Data'!AC:AC,'ON Data'!$E:$E,5))</f>
        <v>0</v>
      </c>
      <c r="Y14" s="244">
        <f xml:space="preserve">
IF($A$4&lt;=12,SUMIFS('ON Data'!AD:AD,'ON Data'!$D:$D,$A$4,'ON Data'!$E:$E,5),SUMIFS('ON Data'!AD:AD,'ON Data'!$E:$E,5))</f>
        <v>0</v>
      </c>
      <c r="Z14" s="244">
        <f xml:space="preserve">
IF($A$4&lt;=12,SUMIFS('ON Data'!AE:AE,'ON Data'!$D:$D,$A$4,'ON Data'!$E:$E,5),SUMIFS('ON Data'!AE:AE,'ON Data'!$E:$E,5))</f>
        <v>0</v>
      </c>
      <c r="AA14" s="244">
        <f xml:space="preserve">
IF($A$4&lt;=12,SUMIFS('ON Data'!AF:AF,'ON Data'!$D:$D,$A$4,'ON Data'!$E:$E,5),SUMIFS('ON Data'!AF:AF,'ON Data'!$E:$E,5))</f>
        <v>0</v>
      </c>
      <c r="AB14" s="244">
        <f xml:space="preserve">
IF($A$4&lt;=12,SUMIFS('ON Data'!AG:AG,'ON Data'!$D:$D,$A$4,'ON Data'!$E:$E,5),SUMIFS('ON Data'!AG:AG,'ON Data'!$E:$E,5))</f>
        <v>0</v>
      </c>
      <c r="AC14" s="244">
        <f xml:space="preserve">
IF($A$4&lt;=12,SUMIFS('ON Data'!AH:AH,'ON Data'!$D:$D,$A$4,'ON Data'!$E:$E,5),SUMIFS('ON Data'!AH:AH,'ON Data'!$E:$E,5))</f>
        <v>0</v>
      </c>
      <c r="AD14" s="244">
        <f xml:space="preserve">
IF($A$4&lt;=12,SUMIFS('ON Data'!AI:AI,'ON Data'!$D:$D,$A$4,'ON Data'!$E:$E,5),SUMIFS('ON Data'!AI:AI,'ON Data'!$E:$E,5))</f>
        <v>0</v>
      </c>
      <c r="AE14" s="244">
        <f xml:space="preserve">
IF($A$4&lt;=12,SUMIFS('ON Data'!AJ:AJ,'ON Data'!$D:$D,$A$4,'ON Data'!$E:$E,5),SUMIFS('ON Data'!AJ:AJ,'ON Data'!$E:$E,5))</f>
        <v>0</v>
      </c>
      <c r="AF14" s="244">
        <f xml:space="preserve">
IF($A$4&lt;=12,SUMIFS('ON Data'!AK:AK,'ON Data'!$D:$D,$A$4,'ON Data'!$E:$E,5),SUMIFS('ON Data'!AK:AK,'ON Data'!$E:$E,5))</f>
        <v>0</v>
      </c>
      <c r="AG14" s="244">
        <f xml:space="preserve">
IF($A$4&lt;=12,SUMIFS('ON Data'!AM:AM,'ON Data'!$D:$D,$A$4,'ON Data'!$E:$E,5),SUMIFS('ON Data'!AM:AM,'ON Data'!$E:$E,5))</f>
        <v>0</v>
      </c>
      <c r="AH14" s="488">
        <f xml:space="preserve">
IF($A$4&lt;=12,SUMIFS('ON Data'!AN:AN,'ON Data'!$D:$D,$A$4,'ON Data'!$E:$E,5),SUMIFS('ON Data'!AN:AN,'ON Data'!$E:$E,5))</f>
        <v>0</v>
      </c>
      <c r="AI14" s="498"/>
    </row>
    <row r="15" spans="1:35" x14ac:dyDescent="0.3">
      <c r="A15" s="146" t="s">
        <v>178</v>
      </c>
      <c r="B15" s="245"/>
      <c r="C15" s="246"/>
      <c r="D15" s="247"/>
      <c r="E15" s="247"/>
      <c r="F15" s="247"/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489"/>
      <c r="AI15" s="498"/>
    </row>
    <row r="16" spans="1:35" x14ac:dyDescent="0.3">
      <c r="A16" s="224" t="s">
        <v>169</v>
      </c>
      <c r="B16" s="239">
        <f xml:space="preserve">
IF($A$4&lt;=12,SUMIFS('ON Data'!F:F,'ON Data'!$D:$D,$A$4,'ON Data'!$E:$E,7),SUMIFS('ON Data'!F:F,'ON Data'!$E:$E,7))</f>
        <v>0</v>
      </c>
      <c r="C16" s="240">
        <f xml:space="preserve">
IF($A$4&lt;=12,SUMIFS('ON Data'!G:G,'ON Data'!$D:$D,$A$4,'ON Data'!$E:$E,7),SUMIFS('ON Data'!G:G,'ON Data'!$E:$E,7))</f>
        <v>0</v>
      </c>
      <c r="D16" s="241">
        <f xml:space="preserve">
IF($A$4&lt;=12,SUMIFS('ON Data'!H:H,'ON Data'!$D:$D,$A$4,'ON Data'!$E:$E,7),SUMIFS('ON Data'!H:H,'ON Data'!$E:$E,7))</f>
        <v>0</v>
      </c>
      <c r="E16" s="241">
        <f xml:space="preserve">
IF($A$4&lt;=12,SUMIFS('ON Data'!I:I,'ON Data'!$D:$D,$A$4,'ON Data'!$E:$E,7),SUMIFS('ON Data'!I:I,'ON Data'!$E:$E,7))</f>
        <v>0</v>
      </c>
      <c r="F16" s="241">
        <f xml:space="preserve">
IF($A$4&lt;=12,SUMIFS('ON Data'!K:K,'ON Data'!$D:$D,$A$4,'ON Data'!$E:$E,7),SUMIFS('ON Data'!K:K,'ON Data'!$E:$E,7))</f>
        <v>0</v>
      </c>
      <c r="G16" s="241">
        <f xml:space="preserve">
IF($A$4&lt;=12,SUMIFS('ON Data'!L:L,'ON Data'!$D:$D,$A$4,'ON Data'!$E:$E,7),SUMIFS('ON Data'!L:L,'ON Data'!$E:$E,7))</f>
        <v>0</v>
      </c>
      <c r="H16" s="241">
        <f xml:space="preserve">
IF($A$4&lt;=12,SUMIFS('ON Data'!M:M,'ON Data'!$D:$D,$A$4,'ON Data'!$E:$E,7),SUMIFS('ON Data'!M:M,'ON Data'!$E:$E,7))</f>
        <v>0</v>
      </c>
      <c r="I16" s="241">
        <f xml:space="preserve">
IF($A$4&lt;=12,SUMIFS('ON Data'!N:N,'ON Data'!$D:$D,$A$4,'ON Data'!$E:$E,7),SUMIFS('ON Data'!N:N,'ON Data'!$E:$E,7))</f>
        <v>0</v>
      </c>
      <c r="J16" s="241">
        <f xml:space="preserve">
IF($A$4&lt;=12,SUMIFS('ON Data'!O:O,'ON Data'!$D:$D,$A$4,'ON Data'!$E:$E,7),SUMIFS('ON Data'!O:O,'ON Data'!$E:$E,7))</f>
        <v>0</v>
      </c>
      <c r="K16" s="241">
        <f xml:space="preserve">
IF($A$4&lt;=12,SUMIFS('ON Data'!P:P,'ON Data'!$D:$D,$A$4,'ON Data'!$E:$E,7),SUMIFS('ON Data'!P:P,'ON Data'!$E:$E,7))</f>
        <v>0</v>
      </c>
      <c r="L16" s="241">
        <f xml:space="preserve">
IF($A$4&lt;=12,SUMIFS('ON Data'!Q:Q,'ON Data'!$D:$D,$A$4,'ON Data'!$E:$E,7),SUMIFS('ON Data'!Q:Q,'ON Data'!$E:$E,7))</f>
        <v>0</v>
      </c>
      <c r="M16" s="241">
        <f xml:space="preserve">
IF($A$4&lt;=12,SUMIFS('ON Data'!R:R,'ON Data'!$D:$D,$A$4,'ON Data'!$E:$E,7),SUMIFS('ON Data'!R:R,'ON Data'!$E:$E,7))</f>
        <v>0</v>
      </c>
      <c r="N16" s="241">
        <f xml:space="preserve">
IF($A$4&lt;=12,SUMIFS('ON Data'!S:S,'ON Data'!$D:$D,$A$4,'ON Data'!$E:$E,7),SUMIFS('ON Data'!S:S,'ON Data'!$E:$E,7))</f>
        <v>0</v>
      </c>
      <c r="O16" s="241">
        <f xml:space="preserve">
IF($A$4&lt;=12,SUMIFS('ON Data'!T:T,'ON Data'!$D:$D,$A$4,'ON Data'!$E:$E,7),SUMIFS('ON Data'!T:T,'ON Data'!$E:$E,7))</f>
        <v>0</v>
      </c>
      <c r="P16" s="241">
        <f xml:space="preserve">
IF($A$4&lt;=12,SUMIFS('ON Data'!U:U,'ON Data'!$D:$D,$A$4,'ON Data'!$E:$E,7),SUMIFS('ON Data'!U:U,'ON Data'!$E:$E,7))</f>
        <v>0</v>
      </c>
      <c r="Q16" s="241">
        <f xml:space="preserve">
IF($A$4&lt;=12,SUMIFS('ON Data'!V:V,'ON Data'!$D:$D,$A$4,'ON Data'!$E:$E,7),SUMIFS('ON Data'!V:V,'ON Data'!$E:$E,7))</f>
        <v>0</v>
      </c>
      <c r="R16" s="241">
        <f xml:space="preserve">
IF($A$4&lt;=12,SUMIFS('ON Data'!W:W,'ON Data'!$D:$D,$A$4,'ON Data'!$E:$E,7),SUMIFS('ON Data'!W:W,'ON Data'!$E:$E,7))</f>
        <v>0</v>
      </c>
      <c r="S16" s="241">
        <f xml:space="preserve">
IF($A$4&lt;=12,SUMIFS('ON Data'!X:X,'ON Data'!$D:$D,$A$4,'ON Data'!$E:$E,7),SUMIFS('ON Data'!X:X,'ON Data'!$E:$E,7))</f>
        <v>0</v>
      </c>
      <c r="T16" s="241">
        <f xml:space="preserve">
IF($A$4&lt;=12,SUMIFS('ON Data'!Y:Y,'ON Data'!$D:$D,$A$4,'ON Data'!$E:$E,7),SUMIFS('ON Data'!Y:Y,'ON Data'!$E:$E,7))</f>
        <v>0</v>
      </c>
      <c r="U16" s="241">
        <f xml:space="preserve">
IF($A$4&lt;=12,SUMIFS('ON Data'!Z:Z,'ON Data'!$D:$D,$A$4,'ON Data'!$E:$E,7),SUMIFS('ON Data'!Z:Z,'ON Data'!$E:$E,7))</f>
        <v>0</v>
      </c>
      <c r="V16" s="241">
        <f xml:space="preserve">
IF($A$4&lt;=12,SUMIFS('ON Data'!AA:AA,'ON Data'!$D:$D,$A$4,'ON Data'!$E:$E,7),SUMIFS('ON Data'!AA:AA,'ON Data'!$E:$E,7))</f>
        <v>0</v>
      </c>
      <c r="W16" s="241">
        <f xml:space="preserve">
IF($A$4&lt;=12,SUMIFS('ON Data'!AB:AB,'ON Data'!$D:$D,$A$4,'ON Data'!$E:$E,7),SUMIFS('ON Data'!AB:AB,'ON Data'!$E:$E,7))</f>
        <v>0</v>
      </c>
      <c r="X16" s="241">
        <f xml:space="preserve">
IF($A$4&lt;=12,SUMIFS('ON Data'!AC:AC,'ON Data'!$D:$D,$A$4,'ON Data'!$E:$E,7),SUMIFS('ON Data'!AC:AC,'ON Data'!$E:$E,7))</f>
        <v>0</v>
      </c>
      <c r="Y16" s="241">
        <f xml:space="preserve">
IF($A$4&lt;=12,SUMIFS('ON Data'!AD:AD,'ON Data'!$D:$D,$A$4,'ON Data'!$E:$E,7),SUMIFS('ON Data'!AD:AD,'ON Data'!$E:$E,7))</f>
        <v>0</v>
      </c>
      <c r="Z16" s="241">
        <f xml:space="preserve">
IF($A$4&lt;=12,SUMIFS('ON Data'!AE:AE,'ON Data'!$D:$D,$A$4,'ON Data'!$E:$E,7),SUMIFS('ON Data'!AE:AE,'ON Data'!$E:$E,7))</f>
        <v>0</v>
      </c>
      <c r="AA16" s="241">
        <f xml:space="preserve">
IF($A$4&lt;=12,SUMIFS('ON Data'!AF:AF,'ON Data'!$D:$D,$A$4,'ON Data'!$E:$E,7),SUMIFS('ON Data'!AF:AF,'ON Data'!$E:$E,7))</f>
        <v>0</v>
      </c>
      <c r="AB16" s="241">
        <f xml:space="preserve">
IF($A$4&lt;=12,SUMIFS('ON Data'!AG:AG,'ON Data'!$D:$D,$A$4,'ON Data'!$E:$E,7),SUMIFS('ON Data'!AG:AG,'ON Data'!$E:$E,7))</f>
        <v>0</v>
      </c>
      <c r="AC16" s="241">
        <f xml:space="preserve">
IF($A$4&lt;=12,SUMIFS('ON Data'!AH:AH,'ON Data'!$D:$D,$A$4,'ON Data'!$E:$E,7),SUMIFS('ON Data'!AH:AH,'ON Data'!$E:$E,7))</f>
        <v>0</v>
      </c>
      <c r="AD16" s="241">
        <f xml:space="preserve">
IF($A$4&lt;=12,SUMIFS('ON Data'!AI:AI,'ON Data'!$D:$D,$A$4,'ON Data'!$E:$E,7),SUMIFS('ON Data'!AI:AI,'ON Data'!$E:$E,7))</f>
        <v>0</v>
      </c>
      <c r="AE16" s="241">
        <f xml:space="preserve">
IF($A$4&lt;=12,SUMIFS('ON Data'!AJ:AJ,'ON Data'!$D:$D,$A$4,'ON Data'!$E:$E,7),SUMIFS('ON Data'!AJ:AJ,'ON Data'!$E:$E,7))</f>
        <v>0</v>
      </c>
      <c r="AF16" s="241">
        <f xml:space="preserve">
IF($A$4&lt;=12,SUMIFS('ON Data'!AK:AK,'ON Data'!$D:$D,$A$4,'ON Data'!$E:$E,7),SUMIFS('ON Data'!AK:AK,'ON Data'!$E:$E,7))</f>
        <v>0</v>
      </c>
      <c r="AG16" s="241">
        <f xml:space="preserve">
IF($A$4&lt;=12,SUMIFS('ON Data'!AM:AM,'ON Data'!$D:$D,$A$4,'ON Data'!$E:$E,7),SUMIFS('ON Data'!AM:AM,'ON Data'!$E:$E,7))</f>
        <v>0</v>
      </c>
      <c r="AH16" s="487">
        <f xml:space="preserve">
IF($A$4&lt;=12,SUMIFS('ON Data'!AN:AN,'ON Data'!$D:$D,$A$4,'ON Data'!$E:$E,7),SUMIFS('ON Data'!AN:AN,'ON Data'!$E:$E,7))</f>
        <v>0</v>
      </c>
      <c r="AI16" s="498"/>
    </row>
    <row r="17" spans="1:35" x14ac:dyDescent="0.3">
      <c r="A17" s="224" t="s">
        <v>170</v>
      </c>
      <c r="B17" s="239">
        <f xml:space="preserve">
IF($A$4&lt;=12,SUMIFS('ON Data'!F:F,'ON Data'!$D:$D,$A$4,'ON Data'!$E:$E,8),SUMIFS('ON Data'!F:F,'ON Data'!$E:$E,8))</f>
        <v>0</v>
      </c>
      <c r="C17" s="240">
        <f xml:space="preserve">
IF($A$4&lt;=12,SUMIFS('ON Data'!G:G,'ON Data'!$D:$D,$A$4,'ON Data'!$E:$E,8),SUMIFS('ON Data'!G:G,'ON Data'!$E:$E,8))</f>
        <v>0</v>
      </c>
      <c r="D17" s="241">
        <f xml:space="preserve">
IF($A$4&lt;=12,SUMIFS('ON Data'!H:H,'ON Data'!$D:$D,$A$4,'ON Data'!$E:$E,8),SUMIFS('ON Data'!H:H,'ON Data'!$E:$E,8))</f>
        <v>0</v>
      </c>
      <c r="E17" s="241">
        <f xml:space="preserve">
IF($A$4&lt;=12,SUMIFS('ON Data'!I:I,'ON Data'!$D:$D,$A$4,'ON Data'!$E:$E,8),SUMIFS('ON Data'!I:I,'ON Data'!$E:$E,8))</f>
        <v>0</v>
      </c>
      <c r="F17" s="241">
        <f xml:space="preserve">
IF($A$4&lt;=12,SUMIFS('ON Data'!K:K,'ON Data'!$D:$D,$A$4,'ON Data'!$E:$E,8),SUMIFS('ON Data'!K:K,'ON Data'!$E:$E,8))</f>
        <v>0</v>
      </c>
      <c r="G17" s="241">
        <f xml:space="preserve">
IF($A$4&lt;=12,SUMIFS('ON Data'!L:L,'ON Data'!$D:$D,$A$4,'ON Data'!$E:$E,8),SUMIFS('ON Data'!L:L,'ON Data'!$E:$E,8))</f>
        <v>0</v>
      </c>
      <c r="H17" s="241">
        <f xml:space="preserve">
IF($A$4&lt;=12,SUMIFS('ON Data'!M:M,'ON Data'!$D:$D,$A$4,'ON Data'!$E:$E,8),SUMIFS('ON Data'!M:M,'ON Data'!$E:$E,8))</f>
        <v>0</v>
      </c>
      <c r="I17" s="241">
        <f xml:space="preserve">
IF($A$4&lt;=12,SUMIFS('ON Data'!N:N,'ON Data'!$D:$D,$A$4,'ON Data'!$E:$E,8),SUMIFS('ON Data'!N:N,'ON Data'!$E:$E,8))</f>
        <v>0</v>
      </c>
      <c r="J17" s="241">
        <f xml:space="preserve">
IF($A$4&lt;=12,SUMIFS('ON Data'!O:O,'ON Data'!$D:$D,$A$4,'ON Data'!$E:$E,8),SUMIFS('ON Data'!O:O,'ON Data'!$E:$E,8))</f>
        <v>0</v>
      </c>
      <c r="K17" s="241">
        <f xml:space="preserve">
IF($A$4&lt;=12,SUMIFS('ON Data'!P:P,'ON Data'!$D:$D,$A$4,'ON Data'!$E:$E,8),SUMIFS('ON Data'!P:P,'ON Data'!$E:$E,8))</f>
        <v>0</v>
      </c>
      <c r="L17" s="241">
        <f xml:space="preserve">
IF($A$4&lt;=12,SUMIFS('ON Data'!Q:Q,'ON Data'!$D:$D,$A$4,'ON Data'!$E:$E,8),SUMIFS('ON Data'!Q:Q,'ON Data'!$E:$E,8))</f>
        <v>0</v>
      </c>
      <c r="M17" s="241">
        <f xml:space="preserve">
IF($A$4&lt;=12,SUMIFS('ON Data'!R:R,'ON Data'!$D:$D,$A$4,'ON Data'!$E:$E,8),SUMIFS('ON Data'!R:R,'ON Data'!$E:$E,8))</f>
        <v>0</v>
      </c>
      <c r="N17" s="241">
        <f xml:space="preserve">
IF($A$4&lt;=12,SUMIFS('ON Data'!S:S,'ON Data'!$D:$D,$A$4,'ON Data'!$E:$E,8),SUMIFS('ON Data'!S:S,'ON Data'!$E:$E,8))</f>
        <v>0</v>
      </c>
      <c r="O17" s="241">
        <f xml:space="preserve">
IF($A$4&lt;=12,SUMIFS('ON Data'!T:T,'ON Data'!$D:$D,$A$4,'ON Data'!$E:$E,8),SUMIFS('ON Data'!T:T,'ON Data'!$E:$E,8))</f>
        <v>0</v>
      </c>
      <c r="P17" s="241">
        <f xml:space="preserve">
IF($A$4&lt;=12,SUMIFS('ON Data'!U:U,'ON Data'!$D:$D,$A$4,'ON Data'!$E:$E,8),SUMIFS('ON Data'!U:U,'ON Data'!$E:$E,8))</f>
        <v>0</v>
      </c>
      <c r="Q17" s="241">
        <f xml:space="preserve">
IF($A$4&lt;=12,SUMIFS('ON Data'!V:V,'ON Data'!$D:$D,$A$4,'ON Data'!$E:$E,8),SUMIFS('ON Data'!V:V,'ON Data'!$E:$E,8))</f>
        <v>0</v>
      </c>
      <c r="R17" s="241">
        <f xml:space="preserve">
IF($A$4&lt;=12,SUMIFS('ON Data'!W:W,'ON Data'!$D:$D,$A$4,'ON Data'!$E:$E,8),SUMIFS('ON Data'!W:W,'ON Data'!$E:$E,8))</f>
        <v>0</v>
      </c>
      <c r="S17" s="241">
        <f xml:space="preserve">
IF($A$4&lt;=12,SUMIFS('ON Data'!X:X,'ON Data'!$D:$D,$A$4,'ON Data'!$E:$E,8),SUMIFS('ON Data'!X:X,'ON Data'!$E:$E,8))</f>
        <v>0</v>
      </c>
      <c r="T17" s="241">
        <f xml:space="preserve">
IF($A$4&lt;=12,SUMIFS('ON Data'!Y:Y,'ON Data'!$D:$D,$A$4,'ON Data'!$E:$E,8),SUMIFS('ON Data'!Y:Y,'ON Data'!$E:$E,8))</f>
        <v>0</v>
      </c>
      <c r="U17" s="241">
        <f xml:space="preserve">
IF($A$4&lt;=12,SUMIFS('ON Data'!Z:Z,'ON Data'!$D:$D,$A$4,'ON Data'!$E:$E,8),SUMIFS('ON Data'!Z:Z,'ON Data'!$E:$E,8))</f>
        <v>0</v>
      </c>
      <c r="V17" s="241">
        <f xml:space="preserve">
IF($A$4&lt;=12,SUMIFS('ON Data'!AA:AA,'ON Data'!$D:$D,$A$4,'ON Data'!$E:$E,8),SUMIFS('ON Data'!AA:AA,'ON Data'!$E:$E,8))</f>
        <v>0</v>
      </c>
      <c r="W17" s="241">
        <f xml:space="preserve">
IF($A$4&lt;=12,SUMIFS('ON Data'!AB:AB,'ON Data'!$D:$D,$A$4,'ON Data'!$E:$E,8),SUMIFS('ON Data'!AB:AB,'ON Data'!$E:$E,8))</f>
        <v>0</v>
      </c>
      <c r="X17" s="241">
        <f xml:space="preserve">
IF($A$4&lt;=12,SUMIFS('ON Data'!AC:AC,'ON Data'!$D:$D,$A$4,'ON Data'!$E:$E,8),SUMIFS('ON Data'!AC:AC,'ON Data'!$E:$E,8))</f>
        <v>0</v>
      </c>
      <c r="Y17" s="241">
        <f xml:space="preserve">
IF($A$4&lt;=12,SUMIFS('ON Data'!AD:AD,'ON Data'!$D:$D,$A$4,'ON Data'!$E:$E,8),SUMIFS('ON Data'!AD:AD,'ON Data'!$E:$E,8))</f>
        <v>0</v>
      </c>
      <c r="Z17" s="241">
        <f xml:space="preserve">
IF($A$4&lt;=12,SUMIFS('ON Data'!AE:AE,'ON Data'!$D:$D,$A$4,'ON Data'!$E:$E,8),SUMIFS('ON Data'!AE:AE,'ON Data'!$E:$E,8))</f>
        <v>0</v>
      </c>
      <c r="AA17" s="241">
        <f xml:space="preserve">
IF($A$4&lt;=12,SUMIFS('ON Data'!AF:AF,'ON Data'!$D:$D,$A$4,'ON Data'!$E:$E,8),SUMIFS('ON Data'!AF:AF,'ON Data'!$E:$E,8))</f>
        <v>0</v>
      </c>
      <c r="AB17" s="241">
        <f xml:space="preserve">
IF($A$4&lt;=12,SUMIFS('ON Data'!AG:AG,'ON Data'!$D:$D,$A$4,'ON Data'!$E:$E,8),SUMIFS('ON Data'!AG:AG,'ON Data'!$E:$E,8))</f>
        <v>0</v>
      </c>
      <c r="AC17" s="241">
        <f xml:space="preserve">
IF($A$4&lt;=12,SUMIFS('ON Data'!AH:AH,'ON Data'!$D:$D,$A$4,'ON Data'!$E:$E,8),SUMIFS('ON Data'!AH:AH,'ON Data'!$E:$E,8))</f>
        <v>0</v>
      </c>
      <c r="AD17" s="241">
        <f xml:space="preserve">
IF($A$4&lt;=12,SUMIFS('ON Data'!AI:AI,'ON Data'!$D:$D,$A$4,'ON Data'!$E:$E,8),SUMIFS('ON Data'!AI:AI,'ON Data'!$E:$E,8))</f>
        <v>0</v>
      </c>
      <c r="AE17" s="241">
        <f xml:space="preserve">
IF($A$4&lt;=12,SUMIFS('ON Data'!AJ:AJ,'ON Data'!$D:$D,$A$4,'ON Data'!$E:$E,8),SUMIFS('ON Data'!AJ:AJ,'ON Data'!$E:$E,8))</f>
        <v>0</v>
      </c>
      <c r="AF17" s="241">
        <f xml:space="preserve">
IF($A$4&lt;=12,SUMIFS('ON Data'!AK:AK,'ON Data'!$D:$D,$A$4,'ON Data'!$E:$E,8),SUMIFS('ON Data'!AK:AK,'ON Data'!$E:$E,8))</f>
        <v>0</v>
      </c>
      <c r="AG17" s="241">
        <f xml:space="preserve">
IF($A$4&lt;=12,SUMIFS('ON Data'!AM:AM,'ON Data'!$D:$D,$A$4,'ON Data'!$E:$E,8),SUMIFS('ON Data'!AM:AM,'ON Data'!$E:$E,8))</f>
        <v>0</v>
      </c>
      <c r="AH17" s="487">
        <f xml:space="preserve">
IF($A$4&lt;=12,SUMIFS('ON Data'!AN:AN,'ON Data'!$D:$D,$A$4,'ON Data'!$E:$E,8),SUMIFS('ON Data'!AN:AN,'ON Data'!$E:$E,8))</f>
        <v>0</v>
      </c>
      <c r="AI17" s="498"/>
    </row>
    <row r="18" spans="1:35" x14ac:dyDescent="0.3">
      <c r="A18" s="224" t="s">
        <v>171</v>
      </c>
      <c r="B18" s="239">
        <f xml:space="preserve">
B19-B16-B17</f>
        <v>14750</v>
      </c>
      <c r="C18" s="240">
        <f t="shared" ref="C18" si="0" xml:space="preserve">
C19-C16-C17</f>
        <v>0</v>
      </c>
      <c r="D18" s="241">
        <f t="shared" ref="D18:AH18" si="1" xml:space="preserve">
D19-D16-D17</f>
        <v>0</v>
      </c>
      <c r="E18" s="241">
        <f t="shared" si="1"/>
        <v>5142</v>
      </c>
      <c r="F18" s="241">
        <f t="shared" si="1"/>
        <v>9608</v>
      </c>
      <c r="G18" s="241">
        <f t="shared" si="1"/>
        <v>0</v>
      </c>
      <c r="H18" s="241">
        <f t="shared" si="1"/>
        <v>0</v>
      </c>
      <c r="I18" s="241">
        <f t="shared" si="1"/>
        <v>0</v>
      </c>
      <c r="J18" s="241">
        <f t="shared" si="1"/>
        <v>0</v>
      </c>
      <c r="K18" s="241">
        <f t="shared" si="1"/>
        <v>0</v>
      </c>
      <c r="L18" s="241">
        <f t="shared" si="1"/>
        <v>0</v>
      </c>
      <c r="M18" s="241">
        <f t="shared" si="1"/>
        <v>0</v>
      </c>
      <c r="N18" s="241">
        <f t="shared" si="1"/>
        <v>0</v>
      </c>
      <c r="O18" s="241">
        <f t="shared" si="1"/>
        <v>0</v>
      </c>
      <c r="P18" s="241">
        <f t="shared" si="1"/>
        <v>0</v>
      </c>
      <c r="Q18" s="241">
        <f t="shared" si="1"/>
        <v>0</v>
      </c>
      <c r="R18" s="241">
        <f t="shared" si="1"/>
        <v>0</v>
      </c>
      <c r="S18" s="241">
        <f t="shared" si="1"/>
        <v>0</v>
      </c>
      <c r="T18" s="241">
        <f t="shared" si="1"/>
        <v>0</v>
      </c>
      <c r="U18" s="241">
        <f t="shared" si="1"/>
        <v>0</v>
      </c>
      <c r="V18" s="241">
        <f t="shared" si="1"/>
        <v>0</v>
      </c>
      <c r="W18" s="241">
        <f t="shared" si="1"/>
        <v>0</v>
      </c>
      <c r="X18" s="241">
        <f t="shared" si="1"/>
        <v>0</v>
      </c>
      <c r="Y18" s="241">
        <f t="shared" si="1"/>
        <v>0</v>
      </c>
      <c r="Z18" s="241">
        <f t="shared" si="1"/>
        <v>0</v>
      </c>
      <c r="AA18" s="241">
        <f t="shared" si="1"/>
        <v>0</v>
      </c>
      <c r="AB18" s="241">
        <f t="shared" si="1"/>
        <v>0</v>
      </c>
      <c r="AC18" s="241">
        <f t="shared" si="1"/>
        <v>0</v>
      </c>
      <c r="AD18" s="241">
        <f t="shared" si="1"/>
        <v>0</v>
      </c>
      <c r="AE18" s="241">
        <f t="shared" si="1"/>
        <v>0</v>
      </c>
      <c r="AF18" s="241">
        <f t="shared" si="1"/>
        <v>0</v>
      </c>
      <c r="AG18" s="241">
        <f t="shared" si="1"/>
        <v>0</v>
      </c>
      <c r="AH18" s="487">
        <f t="shared" si="1"/>
        <v>0</v>
      </c>
      <c r="AI18" s="498"/>
    </row>
    <row r="19" spans="1:35" ht="15" thickBot="1" x14ac:dyDescent="0.35">
      <c r="A19" s="225" t="s">
        <v>172</v>
      </c>
      <c r="B19" s="248">
        <f xml:space="preserve">
IF($A$4&lt;=12,SUMIFS('ON Data'!F:F,'ON Data'!$D:$D,$A$4,'ON Data'!$E:$E,9),SUMIFS('ON Data'!F:F,'ON Data'!$E:$E,9))</f>
        <v>14750</v>
      </c>
      <c r="C19" s="249">
        <f xml:space="preserve">
IF($A$4&lt;=12,SUMIFS('ON Data'!G:G,'ON Data'!$D:$D,$A$4,'ON Data'!$E:$E,9),SUMIFS('ON Data'!G:G,'ON Data'!$E:$E,9))</f>
        <v>0</v>
      </c>
      <c r="D19" s="250">
        <f xml:space="preserve">
IF($A$4&lt;=12,SUMIFS('ON Data'!H:H,'ON Data'!$D:$D,$A$4,'ON Data'!$E:$E,9),SUMIFS('ON Data'!H:H,'ON Data'!$E:$E,9))</f>
        <v>0</v>
      </c>
      <c r="E19" s="250">
        <f xml:space="preserve">
IF($A$4&lt;=12,SUMIFS('ON Data'!I:I,'ON Data'!$D:$D,$A$4,'ON Data'!$E:$E,9),SUMIFS('ON Data'!I:I,'ON Data'!$E:$E,9))</f>
        <v>5142</v>
      </c>
      <c r="F19" s="250">
        <f xml:space="preserve">
IF($A$4&lt;=12,SUMIFS('ON Data'!K:K,'ON Data'!$D:$D,$A$4,'ON Data'!$E:$E,9),SUMIFS('ON Data'!K:K,'ON Data'!$E:$E,9))</f>
        <v>9608</v>
      </c>
      <c r="G19" s="250">
        <f xml:space="preserve">
IF($A$4&lt;=12,SUMIFS('ON Data'!L:L,'ON Data'!$D:$D,$A$4,'ON Data'!$E:$E,9),SUMIFS('ON Data'!L:L,'ON Data'!$E:$E,9))</f>
        <v>0</v>
      </c>
      <c r="H19" s="250">
        <f xml:space="preserve">
IF($A$4&lt;=12,SUMIFS('ON Data'!M:M,'ON Data'!$D:$D,$A$4,'ON Data'!$E:$E,9),SUMIFS('ON Data'!M:M,'ON Data'!$E:$E,9))</f>
        <v>0</v>
      </c>
      <c r="I19" s="250">
        <f xml:space="preserve">
IF($A$4&lt;=12,SUMIFS('ON Data'!N:N,'ON Data'!$D:$D,$A$4,'ON Data'!$E:$E,9),SUMIFS('ON Data'!N:N,'ON Data'!$E:$E,9))</f>
        <v>0</v>
      </c>
      <c r="J19" s="250">
        <f xml:space="preserve">
IF($A$4&lt;=12,SUMIFS('ON Data'!O:O,'ON Data'!$D:$D,$A$4,'ON Data'!$E:$E,9),SUMIFS('ON Data'!O:O,'ON Data'!$E:$E,9))</f>
        <v>0</v>
      </c>
      <c r="K19" s="250">
        <f xml:space="preserve">
IF($A$4&lt;=12,SUMIFS('ON Data'!P:P,'ON Data'!$D:$D,$A$4,'ON Data'!$E:$E,9),SUMIFS('ON Data'!P:P,'ON Data'!$E:$E,9))</f>
        <v>0</v>
      </c>
      <c r="L19" s="250">
        <f xml:space="preserve">
IF($A$4&lt;=12,SUMIFS('ON Data'!Q:Q,'ON Data'!$D:$D,$A$4,'ON Data'!$E:$E,9),SUMIFS('ON Data'!Q:Q,'ON Data'!$E:$E,9))</f>
        <v>0</v>
      </c>
      <c r="M19" s="250">
        <f xml:space="preserve">
IF($A$4&lt;=12,SUMIFS('ON Data'!R:R,'ON Data'!$D:$D,$A$4,'ON Data'!$E:$E,9),SUMIFS('ON Data'!R:R,'ON Data'!$E:$E,9))</f>
        <v>0</v>
      </c>
      <c r="N19" s="250">
        <f xml:space="preserve">
IF($A$4&lt;=12,SUMIFS('ON Data'!S:S,'ON Data'!$D:$D,$A$4,'ON Data'!$E:$E,9),SUMIFS('ON Data'!S:S,'ON Data'!$E:$E,9))</f>
        <v>0</v>
      </c>
      <c r="O19" s="250">
        <f xml:space="preserve">
IF($A$4&lt;=12,SUMIFS('ON Data'!T:T,'ON Data'!$D:$D,$A$4,'ON Data'!$E:$E,9),SUMIFS('ON Data'!T:T,'ON Data'!$E:$E,9))</f>
        <v>0</v>
      </c>
      <c r="P19" s="250">
        <f xml:space="preserve">
IF($A$4&lt;=12,SUMIFS('ON Data'!U:U,'ON Data'!$D:$D,$A$4,'ON Data'!$E:$E,9),SUMIFS('ON Data'!U:U,'ON Data'!$E:$E,9))</f>
        <v>0</v>
      </c>
      <c r="Q19" s="250">
        <f xml:space="preserve">
IF($A$4&lt;=12,SUMIFS('ON Data'!V:V,'ON Data'!$D:$D,$A$4,'ON Data'!$E:$E,9),SUMIFS('ON Data'!V:V,'ON Data'!$E:$E,9))</f>
        <v>0</v>
      </c>
      <c r="R19" s="250">
        <f xml:space="preserve">
IF($A$4&lt;=12,SUMIFS('ON Data'!W:W,'ON Data'!$D:$D,$A$4,'ON Data'!$E:$E,9),SUMIFS('ON Data'!W:W,'ON Data'!$E:$E,9))</f>
        <v>0</v>
      </c>
      <c r="S19" s="250">
        <f xml:space="preserve">
IF($A$4&lt;=12,SUMIFS('ON Data'!X:X,'ON Data'!$D:$D,$A$4,'ON Data'!$E:$E,9),SUMIFS('ON Data'!X:X,'ON Data'!$E:$E,9))</f>
        <v>0</v>
      </c>
      <c r="T19" s="250">
        <f xml:space="preserve">
IF($A$4&lt;=12,SUMIFS('ON Data'!Y:Y,'ON Data'!$D:$D,$A$4,'ON Data'!$E:$E,9),SUMIFS('ON Data'!Y:Y,'ON Data'!$E:$E,9))</f>
        <v>0</v>
      </c>
      <c r="U19" s="250">
        <f xml:space="preserve">
IF($A$4&lt;=12,SUMIFS('ON Data'!Z:Z,'ON Data'!$D:$D,$A$4,'ON Data'!$E:$E,9),SUMIFS('ON Data'!Z:Z,'ON Data'!$E:$E,9))</f>
        <v>0</v>
      </c>
      <c r="V19" s="250">
        <f xml:space="preserve">
IF($A$4&lt;=12,SUMIFS('ON Data'!AA:AA,'ON Data'!$D:$D,$A$4,'ON Data'!$E:$E,9),SUMIFS('ON Data'!AA:AA,'ON Data'!$E:$E,9))</f>
        <v>0</v>
      </c>
      <c r="W19" s="250">
        <f xml:space="preserve">
IF($A$4&lt;=12,SUMIFS('ON Data'!AB:AB,'ON Data'!$D:$D,$A$4,'ON Data'!$E:$E,9),SUMIFS('ON Data'!AB:AB,'ON Data'!$E:$E,9))</f>
        <v>0</v>
      </c>
      <c r="X19" s="250">
        <f xml:space="preserve">
IF($A$4&lt;=12,SUMIFS('ON Data'!AC:AC,'ON Data'!$D:$D,$A$4,'ON Data'!$E:$E,9),SUMIFS('ON Data'!AC:AC,'ON Data'!$E:$E,9))</f>
        <v>0</v>
      </c>
      <c r="Y19" s="250">
        <f xml:space="preserve">
IF($A$4&lt;=12,SUMIFS('ON Data'!AD:AD,'ON Data'!$D:$D,$A$4,'ON Data'!$E:$E,9),SUMIFS('ON Data'!AD:AD,'ON Data'!$E:$E,9))</f>
        <v>0</v>
      </c>
      <c r="Z19" s="250">
        <f xml:space="preserve">
IF($A$4&lt;=12,SUMIFS('ON Data'!AE:AE,'ON Data'!$D:$D,$A$4,'ON Data'!$E:$E,9),SUMIFS('ON Data'!AE:AE,'ON Data'!$E:$E,9))</f>
        <v>0</v>
      </c>
      <c r="AA19" s="250">
        <f xml:space="preserve">
IF($A$4&lt;=12,SUMIFS('ON Data'!AF:AF,'ON Data'!$D:$D,$A$4,'ON Data'!$E:$E,9),SUMIFS('ON Data'!AF:AF,'ON Data'!$E:$E,9))</f>
        <v>0</v>
      </c>
      <c r="AB19" s="250">
        <f xml:space="preserve">
IF($A$4&lt;=12,SUMIFS('ON Data'!AG:AG,'ON Data'!$D:$D,$A$4,'ON Data'!$E:$E,9),SUMIFS('ON Data'!AG:AG,'ON Data'!$E:$E,9))</f>
        <v>0</v>
      </c>
      <c r="AC19" s="250">
        <f xml:space="preserve">
IF($A$4&lt;=12,SUMIFS('ON Data'!AH:AH,'ON Data'!$D:$D,$A$4,'ON Data'!$E:$E,9),SUMIFS('ON Data'!AH:AH,'ON Data'!$E:$E,9))</f>
        <v>0</v>
      </c>
      <c r="AD19" s="250">
        <f xml:space="preserve">
IF($A$4&lt;=12,SUMIFS('ON Data'!AI:AI,'ON Data'!$D:$D,$A$4,'ON Data'!$E:$E,9),SUMIFS('ON Data'!AI:AI,'ON Data'!$E:$E,9))</f>
        <v>0</v>
      </c>
      <c r="AE19" s="250">
        <f xml:space="preserve">
IF($A$4&lt;=12,SUMIFS('ON Data'!AJ:AJ,'ON Data'!$D:$D,$A$4,'ON Data'!$E:$E,9),SUMIFS('ON Data'!AJ:AJ,'ON Data'!$E:$E,9))</f>
        <v>0</v>
      </c>
      <c r="AF19" s="250">
        <f xml:space="preserve">
IF($A$4&lt;=12,SUMIFS('ON Data'!AK:AK,'ON Data'!$D:$D,$A$4,'ON Data'!$E:$E,9),SUMIFS('ON Data'!AK:AK,'ON Data'!$E:$E,9))</f>
        <v>0</v>
      </c>
      <c r="AG19" s="250">
        <f xml:space="preserve">
IF($A$4&lt;=12,SUMIFS('ON Data'!AM:AM,'ON Data'!$D:$D,$A$4,'ON Data'!$E:$E,9),SUMIFS('ON Data'!AM:AM,'ON Data'!$E:$E,9))</f>
        <v>0</v>
      </c>
      <c r="AH19" s="490">
        <f xml:space="preserve">
IF($A$4&lt;=12,SUMIFS('ON Data'!AN:AN,'ON Data'!$D:$D,$A$4,'ON Data'!$E:$E,9),SUMIFS('ON Data'!AN:AN,'ON Data'!$E:$E,9))</f>
        <v>0</v>
      </c>
      <c r="AI19" s="498"/>
    </row>
    <row r="20" spans="1:35" ht="15" collapsed="1" thickBot="1" x14ac:dyDescent="0.35">
      <c r="A20" s="226" t="s">
        <v>60</v>
      </c>
      <c r="B20" s="251">
        <f xml:space="preserve">
IF($A$4&lt;=12,SUMIFS('ON Data'!F:F,'ON Data'!$D:$D,$A$4,'ON Data'!$E:$E,6),SUMIFS('ON Data'!F:F,'ON Data'!$E:$E,6))</f>
        <v>3316108</v>
      </c>
      <c r="C20" s="252">
        <f xml:space="preserve">
IF($A$4&lt;=12,SUMIFS('ON Data'!G:G,'ON Data'!$D:$D,$A$4,'ON Data'!$E:$E,6),SUMIFS('ON Data'!G:G,'ON Data'!$E:$E,6))</f>
        <v>33180</v>
      </c>
      <c r="D20" s="253">
        <f xml:space="preserve">
IF($A$4&lt;=12,SUMIFS('ON Data'!H:H,'ON Data'!$D:$D,$A$4,'ON Data'!$E:$E,6),SUMIFS('ON Data'!H:H,'ON Data'!$E:$E,6))</f>
        <v>0</v>
      </c>
      <c r="E20" s="253">
        <f xml:space="preserve">
IF($A$4&lt;=12,SUMIFS('ON Data'!I:I,'ON Data'!$D:$D,$A$4,'ON Data'!$E:$E,6),SUMIFS('ON Data'!I:I,'ON Data'!$E:$E,6))</f>
        <v>1056006</v>
      </c>
      <c r="F20" s="253">
        <f xml:space="preserve">
IF($A$4&lt;=12,SUMIFS('ON Data'!K:K,'ON Data'!$D:$D,$A$4,'ON Data'!$E:$E,6),SUMIFS('ON Data'!K:K,'ON Data'!$E:$E,6))</f>
        <v>1540209</v>
      </c>
      <c r="G20" s="253">
        <f xml:space="preserve">
IF($A$4&lt;=12,SUMIFS('ON Data'!L:L,'ON Data'!$D:$D,$A$4,'ON Data'!$E:$E,6),SUMIFS('ON Data'!L:L,'ON Data'!$E:$E,6))</f>
        <v>0</v>
      </c>
      <c r="H20" s="253">
        <f xml:space="preserve">
IF($A$4&lt;=12,SUMIFS('ON Data'!M:M,'ON Data'!$D:$D,$A$4,'ON Data'!$E:$E,6),SUMIFS('ON Data'!M:M,'ON Data'!$E:$E,6))</f>
        <v>0</v>
      </c>
      <c r="I20" s="253">
        <f xml:space="preserve">
IF($A$4&lt;=12,SUMIFS('ON Data'!N:N,'ON Data'!$D:$D,$A$4,'ON Data'!$E:$E,6),SUMIFS('ON Data'!N:N,'ON Data'!$E:$E,6))</f>
        <v>0</v>
      </c>
      <c r="J20" s="253">
        <f xml:space="preserve">
IF($A$4&lt;=12,SUMIFS('ON Data'!O:O,'ON Data'!$D:$D,$A$4,'ON Data'!$E:$E,6),SUMIFS('ON Data'!O:O,'ON Data'!$E:$E,6))</f>
        <v>0</v>
      </c>
      <c r="K20" s="253">
        <f xml:space="preserve">
IF($A$4&lt;=12,SUMIFS('ON Data'!P:P,'ON Data'!$D:$D,$A$4,'ON Data'!$E:$E,6),SUMIFS('ON Data'!P:P,'ON Data'!$E:$E,6))</f>
        <v>0</v>
      </c>
      <c r="L20" s="253">
        <f xml:space="preserve">
IF($A$4&lt;=12,SUMIFS('ON Data'!Q:Q,'ON Data'!$D:$D,$A$4,'ON Data'!$E:$E,6),SUMIFS('ON Data'!Q:Q,'ON Data'!$E:$E,6))</f>
        <v>627687</v>
      </c>
      <c r="M20" s="253">
        <f xml:space="preserve">
IF($A$4&lt;=12,SUMIFS('ON Data'!R:R,'ON Data'!$D:$D,$A$4,'ON Data'!$E:$E,6),SUMIFS('ON Data'!R:R,'ON Data'!$E:$E,6))</f>
        <v>0</v>
      </c>
      <c r="N20" s="253">
        <f xml:space="preserve">
IF($A$4&lt;=12,SUMIFS('ON Data'!S:S,'ON Data'!$D:$D,$A$4,'ON Data'!$E:$E,6),SUMIFS('ON Data'!S:S,'ON Data'!$E:$E,6))</f>
        <v>0</v>
      </c>
      <c r="O20" s="253">
        <f xml:space="preserve">
IF($A$4&lt;=12,SUMIFS('ON Data'!T:T,'ON Data'!$D:$D,$A$4,'ON Data'!$E:$E,6),SUMIFS('ON Data'!T:T,'ON Data'!$E:$E,6))</f>
        <v>0</v>
      </c>
      <c r="P20" s="253">
        <f xml:space="preserve">
IF($A$4&lt;=12,SUMIFS('ON Data'!U:U,'ON Data'!$D:$D,$A$4,'ON Data'!$E:$E,6),SUMIFS('ON Data'!U:U,'ON Data'!$E:$E,6))</f>
        <v>0</v>
      </c>
      <c r="Q20" s="253">
        <f xml:space="preserve">
IF($A$4&lt;=12,SUMIFS('ON Data'!V:V,'ON Data'!$D:$D,$A$4,'ON Data'!$E:$E,6),SUMIFS('ON Data'!V:V,'ON Data'!$E:$E,6))</f>
        <v>0</v>
      </c>
      <c r="R20" s="253">
        <f xml:space="preserve">
IF($A$4&lt;=12,SUMIFS('ON Data'!W:W,'ON Data'!$D:$D,$A$4,'ON Data'!$E:$E,6),SUMIFS('ON Data'!W:W,'ON Data'!$E:$E,6))</f>
        <v>0</v>
      </c>
      <c r="S20" s="253">
        <f xml:space="preserve">
IF($A$4&lt;=12,SUMIFS('ON Data'!X:X,'ON Data'!$D:$D,$A$4,'ON Data'!$E:$E,6),SUMIFS('ON Data'!X:X,'ON Data'!$E:$E,6))</f>
        <v>0</v>
      </c>
      <c r="T20" s="253">
        <f xml:space="preserve">
IF($A$4&lt;=12,SUMIFS('ON Data'!Y:Y,'ON Data'!$D:$D,$A$4,'ON Data'!$E:$E,6),SUMIFS('ON Data'!Y:Y,'ON Data'!$E:$E,6))</f>
        <v>0</v>
      </c>
      <c r="U20" s="253">
        <f xml:space="preserve">
IF($A$4&lt;=12,SUMIFS('ON Data'!Z:Z,'ON Data'!$D:$D,$A$4,'ON Data'!$E:$E,6),SUMIFS('ON Data'!Z:Z,'ON Data'!$E:$E,6))</f>
        <v>0</v>
      </c>
      <c r="V20" s="253">
        <f xml:space="preserve">
IF($A$4&lt;=12,SUMIFS('ON Data'!AA:AA,'ON Data'!$D:$D,$A$4,'ON Data'!$E:$E,6),SUMIFS('ON Data'!AA:AA,'ON Data'!$E:$E,6))</f>
        <v>0</v>
      </c>
      <c r="W20" s="253">
        <f xml:space="preserve">
IF($A$4&lt;=12,SUMIFS('ON Data'!AB:AB,'ON Data'!$D:$D,$A$4,'ON Data'!$E:$E,6),SUMIFS('ON Data'!AB:AB,'ON Data'!$E:$E,6))</f>
        <v>0</v>
      </c>
      <c r="X20" s="253">
        <f xml:space="preserve">
IF($A$4&lt;=12,SUMIFS('ON Data'!AC:AC,'ON Data'!$D:$D,$A$4,'ON Data'!$E:$E,6),SUMIFS('ON Data'!AC:AC,'ON Data'!$E:$E,6))</f>
        <v>0</v>
      </c>
      <c r="Y20" s="253">
        <f xml:space="preserve">
IF($A$4&lt;=12,SUMIFS('ON Data'!AD:AD,'ON Data'!$D:$D,$A$4,'ON Data'!$E:$E,6),SUMIFS('ON Data'!AD:AD,'ON Data'!$E:$E,6))</f>
        <v>0</v>
      </c>
      <c r="Z20" s="253">
        <f xml:space="preserve">
IF($A$4&lt;=12,SUMIFS('ON Data'!AE:AE,'ON Data'!$D:$D,$A$4,'ON Data'!$E:$E,6),SUMIFS('ON Data'!AE:AE,'ON Data'!$E:$E,6))</f>
        <v>0</v>
      </c>
      <c r="AA20" s="253">
        <f xml:space="preserve">
IF($A$4&lt;=12,SUMIFS('ON Data'!AF:AF,'ON Data'!$D:$D,$A$4,'ON Data'!$E:$E,6),SUMIFS('ON Data'!AF:AF,'ON Data'!$E:$E,6))</f>
        <v>0</v>
      </c>
      <c r="AB20" s="253">
        <f xml:space="preserve">
IF($A$4&lt;=12,SUMIFS('ON Data'!AG:AG,'ON Data'!$D:$D,$A$4,'ON Data'!$E:$E,6),SUMIFS('ON Data'!AG:AG,'ON Data'!$E:$E,6))</f>
        <v>0</v>
      </c>
      <c r="AC20" s="253">
        <f xml:space="preserve">
IF($A$4&lt;=12,SUMIFS('ON Data'!AH:AH,'ON Data'!$D:$D,$A$4,'ON Data'!$E:$E,6),SUMIFS('ON Data'!AH:AH,'ON Data'!$E:$E,6))</f>
        <v>0</v>
      </c>
      <c r="AD20" s="253">
        <f xml:space="preserve">
IF($A$4&lt;=12,SUMIFS('ON Data'!AI:AI,'ON Data'!$D:$D,$A$4,'ON Data'!$E:$E,6),SUMIFS('ON Data'!AI:AI,'ON Data'!$E:$E,6))</f>
        <v>0</v>
      </c>
      <c r="AE20" s="253">
        <f xml:space="preserve">
IF($A$4&lt;=12,SUMIFS('ON Data'!AJ:AJ,'ON Data'!$D:$D,$A$4,'ON Data'!$E:$E,6),SUMIFS('ON Data'!AJ:AJ,'ON Data'!$E:$E,6))</f>
        <v>0</v>
      </c>
      <c r="AF20" s="253">
        <f xml:space="preserve">
IF($A$4&lt;=12,SUMIFS('ON Data'!AK:AK,'ON Data'!$D:$D,$A$4,'ON Data'!$E:$E,6),SUMIFS('ON Data'!AK:AK,'ON Data'!$E:$E,6))</f>
        <v>0</v>
      </c>
      <c r="AG20" s="253">
        <f xml:space="preserve">
IF($A$4&lt;=12,SUMIFS('ON Data'!AM:AM,'ON Data'!$D:$D,$A$4,'ON Data'!$E:$E,6),SUMIFS('ON Data'!AM:AM,'ON Data'!$E:$E,6))</f>
        <v>29766</v>
      </c>
      <c r="AH20" s="491">
        <f xml:space="preserve">
IF($A$4&lt;=12,SUMIFS('ON Data'!AN:AN,'ON Data'!$D:$D,$A$4,'ON Data'!$E:$E,6),SUMIFS('ON Data'!AN:AN,'ON Data'!$E:$E,6))</f>
        <v>29260</v>
      </c>
      <c r="AI20" s="498"/>
    </row>
    <row r="21" spans="1:35" ht="15" hidden="1" outlineLevel="1" thickBot="1" x14ac:dyDescent="0.35">
      <c r="A21" s="219" t="s">
        <v>93</v>
      </c>
      <c r="B21" s="239">
        <f xml:space="preserve">
IF($A$4&lt;=12,SUMIFS('ON Data'!F:F,'ON Data'!$D:$D,$A$4,'ON Data'!$E:$E,12),SUMIFS('ON Data'!F:F,'ON Data'!$E:$E,12))</f>
        <v>0</v>
      </c>
      <c r="C21" s="240">
        <f xml:space="preserve">
IF($A$4&lt;=12,SUMIFS('ON Data'!G:G,'ON Data'!$D:$D,$A$4,'ON Data'!$E:$E,12),SUMIFS('ON Data'!G:G,'ON Data'!$E:$E,12))</f>
        <v>0</v>
      </c>
      <c r="D21" s="241">
        <f xml:space="preserve">
IF($A$4&lt;=12,SUMIFS('ON Data'!H:H,'ON Data'!$D:$D,$A$4,'ON Data'!$E:$E,12),SUMIFS('ON Data'!H:H,'ON Data'!$E:$E,12))</f>
        <v>0</v>
      </c>
      <c r="E21" s="241">
        <f xml:space="preserve">
IF($A$4&lt;=12,SUMIFS('ON Data'!I:I,'ON Data'!$D:$D,$A$4,'ON Data'!$E:$E,12),SUMIFS('ON Data'!I:I,'ON Data'!$E:$E,12))</f>
        <v>0</v>
      </c>
      <c r="F21" s="241">
        <f xml:space="preserve">
IF($A$4&lt;=12,SUMIFS('ON Data'!K:K,'ON Data'!$D:$D,$A$4,'ON Data'!$E:$E,12),SUMIFS('ON Data'!K:K,'ON Data'!$E:$E,12))</f>
        <v>0</v>
      </c>
      <c r="G21" s="241">
        <f xml:space="preserve">
IF($A$4&lt;=12,SUMIFS('ON Data'!L:L,'ON Data'!$D:$D,$A$4,'ON Data'!$E:$E,12),SUMIFS('ON Data'!L:L,'ON Data'!$E:$E,12))</f>
        <v>0</v>
      </c>
      <c r="H21" s="241">
        <f xml:space="preserve">
IF($A$4&lt;=12,SUMIFS('ON Data'!M:M,'ON Data'!$D:$D,$A$4,'ON Data'!$E:$E,12),SUMIFS('ON Data'!M:M,'ON Data'!$E:$E,12))</f>
        <v>0</v>
      </c>
      <c r="I21" s="241">
        <f xml:space="preserve">
IF($A$4&lt;=12,SUMIFS('ON Data'!N:N,'ON Data'!$D:$D,$A$4,'ON Data'!$E:$E,12),SUMIFS('ON Data'!N:N,'ON Data'!$E:$E,12))</f>
        <v>0</v>
      </c>
      <c r="J21" s="241">
        <f xml:space="preserve">
IF($A$4&lt;=12,SUMIFS('ON Data'!O:O,'ON Data'!$D:$D,$A$4,'ON Data'!$E:$E,12),SUMIFS('ON Data'!O:O,'ON Data'!$E:$E,12))</f>
        <v>0</v>
      </c>
      <c r="K21" s="241">
        <f xml:space="preserve">
IF($A$4&lt;=12,SUMIFS('ON Data'!P:P,'ON Data'!$D:$D,$A$4,'ON Data'!$E:$E,12),SUMIFS('ON Data'!P:P,'ON Data'!$E:$E,12))</f>
        <v>0</v>
      </c>
      <c r="L21" s="241">
        <f xml:space="preserve">
IF($A$4&lt;=12,SUMIFS('ON Data'!Q:Q,'ON Data'!$D:$D,$A$4,'ON Data'!$E:$E,12),SUMIFS('ON Data'!Q:Q,'ON Data'!$E:$E,12))</f>
        <v>0</v>
      </c>
      <c r="M21" s="241">
        <f xml:space="preserve">
IF($A$4&lt;=12,SUMIFS('ON Data'!R:R,'ON Data'!$D:$D,$A$4,'ON Data'!$E:$E,12),SUMIFS('ON Data'!R:R,'ON Data'!$E:$E,12))</f>
        <v>0</v>
      </c>
      <c r="N21" s="241">
        <f xml:space="preserve">
IF($A$4&lt;=12,SUMIFS('ON Data'!S:S,'ON Data'!$D:$D,$A$4,'ON Data'!$E:$E,12),SUMIFS('ON Data'!S:S,'ON Data'!$E:$E,12))</f>
        <v>0</v>
      </c>
      <c r="O21" s="241">
        <f xml:space="preserve">
IF($A$4&lt;=12,SUMIFS('ON Data'!T:T,'ON Data'!$D:$D,$A$4,'ON Data'!$E:$E,12),SUMIFS('ON Data'!T:T,'ON Data'!$E:$E,12))</f>
        <v>0</v>
      </c>
      <c r="P21" s="241">
        <f xml:space="preserve">
IF($A$4&lt;=12,SUMIFS('ON Data'!U:U,'ON Data'!$D:$D,$A$4,'ON Data'!$E:$E,12),SUMIFS('ON Data'!U:U,'ON Data'!$E:$E,12))</f>
        <v>0</v>
      </c>
      <c r="Q21" s="241">
        <f xml:space="preserve">
IF($A$4&lt;=12,SUMIFS('ON Data'!V:V,'ON Data'!$D:$D,$A$4,'ON Data'!$E:$E,12),SUMIFS('ON Data'!V:V,'ON Data'!$E:$E,12))</f>
        <v>0</v>
      </c>
      <c r="R21" s="241">
        <f xml:space="preserve">
IF($A$4&lt;=12,SUMIFS('ON Data'!W:W,'ON Data'!$D:$D,$A$4,'ON Data'!$E:$E,12),SUMIFS('ON Data'!W:W,'ON Data'!$E:$E,12))</f>
        <v>0</v>
      </c>
      <c r="S21" s="241">
        <f xml:space="preserve">
IF($A$4&lt;=12,SUMIFS('ON Data'!X:X,'ON Data'!$D:$D,$A$4,'ON Data'!$E:$E,12),SUMIFS('ON Data'!X:X,'ON Data'!$E:$E,12))</f>
        <v>0</v>
      </c>
      <c r="T21" s="241">
        <f xml:space="preserve">
IF($A$4&lt;=12,SUMIFS('ON Data'!Y:Y,'ON Data'!$D:$D,$A$4,'ON Data'!$E:$E,12),SUMIFS('ON Data'!Y:Y,'ON Data'!$E:$E,12))</f>
        <v>0</v>
      </c>
      <c r="U21" s="241">
        <f xml:space="preserve">
IF($A$4&lt;=12,SUMIFS('ON Data'!Z:Z,'ON Data'!$D:$D,$A$4,'ON Data'!$E:$E,12),SUMIFS('ON Data'!Z:Z,'ON Data'!$E:$E,12))</f>
        <v>0</v>
      </c>
      <c r="V21" s="241">
        <f xml:space="preserve">
IF($A$4&lt;=12,SUMIFS('ON Data'!AA:AA,'ON Data'!$D:$D,$A$4,'ON Data'!$E:$E,12),SUMIFS('ON Data'!AA:AA,'ON Data'!$E:$E,12))</f>
        <v>0</v>
      </c>
      <c r="W21" s="241">
        <f xml:space="preserve">
IF($A$4&lt;=12,SUMIFS('ON Data'!AB:AB,'ON Data'!$D:$D,$A$4,'ON Data'!$E:$E,12),SUMIFS('ON Data'!AB:AB,'ON Data'!$E:$E,12))</f>
        <v>0</v>
      </c>
      <c r="X21" s="241">
        <f xml:space="preserve">
IF($A$4&lt;=12,SUMIFS('ON Data'!AC:AC,'ON Data'!$D:$D,$A$4,'ON Data'!$E:$E,12),SUMIFS('ON Data'!AC:AC,'ON Data'!$E:$E,12))</f>
        <v>0</v>
      </c>
      <c r="Y21" s="241">
        <f xml:space="preserve">
IF($A$4&lt;=12,SUMIFS('ON Data'!AD:AD,'ON Data'!$D:$D,$A$4,'ON Data'!$E:$E,12),SUMIFS('ON Data'!AD:AD,'ON Data'!$E:$E,12))</f>
        <v>0</v>
      </c>
      <c r="Z21" s="241">
        <f xml:space="preserve">
IF($A$4&lt;=12,SUMIFS('ON Data'!AE:AE,'ON Data'!$D:$D,$A$4,'ON Data'!$E:$E,12),SUMIFS('ON Data'!AE:AE,'ON Data'!$E:$E,12))</f>
        <v>0</v>
      </c>
      <c r="AA21" s="241">
        <f xml:space="preserve">
IF($A$4&lt;=12,SUMIFS('ON Data'!AF:AF,'ON Data'!$D:$D,$A$4,'ON Data'!$E:$E,12),SUMIFS('ON Data'!AF:AF,'ON Data'!$E:$E,12))</f>
        <v>0</v>
      </c>
      <c r="AB21" s="241">
        <f xml:space="preserve">
IF($A$4&lt;=12,SUMIFS('ON Data'!AG:AG,'ON Data'!$D:$D,$A$4,'ON Data'!$E:$E,12),SUMIFS('ON Data'!AG:AG,'ON Data'!$E:$E,12))</f>
        <v>0</v>
      </c>
      <c r="AC21" s="241">
        <f xml:space="preserve">
IF($A$4&lt;=12,SUMIFS('ON Data'!AH:AH,'ON Data'!$D:$D,$A$4,'ON Data'!$E:$E,12),SUMIFS('ON Data'!AH:AH,'ON Data'!$E:$E,12))</f>
        <v>0</v>
      </c>
      <c r="AD21" s="241">
        <f xml:space="preserve">
IF($A$4&lt;=12,SUMIFS('ON Data'!AI:AI,'ON Data'!$D:$D,$A$4,'ON Data'!$E:$E,12),SUMIFS('ON Data'!AI:AI,'ON Data'!$E:$E,12))</f>
        <v>0</v>
      </c>
      <c r="AE21" s="241">
        <f xml:space="preserve">
IF($A$4&lt;=12,SUMIFS('ON Data'!AJ:AJ,'ON Data'!$D:$D,$A$4,'ON Data'!$E:$E,12),SUMIFS('ON Data'!AJ:AJ,'ON Data'!$E:$E,12))</f>
        <v>0</v>
      </c>
      <c r="AF21" s="241">
        <f xml:space="preserve">
IF($A$4&lt;=12,SUMIFS('ON Data'!AK:AK,'ON Data'!$D:$D,$A$4,'ON Data'!$E:$E,12),SUMIFS('ON Data'!AK:AK,'ON Data'!$E:$E,12))</f>
        <v>0</v>
      </c>
      <c r="AG21" s="241">
        <f xml:space="preserve">
IF($A$4&lt;=12,SUMIFS('ON Data'!AM:AM,'ON Data'!$D:$D,$A$4,'ON Data'!$E:$E,12),SUMIFS('ON Data'!AM:AM,'ON Data'!$E:$E,12))</f>
        <v>0</v>
      </c>
      <c r="AH21" s="487">
        <f xml:space="preserve">
IF($A$4&lt;=12,SUMIFS('ON Data'!AN:AN,'ON Data'!$D:$D,$A$4,'ON Data'!$E:$E,12),SUMIFS('ON Data'!AN:AN,'ON Data'!$E:$E,12))</f>
        <v>0</v>
      </c>
      <c r="AI21" s="498"/>
    </row>
    <row r="22" spans="1:35" ht="15" hidden="1" outlineLevel="1" thickBot="1" x14ac:dyDescent="0.35">
      <c r="A22" s="219" t="s">
        <v>62</v>
      </c>
      <c r="B22" s="295" t="str">
        <f xml:space="preserve">
IF(OR(B21="",B21=0),"",B20/B21)</f>
        <v/>
      </c>
      <c r="C22" s="296" t="str">
        <f t="shared" ref="C22:AH22" si="2" xml:space="preserve">
IF(OR(C21="",C21=0),"",C20/C21)</f>
        <v/>
      </c>
      <c r="D22" s="297" t="str">
        <f t="shared" si="2"/>
        <v/>
      </c>
      <c r="E22" s="297" t="str">
        <f t="shared" si="2"/>
        <v/>
      </c>
      <c r="F22" s="297" t="str">
        <f t="shared" si="2"/>
        <v/>
      </c>
      <c r="G22" s="297" t="str">
        <f t="shared" si="2"/>
        <v/>
      </c>
      <c r="H22" s="297" t="str">
        <f t="shared" si="2"/>
        <v/>
      </c>
      <c r="I22" s="297" t="str">
        <f t="shared" si="2"/>
        <v/>
      </c>
      <c r="J22" s="297" t="str">
        <f t="shared" si="2"/>
        <v/>
      </c>
      <c r="K22" s="297" t="str">
        <f t="shared" si="2"/>
        <v/>
      </c>
      <c r="L22" s="297" t="str">
        <f t="shared" si="2"/>
        <v/>
      </c>
      <c r="M22" s="297" t="str">
        <f t="shared" si="2"/>
        <v/>
      </c>
      <c r="N22" s="297" t="str">
        <f t="shared" si="2"/>
        <v/>
      </c>
      <c r="O22" s="297" t="str">
        <f t="shared" si="2"/>
        <v/>
      </c>
      <c r="P22" s="297" t="str">
        <f t="shared" si="2"/>
        <v/>
      </c>
      <c r="Q22" s="297" t="str">
        <f t="shared" si="2"/>
        <v/>
      </c>
      <c r="R22" s="297" t="str">
        <f t="shared" si="2"/>
        <v/>
      </c>
      <c r="S22" s="297" t="str">
        <f t="shared" si="2"/>
        <v/>
      </c>
      <c r="T22" s="297" t="str">
        <f t="shared" si="2"/>
        <v/>
      </c>
      <c r="U22" s="297" t="str">
        <f t="shared" si="2"/>
        <v/>
      </c>
      <c r="V22" s="297" t="str">
        <f t="shared" si="2"/>
        <v/>
      </c>
      <c r="W22" s="297" t="str">
        <f t="shared" si="2"/>
        <v/>
      </c>
      <c r="X22" s="297" t="str">
        <f t="shared" si="2"/>
        <v/>
      </c>
      <c r="Y22" s="297" t="str">
        <f t="shared" si="2"/>
        <v/>
      </c>
      <c r="Z22" s="297" t="str">
        <f t="shared" si="2"/>
        <v/>
      </c>
      <c r="AA22" s="297" t="str">
        <f t="shared" si="2"/>
        <v/>
      </c>
      <c r="AB22" s="297" t="str">
        <f t="shared" si="2"/>
        <v/>
      </c>
      <c r="AC22" s="297" t="str">
        <f t="shared" si="2"/>
        <v/>
      </c>
      <c r="AD22" s="297" t="str">
        <f t="shared" si="2"/>
        <v/>
      </c>
      <c r="AE22" s="297" t="str">
        <f t="shared" si="2"/>
        <v/>
      </c>
      <c r="AF22" s="297" t="str">
        <f t="shared" si="2"/>
        <v/>
      </c>
      <c r="AG22" s="297" t="str">
        <f t="shared" si="2"/>
        <v/>
      </c>
      <c r="AH22" s="492" t="str">
        <f t="shared" si="2"/>
        <v/>
      </c>
      <c r="AI22" s="498"/>
    </row>
    <row r="23" spans="1:35" ht="15" hidden="1" outlineLevel="1" thickBot="1" x14ac:dyDescent="0.35">
      <c r="A23" s="227" t="s">
        <v>55</v>
      </c>
      <c r="B23" s="242">
        <f xml:space="preserve">
IF(B21="","",B20-B21)</f>
        <v>3316108</v>
      </c>
      <c r="C23" s="243">
        <f t="shared" ref="C23:AH23" si="3" xml:space="preserve">
IF(C21="","",C20-C21)</f>
        <v>33180</v>
      </c>
      <c r="D23" s="244">
        <f t="shared" si="3"/>
        <v>0</v>
      </c>
      <c r="E23" s="244">
        <f t="shared" si="3"/>
        <v>1056006</v>
      </c>
      <c r="F23" s="244">
        <f t="shared" si="3"/>
        <v>1540209</v>
      </c>
      <c r="G23" s="244">
        <f t="shared" si="3"/>
        <v>0</v>
      </c>
      <c r="H23" s="244">
        <f t="shared" si="3"/>
        <v>0</v>
      </c>
      <c r="I23" s="244">
        <f t="shared" si="3"/>
        <v>0</v>
      </c>
      <c r="J23" s="244">
        <f t="shared" si="3"/>
        <v>0</v>
      </c>
      <c r="K23" s="244">
        <f t="shared" si="3"/>
        <v>0</v>
      </c>
      <c r="L23" s="244">
        <f t="shared" si="3"/>
        <v>627687</v>
      </c>
      <c r="M23" s="244">
        <f t="shared" si="3"/>
        <v>0</v>
      </c>
      <c r="N23" s="244">
        <f t="shared" si="3"/>
        <v>0</v>
      </c>
      <c r="O23" s="244">
        <f t="shared" si="3"/>
        <v>0</v>
      </c>
      <c r="P23" s="244">
        <f t="shared" si="3"/>
        <v>0</v>
      </c>
      <c r="Q23" s="244">
        <f t="shared" si="3"/>
        <v>0</v>
      </c>
      <c r="R23" s="244">
        <f t="shared" si="3"/>
        <v>0</v>
      </c>
      <c r="S23" s="244">
        <f t="shared" si="3"/>
        <v>0</v>
      </c>
      <c r="T23" s="244">
        <f t="shared" si="3"/>
        <v>0</v>
      </c>
      <c r="U23" s="244">
        <f t="shared" si="3"/>
        <v>0</v>
      </c>
      <c r="V23" s="244">
        <f t="shared" si="3"/>
        <v>0</v>
      </c>
      <c r="W23" s="244">
        <f t="shared" si="3"/>
        <v>0</v>
      </c>
      <c r="X23" s="244">
        <f t="shared" si="3"/>
        <v>0</v>
      </c>
      <c r="Y23" s="244">
        <f t="shared" si="3"/>
        <v>0</v>
      </c>
      <c r="Z23" s="244">
        <f t="shared" si="3"/>
        <v>0</v>
      </c>
      <c r="AA23" s="244">
        <f t="shared" si="3"/>
        <v>0</v>
      </c>
      <c r="AB23" s="244">
        <f t="shared" si="3"/>
        <v>0</v>
      </c>
      <c r="AC23" s="244">
        <f t="shared" si="3"/>
        <v>0</v>
      </c>
      <c r="AD23" s="244">
        <f t="shared" si="3"/>
        <v>0</v>
      </c>
      <c r="AE23" s="244">
        <f t="shared" si="3"/>
        <v>0</v>
      </c>
      <c r="AF23" s="244">
        <f t="shared" si="3"/>
        <v>0</v>
      </c>
      <c r="AG23" s="244">
        <f t="shared" si="3"/>
        <v>29766</v>
      </c>
      <c r="AH23" s="488">
        <f t="shared" si="3"/>
        <v>29260</v>
      </c>
      <c r="AI23" s="498"/>
    </row>
    <row r="24" spans="1:35" x14ac:dyDescent="0.3">
      <c r="A24" s="221" t="s">
        <v>173</v>
      </c>
      <c r="B24" s="268" t="s">
        <v>3</v>
      </c>
      <c r="C24" s="499" t="s">
        <v>184</v>
      </c>
      <c r="D24" s="472"/>
      <c r="E24" s="473"/>
      <c r="F24" s="473" t="s">
        <v>185</v>
      </c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73"/>
      <c r="W24" s="473"/>
      <c r="X24" s="473"/>
      <c r="Y24" s="473"/>
      <c r="Z24" s="473"/>
      <c r="AA24" s="473"/>
      <c r="AB24" s="473"/>
      <c r="AC24" s="473"/>
      <c r="AD24" s="473"/>
      <c r="AE24" s="473"/>
      <c r="AF24" s="473"/>
      <c r="AG24" s="473" t="s">
        <v>186</v>
      </c>
      <c r="AH24" s="493"/>
      <c r="AI24" s="498"/>
    </row>
    <row r="25" spans="1:35" x14ac:dyDescent="0.3">
      <c r="A25" s="222" t="s">
        <v>60</v>
      </c>
      <c r="B25" s="239">
        <f xml:space="preserve">
SUM(C25:AH25)</f>
        <v>1050</v>
      </c>
      <c r="C25" s="500">
        <f xml:space="preserve">
IF($A$4&lt;=12,SUMIFS('ON Data'!H:H,'ON Data'!$D:$D,$A$4,'ON Data'!$E:$E,10),SUMIFS('ON Data'!H:H,'ON Data'!$E:$E,10))</f>
        <v>1050</v>
      </c>
      <c r="D25" s="474"/>
      <c r="E25" s="475"/>
      <c r="F25" s="475">
        <f xml:space="preserve">
IF($A$4&lt;=12,SUMIFS('ON Data'!K:K,'ON Data'!$D:$D,$A$4,'ON Data'!$E:$E,10),SUMIFS('ON Data'!K:K,'ON Data'!$E:$E,10))</f>
        <v>0</v>
      </c>
      <c r="G25" s="475"/>
      <c r="H25" s="475"/>
      <c r="I25" s="475"/>
      <c r="J25" s="475"/>
      <c r="K25" s="475"/>
      <c r="L25" s="475"/>
      <c r="M25" s="475"/>
      <c r="N25" s="475"/>
      <c r="O25" s="475"/>
      <c r="P25" s="475"/>
      <c r="Q25" s="475"/>
      <c r="R25" s="475"/>
      <c r="S25" s="475"/>
      <c r="T25" s="475"/>
      <c r="U25" s="475"/>
      <c r="V25" s="475"/>
      <c r="W25" s="475"/>
      <c r="X25" s="475"/>
      <c r="Y25" s="475"/>
      <c r="Z25" s="475"/>
      <c r="AA25" s="475"/>
      <c r="AB25" s="475"/>
      <c r="AC25" s="475"/>
      <c r="AD25" s="475"/>
      <c r="AE25" s="475"/>
      <c r="AF25" s="475"/>
      <c r="AG25" s="475">
        <f xml:space="preserve">
IF($A$4&lt;=12,SUMIFS('ON Data'!AM:AM,'ON Data'!$D:$D,$A$4,'ON Data'!$E:$E,10),SUMIFS('ON Data'!AM:AM,'ON Data'!$E:$E,10))</f>
        <v>0</v>
      </c>
      <c r="AH25" s="494"/>
      <c r="AI25" s="498"/>
    </row>
    <row r="26" spans="1:35" x14ac:dyDescent="0.3">
      <c r="A26" s="228" t="s">
        <v>183</v>
      </c>
      <c r="B26" s="248">
        <f xml:space="preserve">
SUM(C26:AH26)</f>
        <v>8911</v>
      </c>
      <c r="C26" s="500">
        <f xml:space="preserve">
IF($A$4&lt;=12,SUMIFS('ON Data'!H:H,'ON Data'!$D:$D,$A$4,'ON Data'!$E:$E,11),SUMIFS('ON Data'!H:H,'ON Data'!$E:$E,11))</f>
        <v>8911</v>
      </c>
      <c r="D26" s="474"/>
      <c r="E26" s="475"/>
      <c r="F26" s="476">
        <f xml:space="preserve">
IF($A$4&lt;=12,SUMIFS('ON Data'!K:K,'ON Data'!$D:$D,$A$4,'ON Data'!$E:$E,11),SUMIFS('ON Data'!K:K,'ON Data'!$E:$E,11))</f>
        <v>0</v>
      </c>
      <c r="G26" s="476"/>
      <c r="H26" s="476"/>
      <c r="I26" s="476"/>
      <c r="J26" s="476"/>
      <c r="K26" s="476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6"/>
      <c r="AF26" s="476"/>
      <c r="AG26" s="475">
        <f xml:space="preserve">
IF($A$4&lt;=12,SUMIFS('ON Data'!AM:AM,'ON Data'!$D:$D,$A$4,'ON Data'!$E:$E,11),SUMIFS('ON Data'!AM:AM,'ON Data'!$E:$E,11))</f>
        <v>0</v>
      </c>
      <c r="AH26" s="495"/>
      <c r="AI26" s="498"/>
    </row>
    <row r="27" spans="1:35" x14ac:dyDescent="0.3">
      <c r="A27" s="228" t="s">
        <v>62</v>
      </c>
      <c r="B27" s="269">
        <f xml:space="preserve">
IF(B26=0,0,B25/B26)</f>
        <v>0.1178318931657502</v>
      </c>
      <c r="C27" s="501">
        <f xml:space="preserve">
IF(C26=0,0,C25/C26)</f>
        <v>0.1178318931657502</v>
      </c>
      <c r="D27" s="477"/>
      <c r="E27" s="478"/>
      <c r="F27" s="478">
        <f xml:space="preserve">
IF(F26=0,0,F25/F26)</f>
        <v>0</v>
      </c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>
        <f xml:space="preserve">
IF(AG26=0,0,AG25/AG26)</f>
        <v>0</v>
      </c>
      <c r="AH27" s="496"/>
      <c r="AI27" s="498"/>
    </row>
    <row r="28" spans="1:35" ht="15" thickBot="1" x14ac:dyDescent="0.35">
      <c r="A28" s="228" t="s">
        <v>182</v>
      </c>
      <c r="B28" s="248">
        <f xml:space="preserve">
SUM(C28:AH28)</f>
        <v>7861</v>
      </c>
      <c r="C28" s="502">
        <f xml:space="preserve">
C26-C25</f>
        <v>7861</v>
      </c>
      <c r="D28" s="479"/>
      <c r="E28" s="480"/>
      <c r="F28" s="480">
        <f xml:space="preserve">
F26-F25</f>
        <v>0</v>
      </c>
      <c r="G28" s="480"/>
      <c r="H28" s="480"/>
      <c r="I28" s="480"/>
      <c r="J28" s="480"/>
      <c r="K28" s="480"/>
      <c r="L28" s="480"/>
      <c r="M28" s="480"/>
      <c r="N28" s="480"/>
      <c r="O28" s="480"/>
      <c r="P28" s="480"/>
      <c r="Q28" s="480"/>
      <c r="R28" s="480"/>
      <c r="S28" s="480"/>
      <c r="T28" s="480"/>
      <c r="U28" s="480"/>
      <c r="V28" s="480"/>
      <c r="W28" s="480"/>
      <c r="X28" s="480"/>
      <c r="Y28" s="480"/>
      <c r="Z28" s="480"/>
      <c r="AA28" s="480"/>
      <c r="AB28" s="480"/>
      <c r="AC28" s="480"/>
      <c r="AD28" s="480"/>
      <c r="AE28" s="480"/>
      <c r="AF28" s="480"/>
      <c r="AG28" s="480">
        <f xml:space="preserve">
AG26-AG25</f>
        <v>0</v>
      </c>
      <c r="AH28" s="497"/>
      <c r="AI28" s="498"/>
    </row>
    <row r="29" spans="1:35" x14ac:dyDescent="0.3">
      <c r="A29" s="229"/>
      <c r="B29" s="229"/>
      <c r="C29" s="230"/>
      <c r="D29" s="229"/>
      <c r="E29" s="229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  <c r="Z29" s="230"/>
      <c r="AA29" s="230"/>
      <c r="AB29" s="230"/>
      <c r="AC29" s="230"/>
      <c r="AD29" s="230"/>
      <c r="AE29" s="229"/>
      <c r="AF29" s="229"/>
      <c r="AG29" s="229"/>
      <c r="AH29" s="229"/>
    </row>
    <row r="30" spans="1:35" x14ac:dyDescent="0.3">
      <c r="A30" s="98" t="s">
        <v>135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34"/>
      <c r="AH30" s="134"/>
    </row>
    <row r="31" spans="1:35" x14ac:dyDescent="0.3">
      <c r="A31" s="99" t="s">
        <v>180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34"/>
      <c r="AH31" s="134"/>
    </row>
    <row r="32" spans="1:35" ht="14.4" customHeight="1" x14ac:dyDescent="0.3">
      <c r="A32" s="265" t="s">
        <v>177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  <c r="S32" s="266"/>
      <c r="T32" s="266"/>
      <c r="U32" s="266"/>
      <c r="V32" s="266"/>
      <c r="W32" s="266"/>
      <c r="X32" s="266"/>
      <c r="Y32" s="266"/>
      <c r="Z32" s="266"/>
      <c r="AA32" s="266"/>
      <c r="AB32" s="266"/>
      <c r="AC32" s="266"/>
      <c r="AD32" s="266"/>
      <c r="AE32" s="266"/>
      <c r="AF32" s="266"/>
    </row>
    <row r="33" spans="1:1" x14ac:dyDescent="0.3">
      <c r="A33" s="267" t="s">
        <v>187</v>
      </c>
    </row>
    <row r="34" spans="1:1" x14ac:dyDescent="0.3">
      <c r="A34" s="267" t="s">
        <v>188</v>
      </c>
    </row>
    <row r="35" spans="1:1" x14ac:dyDescent="0.3">
      <c r="A35" s="267" t="s">
        <v>189</v>
      </c>
    </row>
    <row r="36" spans="1:1" x14ac:dyDescent="0.3">
      <c r="A36" s="267" t="s">
        <v>190</v>
      </c>
    </row>
  </sheetData>
  <mergeCells count="17">
    <mergeCell ref="A1:AH1"/>
    <mergeCell ref="B3:B4"/>
    <mergeCell ref="AG24:AH24"/>
    <mergeCell ref="AG25:AH25"/>
    <mergeCell ref="C24:E24"/>
    <mergeCell ref="AG26:AH26"/>
    <mergeCell ref="C25:E25"/>
    <mergeCell ref="C26:E26"/>
    <mergeCell ref="F24:AF24"/>
    <mergeCell ref="F25:AF25"/>
    <mergeCell ref="F26:AF26"/>
    <mergeCell ref="C28:E28"/>
    <mergeCell ref="AG27:AH27"/>
    <mergeCell ref="AG28:AH28"/>
    <mergeCell ref="C27:E27"/>
    <mergeCell ref="F27:AF27"/>
    <mergeCell ref="F28:AF28"/>
  </mergeCells>
  <conditionalFormatting sqref="C27 AG27 F27">
    <cfRule type="cellIs" dxfId="4" priority="4" operator="greaterThan">
      <formula>1</formula>
    </cfRule>
  </conditionalFormatting>
  <conditionalFormatting sqref="C28 AG28 F28">
    <cfRule type="cellIs" dxfId="3" priority="3" operator="lessThan">
      <formula>0</formula>
    </cfRule>
  </conditionalFormatting>
  <conditionalFormatting sqref="B22:AH22">
    <cfRule type="cellIs" dxfId="2" priority="2" operator="greaterThan">
      <formula>1</formula>
    </cfRule>
  </conditionalFormatting>
  <conditionalFormatting sqref="B23:AH23">
    <cfRule type="cellIs" dxfId="1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7"/>
  <sheetViews>
    <sheetView showGridLines="0" showRowColHeaders="0" workbookViewId="0"/>
  </sheetViews>
  <sheetFormatPr defaultRowHeight="14.4" x14ac:dyDescent="0.3"/>
  <cols>
    <col min="1" max="16384" width="8.88671875" style="208"/>
  </cols>
  <sheetData>
    <row r="1" spans="1:40" x14ac:dyDescent="0.3">
      <c r="A1" s="208" t="s">
        <v>1000</v>
      </c>
    </row>
    <row r="2" spans="1:40" x14ac:dyDescent="0.3">
      <c r="A2" s="212" t="s">
        <v>254</v>
      </c>
    </row>
    <row r="3" spans="1:40" x14ac:dyDescent="0.3">
      <c r="A3" s="208" t="s">
        <v>146</v>
      </c>
      <c r="B3" s="233">
        <v>2015</v>
      </c>
      <c r="D3" s="209">
        <f>MAX(D5:D1048576)</f>
        <v>2</v>
      </c>
      <c r="F3" s="209">
        <f>SUMIF($E5:$E1048576,"&lt;10",F5:F1048576)</f>
        <v>3348589.25</v>
      </c>
      <c r="G3" s="209">
        <f t="shared" ref="G3:AN3" si="0">SUMIF($E5:$E1048576,"&lt;10",G5:G1048576)</f>
        <v>33386</v>
      </c>
      <c r="H3" s="209">
        <f t="shared" si="0"/>
        <v>0</v>
      </c>
      <c r="I3" s="209">
        <f t="shared" si="0"/>
        <v>1064761.3500000001</v>
      </c>
      <c r="J3" s="209">
        <f t="shared" si="0"/>
        <v>0</v>
      </c>
      <c r="K3" s="209">
        <f t="shared" si="0"/>
        <v>1558679</v>
      </c>
      <c r="L3" s="209">
        <f t="shared" si="0"/>
        <v>0</v>
      </c>
      <c r="M3" s="209">
        <f t="shared" si="0"/>
        <v>0</v>
      </c>
      <c r="N3" s="209">
        <f t="shared" si="0"/>
        <v>0</v>
      </c>
      <c r="O3" s="209">
        <f t="shared" si="0"/>
        <v>0</v>
      </c>
      <c r="P3" s="209">
        <f t="shared" si="0"/>
        <v>0</v>
      </c>
      <c r="Q3" s="209">
        <f t="shared" si="0"/>
        <v>632101.80000000005</v>
      </c>
      <c r="R3" s="209">
        <f t="shared" si="0"/>
        <v>0</v>
      </c>
      <c r="S3" s="209">
        <f t="shared" si="0"/>
        <v>0</v>
      </c>
      <c r="T3" s="209">
        <f t="shared" si="0"/>
        <v>0</v>
      </c>
      <c r="U3" s="209">
        <f t="shared" si="0"/>
        <v>0</v>
      </c>
      <c r="V3" s="209">
        <f t="shared" si="0"/>
        <v>0</v>
      </c>
      <c r="W3" s="209">
        <f t="shared" si="0"/>
        <v>0</v>
      </c>
      <c r="X3" s="209">
        <f t="shared" si="0"/>
        <v>0</v>
      </c>
      <c r="Y3" s="209">
        <f t="shared" si="0"/>
        <v>0</v>
      </c>
      <c r="Z3" s="209">
        <f t="shared" si="0"/>
        <v>0</v>
      </c>
      <c r="AA3" s="209">
        <f t="shared" si="0"/>
        <v>0</v>
      </c>
      <c r="AB3" s="209">
        <f t="shared" si="0"/>
        <v>0</v>
      </c>
      <c r="AC3" s="209">
        <f t="shared" si="0"/>
        <v>0</v>
      </c>
      <c r="AD3" s="209">
        <f t="shared" si="0"/>
        <v>0</v>
      </c>
      <c r="AE3" s="209">
        <f t="shared" si="0"/>
        <v>0</v>
      </c>
      <c r="AF3" s="209">
        <f t="shared" si="0"/>
        <v>0</v>
      </c>
      <c r="AG3" s="209">
        <f t="shared" si="0"/>
        <v>0</v>
      </c>
      <c r="AH3" s="209">
        <f t="shared" si="0"/>
        <v>0</v>
      </c>
      <c r="AI3" s="209">
        <f t="shared" si="0"/>
        <v>0</v>
      </c>
      <c r="AJ3" s="209">
        <f t="shared" si="0"/>
        <v>0</v>
      </c>
      <c r="AK3" s="209">
        <f t="shared" si="0"/>
        <v>0</v>
      </c>
      <c r="AL3" s="209">
        <f t="shared" si="0"/>
        <v>0</v>
      </c>
      <c r="AM3" s="209">
        <f t="shared" si="0"/>
        <v>30063.1</v>
      </c>
      <c r="AN3" s="209">
        <f t="shared" si="0"/>
        <v>29598</v>
      </c>
    </row>
    <row r="4" spans="1:40" x14ac:dyDescent="0.3">
      <c r="A4" s="208" t="s">
        <v>147</v>
      </c>
      <c r="B4" s="233">
        <v>1</v>
      </c>
      <c r="C4" s="210" t="s">
        <v>5</v>
      </c>
      <c r="D4" s="211" t="s">
        <v>54</v>
      </c>
      <c r="E4" s="211" t="s">
        <v>141</v>
      </c>
      <c r="F4" s="211" t="s">
        <v>3</v>
      </c>
      <c r="G4" s="211" t="s">
        <v>142</v>
      </c>
      <c r="H4" s="211" t="s">
        <v>143</v>
      </c>
      <c r="I4" s="211" t="s">
        <v>144</v>
      </c>
      <c r="J4" s="211" t="s">
        <v>145</v>
      </c>
      <c r="K4" s="211">
        <v>305</v>
      </c>
      <c r="L4" s="211">
        <v>306</v>
      </c>
      <c r="M4" s="211">
        <v>408</v>
      </c>
      <c r="N4" s="211">
        <v>409</v>
      </c>
      <c r="O4" s="211">
        <v>410</v>
      </c>
      <c r="P4" s="211">
        <v>415</v>
      </c>
      <c r="Q4" s="211">
        <v>416</v>
      </c>
      <c r="R4" s="211">
        <v>418</v>
      </c>
      <c r="S4" s="211">
        <v>419</v>
      </c>
      <c r="T4" s="211">
        <v>420</v>
      </c>
      <c r="U4" s="211">
        <v>421</v>
      </c>
      <c r="V4" s="211">
        <v>522</v>
      </c>
      <c r="W4" s="211">
        <v>523</v>
      </c>
      <c r="X4" s="211">
        <v>524</v>
      </c>
      <c r="Y4" s="211">
        <v>525</v>
      </c>
      <c r="Z4" s="211">
        <v>526</v>
      </c>
      <c r="AA4" s="211">
        <v>527</v>
      </c>
      <c r="AB4" s="211">
        <v>528</v>
      </c>
      <c r="AC4" s="211">
        <v>629</v>
      </c>
      <c r="AD4" s="211">
        <v>630</v>
      </c>
      <c r="AE4" s="211">
        <v>636</v>
      </c>
      <c r="AF4" s="211">
        <v>637</v>
      </c>
      <c r="AG4" s="211">
        <v>640</v>
      </c>
      <c r="AH4" s="211">
        <v>642</v>
      </c>
      <c r="AI4" s="211">
        <v>743</v>
      </c>
      <c r="AJ4" s="211">
        <v>745</v>
      </c>
      <c r="AK4" s="211">
        <v>746</v>
      </c>
      <c r="AL4" s="211">
        <v>747</v>
      </c>
      <c r="AM4" s="211">
        <v>930</v>
      </c>
      <c r="AN4" s="211">
        <v>940</v>
      </c>
    </row>
    <row r="5" spans="1:40" x14ac:dyDescent="0.3">
      <c r="A5" s="208" t="s">
        <v>148</v>
      </c>
      <c r="B5" s="233">
        <v>2</v>
      </c>
      <c r="C5" s="208">
        <v>24</v>
      </c>
      <c r="D5" s="208">
        <v>1</v>
      </c>
      <c r="E5" s="208">
        <v>1</v>
      </c>
      <c r="F5" s="208">
        <v>57.15</v>
      </c>
      <c r="G5" s="208">
        <v>0</v>
      </c>
      <c r="H5" s="208">
        <v>0</v>
      </c>
      <c r="I5" s="208">
        <v>12.2</v>
      </c>
      <c r="J5" s="208">
        <v>0</v>
      </c>
      <c r="K5" s="208">
        <v>29</v>
      </c>
      <c r="L5" s="208">
        <v>0</v>
      </c>
      <c r="M5" s="208">
        <v>0</v>
      </c>
      <c r="N5" s="208">
        <v>0</v>
      </c>
      <c r="O5" s="208">
        <v>0</v>
      </c>
      <c r="P5" s="208">
        <v>0</v>
      </c>
      <c r="Q5" s="208">
        <v>14</v>
      </c>
      <c r="R5" s="208">
        <v>0</v>
      </c>
      <c r="S5" s="208">
        <v>0</v>
      </c>
      <c r="T5" s="208">
        <v>0</v>
      </c>
      <c r="U5" s="208">
        <v>0</v>
      </c>
      <c r="V5" s="208">
        <v>0</v>
      </c>
      <c r="W5" s="208">
        <v>0</v>
      </c>
      <c r="X5" s="208">
        <v>0</v>
      </c>
      <c r="Y5" s="208">
        <v>0</v>
      </c>
      <c r="Z5" s="208">
        <v>0</v>
      </c>
      <c r="AA5" s="208">
        <v>0</v>
      </c>
      <c r="AB5" s="208">
        <v>0</v>
      </c>
      <c r="AC5" s="208">
        <v>0</v>
      </c>
      <c r="AD5" s="208">
        <v>0</v>
      </c>
      <c r="AE5" s="208">
        <v>0</v>
      </c>
      <c r="AF5" s="208">
        <v>0</v>
      </c>
      <c r="AG5" s="208">
        <v>0</v>
      </c>
      <c r="AH5" s="208">
        <v>0</v>
      </c>
      <c r="AI5" s="208">
        <v>0</v>
      </c>
      <c r="AJ5" s="208">
        <v>0</v>
      </c>
      <c r="AK5" s="208">
        <v>0</v>
      </c>
      <c r="AL5" s="208">
        <v>0</v>
      </c>
      <c r="AM5" s="208">
        <v>0.95</v>
      </c>
      <c r="AN5" s="208">
        <v>1</v>
      </c>
    </row>
    <row r="6" spans="1:40" x14ac:dyDescent="0.3">
      <c r="A6" s="208" t="s">
        <v>149</v>
      </c>
      <c r="B6" s="233">
        <v>3</v>
      </c>
      <c r="C6" s="208">
        <v>24</v>
      </c>
      <c r="D6" s="208">
        <v>1</v>
      </c>
      <c r="E6" s="208">
        <v>2</v>
      </c>
      <c r="F6" s="208">
        <v>9187.9</v>
      </c>
      <c r="G6" s="208">
        <v>0</v>
      </c>
      <c r="H6" s="208">
        <v>0</v>
      </c>
      <c r="I6" s="208">
        <v>1832.7</v>
      </c>
      <c r="J6" s="208">
        <v>0</v>
      </c>
      <c r="K6" s="208">
        <v>4732</v>
      </c>
      <c r="L6" s="208">
        <v>0</v>
      </c>
      <c r="M6" s="208">
        <v>0</v>
      </c>
      <c r="N6" s="208">
        <v>0</v>
      </c>
      <c r="O6" s="208">
        <v>0</v>
      </c>
      <c r="P6" s="208">
        <v>0</v>
      </c>
      <c r="Q6" s="208">
        <v>2290.8000000000002</v>
      </c>
      <c r="R6" s="208">
        <v>0</v>
      </c>
      <c r="S6" s="208">
        <v>0</v>
      </c>
      <c r="T6" s="208">
        <v>0</v>
      </c>
      <c r="U6" s="208">
        <v>0</v>
      </c>
      <c r="V6" s="208">
        <v>0</v>
      </c>
      <c r="W6" s="208">
        <v>0</v>
      </c>
      <c r="X6" s="208">
        <v>0</v>
      </c>
      <c r="Y6" s="208">
        <v>0</v>
      </c>
      <c r="Z6" s="208">
        <v>0</v>
      </c>
      <c r="AA6" s="208">
        <v>0</v>
      </c>
      <c r="AB6" s="208">
        <v>0</v>
      </c>
      <c r="AC6" s="208">
        <v>0</v>
      </c>
      <c r="AD6" s="208">
        <v>0</v>
      </c>
      <c r="AE6" s="208">
        <v>0</v>
      </c>
      <c r="AF6" s="208">
        <v>0</v>
      </c>
      <c r="AG6" s="208">
        <v>0</v>
      </c>
      <c r="AH6" s="208">
        <v>0</v>
      </c>
      <c r="AI6" s="208">
        <v>0</v>
      </c>
      <c r="AJ6" s="208">
        <v>0</v>
      </c>
      <c r="AK6" s="208">
        <v>0</v>
      </c>
      <c r="AL6" s="208">
        <v>0</v>
      </c>
      <c r="AM6" s="208">
        <v>156.4</v>
      </c>
      <c r="AN6" s="208">
        <v>176</v>
      </c>
    </row>
    <row r="7" spans="1:40" x14ac:dyDescent="0.3">
      <c r="A7" s="208" t="s">
        <v>150</v>
      </c>
      <c r="B7" s="233">
        <v>4</v>
      </c>
      <c r="C7" s="208">
        <v>24</v>
      </c>
      <c r="D7" s="208">
        <v>1</v>
      </c>
      <c r="E7" s="208">
        <v>5</v>
      </c>
      <c r="F7" s="208">
        <v>99.5</v>
      </c>
      <c r="G7" s="208">
        <v>99.5</v>
      </c>
      <c r="H7" s="208">
        <v>0</v>
      </c>
      <c r="I7" s="208">
        <v>0</v>
      </c>
      <c r="J7" s="208">
        <v>0</v>
      </c>
      <c r="K7" s="208">
        <v>0</v>
      </c>
      <c r="L7" s="208">
        <v>0</v>
      </c>
      <c r="M7" s="208">
        <v>0</v>
      </c>
      <c r="N7" s="208">
        <v>0</v>
      </c>
      <c r="O7" s="208">
        <v>0</v>
      </c>
      <c r="P7" s="208">
        <v>0</v>
      </c>
      <c r="Q7" s="208">
        <v>0</v>
      </c>
      <c r="R7" s="208">
        <v>0</v>
      </c>
      <c r="S7" s="208">
        <v>0</v>
      </c>
      <c r="T7" s="208">
        <v>0</v>
      </c>
      <c r="U7" s="208">
        <v>0</v>
      </c>
      <c r="V7" s="208">
        <v>0</v>
      </c>
      <c r="W7" s="208">
        <v>0</v>
      </c>
      <c r="X7" s="208">
        <v>0</v>
      </c>
      <c r="Y7" s="208">
        <v>0</v>
      </c>
      <c r="Z7" s="208">
        <v>0</v>
      </c>
      <c r="AA7" s="208">
        <v>0</v>
      </c>
      <c r="AB7" s="208">
        <v>0</v>
      </c>
      <c r="AC7" s="208">
        <v>0</v>
      </c>
      <c r="AD7" s="208">
        <v>0</v>
      </c>
      <c r="AE7" s="208">
        <v>0</v>
      </c>
      <c r="AF7" s="208">
        <v>0</v>
      </c>
      <c r="AG7" s="208">
        <v>0</v>
      </c>
      <c r="AH7" s="208">
        <v>0</v>
      </c>
      <c r="AI7" s="208">
        <v>0</v>
      </c>
      <c r="AJ7" s="208">
        <v>0</v>
      </c>
      <c r="AK7" s="208">
        <v>0</v>
      </c>
      <c r="AL7" s="208">
        <v>0</v>
      </c>
      <c r="AM7" s="208">
        <v>0</v>
      </c>
      <c r="AN7" s="208">
        <v>0</v>
      </c>
    </row>
    <row r="8" spans="1:40" x14ac:dyDescent="0.3">
      <c r="A8" s="208" t="s">
        <v>151</v>
      </c>
      <c r="B8" s="233">
        <v>5</v>
      </c>
      <c r="C8" s="208">
        <v>24</v>
      </c>
      <c r="D8" s="208">
        <v>1</v>
      </c>
      <c r="E8" s="208">
        <v>6</v>
      </c>
      <c r="F8" s="208">
        <v>1671074</v>
      </c>
      <c r="G8" s="208">
        <v>15960</v>
      </c>
      <c r="H8" s="208">
        <v>0</v>
      </c>
      <c r="I8" s="208">
        <v>529717</v>
      </c>
      <c r="J8" s="208">
        <v>0</v>
      </c>
      <c r="K8" s="208">
        <v>785876</v>
      </c>
      <c r="L8" s="208">
        <v>0</v>
      </c>
      <c r="M8" s="208">
        <v>0</v>
      </c>
      <c r="N8" s="208">
        <v>0</v>
      </c>
      <c r="O8" s="208">
        <v>0</v>
      </c>
      <c r="P8" s="208">
        <v>0</v>
      </c>
      <c r="Q8" s="208">
        <v>309960</v>
      </c>
      <c r="R8" s="208">
        <v>0</v>
      </c>
      <c r="S8" s="208">
        <v>0</v>
      </c>
      <c r="T8" s="208">
        <v>0</v>
      </c>
      <c r="U8" s="208">
        <v>0</v>
      </c>
      <c r="V8" s="208">
        <v>0</v>
      </c>
      <c r="W8" s="208">
        <v>0</v>
      </c>
      <c r="X8" s="208">
        <v>0</v>
      </c>
      <c r="Y8" s="208">
        <v>0</v>
      </c>
      <c r="Z8" s="208">
        <v>0</v>
      </c>
      <c r="AA8" s="208">
        <v>0</v>
      </c>
      <c r="AB8" s="208">
        <v>0</v>
      </c>
      <c r="AC8" s="208">
        <v>0</v>
      </c>
      <c r="AD8" s="208">
        <v>0</v>
      </c>
      <c r="AE8" s="208">
        <v>0</v>
      </c>
      <c r="AF8" s="208">
        <v>0</v>
      </c>
      <c r="AG8" s="208">
        <v>0</v>
      </c>
      <c r="AH8" s="208">
        <v>0</v>
      </c>
      <c r="AI8" s="208">
        <v>0</v>
      </c>
      <c r="AJ8" s="208">
        <v>0</v>
      </c>
      <c r="AK8" s="208">
        <v>0</v>
      </c>
      <c r="AL8" s="208">
        <v>0</v>
      </c>
      <c r="AM8" s="208">
        <v>14931</v>
      </c>
      <c r="AN8" s="208">
        <v>14630</v>
      </c>
    </row>
    <row r="9" spans="1:40" x14ac:dyDescent="0.3">
      <c r="A9" s="208" t="s">
        <v>152</v>
      </c>
      <c r="B9" s="233">
        <v>6</v>
      </c>
      <c r="C9" s="208">
        <v>24</v>
      </c>
      <c r="D9" s="208">
        <v>1</v>
      </c>
      <c r="E9" s="208">
        <v>9</v>
      </c>
      <c r="F9" s="208">
        <v>9608</v>
      </c>
      <c r="G9" s="208">
        <v>0</v>
      </c>
      <c r="H9" s="208">
        <v>0</v>
      </c>
      <c r="I9" s="208">
        <v>0</v>
      </c>
      <c r="J9" s="208">
        <v>0</v>
      </c>
      <c r="K9" s="208">
        <v>9608</v>
      </c>
      <c r="L9" s="208">
        <v>0</v>
      </c>
      <c r="M9" s="208">
        <v>0</v>
      </c>
      <c r="N9" s="208">
        <v>0</v>
      </c>
      <c r="O9" s="208">
        <v>0</v>
      </c>
      <c r="P9" s="208">
        <v>0</v>
      </c>
      <c r="Q9" s="208">
        <v>0</v>
      </c>
      <c r="R9" s="208">
        <v>0</v>
      </c>
      <c r="S9" s="208">
        <v>0</v>
      </c>
      <c r="T9" s="208">
        <v>0</v>
      </c>
      <c r="U9" s="208">
        <v>0</v>
      </c>
      <c r="V9" s="208">
        <v>0</v>
      </c>
      <c r="W9" s="208">
        <v>0</v>
      </c>
      <c r="X9" s="208">
        <v>0</v>
      </c>
      <c r="Y9" s="208">
        <v>0</v>
      </c>
      <c r="Z9" s="208">
        <v>0</v>
      </c>
      <c r="AA9" s="208">
        <v>0</v>
      </c>
      <c r="AB9" s="208">
        <v>0</v>
      </c>
      <c r="AC9" s="208">
        <v>0</v>
      </c>
      <c r="AD9" s="208">
        <v>0</v>
      </c>
      <c r="AE9" s="208">
        <v>0</v>
      </c>
      <c r="AF9" s="208">
        <v>0</v>
      </c>
      <c r="AG9" s="208">
        <v>0</v>
      </c>
      <c r="AH9" s="208">
        <v>0</v>
      </c>
      <c r="AI9" s="208">
        <v>0</v>
      </c>
      <c r="AJ9" s="208">
        <v>0</v>
      </c>
      <c r="AK9" s="208">
        <v>0</v>
      </c>
      <c r="AL9" s="208">
        <v>0</v>
      </c>
      <c r="AM9" s="208">
        <v>0</v>
      </c>
      <c r="AN9" s="208">
        <v>0</v>
      </c>
    </row>
    <row r="10" spans="1:40" x14ac:dyDescent="0.3">
      <c r="A10" s="208" t="s">
        <v>153</v>
      </c>
      <c r="B10" s="233">
        <v>7</v>
      </c>
      <c r="C10" s="208">
        <v>24</v>
      </c>
      <c r="D10" s="208">
        <v>1</v>
      </c>
      <c r="E10" s="208">
        <v>10</v>
      </c>
      <c r="F10" s="208">
        <v>1050</v>
      </c>
      <c r="G10" s="208">
        <v>0</v>
      </c>
      <c r="H10" s="208">
        <v>1050</v>
      </c>
      <c r="I10" s="208">
        <v>0</v>
      </c>
      <c r="J10" s="208">
        <v>0</v>
      </c>
      <c r="K10" s="208">
        <v>0</v>
      </c>
      <c r="L10" s="208">
        <v>0</v>
      </c>
      <c r="M10" s="208">
        <v>0</v>
      </c>
      <c r="N10" s="208">
        <v>0</v>
      </c>
      <c r="O10" s="208">
        <v>0</v>
      </c>
      <c r="P10" s="208">
        <v>0</v>
      </c>
      <c r="Q10" s="208">
        <v>0</v>
      </c>
      <c r="R10" s="208">
        <v>0</v>
      </c>
      <c r="S10" s="208">
        <v>0</v>
      </c>
      <c r="T10" s="208">
        <v>0</v>
      </c>
      <c r="U10" s="208">
        <v>0</v>
      </c>
      <c r="V10" s="208">
        <v>0</v>
      </c>
      <c r="W10" s="208">
        <v>0</v>
      </c>
      <c r="X10" s="208">
        <v>0</v>
      </c>
      <c r="Y10" s="208">
        <v>0</v>
      </c>
      <c r="Z10" s="208">
        <v>0</v>
      </c>
      <c r="AA10" s="208">
        <v>0</v>
      </c>
      <c r="AB10" s="208">
        <v>0</v>
      </c>
      <c r="AC10" s="208">
        <v>0</v>
      </c>
      <c r="AD10" s="208">
        <v>0</v>
      </c>
      <c r="AE10" s="208">
        <v>0</v>
      </c>
      <c r="AF10" s="208">
        <v>0</v>
      </c>
      <c r="AG10" s="208">
        <v>0</v>
      </c>
      <c r="AH10" s="208">
        <v>0</v>
      </c>
      <c r="AI10" s="208">
        <v>0</v>
      </c>
      <c r="AJ10" s="208">
        <v>0</v>
      </c>
      <c r="AK10" s="208">
        <v>0</v>
      </c>
      <c r="AL10" s="208">
        <v>0</v>
      </c>
      <c r="AM10" s="208">
        <v>0</v>
      </c>
      <c r="AN10" s="208">
        <v>0</v>
      </c>
    </row>
    <row r="11" spans="1:40" x14ac:dyDescent="0.3">
      <c r="A11" s="208" t="s">
        <v>154</v>
      </c>
      <c r="B11" s="233">
        <v>8</v>
      </c>
      <c r="C11" s="208">
        <v>24</v>
      </c>
      <c r="D11" s="208">
        <v>1</v>
      </c>
      <c r="E11" s="208">
        <v>11</v>
      </c>
      <c r="F11" s="208">
        <v>4455.5</v>
      </c>
      <c r="G11" s="208">
        <v>0</v>
      </c>
      <c r="H11" s="208">
        <v>4455.5</v>
      </c>
      <c r="I11" s="208">
        <v>0</v>
      </c>
      <c r="J11" s="208">
        <v>0</v>
      </c>
      <c r="K11" s="208">
        <v>0</v>
      </c>
      <c r="L11" s="208">
        <v>0</v>
      </c>
      <c r="M11" s="208">
        <v>0</v>
      </c>
      <c r="N11" s="208">
        <v>0</v>
      </c>
      <c r="O11" s="208">
        <v>0</v>
      </c>
      <c r="P11" s="208">
        <v>0</v>
      </c>
      <c r="Q11" s="208">
        <v>0</v>
      </c>
      <c r="R11" s="208">
        <v>0</v>
      </c>
      <c r="S11" s="208">
        <v>0</v>
      </c>
      <c r="T11" s="208">
        <v>0</v>
      </c>
      <c r="U11" s="208">
        <v>0</v>
      </c>
      <c r="V11" s="208">
        <v>0</v>
      </c>
      <c r="W11" s="208">
        <v>0</v>
      </c>
      <c r="X11" s="208">
        <v>0</v>
      </c>
      <c r="Y11" s="208">
        <v>0</v>
      </c>
      <c r="Z11" s="208">
        <v>0</v>
      </c>
      <c r="AA11" s="208">
        <v>0</v>
      </c>
      <c r="AB11" s="208">
        <v>0</v>
      </c>
      <c r="AC11" s="208">
        <v>0</v>
      </c>
      <c r="AD11" s="208">
        <v>0</v>
      </c>
      <c r="AE11" s="208">
        <v>0</v>
      </c>
      <c r="AF11" s="208">
        <v>0</v>
      </c>
      <c r="AG11" s="208">
        <v>0</v>
      </c>
      <c r="AH11" s="208">
        <v>0</v>
      </c>
      <c r="AI11" s="208">
        <v>0</v>
      </c>
      <c r="AJ11" s="208">
        <v>0</v>
      </c>
      <c r="AK11" s="208">
        <v>0</v>
      </c>
      <c r="AL11" s="208">
        <v>0</v>
      </c>
      <c r="AM11" s="208">
        <v>0</v>
      </c>
      <c r="AN11" s="208">
        <v>0</v>
      </c>
    </row>
    <row r="12" spans="1:40" x14ac:dyDescent="0.3">
      <c r="A12" s="208" t="s">
        <v>155</v>
      </c>
      <c r="B12" s="233">
        <v>9</v>
      </c>
      <c r="C12" s="208">
        <v>24</v>
      </c>
      <c r="D12" s="208">
        <v>2</v>
      </c>
      <c r="E12" s="208">
        <v>1</v>
      </c>
      <c r="F12" s="208">
        <v>57.1</v>
      </c>
      <c r="G12" s="208">
        <v>0</v>
      </c>
      <c r="H12" s="208">
        <v>0</v>
      </c>
      <c r="I12" s="208">
        <v>12.15</v>
      </c>
      <c r="J12" s="208">
        <v>0</v>
      </c>
      <c r="K12" s="208">
        <v>29</v>
      </c>
      <c r="L12" s="208">
        <v>0</v>
      </c>
      <c r="M12" s="208">
        <v>0</v>
      </c>
      <c r="N12" s="208">
        <v>0</v>
      </c>
      <c r="O12" s="208">
        <v>0</v>
      </c>
      <c r="P12" s="208">
        <v>0</v>
      </c>
      <c r="Q12" s="208">
        <v>14</v>
      </c>
      <c r="R12" s="208">
        <v>0</v>
      </c>
      <c r="S12" s="208">
        <v>0</v>
      </c>
      <c r="T12" s="208">
        <v>0</v>
      </c>
      <c r="U12" s="208">
        <v>0</v>
      </c>
      <c r="V12" s="208">
        <v>0</v>
      </c>
      <c r="W12" s="208">
        <v>0</v>
      </c>
      <c r="X12" s="208">
        <v>0</v>
      </c>
      <c r="Y12" s="208">
        <v>0</v>
      </c>
      <c r="Z12" s="208">
        <v>0</v>
      </c>
      <c r="AA12" s="208">
        <v>0</v>
      </c>
      <c r="AB12" s="208">
        <v>0</v>
      </c>
      <c r="AC12" s="208">
        <v>0</v>
      </c>
      <c r="AD12" s="208">
        <v>0</v>
      </c>
      <c r="AE12" s="208">
        <v>0</v>
      </c>
      <c r="AF12" s="208">
        <v>0</v>
      </c>
      <c r="AG12" s="208">
        <v>0</v>
      </c>
      <c r="AH12" s="208">
        <v>0</v>
      </c>
      <c r="AI12" s="208">
        <v>0</v>
      </c>
      <c r="AJ12" s="208">
        <v>0</v>
      </c>
      <c r="AK12" s="208">
        <v>0</v>
      </c>
      <c r="AL12" s="208">
        <v>0</v>
      </c>
      <c r="AM12" s="208">
        <v>0.95</v>
      </c>
      <c r="AN12" s="208">
        <v>1</v>
      </c>
    </row>
    <row r="13" spans="1:40" x14ac:dyDescent="0.3">
      <c r="A13" s="208" t="s">
        <v>156</v>
      </c>
      <c r="B13" s="233">
        <v>10</v>
      </c>
      <c r="C13" s="208">
        <v>24</v>
      </c>
      <c r="D13" s="208">
        <v>2</v>
      </c>
      <c r="E13" s="208">
        <v>2</v>
      </c>
      <c r="F13" s="208">
        <v>8223.1</v>
      </c>
      <c r="G13" s="208">
        <v>0</v>
      </c>
      <c r="H13" s="208">
        <v>0</v>
      </c>
      <c r="I13" s="208">
        <v>1756.3</v>
      </c>
      <c r="J13" s="208">
        <v>0</v>
      </c>
      <c r="K13" s="208">
        <v>4072</v>
      </c>
      <c r="L13" s="208">
        <v>0</v>
      </c>
      <c r="M13" s="208">
        <v>0</v>
      </c>
      <c r="N13" s="208">
        <v>0</v>
      </c>
      <c r="O13" s="208">
        <v>0</v>
      </c>
      <c r="P13" s="208">
        <v>0</v>
      </c>
      <c r="Q13" s="208">
        <v>2096</v>
      </c>
      <c r="R13" s="208">
        <v>0</v>
      </c>
      <c r="S13" s="208">
        <v>0</v>
      </c>
      <c r="T13" s="208">
        <v>0</v>
      </c>
      <c r="U13" s="208">
        <v>0</v>
      </c>
      <c r="V13" s="208">
        <v>0</v>
      </c>
      <c r="W13" s="208">
        <v>0</v>
      </c>
      <c r="X13" s="208">
        <v>0</v>
      </c>
      <c r="Y13" s="208">
        <v>0</v>
      </c>
      <c r="Z13" s="208">
        <v>0</v>
      </c>
      <c r="AA13" s="208">
        <v>0</v>
      </c>
      <c r="AB13" s="208">
        <v>0</v>
      </c>
      <c r="AC13" s="208">
        <v>0</v>
      </c>
      <c r="AD13" s="208">
        <v>0</v>
      </c>
      <c r="AE13" s="208">
        <v>0</v>
      </c>
      <c r="AF13" s="208">
        <v>0</v>
      </c>
      <c r="AG13" s="208">
        <v>0</v>
      </c>
      <c r="AH13" s="208">
        <v>0</v>
      </c>
      <c r="AI13" s="208">
        <v>0</v>
      </c>
      <c r="AJ13" s="208">
        <v>0</v>
      </c>
      <c r="AK13" s="208">
        <v>0</v>
      </c>
      <c r="AL13" s="208">
        <v>0</v>
      </c>
      <c r="AM13" s="208">
        <v>138.80000000000001</v>
      </c>
      <c r="AN13" s="208">
        <v>160</v>
      </c>
    </row>
    <row r="14" spans="1:40" x14ac:dyDescent="0.3">
      <c r="A14" s="208" t="s">
        <v>157</v>
      </c>
      <c r="B14" s="233">
        <v>11</v>
      </c>
      <c r="C14" s="208">
        <v>24</v>
      </c>
      <c r="D14" s="208">
        <v>2</v>
      </c>
      <c r="E14" s="208">
        <v>5</v>
      </c>
      <c r="F14" s="208">
        <v>106.5</v>
      </c>
      <c r="G14" s="208">
        <v>106.5</v>
      </c>
      <c r="H14" s="208">
        <v>0</v>
      </c>
      <c r="I14" s="208">
        <v>0</v>
      </c>
      <c r="J14" s="208">
        <v>0</v>
      </c>
      <c r="K14" s="208">
        <v>0</v>
      </c>
      <c r="L14" s="208">
        <v>0</v>
      </c>
      <c r="M14" s="208">
        <v>0</v>
      </c>
      <c r="N14" s="208">
        <v>0</v>
      </c>
      <c r="O14" s="208">
        <v>0</v>
      </c>
      <c r="P14" s="208">
        <v>0</v>
      </c>
      <c r="Q14" s="208">
        <v>0</v>
      </c>
      <c r="R14" s="208">
        <v>0</v>
      </c>
      <c r="S14" s="208">
        <v>0</v>
      </c>
      <c r="T14" s="208">
        <v>0</v>
      </c>
      <c r="U14" s="208">
        <v>0</v>
      </c>
      <c r="V14" s="208">
        <v>0</v>
      </c>
      <c r="W14" s="208">
        <v>0</v>
      </c>
      <c r="X14" s="208">
        <v>0</v>
      </c>
      <c r="Y14" s="208">
        <v>0</v>
      </c>
      <c r="Z14" s="208">
        <v>0</v>
      </c>
      <c r="AA14" s="208">
        <v>0</v>
      </c>
      <c r="AB14" s="208">
        <v>0</v>
      </c>
      <c r="AC14" s="208">
        <v>0</v>
      </c>
      <c r="AD14" s="208">
        <v>0</v>
      </c>
      <c r="AE14" s="208">
        <v>0</v>
      </c>
      <c r="AF14" s="208">
        <v>0</v>
      </c>
      <c r="AG14" s="208">
        <v>0</v>
      </c>
      <c r="AH14" s="208">
        <v>0</v>
      </c>
      <c r="AI14" s="208">
        <v>0</v>
      </c>
      <c r="AJ14" s="208">
        <v>0</v>
      </c>
      <c r="AK14" s="208">
        <v>0</v>
      </c>
      <c r="AL14" s="208">
        <v>0</v>
      </c>
      <c r="AM14" s="208">
        <v>0</v>
      </c>
      <c r="AN14" s="208">
        <v>0</v>
      </c>
    </row>
    <row r="15" spans="1:40" x14ac:dyDescent="0.3">
      <c r="A15" s="208" t="s">
        <v>158</v>
      </c>
      <c r="B15" s="233">
        <v>12</v>
      </c>
      <c r="C15" s="208">
        <v>24</v>
      </c>
      <c r="D15" s="208">
        <v>2</v>
      </c>
      <c r="E15" s="208">
        <v>6</v>
      </c>
      <c r="F15" s="208">
        <v>1645034</v>
      </c>
      <c r="G15" s="208">
        <v>17220</v>
      </c>
      <c r="H15" s="208">
        <v>0</v>
      </c>
      <c r="I15" s="208">
        <v>526289</v>
      </c>
      <c r="J15" s="208">
        <v>0</v>
      </c>
      <c r="K15" s="208">
        <v>754333</v>
      </c>
      <c r="L15" s="208">
        <v>0</v>
      </c>
      <c r="M15" s="208">
        <v>0</v>
      </c>
      <c r="N15" s="208">
        <v>0</v>
      </c>
      <c r="O15" s="208">
        <v>0</v>
      </c>
      <c r="P15" s="208">
        <v>0</v>
      </c>
      <c r="Q15" s="208">
        <v>317727</v>
      </c>
      <c r="R15" s="208">
        <v>0</v>
      </c>
      <c r="S15" s="208">
        <v>0</v>
      </c>
      <c r="T15" s="208">
        <v>0</v>
      </c>
      <c r="U15" s="208">
        <v>0</v>
      </c>
      <c r="V15" s="208">
        <v>0</v>
      </c>
      <c r="W15" s="208">
        <v>0</v>
      </c>
      <c r="X15" s="208">
        <v>0</v>
      </c>
      <c r="Y15" s="208">
        <v>0</v>
      </c>
      <c r="Z15" s="208">
        <v>0</v>
      </c>
      <c r="AA15" s="208">
        <v>0</v>
      </c>
      <c r="AB15" s="208">
        <v>0</v>
      </c>
      <c r="AC15" s="208">
        <v>0</v>
      </c>
      <c r="AD15" s="208">
        <v>0</v>
      </c>
      <c r="AE15" s="208">
        <v>0</v>
      </c>
      <c r="AF15" s="208">
        <v>0</v>
      </c>
      <c r="AG15" s="208">
        <v>0</v>
      </c>
      <c r="AH15" s="208">
        <v>0</v>
      </c>
      <c r="AI15" s="208">
        <v>0</v>
      </c>
      <c r="AJ15" s="208">
        <v>0</v>
      </c>
      <c r="AK15" s="208">
        <v>0</v>
      </c>
      <c r="AL15" s="208">
        <v>0</v>
      </c>
      <c r="AM15" s="208">
        <v>14835</v>
      </c>
      <c r="AN15" s="208">
        <v>14630</v>
      </c>
    </row>
    <row r="16" spans="1:40" x14ac:dyDescent="0.3">
      <c r="A16" s="208" t="s">
        <v>146</v>
      </c>
      <c r="B16" s="233">
        <v>2015</v>
      </c>
      <c r="C16" s="208">
        <v>24</v>
      </c>
      <c r="D16" s="208">
        <v>2</v>
      </c>
      <c r="E16" s="208">
        <v>9</v>
      </c>
      <c r="F16" s="208">
        <v>5142</v>
      </c>
      <c r="G16" s="208">
        <v>0</v>
      </c>
      <c r="H16" s="208">
        <v>0</v>
      </c>
      <c r="I16" s="208">
        <v>5142</v>
      </c>
      <c r="J16" s="208">
        <v>0</v>
      </c>
      <c r="K16" s="208">
        <v>0</v>
      </c>
      <c r="L16" s="208">
        <v>0</v>
      </c>
      <c r="M16" s="208">
        <v>0</v>
      </c>
      <c r="N16" s="208">
        <v>0</v>
      </c>
      <c r="O16" s="208">
        <v>0</v>
      </c>
      <c r="P16" s="208">
        <v>0</v>
      </c>
      <c r="Q16" s="208">
        <v>0</v>
      </c>
      <c r="R16" s="208">
        <v>0</v>
      </c>
      <c r="S16" s="208">
        <v>0</v>
      </c>
      <c r="T16" s="208">
        <v>0</v>
      </c>
      <c r="U16" s="208">
        <v>0</v>
      </c>
      <c r="V16" s="208">
        <v>0</v>
      </c>
      <c r="W16" s="208">
        <v>0</v>
      </c>
      <c r="X16" s="208">
        <v>0</v>
      </c>
      <c r="Y16" s="208">
        <v>0</v>
      </c>
      <c r="Z16" s="208">
        <v>0</v>
      </c>
      <c r="AA16" s="208">
        <v>0</v>
      </c>
      <c r="AB16" s="208">
        <v>0</v>
      </c>
      <c r="AC16" s="208">
        <v>0</v>
      </c>
      <c r="AD16" s="208">
        <v>0</v>
      </c>
      <c r="AE16" s="208">
        <v>0</v>
      </c>
      <c r="AF16" s="208">
        <v>0</v>
      </c>
      <c r="AG16" s="208">
        <v>0</v>
      </c>
      <c r="AH16" s="208">
        <v>0</v>
      </c>
      <c r="AI16" s="208">
        <v>0</v>
      </c>
      <c r="AJ16" s="208">
        <v>0</v>
      </c>
      <c r="AK16" s="208">
        <v>0</v>
      </c>
      <c r="AL16" s="208">
        <v>0</v>
      </c>
      <c r="AM16" s="208">
        <v>0</v>
      </c>
      <c r="AN16" s="208">
        <v>0</v>
      </c>
    </row>
    <row r="17" spans="3:40" x14ac:dyDescent="0.3">
      <c r="C17" s="208">
        <v>24</v>
      </c>
      <c r="D17" s="208">
        <v>2</v>
      </c>
      <c r="E17" s="208">
        <v>11</v>
      </c>
      <c r="F17" s="208">
        <v>4455.5</v>
      </c>
      <c r="G17" s="208">
        <v>0</v>
      </c>
      <c r="H17" s="208">
        <v>4455.5</v>
      </c>
      <c r="I17" s="208">
        <v>0</v>
      </c>
      <c r="J17" s="208">
        <v>0</v>
      </c>
      <c r="K17" s="208">
        <v>0</v>
      </c>
      <c r="L17" s="208">
        <v>0</v>
      </c>
      <c r="M17" s="208">
        <v>0</v>
      </c>
      <c r="N17" s="208">
        <v>0</v>
      </c>
      <c r="O17" s="208">
        <v>0</v>
      </c>
      <c r="P17" s="208">
        <v>0</v>
      </c>
      <c r="Q17" s="208">
        <v>0</v>
      </c>
      <c r="R17" s="208">
        <v>0</v>
      </c>
      <c r="S17" s="208">
        <v>0</v>
      </c>
      <c r="T17" s="208">
        <v>0</v>
      </c>
      <c r="U17" s="208">
        <v>0</v>
      </c>
      <c r="V17" s="208">
        <v>0</v>
      </c>
      <c r="W17" s="208">
        <v>0</v>
      </c>
      <c r="X17" s="208">
        <v>0</v>
      </c>
      <c r="Y17" s="208">
        <v>0</v>
      </c>
      <c r="Z17" s="208">
        <v>0</v>
      </c>
      <c r="AA17" s="208">
        <v>0</v>
      </c>
      <c r="AB17" s="208">
        <v>0</v>
      </c>
      <c r="AC17" s="208">
        <v>0</v>
      </c>
      <c r="AD17" s="208">
        <v>0</v>
      </c>
      <c r="AE17" s="208">
        <v>0</v>
      </c>
      <c r="AF17" s="208">
        <v>0</v>
      </c>
      <c r="AG17" s="208">
        <v>0</v>
      </c>
      <c r="AH17" s="208">
        <v>0</v>
      </c>
      <c r="AI17" s="208">
        <v>0</v>
      </c>
      <c r="AJ17" s="208">
        <v>0</v>
      </c>
      <c r="AK17" s="208">
        <v>0</v>
      </c>
      <c r="AL17" s="208">
        <v>0</v>
      </c>
      <c r="AM17" s="208">
        <v>0</v>
      </c>
      <c r="AN17" s="208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15" bestFit="1" customWidth="1"/>
    <col min="2" max="2" width="7.77734375" style="91" customWidth="1"/>
    <col min="3" max="3" width="5.44140625" style="115" hidden="1" customWidth="1"/>
    <col min="4" max="4" width="7.77734375" style="91" customWidth="1"/>
    <col min="5" max="5" width="5.44140625" style="115" hidden="1" customWidth="1"/>
    <col min="6" max="6" width="7.77734375" style="91" customWidth="1"/>
    <col min="7" max="7" width="7.77734375" style="194" customWidth="1"/>
    <col min="8" max="8" width="7.77734375" style="91" customWidth="1"/>
    <col min="9" max="9" width="5.44140625" style="115" hidden="1" customWidth="1"/>
    <col min="10" max="10" width="7.77734375" style="91" customWidth="1"/>
    <col min="11" max="11" width="5.44140625" style="115" hidden="1" customWidth="1"/>
    <col min="12" max="12" width="7.77734375" style="91" customWidth="1"/>
    <col min="13" max="13" width="7.77734375" style="194" customWidth="1"/>
    <col min="14" max="14" width="7.77734375" style="91" customWidth="1"/>
    <col min="15" max="15" width="5" style="115" hidden="1" customWidth="1"/>
    <col min="16" max="16" width="7.77734375" style="91" customWidth="1"/>
    <col min="17" max="17" width="5" style="115" hidden="1" customWidth="1"/>
    <col min="18" max="18" width="7.77734375" style="91" customWidth="1"/>
    <col min="19" max="19" width="7.77734375" style="194" customWidth="1"/>
    <col min="20" max="16384" width="8.88671875" style="115"/>
  </cols>
  <sheetData>
    <row r="1" spans="1:19" ht="18.600000000000001" customHeight="1" thickBot="1" x14ac:dyDescent="0.4">
      <c r="A1" s="359" t="s">
        <v>1006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4.4" customHeight="1" thickBot="1" x14ac:dyDescent="0.35">
      <c r="A2" s="212" t="s">
        <v>254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</row>
    <row r="3" spans="1:19" ht="14.4" customHeight="1" thickBot="1" x14ac:dyDescent="0.35">
      <c r="A3" s="200" t="s">
        <v>109</v>
      </c>
      <c r="B3" s="201">
        <f>SUBTOTAL(9,B6:B1048576)</f>
        <v>3672613.3099999987</v>
      </c>
      <c r="C3" s="202">
        <f t="shared" ref="C3:R3" si="0">SUBTOTAL(9,C6:C1048576)</f>
        <v>2</v>
      </c>
      <c r="D3" s="202">
        <f t="shared" si="0"/>
        <v>3817809.9899999998</v>
      </c>
      <c r="E3" s="202">
        <f t="shared" si="0"/>
        <v>2.0173218430561928</v>
      </c>
      <c r="F3" s="202">
        <f t="shared" si="0"/>
        <v>3419555.5600000015</v>
      </c>
      <c r="G3" s="203">
        <f>IF(B3&lt;&gt;0,F3/B3,"")</f>
        <v>0.93109599932261933</v>
      </c>
      <c r="H3" s="204">
        <f t="shared" si="0"/>
        <v>365631</v>
      </c>
      <c r="I3" s="202">
        <f t="shared" si="0"/>
        <v>2</v>
      </c>
      <c r="J3" s="202">
        <f t="shared" si="0"/>
        <v>369556</v>
      </c>
      <c r="K3" s="202">
        <f t="shared" si="0"/>
        <v>2.0531049118115363</v>
      </c>
      <c r="L3" s="202">
        <f t="shared" si="0"/>
        <v>375705</v>
      </c>
      <c r="M3" s="205">
        <f>IF(H3&lt;&gt;0,L3/H3,"")</f>
        <v>1.0275523683713907</v>
      </c>
      <c r="N3" s="201">
        <f t="shared" si="0"/>
        <v>0</v>
      </c>
      <c r="O3" s="202">
        <f t="shared" si="0"/>
        <v>0</v>
      </c>
      <c r="P3" s="202">
        <f t="shared" si="0"/>
        <v>0</v>
      </c>
      <c r="Q3" s="202">
        <f t="shared" si="0"/>
        <v>0</v>
      </c>
      <c r="R3" s="202">
        <f t="shared" si="0"/>
        <v>0</v>
      </c>
      <c r="S3" s="203" t="str">
        <f>IF(N3&lt;&gt;0,R3/N3,"")</f>
        <v/>
      </c>
    </row>
    <row r="4" spans="1:19" ht="14.4" customHeight="1" x14ac:dyDescent="0.3">
      <c r="A4" s="360" t="s">
        <v>85</v>
      </c>
      <c r="B4" s="361" t="s">
        <v>86</v>
      </c>
      <c r="C4" s="362"/>
      <c r="D4" s="362"/>
      <c r="E4" s="362"/>
      <c r="F4" s="362"/>
      <c r="G4" s="363"/>
      <c r="H4" s="361" t="s">
        <v>87</v>
      </c>
      <c r="I4" s="362"/>
      <c r="J4" s="362"/>
      <c r="K4" s="362"/>
      <c r="L4" s="362"/>
      <c r="M4" s="363"/>
      <c r="N4" s="361" t="s">
        <v>88</v>
      </c>
      <c r="O4" s="362"/>
      <c r="P4" s="362"/>
      <c r="Q4" s="362"/>
      <c r="R4" s="362"/>
      <c r="S4" s="363"/>
    </row>
    <row r="5" spans="1:19" ht="14.4" customHeight="1" thickBot="1" x14ac:dyDescent="0.35">
      <c r="A5" s="503"/>
      <c r="B5" s="504">
        <v>2013</v>
      </c>
      <c r="C5" s="505"/>
      <c r="D5" s="505">
        <v>2014</v>
      </c>
      <c r="E5" s="505"/>
      <c r="F5" s="505">
        <v>2015</v>
      </c>
      <c r="G5" s="506" t="s">
        <v>2</v>
      </c>
      <c r="H5" s="504">
        <v>2013</v>
      </c>
      <c r="I5" s="505"/>
      <c r="J5" s="505">
        <v>2014</v>
      </c>
      <c r="K5" s="505"/>
      <c r="L5" s="505">
        <v>2015</v>
      </c>
      <c r="M5" s="506" t="s">
        <v>2</v>
      </c>
      <c r="N5" s="504">
        <v>2013</v>
      </c>
      <c r="O5" s="505"/>
      <c r="P5" s="505">
        <v>2014</v>
      </c>
      <c r="Q5" s="505"/>
      <c r="R5" s="505">
        <v>2015</v>
      </c>
      <c r="S5" s="506" t="s">
        <v>2</v>
      </c>
    </row>
    <row r="6" spans="1:19" ht="14.4" customHeight="1" x14ac:dyDescent="0.3">
      <c r="A6" s="451" t="s">
        <v>1001</v>
      </c>
      <c r="B6" s="507">
        <v>2387535.5599999987</v>
      </c>
      <c r="C6" s="416">
        <v>1</v>
      </c>
      <c r="D6" s="507">
        <v>2653773.3199999998</v>
      </c>
      <c r="E6" s="416">
        <v>1.1115115370260711</v>
      </c>
      <c r="F6" s="507">
        <v>2303119.9900000012</v>
      </c>
      <c r="G6" s="438">
        <v>0.96464321980611778</v>
      </c>
      <c r="H6" s="507">
        <v>213249</v>
      </c>
      <c r="I6" s="416">
        <v>1</v>
      </c>
      <c r="J6" s="507">
        <v>198649</v>
      </c>
      <c r="K6" s="416">
        <v>0.93153543510168868</v>
      </c>
      <c r="L6" s="507">
        <v>227044</v>
      </c>
      <c r="M6" s="438">
        <v>1.0646896351213839</v>
      </c>
      <c r="N6" s="507"/>
      <c r="O6" s="416"/>
      <c r="P6" s="507"/>
      <c r="Q6" s="416"/>
      <c r="R6" s="507"/>
      <c r="S6" s="462"/>
    </row>
    <row r="7" spans="1:19" ht="14.4" customHeight="1" thickBot="1" x14ac:dyDescent="0.35">
      <c r="A7" s="509" t="s">
        <v>1002</v>
      </c>
      <c r="B7" s="508">
        <v>1285077.75</v>
      </c>
      <c r="C7" s="428">
        <v>1</v>
      </c>
      <c r="D7" s="508">
        <v>1164036.67</v>
      </c>
      <c r="E7" s="428">
        <v>0.90581030603012147</v>
      </c>
      <c r="F7" s="508">
        <v>1116435.57</v>
      </c>
      <c r="G7" s="439">
        <v>0.86876888966445809</v>
      </c>
      <c r="H7" s="508">
        <v>152382</v>
      </c>
      <c r="I7" s="428">
        <v>1</v>
      </c>
      <c r="J7" s="508">
        <v>170907</v>
      </c>
      <c r="K7" s="428">
        <v>1.1215694767098476</v>
      </c>
      <c r="L7" s="508">
        <v>148661</v>
      </c>
      <c r="M7" s="439">
        <v>0.9755811053799005</v>
      </c>
      <c r="N7" s="508"/>
      <c r="O7" s="428"/>
      <c r="P7" s="508"/>
      <c r="Q7" s="428"/>
      <c r="R7" s="508"/>
      <c r="S7" s="463"/>
    </row>
    <row r="8" spans="1:19" ht="14.4" customHeight="1" x14ac:dyDescent="0.3">
      <c r="A8" s="510" t="s">
        <v>1003</v>
      </c>
    </row>
    <row r="9" spans="1:19" ht="14.4" customHeight="1" x14ac:dyDescent="0.3">
      <c r="A9" s="511" t="s">
        <v>1004</v>
      </c>
    </row>
    <row r="10" spans="1:19" ht="14.4" customHeight="1" x14ac:dyDescent="0.3">
      <c r="A10" s="510" t="s">
        <v>1005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115" bestFit="1" customWidth="1"/>
    <col min="2" max="4" width="7.77734375" style="191" customWidth="1"/>
    <col min="5" max="7" width="7.77734375" style="91" customWidth="1"/>
    <col min="8" max="16384" width="8.88671875" style="115"/>
  </cols>
  <sheetData>
    <row r="1" spans="1:7" ht="18.600000000000001" customHeight="1" thickBot="1" x14ac:dyDescent="0.4">
      <c r="A1" s="359" t="s">
        <v>1008</v>
      </c>
      <c r="B1" s="302"/>
      <c r="C1" s="302"/>
      <c r="D1" s="302"/>
      <c r="E1" s="302"/>
      <c r="F1" s="302"/>
      <c r="G1" s="302"/>
    </row>
    <row r="2" spans="1:7" ht="14.4" customHeight="1" thickBot="1" x14ac:dyDescent="0.35">
      <c r="A2" s="212" t="s">
        <v>254</v>
      </c>
      <c r="B2" s="96"/>
      <c r="C2" s="96"/>
      <c r="D2" s="96"/>
      <c r="E2" s="96"/>
      <c r="F2" s="96"/>
      <c r="G2" s="96"/>
    </row>
    <row r="3" spans="1:7" ht="14.4" customHeight="1" thickBot="1" x14ac:dyDescent="0.35">
      <c r="A3" s="200" t="s">
        <v>109</v>
      </c>
      <c r="B3" s="292">
        <f t="shared" ref="B3:G3" si="0">SUBTOTAL(9,B6:B1048576)</f>
        <v>13802</v>
      </c>
      <c r="C3" s="293">
        <f t="shared" si="0"/>
        <v>15042</v>
      </c>
      <c r="D3" s="293">
        <f t="shared" si="0"/>
        <v>12109</v>
      </c>
      <c r="E3" s="204">
        <f t="shared" si="0"/>
        <v>3672613.3099999977</v>
      </c>
      <c r="F3" s="202">
        <f t="shared" si="0"/>
        <v>3817809.9899999993</v>
      </c>
      <c r="G3" s="294">
        <f t="shared" si="0"/>
        <v>3419555.5600000005</v>
      </c>
    </row>
    <row r="4" spans="1:7" ht="14.4" customHeight="1" x14ac:dyDescent="0.3">
      <c r="A4" s="360" t="s">
        <v>117</v>
      </c>
      <c r="B4" s="361" t="s">
        <v>231</v>
      </c>
      <c r="C4" s="362"/>
      <c r="D4" s="362"/>
      <c r="E4" s="364" t="s">
        <v>86</v>
      </c>
      <c r="F4" s="365"/>
      <c r="G4" s="366"/>
    </row>
    <row r="5" spans="1:7" ht="14.4" customHeight="1" thickBot="1" x14ac:dyDescent="0.35">
      <c r="A5" s="503"/>
      <c r="B5" s="504">
        <v>2013</v>
      </c>
      <c r="C5" s="505">
        <v>2014</v>
      </c>
      <c r="D5" s="505">
        <v>2015</v>
      </c>
      <c r="E5" s="504">
        <v>2013</v>
      </c>
      <c r="F5" s="505">
        <v>2014</v>
      </c>
      <c r="G5" s="512">
        <v>2015</v>
      </c>
    </row>
    <row r="6" spans="1:7" ht="14.4" customHeight="1" thickBot="1" x14ac:dyDescent="0.35">
      <c r="A6" s="515" t="s">
        <v>1007</v>
      </c>
      <c r="B6" s="440">
        <v>13802</v>
      </c>
      <c r="C6" s="440">
        <v>15042</v>
      </c>
      <c r="D6" s="440">
        <v>12109</v>
      </c>
      <c r="E6" s="513">
        <v>3672613.3099999977</v>
      </c>
      <c r="F6" s="513">
        <v>3817809.9899999993</v>
      </c>
      <c r="G6" s="514">
        <v>3419555.5600000005</v>
      </c>
    </row>
    <row r="7" spans="1:7" ht="14.4" customHeight="1" x14ac:dyDescent="0.3">
      <c r="A7" s="510" t="s">
        <v>1003</v>
      </c>
    </row>
    <row r="8" spans="1:7" ht="14.4" customHeight="1" x14ac:dyDescent="0.3">
      <c r="A8" s="511" t="s">
        <v>1004</v>
      </c>
    </row>
    <row r="9" spans="1:7" ht="14.4" customHeight="1" x14ac:dyDescent="0.3">
      <c r="A9" s="510" t="s">
        <v>1005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15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15" bestFit="1" customWidth="1"/>
    <col min="2" max="2" width="2.109375" style="115" bestFit="1" customWidth="1"/>
    <col min="3" max="3" width="8" style="115" customWidth="1"/>
    <col min="4" max="4" width="50.88671875" style="115" bestFit="1" customWidth="1"/>
    <col min="5" max="6" width="11.109375" style="191" customWidth="1"/>
    <col min="7" max="8" width="9.33203125" style="115" hidden="1" customWidth="1"/>
    <col min="9" max="10" width="11.109375" style="191" customWidth="1"/>
    <col min="11" max="12" width="9.33203125" style="115" hidden="1" customWidth="1"/>
    <col min="13" max="14" width="11.109375" style="191" customWidth="1"/>
    <col min="15" max="15" width="11.109375" style="194" customWidth="1"/>
    <col min="16" max="16" width="11.109375" style="191" customWidth="1"/>
    <col min="17" max="16384" width="8.88671875" style="115"/>
  </cols>
  <sheetData>
    <row r="1" spans="1:16" ht="18.600000000000001" customHeight="1" thickBot="1" x14ac:dyDescent="0.4">
      <c r="A1" s="302" t="s">
        <v>1203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</row>
    <row r="2" spans="1:16" ht="14.4" customHeight="1" thickBot="1" x14ac:dyDescent="0.35">
      <c r="A2" s="212" t="s">
        <v>254</v>
      </c>
      <c r="B2" s="116"/>
      <c r="C2" s="291"/>
      <c r="D2" s="116"/>
      <c r="E2" s="206"/>
      <c r="F2" s="206"/>
      <c r="G2" s="116"/>
      <c r="H2" s="116"/>
      <c r="I2" s="206"/>
      <c r="J2" s="206"/>
      <c r="K2" s="116"/>
      <c r="L2" s="116"/>
      <c r="M2" s="206"/>
      <c r="N2" s="206"/>
      <c r="O2" s="207"/>
      <c r="P2" s="206"/>
    </row>
    <row r="3" spans="1:16" ht="14.4" customHeight="1" thickBot="1" x14ac:dyDescent="0.35">
      <c r="D3" s="73" t="s">
        <v>109</v>
      </c>
      <c r="E3" s="88">
        <f t="shared" ref="E3:N3" si="0">SUBTOTAL(9,E6:E1048576)</f>
        <v>14330</v>
      </c>
      <c r="F3" s="89">
        <f t="shared" si="0"/>
        <v>4038244.3099999996</v>
      </c>
      <c r="G3" s="66"/>
      <c r="H3" s="66"/>
      <c r="I3" s="89">
        <f t="shared" si="0"/>
        <v>15574</v>
      </c>
      <c r="J3" s="89">
        <f t="shared" si="0"/>
        <v>4187365.9899999998</v>
      </c>
      <c r="K3" s="66"/>
      <c r="L3" s="66"/>
      <c r="M3" s="89">
        <f t="shared" si="0"/>
        <v>12632</v>
      </c>
      <c r="N3" s="89">
        <f t="shared" si="0"/>
        <v>3795260.5599999991</v>
      </c>
      <c r="O3" s="67">
        <f>IF(F3=0,0,N3/F3)</f>
        <v>0.93982935866502826</v>
      </c>
      <c r="P3" s="90">
        <f>IF(M3=0,0,N3/M3)</f>
        <v>300.4481127295756</v>
      </c>
    </row>
    <row r="4" spans="1:16" ht="14.4" customHeight="1" x14ac:dyDescent="0.3">
      <c r="A4" s="368" t="s">
        <v>82</v>
      </c>
      <c r="B4" s="369" t="s">
        <v>83</v>
      </c>
      <c r="C4" s="374" t="s">
        <v>58</v>
      </c>
      <c r="D4" s="370" t="s">
        <v>57</v>
      </c>
      <c r="E4" s="371">
        <v>2013</v>
      </c>
      <c r="F4" s="372"/>
      <c r="G4" s="87"/>
      <c r="H4" s="87"/>
      <c r="I4" s="371">
        <v>2014</v>
      </c>
      <c r="J4" s="372"/>
      <c r="K4" s="87"/>
      <c r="L4" s="87"/>
      <c r="M4" s="371">
        <v>2015</v>
      </c>
      <c r="N4" s="372"/>
      <c r="O4" s="373" t="s">
        <v>2</v>
      </c>
      <c r="P4" s="367" t="s">
        <v>84</v>
      </c>
    </row>
    <row r="5" spans="1:16" ht="14.4" customHeight="1" thickBot="1" x14ac:dyDescent="0.35">
      <c r="A5" s="516"/>
      <c r="B5" s="517"/>
      <c r="C5" s="518"/>
      <c r="D5" s="519"/>
      <c r="E5" s="520" t="s">
        <v>59</v>
      </c>
      <c r="F5" s="521" t="s">
        <v>14</v>
      </c>
      <c r="G5" s="522"/>
      <c r="H5" s="522"/>
      <c r="I5" s="520" t="s">
        <v>59</v>
      </c>
      <c r="J5" s="521" t="s">
        <v>14</v>
      </c>
      <c r="K5" s="522"/>
      <c r="L5" s="522"/>
      <c r="M5" s="520" t="s">
        <v>59</v>
      </c>
      <c r="N5" s="521" t="s">
        <v>14</v>
      </c>
      <c r="O5" s="523"/>
      <c r="P5" s="524"/>
    </row>
    <row r="6" spans="1:16" ht="14.4" customHeight="1" x14ac:dyDescent="0.3">
      <c r="A6" s="415" t="s">
        <v>1009</v>
      </c>
      <c r="B6" s="416" t="s">
        <v>1010</v>
      </c>
      <c r="C6" s="416" t="s">
        <v>1011</v>
      </c>
      <c r="D6" s="416" t="s">
        <v>1003</v>
      </c>
      <c r="E6" s="419"/>
      <c r="F6" s="419"/>
      <c r="G6" s="416"/>
      <c r="H6" s="416"/>
      <c r="I6" s="419"/>
      <c r="J6" s="419"/>
      <c r="K6" s="416"/>
      <c r="L6" s="416"/>
      <c r="M6" s="419">
        <v>1</v>
      </c>
      <c r="N6" s="419">
        <v>333</v>
      </c>
      <c r="O6" s="438"/>
      <c r="P6" s="420">
        <v>333</v>
      </c>
    </row>
    <row r="7" spans="1:16" ht="14.4" customHeight="1" x14ac:dyDescent="0.3">
      <c r="A7" s="421" t="s">
        <v>1009</v>
      </c>
      <c r="B7" s="422" t="s">
        <v>1010</v>
      </c>
      <c r="C7" s="422" t="s">
        <v>1012</v>
      </c>
      <c r="D7" s="422" t="s">
        <v>1003</v>
      </c>
      <c r="E7" s="425">
        <v>1</v>
      </c>
      <c r="F7" s="425">
        <v>1657</v>
      </c>
      <c r="G7" s="422">
        <v>1</v>
      </c>
      <c r="H7" s="422">
        <v>1657</v>
      </c>
      <c r="I7" s="425">
        <v>2</v>
      </c>
      <c r="J7" s="425">
        <v>3314</v>
      </c>
      <c r="K7" s="422">
        <v>2</v>
      </c>
      <c r="L7" s="422">
        <v>1657</v>
      </c>
      <c r="M7" s="425"/>
      <c r="N7" s="425"/>
      <c r="O7" s="447"/>
      <c r="P7" s="426"/>
    </row>
    <row r="8" spans="1:16" ht="14.4" customHeight="1" x14ac:dyDescent="0.3">
      <c r="A8" s="421" t="s">
        <v>1009</v>
      </c>
      <c r="B8" s="422" t="s">
        <v>1010</v>
      </c>
      <c r="C8" s="422" t="s">
        <v>1013</v>
      </c>
      <c r="D8" s="422" t="s">
        <v>1003</v>
      </c>
      <c r="E8" s="425">
        <v>1</v>
      </c>
      <c r="F8" s="425">
        <v>1179</v>
      </c>
      <c r="G8" s="422">
        <v>1</v>
      </c>
      <c r="H8" s="422">
        <v>1179</v>
      </c>
      <c r="I8" s="425">
        <v>1</v>
      </c>
      <c r="J8" s="425">
        <v>1179</v>
      </c>
      <c r="K8" s="422">
        <v>1</v>
      </c>
      <c r="L8" s="422">
        <v>1179</v>
      </c>
      <c r="M8" s="425"/>
      <c r="N8" s="425"/>
      <c r="O8" s="447"/>
      <c r="P8" s="426"/>
    </row>
    <row r="9" spans="1:16" ht="14.4" customHeight="1" x14ac:dyDescent="0.3">
      <c r="A9" s="421" t="s">
        <v>1009</v>
      </c>
      <c r="B9" s="422" t="s">
        <v>1010</v>
      </c>
      <c r="C9" s="422" t="s">
        <v>1014</v>
      </c>
      <c r="D9" s="422" t="s">
        <v>1003</v>
      </c>
      <c r="E9" s="425">
        <v>21</v>
      </c>
      <c r="F9" s="425">
        <v>2373</v>
      </c>
      <c r="G9" s="422">
        <v>1</v>
      </c>
      <c r="H9" s="422">
        <v>113</v>
      </c>
      <c r="I9" s="425">
        <v>14</v>
      </c>
      <c r="J9" s="425">
        <v>1582</v>
      </c>
      <c r="K9" s="422">
        <v>0.66666666666666663</v>
      </c>
      <c r="L9" s="422">
        <v>113</v>
      </c>
      <c r="M9" s="425">
        <v>25</v>
      </c>
      <c r="N9" s="425">
        <v>2825</v>
      </c>
      <c r="O9" s="447">
        <v>1.1904761904761905</v>
      </c>
      <c r="P9" s="426">
        <v>113</v>
      </c>
    </row>
    <row r="10" spans="1:16" ht="14.4" customHeight="1" x14ac:dyDescent="0.3">
      <c r="A10" s="421" t="s">
        <v>1009</v>
      </c>
      <c r="B10" s="422" t="s">
        <v>1010</v>
      </c>
      <c r="C10" s="422" t="s">
        <v>1015</v>
      </c>
      <c r="D10" s="422" t="s">
        <v>1003</v>
      </c>
      <c r="E10" s="425"/>
      <c r="F10" s="425"/>
      <c r="G10" s="422"/>
      <c r="H10" s="422"/>
      <c r="I10" s="425">
        <v>2</v>
      </c>
      <c r="J10" s="425">
        <v>438</v>
      </c>
      <c r="K10" s="422"/>
      <c r="L10" s="422">
        <v>219</v>
      </c>
      <c r="M10" s="425">
        <v>5</v>
      </c>
      <c r="N10" s="425">
        <v>1095</v>
      </c>
      <c r="O10" s="447"/>
      <c r="P10" s="426">
        <v>219</v>
      </c>
    </row>
    <row r="11" spans="1:16" ht="14.4" customHeight="1" x14ac:dyDescent="0.3">
      <c r="A11" s="421" t="s">
        <v>1009</v>
      </c>
      <c r="B11" s="422" t="s">
        <v>1010</v>
      </c>
      <c r="C11" s="422" t="s">
        <v>1016</v>
      </c>
      <c r="D11" s="422" t="s">
        <v>1003</v>
      </c>
      <c r="E11" s="425">
        <v>1</v>
      </c>
      <c r="F11" s="425">
        <v>236</v>
      </c>
      <c r="G11" s="422">
        <v>1</v>
      </c>
      <c r="H11" s="422">
        <v>236</v>
      </c>
      <c r="I11" s="425">
        <v>3</v>
      </c>
      <c r="J11" s="425">
        <v>708</v>
      </c>
      <c r="K11" s="422">
        <v>3</v>
      </c>
      <c r="L11" s="422">
        <v>236</v>
      </c>
      <c r="M11" s="425">
        <v>3</v>
      </c>
      <c r="N11" s="425">
        <v>708</v>
      </c>
      <c r="O11" s="447">
        <v>3</v>
      </c>
      <c r="P11" s="426">
        <v>236</v>
      </c>
    </row>
    <row r="12" spans="1:16" ht="14.4" customHeight="1" x14ac:dyDescent="0.3">
      <c r="A12" s="421" t="s">
        <v>1009</v>
      </c>
      <c r="B12" s="422" t="s">
        <v>1010</v>
      </c>
      <c r="C12" s="422" t="s">
        <v>1017</v>
      </c>
      <c r="D12" s="422" t="s">
        <v>1003</v>
      </c>
      <c r="E12" s="425">
        <v>6</v>
      </c>
      <c r="F12" s="425">
        <v>936</v>
      </c>
      <c r="G12" s="422">
        <v>1</v>
      </c>
      <c r="H12" s="422">
        <v>156</v>
      </c>
      <c r="I12" s="425">
        <v>6</v>
      </c>
      <c r="J12" s="425">
        <v>936</v>
      </c>
      <c r="K12" s="422">
        <v>1</v>
      </c>
      <c r="L12" s="422">
        <v>156</v>
      </c>
      <c r="M12" s="425">
        <v>7</v>
      </c>
      <c r="N12" s="425">
        <v>1092</v>
      </c>
      <c r="O12" s="447">
        <v>1.1666666666666667</v>
      </c>
      <c r="P12" s="426">
        <v>156</v>
      </c>
    </row>
    <row r="13" spans="1:16" ht="14.4" customHeight="1" x14ac:dyDescent="0.3">
      <c r="A13" s="421" t="s">
        <v>1009</v>
      </c>
      <c r="B13" s="422" t="s">
        <v>1010</v>
      </c>
      <c r="C13" s="422" t="s">
        <v>1018</v>
      </c>
      <c r="D13" s="422" t="s">
        <v>1003</v>
      </c>
      <c r="E13" s="425">
        <v>4</v>
      </c>
      <c r="F13" s="425">
        <v>760</v>
      </c>
      <c r="G13" s="422">
        <v>1</v>
      </c>
      <c r="H13" s="422">
        <v>190</v>
      </c>
      <c r="I13" s="425"/>
      <c r="J13" s="425"/>
      <c r="K13" s="422"/>
      <c r="L13" s="422"/>
      <c r="M13" s="425">
        <v>2</v>
      </c>
      <c r="N13" s="425">
        <v>380</v>
      </c>
      <c r="O13" s="447">
        <v>0.5</v>
      </c>
      <c r="P13" s="426">
        <v>190</v>
      </c>
    </row>
    <row r="14" spans="1:16" ht="14.4" customHeight="1" x14ac:dyDescent="0.3">
      <c r="A14" s="421" t="s">
        <v>1009</v>
      </c>
      <c r="B14" s="422" t="s">
        <v>1010</v>
      </c>
      <c r="C14" s="422" t="s">
        <v>1019</v>
      </c>
      <c r="D14" s="422" t="s">
        <v>1003</v>
      </c>
      <c r="E14" s="425"/>
      <c r="F14" s="425"/>
      <c r="G14" s="422"/>
      <c r="H14" s="422"/>
      <c r="I14" s="425">
        <v>2</v>
      </c>
      <c r="J14" s="425">
        <v>168</v>
      </c>
      <c r="K14" s="422"/>
      <c r="L14" s="422">
        <v>84</v>
      </c>
      <c r="M14" s="425">
        <v>2</v>
      </c>
      <c r="N14" s="425">
        <v>168</v>
      </c>
      <c r="O14" s="447"/>
      <c r="P14" s="426">
        <v>84</v>
      </c>
    </row>
    <row r="15" spans="1:16" ht="14.4" customHeight="1" x14ac:dyDescent="0.3">
      <c r="A15" s="421" t="s">
        <v>1009</v>
      </c>
      <c r="B15" s="422" t="s">
        <v>1010</v>
      </c>
      <c r="C15" s="422" t="s">
        <v>1020</v>
      </c>
      <c r="D15" s="422" t="s">
        <v>1003</v>
      </c>
      <c r="E15" s="425"/>
      <c r="F15" s="425"/>
      <c r="G15" s="422"/>
      <c r="H15" s="422"/>
      <c r="I15" s="425">
        <v>2</v>
      </c>
      <c r="J15" s="425">
        <v>210</v>
      </c>
      <c r="K15" s="422"/>
      <c r="L15" s="422">
        <v>105</v>
      </c>
      <c r="M15" s="425">
        <v>1</v>
      </c>
      <c r="N15" s="425">
        <v>105</v>
      </c>
      <c r="O15" s="447"/>
      <c r="P15" s="426">
        <v>105</v>
      </c>
    </row>
    <row r="16" spans="1:16" ht="14.4" customHeight="1" x14ac:dyDescent="0.3">
      <c r="A16" s="421" t="s">
        <v>1009</v>
      </c>
      <c r="B16" s="422" t="s">
        <v>1010</v>
      </c>
      <c r="C16" s="422" t="s">
        <v>1021</v>
      </c>
      <c r="D16" s="422" t="s">
        <v>1003</v>
      </c>
      <c r="E16" s="425">
        <v>14</v>
      </c>
      <c r="F16" s="425">
        <v>8344</v>
      </c>
      <c r="G16" s="422">
        <v>1</v>
      </c>
      <c r="H16" s="422">
        <v>596</v>
      </c>
      <c r="I16" s="425">
        <v>19</v>
      </c>
      <c r="J16" s="425">
        <v>11324</v>
      </c>
      <c r="K16" s="422">
        <v>1.3571428571428572</v>
      </c>
      <c r="L16" s="422">
        <v>596</v>
      </c>
      <c r="M16" s="425">
        <v>18</v>
      </c>
      <c r="N16" s="425">
        <v>10728</v>
      </c>
      <c r="O16" s="447">
        <v>1.2857142857142858</v>
      </c>
      <c r="P16" s="426">
        <v>596</v>
      </c>
    </row>
    <row r="17" spans="1:16" ht="14.4" customHeight="1" x14ac:dyDescent="0.3">
      <c r="A17" s="421" t="s">
        <v>1009</v>
      </c>
      <c r="B17" s="422" t="s">
        <v>1010</v>
      </c>
      <c r="C17" s="422" t="s">
        <v>1022</v>
      </c>
      <c r="D17" s="422" t="s">
        <v>1003</v>
      </c>
      <c r="E17" s="425">
        <v>5</v>
      </c>
      <c r="F17" s="425">
        <v>3330</v>
      </c>
      <c r="G17" s="422">
        <v>1</v>
      </c>
      <c r="H17" s="422">
        <v>666</v>
      </c>
      <c r="I17" s="425">
        <v>6</v>
      </c>
      <c r="J17" s="425">
        <v>3996</v>
      </c>
      <c r="K17" s="422">
        <v>1.2</v>
      </c>
      <c r="L17" s="422">
        <v>666</v>
      </c>
      <c r="M17" s="425">
        <v>4</v>
      </c>
      <c r="N17" s="425">
        <v>2664</v>
      </c>
      <c r="O17" s="447">
        <v>0.8</v>
      </c>
      <c r="P17" s="426">
        <v>666</v>
      </c>
    </row>
    <row r="18" spans="1:16" ht="14.4" customHeight="1" x14ac:dyDescent="0.3">
      <c r="A18" s="421" t="s">
        <v>1009</v>
      </c>
      <c r="B18" s="422" t="s">
        <v>1010</v>
      </c>
      <c r="C18" s="422" t="s">
        <v>1023</v>
      </c>
      <c r="D18" s="422" t="s">
        <v>1003</v>
      </c>
      <c r="E18" s="425">
        <v>1</v>
      </c>
      <c r="F18" s="425">
        <v>770</v>
      </c>
      <c r="G18" s="422">
        <v>1</v>
      </c>
      <c r="H18" s="422">
        <v>770</v>
      </c>
      <c r="I18" s="425">
        <v>1</v>
      </c>
      <c r="J18" s="425">
        <v>770</v>
      </c>
      <c r="K18" s="422">
        <v>1</v>
      </c>
      <c r="L18" s="422">
        <v>770</v>
      </c>
      <c r="M18" s="425"/>
      <c r="N18" s="425"/>
      <c r="O18" s="447"/>
      <c r="P18" s="426"/>
    </row>
    <row r="19" spans="1:16" ht="14.4" customHeight="1" x14ac:dyDescent="0.3">
      <c r="A19" s="421" t="s">
        <v>1009</v>
      </c>
      <c r="B19" s="422" t="s">
        <v>1010</v>
      </c>
      <c r="C19" s="422" t="s">
        <v>1024</v>
      </c>
      <c r="D19" s="422" t="s">
        <v>1003</v>
      </c>
      <c r="E19" s="425">
        <v>8</v>
      </c>
      <c r="F19" s="425">
        <v>9376</v>
      </c>
      <c r="G19" s="422">
        <v>1</v>
      </c>
      <c r="H19" s="422">
        <v>1172</v>
      </c>
      <c r="I19" s="425">
        <v>13</v>
      </c>
      <c r="J19" s="425">
        <v>15236</v>
      </c>
      <c r="K19" s="422">
        <v>1.625</v>
      </c>
      <c r="L19" s="422">
        <v>1172</v>
      </c>
      <c r="M19" s="425">
        <v>6</v>
      </c>
      <c r="N19" s="425">
        <v>7032</v>
      </c>
      <c r="O19" s="447">
        <v>0.75</v>
      </c>
      <c r="P19" s="426">
        <v>1172</v>
      </c>
    </row>
    <row r="20" spans="1:16" ht="14.4" customHeight="1" x14ac:dyDescent="0.3">
      <c r="A20" s="421" t="s">
        <v>1009</v>
      </c>
      <c r="B20" s="422" t="s">
        <v>1010</v>
      </c>
      <c r="C20" s="422" t="s">
        <v>1025</v>
      </c>
      <c r="D20" s="422" t="s">
        <v>1003</v>
      </c>
      <c r="E20" s="425">
        <v>5</v>
      </c>
      <c r="F20" s="425">
        <v>4000</v>
      </c>
      <c r="G20" s="422">
        <v>1</v>
      </c>
      <c r="H20" s="422">
        <v>800</v>
      </c>
      <c r="I20" s="425">
        <v>7</v>
      </c>
      <c r="J20" s="425">
        <v>5600</v>
      </c>
      <c r="K20" s="422">
        <v>1.4</v>
      </c>
      <c r="L20" s="422">
        <v>800</v>
      </c>
      <c r="M20" s="425">
        <v>4</v>
      </c>
      <c r="N20" s="425">
        <v>3200</v>
      </c>
      <c r="O20" s="447">
        <v>0.8</v>
      </c>
      <c r="P20" s="426">
        <v>800</v>
      </c>
    </row>
    <row r="21" spans="1:16" ht="14.4" customHeight="1" x14ac:dyDescent="0.3">
      <c r="A21" s="421" t="s">
        <v>1009</v>
      </c>
      <c r="B21" s="422" t="s">
        <v>1010</v>
      </c>
      <c r="C21" s="422" t="s">
        <v>1026</v>
      </c>
      <c r="D21" s="422" t="s">
        <v>1003</v>
      </c>
      <c r="E21" s="425"/>
      <c r="F21" s="425"/>
      <c r="G21" s="422"/>
      <c r="H21" s="422"/>
      <c r="I21" s="425">
        <v>4</v>
      </c>
      <c r="J21" s="425">
        <v>2980</v>
      </c>
      <c r="K21" s="422"/>
      <c r="L21" s="422">
        <v>745</v>
      </c>
      <c r="M21" s="425">
        <v>4</v>
      </c>
      <c r="N21" s="425">
        <v>2980</v>
      </c>
      <c r="O21" s="447"/>
      <c r="P21" s="426">
        <v>745</v>
      </c>
    </row>
    <row r="22" spans="1:16" ht="14.4" customHeight="1" x14ac:dyDescent="0.3">
      <c r="A22" s="421" t="s">
        <v>1009</v>
      </c>
      <c r="B22" s="422" t="s">
        <v>1010</v>
      </c>
      <c r="C22" s="422" t="s">
        <v>1027</v>
      </c>
      <c r="D22" s="422" t="s">
        <v>1003</v>
      </c>
      <c r="E22" s="425">
        <v>4</v>
      </c>
      <c r="F22" s="425">
        <v>2980</v>
      </c>
      <c r="G22" s="422">
        <v>1</v>
      </c>
      <c r="H22" s="422">
        <v>745</v>
      </c>
      <c r="I22" s="425">
        <v>4</v>
      </c>
      <c r="J22" s="425">
        <v>2980</v>
      </c>
      <c r="K22" s="422">
        <v>1</v>
      </c>
      <c r="L22" s="422">
        <v>745</v>
      </c>
      <c r="M22" s="425">
        <v>8</v>
      </c>
      <c r="N22" s="425">
        <v>5960</v>
      </c>
      <c r="O22" s="447">
        <v>2</v>
      </c>
      <c r="P22" s="426">
        <v>745</v>
      </c>
    </row>
    <row r="23" spans="1:16" ht="14.4" customHeight="1" x14ac:dyDescent="0.3">
      <c r="A23" s="421" t="s">
        <v>1009</v>
      </c>
      <c r="B23" s="422" t="s">
        <v>1010</v>
      </c>
      <c r="C23" s="422" t="s">
        <v>1028</v>
      </c>
      <c r="D23" s="422" t="s">
        <v>1003</v>
      </c>
      <c r="E23" s="425">
        <v>1</v>
      </c>
      <c r="F23" s="425">
        <v>592</v>
      </c>
      <c r="G23" s="422">
        <v>1</v>
      </c>
      <c r="H23" s="422">
        <v>592</v>
      </c>
      <c r="I23" s="425">
        <v>1</v>
      </c>
      <c r="J23" s="425">
        <v>592</v>
      </c>
      <c r="K23" s="422">
        <v>1</v>
      </c>
      <c r="L23" s="422">
        <v>592</v>
      </c>
      <c r="M23" s="425"/>
      <c r="N23" s="425"/>
      <c r="O23" s="447"/>
      <c r="P23" s="426"/>
    </row>
    <row r="24" spans="1:16" ht="14.4" customHeight="1" x14ac:dyDescent="0.3">
      <c r="A24" s="421" t="s">
        <v>1009</v>
      </c>
      <c r="B24" s="422" t="s">
        <v>1010</v>
      </c>
      <c r="C24" s="422" t="s">
        <v>1029</v>
      </c>
      <c r="D24" s="422" t="s">
        <v>1003</v>
      </c>
      <c r="E24" s="425">
        <v>23</v>
      </c>
      <c r="F24" s="425">
        <v>12903</v>
      </c>
      <c r="G24" s="422">
        <v>1</v>
      </c>
      <c r="H24" s="422">
        <v>561</v>
      </c>
      <c r="I24" s="425">
        <v>21</v>
      </c>
      <c r="J24" s="425">
        <v>11781</v>
      </c>
      <c r="K24" s="422">
        <v>0.91304347826086951</v>
      </c>
      <c r="L24" s="422">
        <v>561</v>
      </c>
      <c r="M24" s="425">
        <v>26</v>
      </c>
      <c r="N24" s="425">
        <v>14586</v>
      </c>
      <c r="O24" s="447">
        <v>1.1304347826086956</v>
      </c>
      <c r="P24" s="426">
        <v>561</v>
      </c>
    </row>
    <row r="25" spans="1:16" ht="14.4" customHeight="1" x14ac:dyDescent="0.3">
      <c r="A25" s="421" t="s">
        <v>1009</v>
      </c>
      <c r="B25" s="422" t="s">
        <v>1010</v>
      </c>
      <c r="C25" s="422" t="s">
        <v>1030</v>
      </c>
      <c r="D25" s="422" t="s">
        <v>1003</v>
      </c>
      <c r="E25" s="425">
        <v>15</v>
      </c>
      <c r="F25" s="425">
        <v>7785</v>
      </c>
      <c r="G25" s="422">
        <v>1</v>
      </c>
      <c r="H25" s="422">
        <v>519</v>
      </c>
      <c r="I25" s="425">
        <v>14</v>
      </c>
      <c r="J25" s="425">
        <v>7266</v>
      </c>
      <c r="K25" s="422">
        <v>0.93333333333333335</v>
      </c>
      <c r="L25" s="422">
        <v>519</v>
      </c>
      <c r="M25" s="425">
        <v>4</v>
      </c>
      <c r="N25" s="425">
        <v>2076</v>
      </c>
      <c r="O25" s="447">
        <v>0.26666666666666666</v>
      </c>
      <c r="P25" s="426">
        <v>519</v>
      </c>
    </row>
    <row r="26" spans="1:16" ht="14.4" customHeight="1" x14ac:dyDescent="0.3">
      <c r="A26" s="421" t="s">
        <v>1009</v>
      </c>
      <c r="B26" s="422" t="s">
        <v>1010</v>
      </c>
      <c r="C26" s="422" t="s">
        <v>1031</v>
      </c>
      <c r="D26" s="422" t="s">
        <v>1003</v>
      </c>
      <c r="E26" s="425"/>
      <c r="F26" s="425"/>
      <c r="G26" s="422"/>
      <c r="H26" s="422"/>
      <c r="I26" s="425"/>
      <c r="J26" s="425"/>
      <c r="K26" s="422"/>
      <c r="L26" s="422"/>
      <c r="M26" s="425">
        <v>3</v>
      </c>
      <c r="N26" s="425">
        <v>963</v>
      </c>
      <c r="O26" s="447"/>
      <c r="P26" s="426">
        <v>321</v>
      </c>
    </row>
    <row r="27" spans="1:16" ht="14.4" customHeight="1" x14ac:dyDescent="0.3">
      <c r="A27" s="421" t="s">
        <v>1009</v>
      </c>
      <c r="B27" s="422" t="s">
        <v>1010</v>
      </c>
      <c r="C27" s="422" t="s">
        <v>1032</v>
      </c>
      <c r="D27" s="422" t="s">
        <v>1003</v>
      </c>
      <c r="E27" s="425"/>
      <c r="F27" s="425"/>
      <c r="G27" s="422"/>
      <c r="H27" s="422"/>
      <c r="I27" s="425">
        <v>1</v>
      </c>
      <c r="J27" s="425">
        <v>321</v>
      </c>
      <c r="K27" s="422"/>
      <c r="L27" s="422">
        <v>321</v>
      </c>
      <c r="M27" s="425"/>
      <c r="N27" s="425"/>
      <c r="O27" s="447"/>
      <c r="P27" s="426"/>
    </row>
    <row r="28" spans="1:16" ht="14.4" customHeight="1" x14ac:dyDescent="0.3">
      <c r="A28" s="421" t="s">
        <v>1009</v>
      </c>
      <c r="B28" s="422" t="s">
        <v>1010</v>
      </c>
      <c r="C28" s="422" t="s">
        <v>1033</v>
      </c>
      <c r="D28" s="422" t="s">
        <v>1003</v>
      </c>
      <c r="E28" s="425">
        <v>13</v>
      </c>
      <c r="F28" s="425">
        <v>4173</v>
      </c>
      <c r="G28" s="422">
        <v>1</v>
      </c>
      <c r="H28" s="422">
        <v>321</v>
      </c>
      <c r="I28" s="425">
        <v>11</v>
      </c>
      <c r="J28" s="425">
        <v>3531</v>
      </c>
      <c r="K28" s="422">
        <v>0.84615384615384615</v>
      </c>
      <c r="L28" s="422">
        <v>321</v>
      </c>
      <c r="M28" s="425">
        <v>2</v>
      </c>
      <c r="N28" s="425">
        <v>642</v>
      </c>
      <c r="O28" s="447">
        <v>0.15384615384615385</v>
      </c>
      <c r="P28" s="426">
        <v>321</v>
      </c>
    </row>
    <row r="29" spans="1:16" ht="14.4" customHeight="1" x14ac:dyDescent="0.3">
      <c r="A29" s="421" t="s">
        <v>1009</v>
      </c>
      <c r="B29" s="422" t="s">
        <v>1010</v>
      </c>
      <c r="C29" s="422" t="s">
        <v>1034</v>
      </c>
      <c r="D29" s="422" t="s">
        <v>1003</v>
      </c>
      <c r="E29" s="425"/>
      <c r="F29" s="425"/>
      <c r="G29" s="422"/>
      <c r="H29" s="422"/>
      <c r="I29" s="425">
        <v>1</v>
      </c>
      <c r="J29" s="425">
        <v>1230</v>
      </c>
      <c r="K29" s="422"/>
      <c r="L29" s="422">
        <v>1230</v>
      </c>
      <c r="M29" s="425"/>
      <c r="N29" s="425"/>
      <c r="O29" s="447"/>
      <c r="P29" s="426"/>
    </row>
    <row r="30" spans="1:16" ht="14.4" customHeight="1" x14ac:dyDescent="0.3">
      <c r="A30" s="421" t="s">
        <v>1009</v>
      </c>
      <c r="B30" s="422" t="s">
        <v>1010</v>
      </c>
      <c r="C30" s="422" t="s">
        <v>1035</v>
      </c>
      <c r="D30" s="422" t="s">
        <v>1003</v>
      </c>
      <c r="E30" s="425">
        <v>20</v>
      </c>
      <c r="F30" s="425">
        <v>5640</v>
      </c>
      <c r="G30" s="422">
        <v>1</v>
      </c>
      <c r="H30" s="422">
        <v>282</v>
      </c>
      <c r="I30" s="425">
        <v>21</v>
      </c>
      <c r="J30" s="425">
        <v>5922</v>
      </c>
      <c r="K30" s="422">
        <v>1.05</v>
      </c>
      <c r="L30" s="422">
        <v>282</v>
      </c>
      <c r="M30" s="425">
        <v>22</v>
      </c>
      <c r="N30" s="425">
        <v>6204</v>
      </c>
      <c r="O30" s="447">
        <v>1.1000000000000001</v>
      </c>
      <c r="P30" s="426">
        <v>282</v>
      </c>
    </row>
    <row r="31" spans="1:16" ht="14.4" customHeight="1" x14ac:dyDescent="0.3">
      <c r="A31" s="421" t="s">
        <v>1009</v>
      </c>
      <c r="B31" s="422" t="s">
        <v>1010</v>
      </c>
      <c r="C31" s="422" t="s">
        <v>1036</v>
      </c>
      <c r="D31" s="422" t="s">
        <v>1003</v>
      </c>
      <c r="E31" s="425">
        <v>11</v>
      </c>
      <c r="F31" s="425">
        <v>7469</v>
      </c>
      <c r="G31" s="422">
        <v>1</v>
      </c>
      <c r="H31" s="422">
        <v>679</v>
      </c>
      <c r="I31" s="425">
        <v>9</v>
      </c>
      <c r="J31" s="425">
        <v>6111</v>
      </c>
      <c r="K31" s="422">
        <v>0.81818181818181823</v>
      </c>
      <c r="L31" s="422">
        <v>679</v>
      </c>
      <c r="M31" s="425">
        <v>11</v>
      </c>
      <c r="N31" s="425">
        <v>7469</v>
      </c>
      <c r="O31" s="447">
        <v>1</v>
      </c>
      <c r="P31" s="426">
        <v>679</v>
      </c>
    </row>
    <row r="32" spans="1:16" ht="14.4" customHeight="1" x14ac:dyDescent="0.3">
      <c r="A32" s="421" t="s">
        <v>1009</v>
      </c>
      <c r="B32" s="422" t="s">
        <v>1010</v>
      </c>
      <c r="C32" s="422" t="s">
        <v>1037</v>
      </c>
      <c r="D32" s="422" t="s">
        <v>1003</v>
      </c>
      <c r="E32" s="425">
        <v>9</v>
      </c>
      <c r="F32" s="425">
        <v>8361</v>
      </c>
      <c r="G32" s="422">
        <v>1</v>
      </c>
      <c r="H32" s="422">
        <v>929</v>
      </c>
      <c r="I32" s="425">
        <v>3</v>
      </c>
      <c r="J32" s="425">
        <v>2787</v>
      </c>
      <c r="K32" s="422">
        <v>0.33333333333333331</v>
      </c>
      <c r="L32" s="422">
        <v>929</v>
      </c>
      <c r="M32" s="425">
        <v>8</v>
      </c>
      <c r="N32" s="425">
        <v>7432</v>
      </c>
      <c r="O32" s="447">
        <v>0.88888888888888884</v>
      </c>
      <c r="P32" s="426">
        <v>929</v>
      </c>
    </row>
    <row r="33" spans="1:16" ht="14.4" customHeight="1" x14ac:dyDescent="0.3">
      <c r="A33" s="421" t="s">
        <v>1009</v>
      </c>
      <c r="B33" s="422" t="s">
        <v>1010</v>
      </c>
      <c r="C33" s="422" t="s">
        <v>1038</v>
      </c>
      <c r="D33" s="422" t="s">
        <v>1003</v>
      </c>
      <c r="E33" s="425">
        <v>1</v>
      </c>
      <c r="F33" s="425">
        <v>208</v>
      </c>
      <c r="G33" s="422">
        <v>1</v>
      </c>
      <c r="H33" s="422">
        <v>208</v>
      </c>
      <c r="I33" s="425"/>
      <c r="J33" s="425"/>
      <c r="K33" s="422"/>
      <c r="L33" s="422"/>
      <c r="M33" s="425">
        <v>1</v>
      </c>
      <c r="N33" s="425">
        <v>208</v>
      </c>
      <c r="O33" s="447">
        <v>1</v>
      </c>
      <c r="P33" s="426">
        <v>208</v>
      </c>
    </row>
    <row r="34" spans="1:16" ht="14.4" customHeight="1" x14ac:dyDescent="0.3">
      <c r="A34" s="421" t="s">
        <v>1009</v>
      </c>
      <c r="B34" s="422" t="s">
        <v>1010</v>
      </c>
      <c r="C34" s="422" t="s">
        <v>1039</v>
      </c>
      <c r="D34" s="422" t="s">
        <v>1003</v>
      </c>
      <c r="E34" s="425"/>
      <c r="F34" s="425"/>
      <c r="G34" s="422"/>
      <c r="H34" s="422"/>
      <c r="I34" s="425"/>
      <c r="J34" s="425"/>
      <c r="K34" s="422"/>
      <c r="L34" s="422"/>
      <c r="M34" s="425">
        <v>1</v>
      </c>
      <c r="N34" s="425">
        <v>508</v>
      </c>
      <c r="O34" s="447"/>
      <c r="P34" s="426">
        <v>508</v>
      </c>
    </row>
    <row r="35" spans="1:16" ht="14.4" customHeight="1" x14ac:dyDescent="0.3">
      <c r="A35" s="421" t="s">
        <v>1009</v>
      </c>
      <c r="B35" s="422" t="s">
        <v>1010</v>
      </c>
      <c r="C35" s="422" t="s">
        <v>1040</v>
      </c>
      <c r="D35" s="422" t="s">
        <v>1003</v>
      </c>
      <c r="E35" s="425">
        <v>6</v>
      </c>
      <c r="F35" s="425">
        <v>10440</v>
      </c>
      <c r="G35" s="422">
        <v>1</v>
      </c>
      <c r="H35" s="422">
        <v>1740</v>
      </c>
      <c r="I35" s="425">
        <v>4</v>
      </c>
      <c r="J35" s="425">
        <v>6960</v>
      </c>
      <c r="K35" s="422">
        <v>0.66666666666666663</v>
      </c>
      <c r="L35" s="422">
        <v>1740</v>
      </c>
      <c r="M35" s="425">
        <v>6</v>
      </c>
      <c r="N35" s="425">
        <v>10440</v>
      </c>
      <c r="O35" s="447">
        <v>1</v>
      </c>
      <c r="P35" s="426">
        <v>1740</v>
      </c>
    </row>
    <row r="36" spans="1:16" ht="14.4" customHeight="1" x14ac:dyDescent="0.3">
      <c r="A36" s="421" t="s">
        <v>1009</v>
      </c>
      <c r="B36" s="422" t="s">
        <v>1010</v>
      </c>
      <c r="C36" s="422" t="s">
        <v>1041</v>
      </c>
      <c r="D36" s="422" t="s">
        <v>1003</v>
      </c>
      <c r="E36" s="425">
        <v>1</v>
      </c>
      <c r="F36" s="425">
        <v>2024</v>
      </c>
      <c r="G36" s="422">
        <v>1</v>
      </c>
      <c r="H36" s="422">
        <v>2024</v>
      </c>
      <c r="I36" s="425">
        <v>3</v>
      </c>
      <c r="J36" s="425">
        <v>6072</v>
      </c>
      <c r="K36" s="422">
        <v>3</v>
      </c>
      <c r="L36" s="422">
        <v>2024</v>
      </c>
      <c r="M36" s="425">
        <v>1</v>
      </c>
      <c r="N36" s="425">
        <v>2024</v>
      </c>
      <c r="O36" s="447">
        <v>1</v>
      </c>
      <c r="P36" s="426">
        <v>2024</v>
      </c>
    </row>
    <row r="37" spans="1:16" ht="14.4" customHeight="1" x14ac:dyDescent="0.3">
      <c r="A37" s="421" t="s">
        <v>1009</v>
      </c>
      <c r="B37" s="422" t="s">
        <v>1010</v>
      </c>
      <c r="C37" s="422" t="s">
        <v>1042</v>
      </c>
      <c r="D37" s="422" t="s">
        <v>1003</v>
      </c>
      <c r="E37" s="425">
        <v>1</v>
      </c>
      <c r="F37" s="425">
        <v>2010</v>
      </c>
      <c r="G37" s="422">
        <v>1</v>
      </c>
      <c r="H37" s="422">
        <v>2010</v>
      </c>
      <c r="I37" s="425"/>
      <c r="J37" s="425"/>
      <c r="K37" s="422"/>
      <c r="L37" s="422"/>
      <c r="M37" s="425"/>
      <c r="N37" s="425"/>
      <c r="O37" s="447"/>
      <c r="P37" s="426"/>
    </row>
    <row r="38" spans="1:16" ht="14.4" customHeight="1" x14ac:dyDescent="0.3">
      <c r="A38" s="421" t="s">
        <v>1009</v>
      </c>
      <c r="B38" s="422" t="s">
        <v>1010</v>
      </c>
      <c r="C38" s="422" t="s">
        <v>1043</v>
      </c>
      <c r="D38" s="422" t="s">
        <v>1003</v>
      </c>
      <c r="E38" s="425">
        <v>2</v>
      </c>
      <c r="F38" s="425">
        <v>4292</v>
      </c>
      <c r="G38" s="422">
        <v>1</v>
      </c>
      <c r="H38" s="422">
        <v>2146</v>
      </c>
      <c r="I38" s="425">
        <v>4</v>
      </c>
      <c r="J38" s="425">
        <v>8584</v>
      </c>
      <c r="K38" s="422">
        <v>2</v>
      </c>
      <c r="L38" s="422">
        <v>2146</v>
      </c>
      <c r="M38" s="425">
        <v>4</v>
      </c>
      <c r="N38" s="425">
        <v>8584</v>
      </c>
      <c r="O38" s="447">
        <v>2</v>
      </c>
      <c r="P38" s="426">
        <v>2146</v>
      </c>
    </row>
    <row r="39" spans="1:16" ht="14.4" customHeight="1" x14ac:dyDescent="0.3">
      <c r="A39" s="421" t="s">
        <v>1009</v>
      </c>
      <c r="B39" s="422" t="s">
        <v>1010</v>
      </c>
      <c r="C39" s="422" t="s">
        <v>1044</v>
      </c>
      <c r="D39" s="422" t="s">
        <v>1003</v>
      </c>
      <c r="E39" s="425"/>
      <c r="F39" s="425"/>
      <c r="G39" s="422"/>
      <c r="H39" s="422"/>
      <c r="I39" s="425">
        <v>2</v>
      </c>
      <c r="J39" s="425">
        <v>2492</v>
      </c>
      <c r="K39" s="422"/>
      <c r="L39" s="422">
        <v>1246</v>
      </c>
      <c r="M39" s="425"/>
      <c r="N39" s="425"/>
      <c r="O39" s="447"/>
      <c r="P39" s="426"/>
    </row>
    <row r="40" spans="1:16" ht="14.4" customHeight="1" x14ac:dyDescent="0.3">
      <c r="A40" s="421" t="s">
        <v>1009</v>
      </c>
      <c r="B40" s="422" t="s">
        <v>1010</v>
      </c>
      <c r="C40" s="422" t="s">
        <v>1045</v>
      </c>
      <c r="D40" s="422" t="s">
        <v>1003</v>
      </c>
      <c r="E40" s="425">
        <v>17</v>
      </c>
      <c r="F40" s="425">
        <v>60418</v>
      </c>
      <c r="G40" s="422">
        <v>1</v>
      </c>
      <c r="H40" s="422">
        <v>3554</v>
      </c>
      <c r="I40" s="425">
        <v>14</v>
      </c>
      <c r="J40" s="425">
        <v>49756</v>
      </c>
      <c r="K40" s="422">
        <v>0.82352941176470584</v>
      </c>
      <c r="L40" s="422">
        <v>3554</v>
      </c>
      <c r="M40" s="425">
        <v>16</v>
      </c>
      <c r="N40" s="425">
        <v>56864</v>
      </c>
      <c r="O40" s="447">
        <v>0.94117647058823528</v>
      </c>
      <c r="P40" s="426">
        <v>3554</v>
      </c>
    </row>
    <row r="41" spans="1:16" ht="14.4" customHeight="1" x14ac:dyDescent="0.3">
      <c r="A41" s="421" t="s">
        <v>1009</v>
      </c>
      <c r="B41" s="422" t="s">
        <v>1010</v>
      </c>
      <c r="C41" s="422" t="s">
        <v>1046</v>
      </c>
      <c r="D41" s="422" t="s">
        <v>1003</v>
      </c>
      <c r="E41" s="425">
        <v>9</v>
      </c>
      <c r="F41" s="425">
        <v>32553</v>
      </c>
      <c r="G41" s="422">
        <v>1</v>
      </c>
      <c r="H41" s="422">
        <v>3617</v>
      </c>
      <c r="I41" s="425">
        <v>6</v>
      </c>
      <c r="J41" s="425">
        <v>21702</v>
      </c>
      <c r="K41" s="422">
        <v>0.66666666666666663</v>
      </c>
      <c r="L41" s="422">
        <v>3617</v>
      </c>
      <c r="M41" s="425">
        <v>14</v>
      </c>
      <c r="N41" s="425">
        <v>50638</v>
      </c>
      <c r="O41" s="447">
        <v>1.5555555555555556</v>
      </c>
      <c r="P41" s="426">
        <v>3617</v>
      </c>
    </row>
    <row r="42" spans="1:16" ht="14.4" customHeight="1" x14ac:dyDescent="0.3">
      <c r="A42" s="421" t="s">
        <v>1009</v>
      </c>
      <c r="B42" s="422" t="s">
        <v>1010</v>
      </c>
      <c r="C42" s="422" t="s">
        <v>1047</v>
      </c>
      <c r="D42" s="422" t="s">
        <v>1003</v>
      </c>
      <c r="E42" s="425">
        <v>1</v>
      </c>
      <c r="F42" s="425">
        <v>1351</v>
      </c>
      <c r="G42" s="422">
        <v>1</v>
      </c>
      <c r="H42" s="422">
        <v>1351</v>
      </c>
      <c r="I42" s="425">
        <v>1</v>
      </c>
      <c r="J42" s="425">
        <v>1351</v>
      </c>
      <c r="K42" s="422">
        <v>1</v>
      </c>
      <c r="L42" s="422">
        <v>1351</v>
      </c>
      <c r="M42" s="425"/>
      <c r="N42" s="425"/>
      <c r="O42" s="447"/>
      <c r="P42" s="426"/>
    </row>
    <row r="43" spans="1:16" ht="14.4" customHeight="1" x14ac:dyDescent="0.3">
      <c r="A43" s="421" t="s">
        <v>1009</v>
      </c>
      <c r="B43" s="422" t="s">
        <v>1010</v>
      </c>
      <c r="C43" s="422" t="s">
        <v>1048</v>
      </c>
      <c r="D43" s="422" t="s">
        <v>1003</v>
      </c>
      <c r="E43" s="425">
        <v>3</v>
      </c>
      <c r="F43" s="425">
        <v>492</v>
      </c>
      <c r="G43" s="422">
        <v>1</v>
      </c>
      <c r="H43" s="422">
        <v>164</v>
      </c>
      <c r="I43" s="425">
        <v>4</v>
      </c>
      <c r="J43" s="425">
        <v>656</v>
      </c>
      <c r="K43" s="422">
        <v>1.3333333333333333</v>
      </c>
      <c r="L43" s="422">
        <v>164</v>
      </c>
      <c r="M43" s="425">
        <v>2</v>
      </c>
      <c r="N43" s="425">
        <v>328</v>
      </c>
      <c r="O43" s="447">
        <v>0.66666666666666663</v>
      </c>
      <c r="P43" s="426">
        <v>164</v>
      </c>
    </row>
    <row r="44" spans="1:16" ht="14.4" customHeight="1" x14ac:dyDescent="0.3">
      <c r="A44" s="421" t="s">
        <v>1009</v>
      </c>
      <c r="B44" s="422" t="s">
        <v>1010</v>
      </c>
      <c r="C44" s="422" t="s">
        <v>1049</v>
      </c>
      <c r="D44" s="422" t="s">
        <v>1003</v>
      </c>
      <c r="E44" s="425">
        <v>12</v>
      </c>
      <c r="F44" s="425">
        <v>2700</v>
      </c>
      <c r="G44" s="422">
        <v>1</v>
      </c>
      <c r="H44" s="422">
        <v>225</v>
      </c>
      <c r="I44" s="425">
        <v>12</v>
      </c>
      <c r="J44" s="425">
        <v>2700</v>
      </c>
      <c r="K44" s="422">
        <v>1</v>
      </c>
      <c r="L44" s="422">
        <v>225</v>
      </c>
      <c r="M44" s="425">
        <v>9</v>
      </c>
      <c r="N44" s="425">
        <v>2025</v>
      </c>
      <c r="O44" s="447">
        <v>0.75</v>
      </c>
      <c r="P44" s="426">
        <v>225</v>
      </c>
    </row>
    <row r="45" spans="1:16" ht="14.4" customHeight="1" x14ac:dyDescent="0.3">
      <c r="A45" s="421" t="s">
        <v>1009</v>
      </c>
      <c r="B45" s="422" t="s">
        <v>1010</v>
      </c>
      <c r="C45" s="422" t="s">
        <v>1050</v>
      </c>
      <c r="D45" s="422" t="s">
        <v>1003</v>
      </c>
      <c r="E45" s="425">
        <v>5</v>
      </c>
      <c r="F45" s="425">
        <v>1815</v>
      </c>
      <c r="G45" s="422">
        <v>1</v>
      </c>
      <c r="H45" s="422">
        <v>363</v>
      </c>
      <c r="I45" s="425">
        <v>5</v>
      </c>
      <c r="J45" s="425">
        <v>1815</v>
      </c>
      <c r="K45" s="422">
        <v>1</v>
      </c>
      <c r="L45" s="422">
        <v>363</v>
      </c>
      <c r="M45" s="425">
        <v>6</v>
      </c>
      <c r="N45" s="425">
        <v>2178</v>
      </c>
      <c r="O45" s="447">
        <v>1.2</v>
      </c>
      <c r="P45" s="426">
        <v>363</v>
      </c>
    </row>
    <row r="46" spans="1:16" ht="14.4" customHeight="1" x14ac:dyDescent="0.3">
      <c r="A46" s="421" t="s">
        <v>1009</v>
      </c>
      <c r="B46" s="422" t="s">
        <v>1010</v>
      </c>
      <c r="C46" s="422" t="s">
        <v>1051</v>
      </c>
      <c r="D46" s="422" t="s">
        <v>1003</v>
      </c>
      <c r="E46" s="425">
        <v>11</v>
      </c>
      <c r="F46" s="425">
        <v>6457</v>
      </c>
      <c r="G46" s="422">
        <v>1</v>
      </c>
      <c r="H46" s="422">
        <v>587</v>
      </c>
      <c r="I46" s="425">
        <v>5</v>
      </c>
      <c r="J46" s="425">
        <v>2935</v>
      </c>
      <c r="K46" s="422">
        <v>0.45454545454545453</v>
      </c>
      <c r="L46" s="422">
        <v>587</v>
      </c>
      <c r="M46" s="425">
        <v>8</v>
      </c>
      <c r="N46" s="425">
        <v>4696</v>
      </c>
      <c r="O46" s="447">
        <v>0.72727272727272729</v>
      </c>
      <c r="P46" s="426">
        <v>587</v>
      </c>
    </row>
    <row r="47" spans="1:16" ht="14.4" customHeight="1" x14ac:dyDescent="0.3">
      <c r="A47" s="421" t="s">
        <v>1009</v>
      </c>
      <c r="B47" s="422" t="s">
        <v>1010</v>
      </c>
      <c r="C47" s="422" t="s">
        <v>1052</v>
      </c>
      <c r="D47" s="422" t="s">
        <v>1003</v>
      </c>
      <c r="E47" s="425"/>
      <c r="F47" s="425"/>
      <c r="G47" s="422"/>
      <c r="H47" s="422"/>
      <c r="I47" s="425"/>
      <c r="J47" s="425"/>
      <c r="K47" s="422"/>
      <c r="L47" s="422"/>
      <c r="M47" s="425">
        <v>2</v>
      </c>
      <c r="N47" s="425">
        <v>1200</v>
      </c>
      <c r="O47" s="447"/>
      <c r="P47" s="426">
        <v>600</v>
      </c>
    </row>
    <row r="48" spans="1:16" ht="14.4" customHeight="1" x14ac:dyDescent="0.3">
      <c r="A48" s="421" t="s">
        <v>1009</v>
      </c>
      <c r="B48" s="422" t="s">
        <v>1010</v>
      </c>
      <c r="C48" s="422" t="s">
        <v>1053</v>
      </c>
      <c r="D48" s="422" t="s">
        <v>1003</v>
      </c>
      <c r="E48" s="425"/>
      <c r="F48" s="425"/>
      <c r="G48" s="422"/>
      <c r="H48" s="422"/>
      <c r="I48" s="425"/>
      <c r="J48" s="425"/>
      <c r="K48" s="422"/>
      <c r="L48" s="422"/>
      <c r="M48" s="425">
        <v>1</v>
      </c>
      <c r="N48" s="425">
        <v>4359</v>
      </c>
      <c r="O48" s="447"/>
      <c r="P48" s="426">
        <v>4359</v>
      </c>
    </row>
    <row r="49" spans="1:16" ht="14.4" customHeight="1" x14ac:dyDescent="0.3">
      <c r="A49" s="421" t="s">
        <v>1009</v>
      </c>
      <c r="B49" s="422" t="s">
        <v>1010</v>
      </c>
      <c r="C49" s="422" t="s">
        <v>1054</v>
      </c>
      <c r="D49" s="422" t="s">
        <v>1003</v>
      </c>
      <c r="E49" s="425">
        <v>3</v>
      </c>
      <c r="F49" s="425">
        <v>3024</v>
      </c>
      <c r="G49" s="422">
        <v>1</v>
      </c>
      <c r="H49" s="422">
        <v>1008</v>
      </c>
      <c r="I49" s="425"/>
      <c r="J49" s="425"/>
      <c r="K49" s="422"/>
      <c r="L49" s="422"/>
      <c r="M49" s="425"/>
      <c r="N49" s="425"/>
      <c r="O49" s="447"/>
      <c r="P49" s="426"/>
    </row>
    <row r="50" spans="1:16" ht="14.4" customHeight="1" x14ac:dyDescent="0.3">
      <c r="A50" s="421" t="s">
        <v>1009</v>
      </c>
      <c r="B50" s="422" t="s">
        <v>1010</v>
      </c>
      <c r="C50" s="422" t="s">
        <v>1055</v>
      </c>
      <c r="D50" s="422" t="s">
        <v>1003</v>
      </c>
      <c r="E50" s="425"/>
      <c r="F50" s="425"/>
      <c r="G50" s="422"/>
      <c r="H50" s="422"/>
      <c r="I50" s="425">
        <v>1</v>
      </c>
      <c r="J50" s="425">
        <v>561</v>
      </c>
      <c r="K50" s="422"/>
      <c r="L50" s="422">
        <v>561</v>
      </c>
      <c r="M50" s="425">
        <v>1</v>
      </c>
      <c r="N50" s="425">
        <v>561</v>
      </c>
      <c r="O50" s="447"/>
      <c r="P50" s="426">
        <v>561</v>
      </c>
    </row>
    <row r="51" spans="1:16" ht="14.4" customHeight="1" x14ac:dyDescent="0.3">
      <c r="A51" s="421" t="s">
        <v>1009</v>
      </c>
      <c r="B51" s="422" t="s">
        <v>1010</v>
      </c>
      <c r="C51" s="422" t="s">
        <v>1056</v>
      </c>
      <c r="D51" s="422" t="s">
        <v>1003</v>
      </c>
      <c r="E51" s="425"/>
      <c r="F51" s="425"/>
      <c r="G51" s="422"/>
      <c r="H51" s="422"/>
      <c r="I51" s="425">
        <v>1</v>
      </c>
      <c r="J51" s="425">
        <v>369</v>
      </c>
      <c r="K51" s="422"/>
      <c r="L51" s="422">
        <v>369</v>
      </c>
      <c r="M51" s="425"/>
      <c r="N51" s="425"/>
      <c r="O51" s="447"/>
      <c r="P51" s="426"/>
    </row>
    <row r="52" spans="1:16" ht="14.4" customHeight="1" x14ac:dyDescent="0.3">
      <c r="A52" s="421" t="s">
        <v>1009</v>
      </c>
      <c r="B52" s="422" t="s">
        <v>1010</v>
      </c>
      <c r="C52" s="422" t="s">
        <v>1057</v>
      </c>
      <c r="D52" s="422" t="s">
        <v>1003</v>
      </c>
      <c r="E52" s="425">
        <v>3</v>
      </c>
      <c r="F52" s="425">
        <v>2601</v>
      </c>
      <c r="G52" s="422">
        <v>1</v>
      </c>
      <c r="H52" s="422">
        <v>867</v>
      </c>
      <c r="I52" s="425">
        <v>2</v>
      </c>
      <c r="J52" s="425">
        <v>1734</v>
      </c>
      <c r="K52" s="422">
        <v>0.66666666666666663</v>
      </c>
      <c r="L52" s="422">
        <v>867</v>
      </c>
      <c r="M52" s="425">
        <v>2</v>
      </c>
      <c r="N52" s="425">
        <v>1734</v>
      </c>
      <c r="O52" s="447">
        <v>0.66666666666666663</v>
      </c>
      <c r="P52" s="426">
        <v>867</v>
      </c>
    </row>
    <row r="53" spans="1:16" ht="14.4" customHeight="1" x14ac:dyDescent="0.3">
      <c r="A53" s="421" t="s">
        <v>1009</v>
      </c>
      <c r="B53" s="422" t="s">
        <v>1010</v>
      </c>
      <c r="C53" s="422" t="s">
        <v>1058</v>
      </c>
      <c r="D53" s="422" t="s">
        <v>1003</v>
      </c>
      <c r="E53" s="425"/>
      <c r="F53" s="425"/>
      <c r="G53" s="422"/>
      <c r="H53" s="422"/>
      <c r="I53" s="425"/>
      <c r="J53" s="425"/>
      <c r="K53" s="422"/>
      <c r="L53" s="422"/>
      <c r="M53" s="425">
        <v>3</v>
      </c>
      <c r="N53" s="425">
        <v>1650</v>
      </c>
      <c r="O53" s="447"/>
      <c r="P53" s="426">
        <v>550</v>
      </c>
    </row>
    <row r="54" spans="1:16" ht="14.4" customHeight="1" x14ac:dyDescent="0.3">
      <c r="A54" s="421" t="s">
        <v>1009</v>
      </c>
      <c r="B54" s="422" t="s">
        <v>1010</v>
      </c>
      <c r="C54" s="422" t="s">
        <v>1059</v>
      </c>
      <c r="D54" s="422" t="s">
        <v>1003</v>
      </c>
      <c r="E54" s="425"/>
      <c r="F54" s="425"/>
      <c r="G54" s="422"/>
      <c r="H54" s="422"/>
      <c r="I54" s="425"/>
      <c r="J54" s="425"/>
      <c r="K54" s="422"/>
      <c r="L54" s="422"/>
      <c r="M54" s="425">
        <v>1</v>
      </c>
      <c r="N54" s="425">
        <v>405</v>
      </c>
      <c r="O54" s="447"/>
      <c r="P54" s="426">
        <v>405</v>
      </c>
    </row>
    <row r="55" spans="1:16" ht="14.4" customHeight="1" x14ac:dyDescent="0.3">
      <c r="A55" s="421" t="s">
        <v>1009</v>
      </c>
      <c r="B55" s="422" t="s">
        <v>1060</v>
      </c>
      <c r="C55" s="422" t="s">
        <v>1061</v>
      </c>
      <c r="D55" s="422" t="s">
        <v>1062</v>
      </c>
      <c r="E55" s="425">
        <v>31</v>
      </c>
      <c r="F55" s="425">
        <v>13708.869999999999</v>
      </c>
      <c r="G55" s="422">
        <v>1</v>
      </c>
      <c r="H55" s="422">
        <v>442.22161290322578</v>
      </c>
      <c r="I55" s="425">
        <v>26</v>
      </c>
      <c r="J55" s="425">
        <v>11497.759999999998</v>
      </c>
      <c r="K55" s="422">
        <v>0.83870953623456923</v>
      </c>
      <c r="L55" s="422">
        <v>442.22153846153839</v>
      </c>
      <c r="M55" s="425">
        <v>29</v>
      </c>
      <c r="N55" s="425">
        <v>12824.43</v>
      </c>
      <c r="O55" s="447">
        <v>0.93548410627571787</v>
      </c>
      <c r="P55" s="426">
        <v>442.22172413793106</v>
      </c>
    </row>
    <row r="56" spans="1:16" ht="14.4" customHeight="1" x14ac:dyDescent="0.3">
      <c r="A56" s="421" t="s">
        <v>1009</v>
      </c>
      <c r="B56" s="422" t="s">
        <v>1060</v>
      </c>
      <c r="C56" s="422" t="s">
        <v>1063</v>
      </c>
      <c r="D56" s="422" t="s">
        <v>1064</v>
      </c>
      <c r="E56" s="425">
        <v>313</v>
      </c>
      <c r="F56" s="425">
        <v>127982.23999999999</v>
      </c>
      <c r="G56" s="422">
        <v>1</v>
      </c>
      <c r="H56" s="422">
        <v>408.88894568690091</v>
      </c>
      <c r="I56" s="425">
        <v>290</v>
      </c>
      <c r="J56" s="425">
        <v>118577.77</v>
      </c>
      <c r="K56" s="422">
        <v>0.9265173824118097</v>
      </c>
      <c r="L56" s="422">
        <v>408.88886206896552</v>
      </c>
      <c r="M56" s="425">
        <v>206</v>
      </c>
      <c r="N56" s="425">
        <v>93844.44</v>
      </c>
      <c r="O56" s="447">
        <v>0.73326142752306889</v>
      </c>
      <c r="P56" s="426">
        <v>455.55553398058254</v>
      </c>
    </row>
    <row r="57" spans="1:16" ht="14.4" customHeight="1" x14ac:dyDescent="0.3">
      <c r="A57" s="421" t="s">
        <v>1009</v>
      </c>
      <c r="B57" s="422" t="s">
        <v>1060</v>
      </c>
      <c r="C57" s="422" t="s">
        <v>1065</v>
      </c>
      <c r="D57" s="422" t="s">
        <v>1066</v>
      </c>
      <c r="E57" s="425">
        <v>220</v>
      </c>
      <c r="F57" s="425">
        <v>23222.21</v>
      </c>
      <c r="G57" s="422">
        <v>1</v>
      </c>
      <c r="H57" s="422">
        <v>105.55549999999999</v>
      </c>
      <c r="I57" s="425">
        <v>232</v>
      </c>
      <c r="J57" s="425">
        <v>24488.890000000003</v>
      </c>
      <c r="K57" s="422">
        <v>1.0545460574165855</v>
      </c>
      <c r="L57" s="422">
        <v>105.5555603448276</v>
      </c>
      <c r="M57" s="425">
        <v>180</v>
      </c>
      <c r="N57" s="425">
        <v>19000</v>
      </c>
      <c r="O57" s="447">
        <v>0.81818224880405443</v>
      </c>
      <c r="P57" s="426">
        <v>105.55555555555556</v>
      </c>
    </row>
    <row r="58" spans="1:16" ht="14.4" customHeight="1" x14ac:dyDescent="0.3">
      <c r="A58" s="421" t="s">
        <v>1009</v>
      </c>
      <c r="B58" s="422" t="s">
        <v>1060</v>
      </c>
      <c r="C58" s="422" t="s">
        <v>1067</v>
      </c>
      <c r="D58" s="422" t="s">
        <v>1068</v>
      </c>
      <c r="E58" s="425">
        <v>965</v>
      </c>
      <c r="F58" s="425">
        <v>75055.53</v>
      </c>
      <c r="G58" s="422">
        <v>1</v>
      </c>
      <c r="H58" s="422">
        <v>77.777751295336785</v>
      </c>
      <c r="I58" s="425">
        <v>1170</v>
      </c>
      <c r="J58" s="425">
        <v>91000</v>
      </c>
      <c r="K58" s="422">
        <v>1.212435645981049</v>
      </c>
      <c r="L58" s="422">
        <v>77.777777777777771</v>
      </c>
      <c r="M58" s="425">
        <v>979</v>
      </c>
      <c r="N58" s="425">
        <v>76144.459999999992</v>
      </c>
      <c r="O58" s="447">
        <v>1.0145083247030564</v>
      </c>
      <c r="P58" s="426">
        <v>77.777793667007145</v>
      </c>
    </row>
    <row r="59" spans="1:16" ht="14.4" customHeight="1" x14ac:dyDescent="0.3">
      <c r="A59" s="421" t="s">
        <v>1009</v>
      </c>
      <c r="B59" s="422" t="s">
        <v>1060</v>
      </c>
      <c r="C59" s="422" t="s">
        <v>1069</v>
      </c>
      <c r="D59" s="422" t="s">
        <v>1070</v>
      </c>
      <c r="E59" s="425">
        <v>4</v>
      </c>
      <c r="F59" s="425">
        <v>1000</v>
      </c>
      <c r="G59" s="422">
        <v>1</v>
      </c>
      <c r="H59" s="422">
        <v>250</v>
      </c>
      <c r="I59" s="425">
        <v>5</v>
      </c>
      <c r="J59" s="425">
        <v>1250</v>
      </c>
      <c r="K59" s="422">
        <v>1.25</v>
      </c>
      <c r="L59" s="422">
        <v>250</v>
      </c>
      <c r="M59" s="425">
        <v>5</v>
      </c>
      <c r="N59" s="425">
        <v>1250</v>
      </c>
      <c r="O59" s="447">
        <v>1.25</v>
      </c>
      <c r="P59" s="426">
        <v>250</v>
      </c>
    </row>
    <row r="60" spans="1:16" ht="14.4" customHeight="1" x14ac:dyDescent="0.3">
      <c r="A60" s="421" t="s">
        <v>1009</v>
      </c>
      <c r="B60" s="422" t="s">
        <v>1060</v>
      </c>
      <c r="C60" s="422" t="s">
        <v>1071</v>
      </c>
      <c r="D60" s="422" t="s">
        <v>1072</v>
      </c>
      <c r="E60" s="425"/>
      <c r="F60" s="425"/>
      <c r="G60" s="422"/>
      <c r="H60" s="422"/>
      <c r="I60" s="425">
        <v>3</v>
      </c>
      <c r="J60" s="425">
        <v>900</v>
      </c>
      <c r="K60" s="422"/>
      <c r="L60" s="422">
        <v>300</v>
      </c>
      <c r="M60" s="425"/>
      <c r="N60" s="425"/>
      <c r="O60" s="447"/>
      <c r="P60" s="426"/>
    </row>
    <row r="61" spans="1:16" ht="14.4" customHeight="1" x14ac:dyDescent="0.3">
      <c r="A61" s="421" t="s">
        <v>1009</v>
      </c>
      <c r="B61" s="422" t="s">
        <v>1060</v>
      </c>
      <c r="C61" s="422" t="s">
        <v>1073</v>
      </c>
      <c r="D61" s="422" t="s">
        <v>1074</v>
      </c>
      <c r="E61" s="425">
        <v>429</v>
      </c>
      <c r="F61" s="425">
        <v>47666.67</v>
      </c>
      <c r="G61" s="422">
        <v>1</v>
      </c>
      <c r="H61" s="422">
        <v>111.11111888111888</v>
      </c>
      <c r="I61" s="425">
        <v>463</v>
      </c>
      <c r="J61" s="425">
        <v>51444.450000000004</v>
      </c>
      <c r="K61" s="422">
        <v>1.0792541203318797</v>
      </c>
      <c r="L61" s="422">
        <v>111.1111231101512</v>
      </c>
      <c r="M61" s="425">
        <v>409</v>
      </c>
      <c r="N61" s="425">
        <v>45444.429999999993</v>
      </c>
      <c r="O61" s="447">
        <v>0.95337958367974929</v>
      </c>
      <c r="P61" s="426">
        <v>111.11107579462102</v>
      </c>
    </row>
    <row r="62" spans="1:16" ht="14.4" customHeight="1" x14ac:dyDescent="0.3">
      <c r="A62" s="421" t="s">
        <v>1009</v>
      </c>
      <c r="B62" s="422" t="s">
        <v>1060</v>
      </c>
      <c r="C62" s="422" t="s">
        <v>1075</v>
      </c>
      <c r="D62" s="422" t="s">
        <v>1076</v>
      </c>
      <c r="E62" s="425">
        <v>30</v>
      </c>
      <c r="F62" s="425">
        <v>10500</v>
      </c>
      <c r="G62" s="422">
        <v>1</v>
      </c>
      <c r="H62" s="422">
        <v>350</v>
      </c>
      <c r="I62" s="425">
        <v>30</v>
      </c>
      <c r="J62" s="425">
        <v>10500</v>
      </c>
      <c r="K62" s="422">
        <v>1</v>
      </c>
      <c r="L62" s="422">
        <v>350</v>
      </c>
      <c r="M62" s="425">
        <v>23</v>
      </c>
      <c r="N62" s="425">
        <v>8050</v>
      </c>
      <c r="O62" s="447">
        <v>0.76666666666666672</v>
      </c>
      <c r="P62" s="426">
        <v>350</v>
      </c>
    </row>
    <row r="63" spans="1:16" ht="14.4" customHeight="1" x14ac:dyDescent="0.3">
      <c r="A63" s="421" t="s">
        <v>1009</v>
      </c>
      <c r="B63" s="422" t="s">
        <v>1060</v>
      </c>
      <c r="C63" s="422" t="s">
        <v>1077</v>
      </c>
      <c r="D63" s="422" t="s">
        <v>1078</v>
      </c>
      <c r="E63" s="425">
        <v>843</v>
      </c>
      <c r="F63" s="425">
        <v>206066.66000000003</v>
      </c>
      <c r="G63" s="422">
        <v>1</v>
      </c>
      <c r="H63" s="422">
        <v>244.44443653618035</v>
      </c>
      <c r="I63" s="425">
        <v>801</v>
      </c>
      <c r="J63" s="425">
        <v>195799.99999999997</v>
      </c>
      <c r="K63" s="422">
        <v>0.95017796668320798</v>
      </c>
      <c r="L63" s="422">
        <v>244.4444444444444</v>
      </c>
      <c r="M63" s="425">
        <v>608</v>
      </c>
      <c r="N63" s="425">
        <v>163484.44</v>
      </c>
      <c r="O63" s="447">
        <v>0.7933570622244277</v>
      </c>
      <c r="P63" s="426">
        <v>268.88888157894735</v>
      </c>
    </row>
    <row r="64" spans="1:16" ht="14.4" customHeight="1" x14ac:dyDescent="0.3">
      <c r="A64" s="421" t="s">
        <v>1009</v>
      </c>
      <c r="B64" s="422" t="s">
        <v>1060</v>
      </c>
      <c r="C64" s="422" t="s">
        <v>1079</v>
      </c>
      <c r="D64" s="422" t="s">
        <v>1080</v>
      </c>
      <c r="E64" s="425">
        <v>176</v>
      </c>
      <c r="F64" s="425">
        <v>51822.200000000004</v>
      </c>
      <c r="G64" s="422">
        <v>1</v>
      </c>
      <c r="H64" s="422">
        <v>294.44431818181823</v>
      </c>
      <c r="I64" s="425">
        <v>270</v>
      </c>
      <c r="J64" s="425">
        <v>79500</v>
      </c>
      <c r="K64" s="422">
        <v>1.534091566934634</v>
      </c>
      <c r="L64" s="422">
        <v>294.44444444444446</v>
      </c>
      <c r="M64" s="425">
        <v>177</v>
      </c>
      <c r="N64" s="425">
        <v>52116.650000000009</v>
      </c>
      <c r="O64" s="447">
        <v>1.0056819278224391</v>
      </c>
      <c r="P64" s="426">
        <v>294.44435028248591</v>
      </c>
    </row>
    <row r="65" spans="1:16" ht="14.4" customHeight="1" x14ac:dyDescent="0.3">
      <c r="A65" s="421" t="s">
        <v>1009</v>
      </c>
      <c r="B65" s="422" t="s">
        <v>1060</v>
      </c>
      <c r="C65" s="422" t="s">
        <v>1081</v>
      </c>
      <c r="D65" s="422" t="s">
        <v>1082</v>
      </c>
      <c r="E65" s="425">
        <v>738</v>
      </c>
      <c r="F65" s="425">
        <v>574000</v>
      </c>
      <c r="G65" s="422">
        <v>1</v>
      </c>
      <c r="H65" s="422">
        <v>777.77777777777783</v>
      </c>
      <c r="I65" s="425">
        <v>878</v>
      </c>
      <c r="J65" s="425">
        <v>682888.89</v>
      </c>
      <c r="K65" s="422">
        <v>1.1897018989547039</v>
      </c>
      <c r="L65" s="422">
        <v>777.77777904328025</v>
      </c>
      <c r="M65" s="425">
        <v>807</v>
      </c>
      <c r="N65" s="425">
        <v>627666.66999999993</v>
      </c>
      <c r="O65" s="447">
        <v>1.0934959407665503</v>
      </c>
      <c r="P65" s="426">
        <v>777.77778190830225</v>
      </c>
    </row>
    <row r="66" spans="1:16" ht="14.4" customHeight="1" x14ac:dyDescent="0.3">
      <c r="A66" s="421" t="s">
        <v>1009</v>
      </c>
      <c r="B66" s="422" t="s">
        <v>1060</v>
      </c>
      <c r="C66" s="422" t="s">
        <v>1083</v>
      </c>
      <c r="D66" s="422" t="s">
        <v>1084</v>
      </c>
      <c r="E66" s="425">
        <v>349</v>
      </c>
      <c r="F66" s="425">
        <v>32573.339999999997</v>
      </c>
      <c r="G66" s="422">
        <v>1</v>
      </c>
      <c r="H66" s="422">
        <v>93.333352435530074</v>
      </c>
      <c r="I66" s="425">
        <v>898</v>
      </c>
      <c r="J66" s="425">
        <v>83813.320000000007</v>
      </c>
      <c r="K66" s="422">
        <v>2.5730649666260819</v>
      </c>
      <c r="L66" s="422">
        <v>93.333318485523392</v>
      </c>
      <c r="M66" s="425">
        <v>496</v>
      </c>
      <c r="N66" s="425">
        <v>46293.33</v>
      </c>
      <c r="O66" s="447">
        <v>1.4212030451897166</v>
      </c>
      <c r="P66" s="426">
        <v>93.333326612903235</v>
      </c>
    </row>
    <row r="67" spans="1:16" ht="14.4" customHeight="1" x14ac:dyDescent="0.3">
      <c r="A67" s="421" t="s">
        <v>1009</v>
      </c>
      <c r="B67" s="422" t="s">
        <v>1060</v>
      </c>
      <c r="C67" s="422" t="s">
        <v>1085</v>
      </c>
      <c r="D67" s="422" t="s">
        <v>1086</v>
      </c>
      <c r="E67" s="425">
        <v>18</v>
      </c>
      <c r="F67" s="425">
        <v>12000</v>
      </c>
      <c r="G67" s="422">
        <v>1</v>
      </c>
      <c r="H67" s="422">
        <v>666.66666666666663</v>
      </c>
      <c r="I67" s="425">
        <v>8</v>
      </c>
      <c r="J67" s="425">
        <v>5333.35</v>
      </c>
      <c r="K67" s="422">
        <v>0.44444583333333337</v>
      </c>
      <c r="L67" s="422">
        <v>666.66875000000005</v>
      </c>
      <c r="M67" s="425">
        <v>10</v>
      </c>
      <c r="N67" s="425">
        <v>6666.67</v>
      </c>
      <c r="O67" s="447">
        <v>0.55555583333333336</v>
      </c>
      <c r="P67" s="426">
        <v>666.66700000000003</v>
      </c>
    </row>
    <row r="68" spans="1:16" ht="14.4" customHeight="1" x14ac:dyDescent="0.3">
      <c r="A68" s="421" t="s">
        <v>1009</v>
      </c>
      <c r="B68" s="422" t="s">
        <v>1060</v>
      </c>
      <c r="C68" s="422" t="s">
        <v>1087</v>
      </c>
      <c r="D68" s="422" t="s">
        <v>1088</v>
      </c>
      <c r="E68" s="425">
        <v>50</v>
      </c>
      <c r="F68" s="425">
        <v>38888.9</v>
      </c>
      <c r="G68" s="422">
        <v>1</v>
      </c>
      <c r="H68" s="422">
        <v>777.77800000000002</v>
      </c>
      <c r="I68" s="425">
        <v>80</v>
      </c>
      <c r="J68" s="425">
        <v>62222.22</v>
      </c>
      <c r="K68" s="422">
        <v>1.5999994857144326</v>
      </c>
      <c r="L68" s="422">
        <v>777.77774999999997</v>
      </c>
      <c r="M68" s="425">
        <v>65</v>
      </c>
      <c r="N68" s="425">
        <v>50555.56</v>
      </c>
      <c r="O68" s="447">
        <v>1.2999997428572163</v>
      </c>
      <c r="P68" s="426">
        <v>777.7778461538461</v>
      </c>
    </row>
    <row r="69" spans="1:16" ht="14.4" customHeight="1" x14ac:dyDescent="0.3">
      <c r="A69" s="421" t="s">
        <v>1009</v>
      </c>
      <c r="B69" s="422" t="s">
        <v>1060</v>
      </c>
      <c r="C69" s="422" t="s">
        <v>1089</v>
      </c>
      <c r="D69" s="422" t="s">
        <v>1090</v>
      </c>
      <c r="E69" s="425">
        <v>23</v>
      </c>
      <c r="F69" s="425">
        <v>7666.67</v>
      </c>
      <c r="G69" s="422">
        <v>1</v>
      </c>
      <c r="H69" s="422">
        <v>333.33347826086958</v>
      </c>
      <c r="I69" s="425">
        <v>18</v>
      </c>
      <c r="J69" s="425">
        <v>6000</v>
      </c>
      <c r="K69" s="422">
        <v>0.78260835538767159</v>
      </c>
      <c r="L69" s="422">
        <v>333.33333333333331</v>
      </c>
      <c r="M69" s="425">
        <v>19</v>
      </c>
      <c r="N69" s="425">
        <v>6333.32</v>
      </c>
      <c r="O69" s="447">
        <v>0.82608485822397459</v>
      </c>
      <c r="P69" s="426">
        <v>333.33263157894737</v>
      </c>
    </row>
    <row r="70" spans="1:16" ht="14.4" customHeight="1" x14ac:dyDescent="0.3">
      <c r="A70" s="421" t="s">
        <v>1009</v>
      </c>
      <c r="B70" s="422" t="s">
        <v>1060</v>
      </c>
      <c r="C70" s="422" t="s">
        <v>1091</v>
      </c>
      <c r="D70" s="422" t="s">
        <v>1092</v>
      </c>
      <c r="E70" s="425"/>
      <c r="F70" s="425"/>
      <c r="G70" s="422"/>
      <c r="H70" s="422"/>
      <c r="I70" s="425"/>
      <c r="J70" s="425"/>
      <c r="K70" s="422"/>
      <c r="L70" s="422"/>
      <c r="M70" s="425">
        <v>7</v>
      </c>
      <c r="N70" s="425">
        <v>77.77</v>
      </c>
      <c r="O70" s="447"/>
      <c r="P70" s="426">
        <v>11.11</v>
      </c>
    </row>
    <row r="71" spans="1:16" ht="14.4" customHeight="1" x14ac:dyDescent="0.3">
      <c r="A71" s="421" t="s">
        <v>1009</v>
      </c>
      <c r="B71" s="422" t="s">
        <v>1060</v>
      </c>
      <c r="C71" s="422" t="s">
        <v>1093</v>
      </c>
      <c r="D71" s="422" t="s">
        <v>1064</v>
      </c>
      <c r="E71" s="425">
        <v>756</v>
      </c>
      <c r="F71" s="425">
        <v>282240.00000000006</v>
      </c>
      <c r="G71" s="422">
        <v>1</v>
      </c>
      <c r="H71" s="422">
        <v>373.33333333333343</v>
      </c>
      <c r="I71" s="425">
        <v>873</v>
      </c>
      <c r="J71" s="425">
        <v>325920</v>
      </c>
      <c r="K71" s="422">
        <v>1.1547619047619044</v>
      </c>
      <c r="L71" s="422">
        <v>373.33333333333331</v>
      </c>
      <c r="M71" s="425">
        <v>738</v>
      </c>
      <c r="N71" s="425">
        <v>275520</v>
      </c>
      <c r="O71" s="447">
        <v>0.97619047619047594</v>
      </c>
      <c r="P71" s="426">
        <v>373.33333333333331</v>
      </c>
    </row>
    <row r="72" spans="1:16" ht="14.4" customHeight="1" x14ac:dyDescent="0.3">
      <c r="A72" s="421" t="s">
        <v>1009</v>
      </c>
      <c r="B72" s="422" t="s">
        <v>1060</v>
      </c>
      <c r="C72" s="422" t="s">
        <v>1094</v>
      </c>
      <c r="D72" s="422" t="s">
        <v>1095</v>
      </c>
      <c r="E72" s="425">
        <v>144</v>
      </c>
      <c r="F72" s="425">
        <v>26880.009999999995</v>
      </c>
      <c r="G72" s="422">
        <v>1</v>
      </c>
      <c r="H72" s="422">
        <v>186.66673611111108</v>
      </c>
      <c r="I72" s="425">
        <v>149</v>
      </c>
      <c r="J72" s="425">
        <v>27813.329999999994</v>
      </c>
      <c r="K72" s="422">
        <v>1.0347217132731721</v>
      </c>
      <c r="L72" s="422">
        <v>186.66664429530198</v>
      </c>
      <c r="M72" s="425">
        <v>121</v>
      </c>
      <c r="N72" s="425">
        <v>22586.689999999995</v>
      </c>
      <c r="O72" s="447">
        <v>0.84027833322978673</v>
      </c>
      <c r="P72" s="426">
        <v>186.66685950413219</v>
      </c>
    </row>
    <row r="73" spans="1:16" ht="14.4" customHeight="1" x14ac:dyDescent="0.3">
      <c r="A73" s="421" t="s">
        <v>1009</v>
      </c>
      <c r="B73" s="422" t="s">
        <v>1060</v>
      </c>
      <c r="C73" s="422" t="s">
        <v>1096</v>
      </c>
      <c r="D73" s="422" t="s">
        <v>1097</v>
      </c>
      <c r="E73" s="425">
        <v>56</v>
      </c>
      <c r="F73" s="425">
        <v>32666.659999999996</v>
      </c>
      <c r="G73" s="422">
        <v>1</v>
      </c>
      <c r="H73" s="422">
        <v>583.33321428571423</v>
      </c>
      <c r="I73" s="425">
        <v>37</v>
      </c>
      <c r="J73" s="425">
        <v>21583.320000000007</v>
      </c>
      <c r="K73" s="422">
        <v>0.66071401239061511</v>
      </c>
      <c r="L73" s="422">
        <v>583.33297297297315</v>
      </c>
      <c r="M73" s="425">
        <v>44</v>
      </c>
      <c r="N73" s="425">
        <v>25666.660000000003</v>
      </c>
      <c r="O73" s="447">
        <v>0.78571424198249851</v>
      </c>
      <c r="P73" s="426">
        <v>583.33318181818186</v>
      </c>
    </row>
    <row r="74" spans="1:16" ht="14.4" customHeight="1" x14ac:dyDescent="0.3">
      <c r="A74" s="421" t="s">
        <v>1009</v>
      </c>
      <c r="B74" s="422" t="s">
        <v>1060</v>
      </c>
      <c r="C74" s="422" t="s">
        <v>1098</v>
      </c>
      <c r="D74" s="422" t="s">
        <v>1099</v>
      </c>
      <c r="E74" s="425">
        <v>49</v>
      </c>
      <c r="F74" s="425">
        <v>22866.669999999995</v>
      </c>
      <c r="G74" s="422">
        <v>1</v>
      </c>
      <c r="H74" s="422">
        <v>466.66673469387746</v>
      </c>
      <c r="I74" s="425">
        <v>71</v>
      </c>
      <c r="J74" s="425">
        <v>33133.339999999997</v>
      </c>
      <c r="K74" s="422">
        <v>1.4489796721603978</v>
      </c>
      <c r="L74" s="422">
        <v>466.66676056338025</v>
      </c>
      <c r="M74" s="425">
        <v>104</v>
      </c>
      <c r="N74" s="425">
        <v>48533.35</v>
      </c>
      <c r="O74" s="447">
        <v>2.122449399059855</v>
      </c>
      <c r="P74" s="426">
        <v>466.66682692307688</v>
      </c>
    </row>
    <row r="75" spans="1:16" ht="14.4" customHeight="1" x14ac:dyDescent="0.3">
      <c r="A75" s="421" t="s">
        <v>1009</v>
      </c>
      <c r="B75" s="422" t="s">
        <v>1060</v>
      </c>
      <c r="C75" s="422" t="s">
        <v>1100</v>
      </c>
      <c r="D75" s="422" t="s">
        <v>1099</v>
      </c>
      <c r="E75" s="425">
        <v>23</v>
      </c>
      <c r="F75" s="425">
        <v>23000</v>
      </c>
      <c r="G75" s="422">
        <v>1</v>
      </c>
      <c r="H75" s="422">
        <v>1000</v>
      </c>
      <c r="I75" s="425">
        <v>16</v>
      </c>
      <c r="J75" s="425">
        <v>16000</v>
      </c>
      <c r="K75" s="422">
        <v>0.69565217391304346</v>
      </c>
      <c r="L75" s="422">
        <v>1000</v>
      </c>
      <c r="M75" s="425">
        <v>11</v>
      </c>
      <c r="N75" s="425">
        <v>11000</v>
      </c>
      <c r="O75" s="447">
        <v>0.47826086956521741</v>
      </c>
      <c r="P75" s="426">
        <v>1000</v>
      </c>
    </row>
    <row r="76" spans="1:16" ht="14.4" customHeight="1" x14ac:dyDescent="0.3">
      <c r="A76" s="421" t="s">
        <v>1009</v>
      </c>
      <c r="B76" s="422" t="s">
        <v>1060</v>
      </c>
      <c r="C76" s="422" t="s">
        <v>1101</v>
      </c>
      <c r="D76" s="422" t="s">
        <v>1102</v>
      </c>
      <c r="E76" s="425">
        <v>161</v>
      </c>
      <c r="F76" s="425">
        <v>8050</v>
      </c>
      <c r="G76" s="422">
        <v>1</v>
      </c>
      <c r="H76" s="422">
        <v>50</v>
      </c>
      <c r="I76" s="425">
        <v>180</v>
      </c>
      <c r="J76" s="425">
        <v>9000</v>
      </c>
      <c r="K76" s="422">
        <v>1.1180124223602483</v>
      </c>
      <c r="L76" s="422">
        <v>50</v>
      </c>
      <c r="M76" s="425">
        <v>200</v>
      </c>
      <c r="N76" s="425">
        <v>10000</v>
      </c>
      <c r="O76" s="447">
        <v>1.2422360248447204</v>
      </c>
      <c r="P76" s="426">
        <v>50</v>
      </c>
    </row>
    <row r="77" spans="1:16" ht="14.4" customHeight="1" x14ac:dyDescent="0.3">
      <c r="A77" s="421" t="s">
        <v>1009</v>
      </c>
      <c r="B77" s="422" t="s">
        <v>1060</v>
      </c>
      <c r="C77" s="422" t="s">
        <v>1103</v>
      </c>
      <c r="D77" s="422" t="s">
        <v>1104</v>
      </c>
      <c r="E77" s="425">
        <v>105</v>
      </c>
      <c r="F77" s="425">
        <v>10616.66</v>
      </c>
      <c r="G77" s="422">
        <v>1</v>
      </c>
      <c r="H77" s="422">
        <v>101.11104761904761</v>
      </c>
      <c r="I77" s="425">
        <v>65</v>
      </c>
      <c r="J77" s="425">
        <v>6572.21</v>
      </c>
      <c r="K77" s="422">
        <v>0.61904685654433689</v>
      </c>
      <c r="L77" s="422">
        <v>101.11092307692307</v>
      </c>
      <c r="M77" s="425">
        <v>99</v>
      </c>
      <c r="N77" s="425">
        <v>10010</v>
      </c>
      <c r="O77" s="447">
        <v>0.94285773491851488</v>
      </c>
      <c r="P77" s="426">
        <v>101.11111111111111</v>
      </c>
    </row>
    <row r="78" spans="1:16" ht="14.4" customHeight="1" x14ac:dyDescent="0.3">
      <c r="A78" s="421" t="s">
        <v>1009</v>
      </c>
      <c r="B78" s="422" t="s">
        <v>1060</v>
      </c>
      <c r="C78" s="422" t="s">
        <v>1105</v>
      </c>
      <c r="D78" s="422" t="s">
        <v>1106</v>
      </c>
      <c r="E78" s="425">
        <v>14</v>
      </c>
      <c r="F78" s="425">
        <v>1073.3400000000001</v>
      </c>
      <c r="G78" s="422">
        <v>1</v>
      </c>
      <c r="H78" s="422">
        <v>76.667142857142863</v>
      </c>
      <c r="I78" s="425">
        <v>18</v>
      </c>
      <c r="J78" s="425">
        <v>1380</v>
      </c>
      <c r="K78" s="422">
        <v>1.2857062999608697</v>
      </c>
      <c r="L78" s="422">
        <v>76.666666666666671</v>
      </c>
      <c r="M78" s="425">
        <v>42</v>
      </c>
      <c r="N78" s="425">
        <v>3219.99</v>
      </c>
      <c r="O78" s="447">
        <v>2.9999720498630436</v>
      </c>
      <c r="P78" s="426">
        <v>76.666428571428568</v>
      </c>
    </row>
    <row r="79" spans="1:16" ht="14.4" customHeight="1" x14ac:dyDescent="0.3">
      <c r="A79" s="421" t="s">
        <v>1009</v>
      </c>
      <c r="B79" s="422" t="s">
        <v>1060</v>
      </c>
      <c r="C79" s="422" t="s">
        <v>1107</v>
      </c>
      <c r="D79" s="422" t="s">
        <v>1108</v>
      </c>
      <c r="E79" s="425">
        <v>4</v>
      </c>
      <c r="F79" s="425">
        <v>0</v>
      </c>
      <c r="G79" s="422"/>
      <c r="H79" s="422">
        <v>0</v>
      </c>
      <c r="I79" s="425">
        <v>4</v>
      </c>
      <c r="J79" s="425">
        <v>0</v>
      </c>
      <c r="K79" s="422"/>
      <c r="L79" s="422">
        <v>0</v>
      </c>
      <c r="M79" s="425"/>
      <c r="N79" s="425"/>
      <c r="O79" s="447"/>
      <c r="P79" s="426"/>
    </row>
    <row r="80" spans="1:16" ht="14.4" customHeight="1" x14ac:dyDescent="0.3">
      <c r="A80" s="421" t="s">
        <v>1009</v>
      </c>
      <c r="B80" s="422" t="s">
        <v>1060</v>
      </c>
      <c r="C80" s="422" t="s">
        <v>1109</v>
      </c>
      <c r="D80" s="422" t="s">
        <v>1110</v>
      </c>
      <c r="E80" s="425">
        <v>169</v>
      </c>
      <c r="F80" s="425">
        <v>0</v>
      </c>
      <c r="G80" s="422"/>
      <c r="H80" s="422">
        <v>0</v>
      </c>
      <c r="I80" s="425">
        <v>180</v>
      </c>
      <c r="J80" s="425">
        <v>0</v>
      </c>
      <c r="K80" s="422"/>
      <c r="L80" s="422">
        <v>0</v>
      </c>
      <c r="M80" s="425">
        <v>158</v>
      </c>
      <c r="N80" s="425">
        <v>0</v>
      </c>
      <c r="O80" s="447"/>
      <c r="P80" s="426">
        <v>0</v>
      </c>
    </row>
    <row r="81" spans="1:16" ht="14.4" customHeight="1" x14ac:dyDescent="0.3">
      <c r="A81" s="421" t="s">
        <v>1009</v>
      </c>
      <c r="B81" s="422" t="s">
        <v>1060</v>
      </c>
      <c r="C81" s="422" t="s">
        <v>1111</v>
      </c>
      <c r="D81" s="422" t="s">
        <v>1112</v>
      </c>
      <c r="E81" s="425">
        <v>503</v>
      </c>
      <c r="F81" s="425">
        <v>153694.45000000001</v>
      </c>
      <c r="G81" s="422">
        <v>1</v>
      </c>
      <c r="H81" s="422">
        <v>305.55556660039764</v>
      </c>
      <c r="I81" s="425">
        <v>562</v>
      </c>
      <c r="J81" s="425">
        <v>171722.23000000004</v>
      </c>
      <c r="K81" s="422">
        <v>1.1172962328828402</v>
      </c>
      <c r="L81" s="422">
        <v>305.55556939501787</v>
      </c>
      <c r="M81" s="425">
        <v>413</v>
      </c>
      <c r="N81" s="425">
        <v>126194.45</v>
      </c>
      <c r="O81" s="447">
        <v>0.82107356511572138</v>
      </c>
      <c r="P81" s="426">
        <v>305.5555690072639</v>
      </c>
    </row>
    <row r="82" spans="1:16" ht="14.4" customHeight="1" x14ac:dyDescent="0.3">
      <c r="A82" s="421" t="s">
        <v>1009</v>
      </c>
      <c r="B82" s="422" t="s">
        <v>1060</v>
      </c>
      <c r="C82" s="422" t="s">
        <v>1113</v>
      </c>
      <c r="D82" s="422" t="s">
        <v>1114</v>
      </c>
      <c r="E82" s="425">
        <v>1211</v>
      </c>
      <c r="F82" s="425">
        <v>0</v>
      </c>
      <c r="G82" s="422"/>
      <c r="H82" s="422">
        <v>0</v>
      </c>
      <c r="I82" s="425">
        <v>1275</v>
      </c>
      <c r="J82" s="425">
        <v>0</v>
      </c>
      <c r="K82" s="422"/>
      <c r="L82" s="422">
        <v>0</v>
      </c>
      <c r="M82" s="425">
        <v>695</v>
      </c>
      <c r="N82" s="425">
        <v>0</v>
      </c>
      <c r="O82" s="447"/>
      <c r="P82" s="426">
        <v>0</v>
      </c>
    </row>
    <row r="83" spans="1:16" ht="14.4" customHeight="1" x14ac:dyDescent="0.3">
      <c r="A83" s="421" t="s">
        <v>1009</v>
      </c>
      <c r="B83" s="422" t="s">
        <v>1060</v>
      </c>
      <c r="C83" s="422" t="s">
        <v>1115</v>
      </c>
      <c r="D83" s="422" t="s">
        <v>1116</v>
      </c>
      <c r="E83" s="425">
        <v>713</v>
      </c>
      <c r="F83" s="425">
        <v>324811.12</v>
      </c>
      <c r="G83" s="422">
        <v>1</v>
      </c>
      <c r="H83" s="422">
        <v>455.55556802244041</v>
      </c>
      <c r="I83" s="425">
        <v>665</v>
      </c>
      <c r="J83" s="425">
        <v>302944.43999999994</v>
      </c>
      <c r="K83" s="422">
        <v>0.93267878267221871</v>
      </c>
      <c r="L83" s="422">
        <v>455.5555488721804</v>
      </c>
      <c r="M83" s="425">
        <v>581</v>
      </c>
      <c r="N83" s="425">
        <v>264677.73999999993</v>
      </c>
      <c r="O83" s="447">
        <v>0.81486662156147838</v>
      </c>
      <c r="P83" s="426">
        <v>455.5554905335627</v>
      </c>
    </row>
    <row r="84" spans="1:16" ht="14.4" customHeight="1" x14ac:dyDescent="0.3">
      <c r="A84" s="421" t="s">
        <v>1009</v>
      </c>
      <c r="B84" s="422" t="s">
        <v>1060</v>
      </c>
      <c r="C84" s="422" t="s">
        <v>1117</v>
      </c>
      <c r="D84" s="422" t="s">
        <v>1118</v>
      </c>
      <c r="E84" s="425">
        <v>16</v>
      </c>
      <c r="F84" s="425">
        <v>942.22</v>
      </c>
      <c r="G84" s="422">
        <v>1</v>
      </c>
      <c r="H84" s="422">
        <v>58.888750000000002</v>
      </c>
      <c r="I84" s="425">
        <v>42</v>
      </c>
      <c r="J84" s="425">
        <v>2473.34</v>
      </c>
      <c r="K84" s="422">
        <v>2.6250132665407229</v>
      </c>
      <c r="L84" s="422">
        <v>58.889047619047624</v>
      </c>
      <c r="M84" s="425">
        <v>28</v>
      </c>
      <c r="N84" s="425">
        <v>1648.91</v>
      </c>
      <c r="O84" s="447">
        <v>1.750026533081446</v>
      </c>
      <c r="P84" s="426">
        <v>58.88964285714286</v>
      </c>
    </row>
    <row r="85" spans="1:16" ht="14.4" customHeight="1" x14ac:dyDescent="0.3">
      <c r="A85" s="421" t="s">
        <v>1009</v>
      </c>
      <c r="B85" s="422" t="s">
        <v>1060</v>
      </c>
      <c r="C85" s="422" t="s">
        <v>1119</v>
      </c>
      <c r="D85" s="422" t="s">
        <v>1120</v>
      </c>
      <c r="E85" s="425">
        <v>562</v>
      </c>
      <c r="F85" s="425">
        <v>43711.12</v>
      </c>
      <c r="G85" s="422">
        <v>1</v>
      </c>
      <c r="H85" s="422">
        <v>77.777793594306061</v>
      </c>
      <c r="I85" s="425">
        <v>618</v>
      </c>
      <c r="J85" s="425">
        <v>48066.65</v>
      </c>
      <c r="K85" s="422">
        <v>1.0996435232041641</v>
      </c>
      <c r="L85" s="422">
        <v>77.777750809061487</v>
      </c>
      <c r="M85" s="425">
        <v>469</v>
      </c>
      <c r="N85" s="425">
        <v>36477.78</v>
      </c>
      <c r="O85" s="447">
        <v>0.83451945408857053</v>
      </c>
      <c r="P85" s="426">
        <v>77.777782515991476</v>
      </c>
    </row>
    <row r="86" spans="1:16" ht="14.4" customHeight="1" x14ac:dyDescent="0.3">
      <c r="A86" s="421" t="s">
        <v>1009</v>
      </c>
      <c r="B86" s="422" t="s">
        <v>1060</v>
      </c>
      <c r="C86" s="422" t="s">
        <v>1121</v>
      </c>
      <c r="D86" s="422" t="s">
        <v>1122</v>
      </c>
      <c r="E86" s="425">
        <v>17</v>
      </c>
      <c r="F86" s="425">
        <v>11900</v>
      </c>
      <c r="G86" s="422">
        <v>1</v>
      </c>
      <c r="H86" s="422">
        <v>700</v>
      </c>
      <c r="I86" s="425">
        <v>13</v>
      </c>
      <c r="J86" s="425">
        <v>9100</v>
      </c>
      <c r="K86" s="422">
        <v>0.76470588235294112</v>
      </c>
      <c r="L86" s="422">
        <v>700</v>
      </c>
      <c r="M86" s="425">
        <v>9</v>
      </c>
      <c r="N86" s="425">
        <v>6300</v>
      </c>
      <c r="O86" s="447">
        <v>0.52941176470588236</v>
      </c>
      <c r="P86" s="426">
        <v>700</v>
      </c>
    </row>
    <row r="87" spans="1:16" ht="14.4" customHeight="1" x14ac:dyDescent="0.3">
      <c r="A87" s="421" t="s">
        <v>1009</v>
      </c>
      <c r="B87" s="422" t="s">
        <v>1060</v>
      </c>
      <c r="C87" s="422" t="s">
        <v>1123</v>
      </c>
      <c r="D87" s="422" t="s">
        <v>1124</v>
      </c>
      <c r="E87" s="425">
        <v>47</v>
      </c>
      <c r="F87" s="425">
        <v>52222.21</v>
      </c>
      <c r="G87" s="422">
        <v>1</v>
      </c>
      <c r="H87" s="422">
        <v>1111.1108510638298</v>
      </c>
      <c r="I87" s="425">
        <v>39</v>
      </c>
      <c r="J87" s="425">
        <v>43333.34</v>
      </c>
      <c r="K87" s="422">
        <v>0.82978755590772579</v>
      </c>
      <c r="L87" s="422">
        <v>1111.1112820512819</v>
      </c>
      <c r="M87" s="425">
        <v>51</v>
      </c>
      <c r="N87" s="425">
        <v>56666.66</v>
      </c>
      <c r="O87" s="447">
        <v>1.085106509280247</v>
      </c>
      <c r="P87" s="426">
        <v>1111.110980392157</v>
      </c>
    </row>
    <row r="88" spans="1:16" ht="14.4" customHeight="1" x14ac:dyDescent="0.3">
      <c r="A88" s="421" t="s">
        <v>1009</v>
      </c>
      <c r="B88" s="422" t="s">
        <v>1060</v>
      </c>
      <c r="C88" s="422" t="s">
        <v>1125</v>
      </c>
      <c r="D88" s="422" t="s">
        <v>1126</v>
      </c>
      <c r="E88" s="425">
        <v>13</v>
      </c>
      <c r="F88" s="425">
        <v>3510</v>
      </c>
      <c r="G88" s="422">
        <v>1</v>
      </c>
      <c r="H88" s="422">
        <v>270</v>
      </c>
      <c r="I88" s="425">
        <v>22</v>
      </c>
      <c r="J88" s="425">
        <v>5940</v>
      </c>
      <c r="K88" s="422">
        <v>1.6923076923076923</v>
      </c>
      <c r="L88" s="422">
        <v>270</v>
      </c>
      <c r="M88" s="425">
        <v>5</v>
      </c>
      <c r="N88" s="425">
        <v>1350</v>
      </c>
      <c r="O88" s="447">
        <v>0.38461538461538464</v>
      </c>
      <c r="P88" s="426">
        <v>270</v>
      </c>
    </row>
    <row r="89" spans="1:16" ht="14.4" customHeight="1" x14ac:dyDescent="0.3">
      <c r="A89" s="421" t="s">
        <v>1009</v>
      </c>
      <c r="B89" s="422" t="s">
        <v>1060</v>
      </c>
      <c r="C89" s="422" t="s">
        <v>1127</v>
      </c>
      <c r="D89" s="422" t="s">
        <v>1128</v>
      </c>
      <c r="E89" s="425">
        <v>611</v>
      </c>
      <c r="F89" s="425">
        <v>54311.119999999995</v>
      </c>
      <c r="G89" s="422">
        <v>1</v>
      </c>
      <c r="H89" s="422">
        <v>88.888903436988542</v>
      </c>
      <c r="I89" s="425">
        <v>847</v>
      </c>
      <c r="J89" s="425">
        <v>75288.900000000009</v>
      </c>
      <c r="K89" s="422">
        <v>1.386252023526674</v>
      </c>
      <c r="L89" s="422">
        <v>88.888902007083828</v>
      </c>
      <c r="M89" s="425">
        <v>624</v>
      </c>
      <c r="N89" s="425">
        <v>55466.67</v>
      </c>
      <c r="O89" s="447">
        <v>1.0212764899711146</v>
      </c>
      <c r="P89" s="426">
        <v>88.888894230769225</v>
      </c>
    </row>
    <row r="90" spans="1:16" ht="14.4" customHeight="1" x14ac:dyDescent="0.3">
      <c r="A90" s="421" t="s">
        <v>1009</v>
      </c>
      <c r="B90" s="422" t="s">
        <v>1060</v>
      </c>
      <c r="C90" s="422" t="s">
        <v>1129</v>
      </c>
      <c r="D90" s="422" t="s">
        <v>1130</v>
      </c>
      <c r="E90" s="425">
        <v>66</v>
      </c>
      <c r="F90" s="425">
        <v>2860</v>
      </c>
      <c r="G90" s="422">
        <v>1</v>
      </c>
      <c r="H90" s="422">
        <v>43.333333333333336</v>
      </c>
      <c r="I90" s="425">
        <v>67</v>
      </c>
      <c r="J90" s="425">
        <v>2903.33</v>
      </c>
      <c r="K90" s="422">
        <v>1.0151503496503496</v>
      </c>
      <c r="L90" s="422">
        <v>43.33328358208955</v>
      </c>
      <c r="M90" s="425">
        <v>81</v>
      </c>
      <c r="N90" s="425">
        <v>3510</v>
      </c>
      <c r="O90" s="447">
        <v>1.2272727272727273</v>
      </c>
      <c r="P90" s="426">
        <v>43.333333333333336</v>
      </c>
    </row>
    <row r="91" spans="1:16" ht="14.4" customHeight="1" x14ac:dyDescent="0.3">
      <c r="A91" s="421" t="s">
        <v>1009</v>
      </c>
      <c r="B91" s="422" t="s">
        <v>1060</v>
      </c>
      <c r="C91" s="422" t="s">
        <v>1131</v>
      </c>
      <c r="D91" s="422" t="s">
        <v>1132</v>
      </c>
      <c r="E91" s="425">
        <v>164</v>
      </c>
      <c r="F91" s="425">
        <v>15853.34</v>
      </c>
      <c r="G91" s="422">
        <v>1</v>
      </c>
      <c r="H91" s="422">
        <v>96.666707317073175</v>
      </c>
      <c r="I91" s="425">
        <v>198</v>
      </c>
      <c r="J91" s="425">
        <v>19140</v>
      </c>
      <c r="K91" s="422">
        <v>1.2073165654682232</v>
      </c>
      <c r="L91" s="422">
        <v>96.666666666666671</v>
      </c>
      <c r="M91" s="425">
        <v>155</v>
      </c>
      <c r="N91" s="425">
        <v>14983.34</v>
      </c>
      <c r="O91" s="447">
        <v>0.94512197429689893</v>
      </c>
      <c r="P91" s="426">
        <v>96.666709677419362</v>
      </c>
    </row>
    <row r="92" spans="1:16" ht="14.4" customHeight="1" x14ac:dyDescent="0.3">
      <c r="A92" s="421" t="s">
        <v>1009</v>
      </c>
      <c r="B92" s="422" t="s">
        <v>1060</v>
      </c>
      <c r="C92" s="422" t="s">
        <v>1133</v>
      </c>
      <c r="D92" s="422" t="s">
        <v>1134</v>
      </c>
      <c r="E92" s="425">
        <v>4</v>
      </c>
      <c r="F92" s="425">
        <v>804.44</v>
      </c>
      <c r="G92" s="422">
        <v>1</v>
      </c>
      <c r="H92" s="422">
        <v>201.11</v>
      </c>
      <c r="I92" s="425"/>
      <c r="J92" s="425"/>
      <c r="K92" s="422"/>
      <c r="L92" s="422"/>
      <c r="M92" s="425"/>
      <c r="N92" s="425"/>
      <c r="O92" s="447"/>
      <c r="P92" s="426"/>
    </row>
    <row r="93" spans="1:16" ht="14.4" customHeight="1" x14ac:dyDescent="0.3">
      <c r="A93" s="421" t="s">
        <v>1009</v>
      </c>
      <c r="B93" s="422" t="s">
        <v>1060</v>
      </c>
      <c r="C93" s="422" t="s">
        <v>1135</v>
      </c>
      <c r="D93" s="422" t="s">
        <v>1136</v>
      </c>
      <c r="E93" s="425">
        <v>296</v>
      </c>
      <c r="F93" s="425">
        <v>41440</v>
      </c>
      <c r="G93" s="422">
        <v>1</v>
      </c>
      <c r="H93" s="422">
        <v>140</v>
      </c>
      <c r="I93" s="425">
        <v>294</v>
      </c>
      <c r="J93" s="425">
        <v>41160</v>
      </c>
      <c r="K93" s="422">
        <v>0.9932432432432432</v>
      </c>
      <c r="L93" s="422">
        <v>140</v>
      </c>
      <c r="M93" s="425">
        <v>166</v>
      </c>
      <c r="N93" s="425">
        <v>23240</v>
      </c>
      <c r="O93" s="447">
        <v>0.56081081081081086</v>
      </c>
      <c r="P93" s="426">
        <v>140</v>
      </c>
    </row>
    <row r="94" spans="1:16" ht="14.4" customHeight="1" x14ac:dyDescent="0.3">
      <c r="A94" s="421" t="s">
        <v>1009</v>
      </c>
      <c r="B94" s="422" t="s">
        <v>1060</v>
      </c>
      <c r="C94" s="422" t="s">
        <v>1137</v>
      </c>
      <c r="D94" s="422" t="s">
        <v>1138</v>
      </c>
      <c r="E94" s="425">
        <v>253</v>
      </c>
      <c r="F94" s="425">
        <v>19115.560000000001</v>
      </c>
      <c r="G94" s="422">
        <v>1</v>
      </c>
      <c r="H94" s="422">
        <v>75.555573122529651</v>
      </c>
      <c r="I94" s="425">
        <v>271</v>
      </c>
      <c r="J94" s="425">
        <v>20475.550000000003</v>
      </c>
      <c r="K94" s="422">
        <v>1.0711457053834679</v>
      </c>
      <c r="L94" s="422">
        <v>75.55553505535056</v>
      </c>
      <c r="M94" s="425">
        <v>232</v>
      </c>
      <c r="N94" s="425">
        <v>17528.89</v>
      </c>
      <c r="O94" s="447">
        <v>0.91699589235157108</v>
      </c>
      <c r="P94" s="426">
        <v>75.555560344827583</v>
      </c>
    </row>
    <row r="95" spans="1:16" ht="14.4" customHeight="1" x14ac:dyDescent="0.3">
      <c r="A95" s="421" t="s">
        <v>1009</v>
      </c>
      <c r="B95" s="422" t="s">
        <v>1060</v>
      </c>
      <c r="C95" s="422" t="s">
        <v>1139</v>
      </c>
      <c r="D95" s="422" t="s">
        <v>1140</v>
      </c>
      <c r="E95" s="425">
        <v>19</v>
      </c>
      <c r="F95" s="425">
        <v>24383.340000000004</v>
      </c>
      <c r="G95" s="422">
        <v>1</v>
      </c>
      <c r="H95" s="422">
        <v>1283.3336842105266</v>
      </c>
      <c r="I95" s="425">
        <v>26</v>
      </c>
      <c r="J95" s="425">
        <v>33366.660000000003</v>
      </c>
      <c r="K95" s="422">
        <v>1.3684204050798618</v>
      </c>
      <c r="L95" s="422">
        <v>1283.333076923077</v>
      </c>
      <c r="M95" s="425">
        <v>43</v>
      </c>
      <c r="N95" s="425">
        <v>55183.33</v>
      </c>
      <c r="O95" s="447">
        <v>2.2631571392598384</v>
      </c>
      <c r="P95" s="426">
        <v>1283.3332558139534</v>
      </c>
    </row>
    <row r="96" spans="1:16" ht="14.4" customHeight="1" x14ac:dyDescent="0.3">
      <c r="A96" s="421" t="s">
        <v>1009</v>
      </c>
      <c r="B96" s="422" t="s">
        <v>1060</v>
      </c>
      <c r="C96" s="422" t="s">
        <v>1141</v>
      </c>
      <c r="D96" s="422" t="s">
        <v>1142</v>
      </c>
      <c r="E96" s="425">
        <v>2</v>
      </c>
      <c r="F96" s="425">
        <v>233.34</v>
      </c>
      <c r="G96" s="422">
        <v>1</v>
      </c>
      <c r="H96" s="422">
        <v>116.67</v>
      </c>
      <c r="I96" s="425">
        <v>8</v>
      </c>
      <c r="J96" s="425">
        <v>933.34999999999991</v>
      </c>
      <c r="K96" s="422">
        <v>3.9999571440815971</v>
      </c>
      <c r="L96" s="422">
        <v>116.66874999999999</v>
      </c>
      <c r="M96" s="425">
        <v>7</v>
      </c>
      <c r="N96" s="425">
        <v>816.68000000000006</v>
      </c>
      <c r="O96" s="447">
        <v>3.499957144081598</v>
      </c>
      <c r="P96" s="426">
        <v>116.66857142857144</v>
      </c>
    </row>
    <row r="97" spans="1:16" ht="14.4" customHeight="1" x14ac:dyDescent="0.3">
      <c r="A97" s="421" t="s">
        <v>1009</v>
      </c>
      <c r="B97" s="422" t="s">
        <v>1060</v>
      </c>
      <c r="C97" s="422" t="s">
        <v>1143</v>
      </c>
      <c r="D97" s="422" t="s">
        <v>1144</v>
      </c>
      <c r="E97" s="425">
        <v>9</v>
      </c>
      <c r="F97" s="425">
        <v>440.01</v>
      </c>
      <c r="G97" s="422">
        <v>1</v>
      </c>
      <c r="H97" s="422">
        <v>48.89</v>
      </c>
      <c r="I97" s="425">
        <v>8</v>
      </c>
      <c r="J97" s="425">
        <v>391.11</v>
      </c>
      <c r="K97" s="422">
        <v>0.88886616213267888</v>
      </c>
      <c r="L97" s="422">
        <v>48.888750000000002</v>
      </c>
      <c r="M97" s="425">
        <v>15</v>
      </c>
      <c r="N97" s="425">
        <v>733.33999999999992</v>
      </c>
      <c r="O97" s="447">
        <v>1.6666439399104565</v>
      </c>
      <c r="P97" s="426">
        <v>48.889333333333326</v>
      </c>
    </row>
    <row r="98" spans="1:16" ht="14.4" customHeight="1" x14ac:dyDescent="0.3">
      <c r="A98" s="421" t="s">
        <v>1009</v>
      </c>
      <c r="B98" s="422" t="s">
        <v>1060</v>
      </c>
      <c r="C98" s="422" t="s">
        <v>1145</v>
      </c>
      <c r="D98" s="422" t="s">
        <v>1146</v>
      </c>
      <c r="E98" s="425">
        <v>2</v>
      </c>
      <c r="F98" s="425">
        <v>933.33</v>
      </c>
      <c r="G98" s="422">
        <v>1</v>
      </c>
      <c r="H98" s="422">
        <v>466.66500000000002</v>
      </c>
      <c r="I98" s="425">
        <v>1</v>
      </c>
      <c r="J98" s="425">
        <v>466.67</v>
      </c>
      <c r="K98" s="422">
        <v>0.50000535716198991</v>
      </c>
      <c r="L98" s="422">
        <v>466.67</v>
      </c>
      <c r="M98" s="425">
        <v>1</v>
      </c>
      <c r="N98" s="425">
        <v>466.67</v>
      </c>
      <c r="O98" s="447">
        <v>0.50000535716198991</v>
      </c>
      <c r="P98" s="426">
        <v>466.67</v>
      </c>
    </row>
    <row r="99" spans="1:16" ht="14.4" customHeight="1" x14ac:dyDescent="0.3">
      <c r="A99" s="421" t="s">
        <v>1009</v>
      </c>
      <c r="B99" s="422" t="s">
        <v>1060</v>
      </c>
      <c r="C99" s="422" t="s">
        <v>1147</v>
      </c>
      <c r="D99" s="422" t="s">
        <v>1148</v>
      </c>
      <c r="E99" s="425">
        <v>1</v>
      </c>
      <c r="F99" s="425">
        <v>327.78</v>
      </c>
      <c r="G99" s="422">
        <v>1</v>
      </c>
      <c r="H99" s="422">
        <v>327.78</v>
      </c>
      <c r="I99" s="425">
        <v>8</v>
      </c>
      <c r="J99" s="425">
        <v>2622.2299999999996</v>
      </c>
      <c r="K99" s="422">
        <v>7.9999694917322586</v>
      </c>
      <c r="L99" s="422">
        <v>327.77874999999995</v>
      </c>
      <c r="M99" s="425"/>
      <c r="N99" s="425"/>
      <c r="O99" s="447"/>
      <c r="P99" s="426"/>
    </row>
    <row r="100" spans="1:16" ht="14.4" customHeight="1" x14ac:dyDescent="0.3">
      <c r="A100" s="421" t="s">
        <v>1009</v>
      </c>
      <c r="B100" s="422" t="s">
        <v>1060</v>
      </c>
      <c r="C100" s="422" t="s">
        <v>1149</v>
      </c>
      <c r="D100" s="422" t="s">
        <v>1150</v>
      </c>
      <c r="E100" s="425">
        <v>9</v>
      </c>
      <c r="F100" s="425">
        <v>4200</v>
      </c>
      <c r="G100" s="422">
        <v>1</v>
      </c>
      <c r="H100" s="422">
        <v>466.66666666666669</v>
      </c>
      <c r="I100" s="425">
        <v>14</v>
      </c>
      <c r="J100" s="425">
        <v>6533.33</v>
      </c>
      <c r="K100" s="422">
        <v>1.5555547619047618</v>
      </c>
      <c r="L100" s="422">
        <v>466.66642857142858</v>
      </c>
      <c r="M100" s="425">
        <v>45</v>
      </c>
      <c r="N100" s="425">
        <v>21000</v>
      </c>
      <c r="O100" s="447">
        <v>5</v>
      </c>
      <c r="P100" s="426">
        <v>466.66666666666669</v>
      </c>
    </row>
    <row r="101" spans="1:16" ht="14.4" customHeight="1" x14ac:dyDescent="0.3">
      <c r="A101" s="421" t="s">
        <v>1009</v>
      </c>
      <c r="B101" s="422" t="s">
        <v>1060</v>
      </c>
      <c r="C101" s="422" t="s">
        <v>1151</v>
      </c>
      <c r="D101" s="422" t="s">
        <v>1152</v>
      </c>
      <c r="E101" s="425">
        <v>8</v>
      </c>
      <c r="F101" s="425">
        <v>782.22</v>
      </c>
      <c r="G101" s="422">
        <v>1</v>
      </c>
      <c r="H101" s="422">
        <v>97.777500000000003</v>
      </c>
      <c r="I101" s="425">
        <v>3</v>
      </c>
      <c r="J101" s="425">
        <v>293.34000000000003</v>
      </c>
      <c r="K101" s="422">
        <v>0.37500958809542073</v>
      </c>
      <c r="L101" s="422">
        <v>97.780000000000015</v>
      </c>
      <c r="M101" s="425">
        <v>6</v>
      </c>
      <c r="N101" s="425">
        <v>586.67000000000007</v>
      </c>
      <c r="O101" s="447">
        <v>0.75000639206361386</v>
      </c>
      <c r="P101" s="426">
        <v>97.77833333333335</v>
      </c>
    </row>
    <row r="102" spans="1:16" ht="14.4" customHeight="1" x14ac:dyDescent="0.3">
      <c r="A102" s="421" t="s">
        <v>1009</v>
      </c>
      <c r="B102" s="422" t="s">
        <v>1060</v>
      </c>
      <c r="C102" s="422" t="s">
        <v>1153</v>
      </c>
      <c r="D102" s="422" t="s">
        <v>1154</v>
      </c>
      <c r="E102" s="425">
        <v>2</v>
      </c>
      <c r="F102" s="425">
        <v>1291.1099999999999</v>
      </c>
      <c r="G102" s="422">
        <v>1</v>
      </c>
      <c r="H102" s="422">
        <v>645.55499999999995</v>
      </c>
      <c r="I102" s="425"/>
      <c r="J102" s="425"/>
      <c r="K102" s="422"/>
      <c r="L102" s="422"/>
      <c r="M102" s="425"/>
      <c r="N102" s="425"/>
      <c r="O102" s="447"/>
      <c r="P102" s="426"/>
    </row>
    <row r="103" spans="1:16" ht="14.4" customHeight="1" x14ac:dyDescent="0.3">
      <c r="A103" s="421" t="s">
        <v>1009</v>
      </c>
      <c r="B103" s="422" t="s">
        <v>1060</v>
      </c>
      <c r="C103" s="422" t="s">
        <v>1155</v>
      </c>
      <c r="D103" s="422" t="s">
        <v>1156</v>
      </c>
      <c r="E103" s="425">
        <v>1</v>
      </c>
      <c r="F103" s="425">
        <v>222.22</v>
      </c>
      <c r="G103" s="422">
        <v>1</v>
      </c>
      <c r="H103" s="422">
        <v>222.22</v>
      </c>
      <c r="I103" s="425"/>
      <c r="J103" s="425"/>
      <c r="K103" s="422"/>
      <c r="L103" s="422"/>
      <c r="M103" s="425"/>
      <c r="N103" s="425"/>
      <c r="O103" s="447"/>
      <c r="P103" s="426"/>
    </row>
    <row r="104" spans="1:16" ht="14.4" customHeight="1" x14ac:dyDescent="0.3">
      <c r="A104" s="421" t="s">
        <v>1157</v>
      </c>
      <c r="B104" s="422" t="s">
        <v>1010</v>
      </c>
      <c r="C104" s="422" t="s">
        <v>1158</v>
      </c>
      <c r="D104" s="422" t="s">
        <v>1003</v>
      </c>
      <c r="E104" s="425">
        <v>2</v>
      </c>
      <c r="F104" s="425">
        <v>226</v>
      </c>
      <c r="G104" s="422">
        <v>1</v>
      </c>
      <c r="H104" s="422">
        <v>113</v>
      </c>
      <c r="I104" s="425"/>
      <c r="J104" s="425"/>
      <c r="K104" s="422"/>
      <c r="L104" s="422"/>
      <c r="M104" s="425">
        <v>1</v>
      </c>
      <c r="N104" s="425">
        <v>113</v>
      </c>
      <c r="O104" s="447">
        <v>0.5</v>
      </c>
      <c r="P104" s="426">
        <v>113</v>
      </c>
    </row>
    <row r="105" spans="1:16" ht="14.4" customHeight="1" x14ac:dyDescent="0.3">
      <c r="A105" s="421" t="s">
        <v>1157</v>
      </c>
      <c r="B105" s="422" t="s">
        <v>1010</v>
      </c>
      <c r="C105" s="422" t="s">
        <v>1012</v>
      </c>
      <c r="D105" s="422" t="s">
        <v>1003</v>
      </c>
      <c r="E105" s="425">
        <v>1</v>
      </c>
      <c r="F105" s="425">
        <v>1657</v>
      </c>
      <c r="G105" s="422">
        <v>1</v>
      </c>
      <c r="H105" s="422">
        <v>1657</v>
      </c>
      <c r="I105" s="425">
        <v>2</v>
      </c>
      <c r="J105" s="425">
        <v>3314</v>
      </c>
      <c r="K105" s="422">
        <v>2</v>
      </c>
      <c r="L105" s="422">
        <v>1657</v>
      </c>
      <c r="M105" s="425"/>
      <c r="N105" s="425"/>
      <c r="O105" s="447"/>
      <c r="P105" s="426"/>
    </row>
    <row r="106" spans="1:16" ht="14.4" customHeight="1" x14ac:dyDescent="0.3">
      <c r="A106" s="421" t="s">
        <v>1157</v>
      </c>
      <c r="B106" s="422" t="s">
        <v>1010</v>
      </c>
      <c r="C106" s="422" t="s">
        <v>1159</v>
      </c>
      <c r="D106" s="422" t="s">
        <v>1003</v>
      </c>
      <c r="E106" s="425"/>
      <c r="F106" s="425"/>
      <c r="G106" s="422"/>
      <c r="H106" s="422"/>
      <c r="I106" s="425">
        <v>1</v>
      </c>
      <c r="J106" s="425">
        <v>1008</v>
      </c>
      <c r="K106" s="422"/>
      <c r="L106" s="422">
        <v>1008</v>
      </c>
      <c r="M106" s="425">
        <v>3</v>
      </c>
      <c r="N106" s="425">
        <v>3024</v>
      </c>
      <c r="O106" s="447"/>
      <c r="P106" s="426">
        <v>1008</v>
      </c>
    </row>
    <row r="107" spans="1:16" ht="14.4" customHeight="1" x14ac:dyDescent="0.3">
      <c r="A107" s="421" t="s">
        <v>1157</v>
      </c>
      <c r="B107" s="422" t="s">
        <v>1010</v>
      </c>
      <c r="C107" s="422" t="s">
        <v>1160</v>
      </c>
      <c r="D107" s="422" t="s">
        <v>1003</v>
      </c>
      <c r="E107" s="425">
        <v>93</v>
      </c>
      <c r="F107" s="425">
        <v>20181</v>
      </c>
      <c r="G107" s="422">
        <v>1</v>
      </c>
      <c r="H107" s="422">
        <v>217</v>
      </c>
      <c r="I107" s="425">
        <v>98</v>
      </c>
      <c r="J107" s="425">
        <v>21266</v>
      </c>
      <c r="K107" s="422">
        <v>1.053763440860215</v>
      </c>
      <c r="L107" s="422">
        <v>217</v>
      </c>
      <c r="M107" s="425">
        <v>100</v>
      </c>
      <c r="N107" s="425">
        <v>21700</v>
      </c>
      <c r="O107" s="447">
        <v>1.075268817204301</v>
      </c>
      <c r="P107" s="426">
        <v>217</v>
      </c>
    </row>
    <row r="108" spans="1:16" ht="14.4" customHeight="1" x14ac:dyDescent="0.3">
      <c r="A108" s="421" t="s">
        <v>1157</v>
      </c>
      <c r="B108" s="422" t="s">
        <v>1010</v>
      </c>
      <c r="C108" s="422" t="s">
        <v>1161</v>
      </c>
      <c r="D108" s="422" t="s">
        <v>1003</v>
      </c>
      <c r="E108" s="425">
        <v>1</v>
      </c>
      <c r="F108" s="425">
        <v>1289</v>
      </c>
      <c r="G108" s="422">
        <v>1</v>
      </c>
      <c r="H108" s="422">
        <v>1289</v>
      </c>
      <c r="I108" s="425"/>
      <c r="J108" s="425"/>
      <c r="K108" s="422"/>
      <c r="L108" s="422"/>
      <c r="M108" s="425">
        <v>1</v>
      </c>
      <c r="N108" s="425">
        <v>1289</v>
      </c>
      <c r="O108" s="447">
        <v>1</v>
      </c>
      <c r="P108" s="426">
        <v>1289</v>
      </c>
    </row>
    <row r="109" spans="1:16" ht="14.4" customHeight="1" x14ac:dyDescent="0.3">
      <c r="A109" s="421" t="s">
        <v>1157</v>
      </c>
      <c r="B109" s="422" t="s">
        <v>1010</v>
      </c>
      <c r="C109" s="422" t="s">
        <v>1162</v>
      </c>
      <c r="D109" s="422" t="s">
        <v>1003</v>
      </c>
      <c r="E109" s="425">
        <v>1</v>
      </c>
      <c r="F109" s="425">
        <v>806</v>
      </c>
      <c r="G109" s="422">
        <v>1</v>
      </c>
      <c r="H109" s="422">
        <v>806</v>
      </c>
      <c r="I109" s="425"/>
      <c r="J109" s="425"/>
      <c r="K109" s="422"/>
      <c r="L109" s="422"/>
      <c r="M109" s="425"/>
      <c r="N109" s="425"/>
      <c r="O109" s="447"/>
      <c r="P109" s="426"/>
    </row>
    <row r="110" spans="1:16" ht="14.4" customHeight="1" x14ac:dyDescent="0.3">
      <c r="A110" s="421" t="s">
        <v>1157</v>
      </c>
      <c r="B110" s="422" t="s">
        <v>1010</v>
      </c>
      <c r="C110" s="422" t="s">
        <v>1163</v>
      </c>
      <c r="D110" s="422" t="s">
        <v>1003</v>
      </c>
      <c r="E110" s="425"/>
      <c r="F110" s="425"/>
      <c r="G110" s="422"/>
      <c r="H110" s="422"/>
      <c r="I110" s="425"/>
      <c r="J110" s="425"/>
      <c r="K110" s="422"/>
      <c r="L110" s="422"/>
      <c r="M110" s="425">
        <v>1</v>
      </c>
      <c r="N110" s="425">
        <v>2450</v>
      </c>
      <c r="O110" s="447"/>
      <c r="P110" s="426">
        <v>2450</v>
      </c>
    </row>
    <row r="111" spans="1:16" ht="14.4" customHeight="1" x14ac:dyDescent="0.3">
      <c r="A111" s="421" t="s">
        <v>1157</v>
      </c>
      <c r="B111" s="422" t="s">
        <v>1010</v>
      </c>
      <c r="C111" s="422" t="s">
        <v>1164</v>
      </c>
      <c r="D111" s="422" t="s">
        <v>1003</v>
      </c>
      <c r="E111" s="425">
        <v>37</v>
      </c>
      <c r="F111" s="425">
        <v>38591</v>
      </c>
      <c r="G111" s="422">
        <v>1</v>
      </c>
      <c r="H111" s="422">
        <v>1043</v>
      </c>
      <c r="I111" s="425">
        <v>46</v>
      </c>
      <c r="J111" s="425">
        <v>47978</v>
      </c>
      <c r="K111" s="422">
        <v>1.2432432432432432</v>
      </c>
      <c r="L111" s="422">
        <v>1043</v>
      </c>
      <c r="M111" s="425">
        <v>41</v>
      </c>
      <c r="N111" s="425">
        <v>42763</v>
      </c>
      <c r="O111" s="447">
        <v>1.1081081081081081</v>
      </c>
      <c r="P111" s="426">
        <v>1043</v>
      </c>
    </row>
    <row r="112" spans="1:16" ht="14.4" customHeight="1" x14ac:dyDescent="0.3">
      <c r="A112" s="421" t="s">
        <v>1157</v>
      </c>
      <c r="B112" s="422" t="s">
        <v>1010</v>
      </c>
      <c r="C112" s="422" t="s">
        <v>1165</v>
      </c>
      <c r="D112" s="422" t="s">
        <v>1003</v>
      </c>
      <c r="E112" s="425">
        <v>1</v>
      </c>
      <c r="F112" s="425">
        <v>1654</v>
      </c>
      <c r="G112" s="422">
        <v>1</v>
      </c>
      <c r="H112" s="422">
        <v>1654</v>
      </c>
      <c r="I112" s="425"/>
      <c r="J112" s="425"/>
      <c r="K112" s="422"/>
      <c r="L112" s="422"/>
      <c r="M112" s="425"/>
      <c r="N112" s="425"/>
      <c r="O112" s="447"/>
      <c r="P112" s="426"/>
    </row>
    <row r="113" spans="1:16" ht="14.4" customHeight="1" x14ac:dyDescent="0.3">
      <c r="A113" s="421" t="s">
        <v>1157</v>
      </c>
      <c r="B113" s="422" t="s">
        <v>1010</v>
      </c>
      <c r="C113" s="422" t="s">
        <v>1166</v>
      </c>
      <c r="D113" s="422" t="s">
        <v>1003</v>
      </c>
      <c r="E113" s="425">
        <v>3</v>
      </c>
      <c r="F113" s="425">
        <v>3969</v>
      </c>
      <c r="G113" s="422">
        <v>1</v>
      </c>
      <c r="H113" s="422">
        <v>1323</v>
      </c>
      <c r="I113" s="425">
        <v>5</v>
      </c>
      <c r="J113" s="425">
        <v>6615</v>
      </c>
      <c r="K113" s="422">
        <v>1.6666666666666667</v>
      </c>
      <c r="L113" s="422">
        <v>1323</v>
      </c>
      <c r="M113" s="425">
        <v>4</v>
      </c>
      <c r="N113" s="425">
        <v>5292</v>
      </c>
      <c r="O113" s="447">
        <v>1.3333333333333333</v>
      </c>
      <c r="P113" s="426">
        <v>1323</v>
      </c>
    </row>
    <row r="114" spans="1:16" ht="14.4" customHeight="1" x14ac:dyDescent="0.3">
      <c r="A114" s="421" t="s">
        <v>1157</v>
      </c>
      <c r="B114" s="422" t="s">
        <v>1010</v>
      </c>
      <c r="C114" s="422" t="s">
        <v>1167</v>
      </c>
      <c r="D114" s="422" t="s">
        <v>1003</v>
      </c>
      <c r="E114" s="425">
        <v>1</v>
      </c>
      <c r="F114" s="425">
        <v>1933</v>
      </c>
      <c r="G114" s="422">
        <v>1</v>
      </c>
      <c r="H114" s="422">
        <v>1933</v>
      </c>
      <c r="I114" s="425">
        <v>2</v>
      </c>
      <c r="J114" s="425">
        <v>3866</v>
      </c>
      <c r="K114" s="422">
        <v>2</v>
      </c>
      <c r="L114" s="422">
        <v>1933</v>
      </c>
      <c r="M114" s="425">
        <v>1</v>
      </c>
      <c r="N114" s="425">
        <v>1933</v>
      </c>
      <c r="O114" s="447">
        <v>1</v>
      </c>
      <c r="P114" s="426">
        <v>1933</v>
      </c>
    </row>
    <row r="115" spans="1:16" ht="14.4" customHeight="1" x14ac:dyDescent="0.3">
      <c r="A115" s="421" t="s">
        <v>1157</v>
      </c>
      <c r="B115" s="422" t="s">
        <v>1010</v>
      </c>
      <c r="C115" s="422" t="s">
        <v>1168</v>
      </c>
      <c r="D115" s="422" t="s">
        <v>1003</v>
      </c>
      <c r="E115" s="425">
        <v>25</v>
      </c>
      <c r="F115" s="425">
        <v>13550</v>
      </c>
      <c r="G115" s="422">
        <v>1</v>
      </c>
      <c r="H115" s="422">
        <v>542</v>
      </c>
      <c r="I115" s="425">
        <v>23</v>
      </c>
      <c r="J115" s="425">
        <v>12466</v>
      </c>
      <c r="K115" s="422">
        <v>0.92</v>
      </c>
      <c r="L115" s="422">
        <v>542</v>
      </c>
      <c r="M115" s="425">
        <v>18</v>
      </c>
      <c r="N115" s="425">
        <v>9756</v>
      </c>
      <c r="O115" s="447">
        <v>0.72</v>
      </c>
      <c r="P115" s="426">
        <v>542</v>
      </c>
    </row>
    <row r="116" spans="1:16" ht="14.4" customHeight="1" x14ac:dyDescent="0.3">
      <c r="A116" s="421" t="s">
        <v>1157</v>
      </c>
      <c r="B116" s="422" t="s">
        <v>1010</v>
      </c>
      <c r="C116" s="422" t="s">
        <v>1169</v>
      </c>
      <c r="D116" s="422" t="s">
        <v>1003</v>
      </c>
      <c r="E116" s="425"/>
      <c r="F116" s="425"/>
      <c r="G116" s="422"/>
      <c r="H116" s="422"/>
      <c r="I116" s="425">
        <v>1</v>
      </c>
      <c r="J116" s="425">
        <v>298</v>
      </c>
      <c r="K116" s="422"/>
      <c r="L116" s="422">
        <v>298</v>
      </c>
      <c r="M116" s="425"/>
      <c r="N116" s="425"/>
      <c r="O116" s="447"/>
      <c r="P116" s="426"/>
    </row>
    <row r="117" spans="1:16" ht="14.4" customHeight="1" x14ac:dyDescent="0.3">
      <c r="A117" s="421" t="s">
        <v>1157</v>
      </c>
      <c r="B117" s="422" t="s">
        <v>1010</v>
      </c>
      <c r="C117" s="422" t="s">
        <v>1170</v>
      </c>
      <c r="D117" s="422" t="s">
        <v>1003</v>
      </c>
      <c r="E117" s="425">
        <v>9</v>
      </c>
      <c r="F117" s="425">
        <v>5211</v>
      </c>
      <c r="G117" s="422">
        <v>1</v>
      </c>
      <c r="H117" s="422">
        <v>579</v>
      </c>
      <c r="I117" s="425">
        <v>12</v>
      </c>
      <c r="J117" s="425">
        <v>6948</v>
      </c>
      <c r="K117" s="422">
        <v>1.3333333333333333</v>
      </c>
      <c r="L117" s="422">
        <v>579</v>
      </c>
      <c r="M117" s="425">
        <v>6</v>
      </c>
      <c r="N117" s="425">
        <v>3474</v>
      </c>
      <c r="O117" s="447">
        <v>0.66666666666666663</v>
      </c>
      <c r="P117" s="426">
        <v>579</v>
      </c>
    </row>
    <row r="118" spans="1:16" ht="14.4" customHeight="1" x14ac:dyDescent="0.3">
      <c r="A118" s="421" t="s">
        <v>1157</v>
      </c>
      <c r="B118" s="422" t="s">
        <v>1010</v>
      </c>
      <c r="C118" s="422" t="s">
        <v>1014</v>
      </c>
      <c r="D118" s="422" t="s">
        <v>1003</v>
      </c>
      <c r="E118" s="425">
        <v>1</v>
      </c>
      <c r="F118" s="425">
        <v>113</v>
      </c>
      <c r="G118" s="422">
        <v>1</v>
      </c>
      <c r="H118" s="422">
        <v>113</v>
      </c>
      <c r="I118" s="425">
        <v>2</v>
      </c>
      <c r="J118" s="425">
        <v>226</v>
      </c>
      <c r="K118" s="422">
        <v>2</v>
      </c>
      <c r="L118" s="422">
        <v>113</v>
      </c>
      <c r="M118" s="425">
        <v>5</v>
      </c>
      <c r="N118" s="425">
        <v>565</v>
      </c>
      <c r="O118" s="447">
        <v>5</v>
      </c>
      <c r="P118" s="426">
        <v>113</v>
      </c>
    </row>
    <row r="119" spans="1:16" ht="14.4" customHeight="1" x14ac:dyDescent="0.3">
      <c r="A119" s="421" t="s">
        <v>1157</v>
      </c>
      <c r="B119" s="422" t="s">
        <v>1010</v>
      </c>
      <c r="C119" s="422" t="s">
        <v>1171</v>
      </c>
      <c r="D119" s="422" t="s">
        <v>1003</v>
      </c>
      <c r="E119" s="425"/>
      <c r="F119" s="425"/>
      <c r="G119" s="422"/>
      <c r="H119" s="422"/>
      <c r="I119" s="425"/>
      <c r="J119" s="425"/>
      <c r="K119" s="422"/>
      <c r="L119" s="422"/>
      <c r="M119" s="425">
        <v>1</v>
      </c>
      <c r="N119" s="425">
        <v>132</v>
      </c>
      <c r="O119" s="447"/>
      <c r="P119" s="426">
        <v>132</v>
      </c>
    </row>
    <row r="120" spans="1:16" ht="14.4" customHeight="1" x14ac:dyDescent="0.3">
      <c r="A120" s="421" t="s">
        <v>1157</v>
      </c>
      <c r="B120" s="422" t="s">
        <v>1010</v>
      </c>
      <c r="C120" s="422" t="s">
        <v>1040</v>
      </c>
      <c r="D120" s="422" t="s">
        <v>1003</v>
      </c>
      <c r="E120" s="425">
        <v>1</v>
      </c>
      <c r="F120" s="425">
        <v>1740</v>
      </c>
      <c r="G120" s="422">
        <v>1</v>
      </c>
      <c r="H120" s="422">
        <v>1740</v>
      </c>
      <c r="I120" s="425">
        <v>3</v>
      </c>
      <c r="J120" s="425">
        <v>5220</v>
      </c>
      <c r="K120" s="422">
        <v>3</v>
      </c>
      <c r="L120" s="422">
        <v>1740</v>
      </c>
      <c r="M120" s="425">
        <v>4</v>
      </c>
      <c r="N120" s="425">
        <v>6960</v>
      </c>
      <c r="O120" s="447">
        <v>4</v>
      </c>
      <c r="P120" s="426">
        <v>1740</v>
      </c>
    </row>
    <row r="121" spans="1:16" ht="14.4" customHeight="1" x14ac:dyDescent="0.3">
      <c r="A121" s="421" t="s">
        <v>1157</v>
      </c>
      <c r="B121" s="422" t="s">
        <v>1010</v>
      </c>
      <c r="C121" s="422" t="s">
        <v>1054</v>
      </c>
      <c r="D121" s="422" t="s">
        <v>1003</v>
      </c>
      <c r="E121" s="425">
        <v>2</v>
      </c>
      <c r="F121" s="425">
        <v>2016</v>
      </c>
      <c r="G121" s="422">
        <v>1</v>
      </c>
      <c r="H121" s="422">
        <v>1008</v>
      </c>
      <c r="I121" s="425"/>
      <c r="J121" s="425"/>
      <c r="K121" s="422"/>
      <c r="L121" s="422"/>
      <c r="M121" s="425"/>
      <c r="N121" s="425"/>
      <c r="O121" s="447"/>
      <c r="P121" s="426"/>
    </row>
    <row r="122" spans="1:16" ht="14.4" customHeight="1" x14ac:dyDescent="0.3">
      <c r="A122" s="421" t="s">
        <v>1157</v>
      </c>
      <c r="B122" s="422" t="s">
        <v>1010</v>
      </c>
      <c r="C122" s="422" t="s">
        <v>1172</v>
      </c>
      <c r="D122" s="422" t="s">
        <v>1003</v>
      </c>
      <c r="E122" s="425">
        <v>57</v>
      </c>
      <c r="F122" s="425">
        <v>12369</v>
      </c>
      <c r="G122" s="422">
        <v>1</v>
      </c>
      <c r="H122" s="422">
        <v>217</v>
      </c>
      <c r="I122" s="425">
        <v>44</v>
      </c>
      <c r="J122" s="425">
        <v>9548</v>
      </c>
      <c r="K122" s="422">
        <v>0.77192982456140347</v>
      </c>
      <c r="L122" s="422">
        <v>217</v>
      </c>
      <c r="M122" s="425">
        <v>46</v>
      </c>
      <c r="N122" s="425">
        <v>9982</v>
      </c>
      <c r="O122" s="447">
        <v>0.80701754385964908</v>
      </c>
      <c r="P122" s="426">
        <v>217</v>
      </c>
    </row>
    <row r="123" spans="1:16" ht="14.4" customHeight="1" x14ac:dyDescent="0.3">
      <c r="A123" s="421" t="s">
        <v>1157</v>
      </c>
      <c r="B123" s="422" t="s">
        <v>1010</v>
      </c>
      <c r="C123" s="422" t="s">
        <v>1173</v>
      </c>
      <c r="D123" s="422" t="s">
        <v>1003</v>
      </c>
      <c r="E123" s="425">
        <v>33</v>
      </c>
      <c r="F123" s="425">
        <v>34419</v>
      </c>
      <c r="G123" s="422">
        <v>1</v>
      </c>
      <c r="H123" s="422">
        <v>1043</v>
      </c>
      <c r="I123" s="425">
        <v>37</v>
      </c>
      <c r="J123" s="425">
        <v>38591</v>
      </c>
      <c r="K123" s="422">
        <v>1.1212121212121211</v>
      </c>
      <c r="L123" s="422">
        <v>1043</v>
      </c>
      <c r="M123" s="425">
        <v>26</v>
      </c>
      <c r="N123" s="425">
        <v>27118</v>
      </c>
      <c r="O123" s="447">
        <v>0.78787878787878785</v>
      </c>
      <c r="P123" s="426">
        <v>1043</v>
      </c>
    </row>
    <row r="124" spans="1:16" ht="14.4" customHeight="1" x14ac:dyDescent="0.3">
      <c r="A124" s="421" t="s">
        <v>1157</v>
      </c>
      <c r="B124" s="422" t="s">
        <v>1010</v>
      </c>
      <c r="C124" s="422" t="s">
        <v>1174</v>
      </c>
      <c r="D124" s="422" t="s">
        <v>1003</v>
      </c>
      <c r="E124" s="425">
        <v>1</v>
      </c>
      <c r="F124" s="425">
        <v>965</v>
      </c>
      <c r="G124" s="422">
        <v>1</v>
      </c>
      <c r="H124" s="422">
        <v>965</v>
      </c>
      <c r="I124" s="425"/>
      <c r="J124" s="425"/>
      <c r="K124" s="422"/>
      <c r="L124" s="422"/>
      <c r="M124" s="425"/>
      <c r="N124" s="425"/>
      <c r="O124" s="447"/>
      <c r="P124" s="426"/>
    </row>
    <row r="125" spans="1:16" ht="14.4" customHeight="1" x14ac:dyDescent="0.3">
      <c r="A125" s="421" t="s">
        <v>1157</v>
      </c>
      <c r="B125" s="422" t="s">
        <v>1010</v>
      </c>
      <c r="C125" s="422" t="s">
        <v>1175</v>
      </c>
      <c r="D125" s="422" t="s">
        <v>1003</v>
      </c>
      <c r="E125" s="425">
        <v>5</v>
      </c>
      <c r="F125" s="425">
        <v>2710</v>
      </c>
      <c r="G125" s="422">
        <v>1</v>
      </c>
      <c r="H125" s="422">
        <v>542</v>
      </c>
      <c r="I125" s="425">
        <v>9</v>
      </c>
      <c r="J125" s="425">
        <v>4878</v>
      </c>
      <c r="K125" s="422">
        <v>1.8</v>
      </c>
      <c r="L125" s="422">
        <v>542</v>
      </c>
      <c r="M125" s="425">
        <v>4</v>
      </c>
      <c r="N125" s="425">
        <v>2168</v>
      </c>
      <c r="O125" s="447">
        <v>0.8</v>
      </c>
      <c r="P125" s="426">
        <v>542</v>
      </c>
    </row>
    <row r="126" spans="1:16" ht="14.4" customHeight="1" x14ac:dyDescent="0.3">
      <c r="A126" s="421" t="s">
        <v>1157</v>
      </c>
      <c r="B126" s="422" t="s">
        <v>1010</v>
      </c>
      <c r="C126" s="422" t="s">
        <v>1176</v>
      </c>
      <c r="D126" s="422" t="s">
        <v>1003</v>
      </c>
      <c r="E126" s="425">
        <v>1</v>
      </c>
      <c r="F126" s="425">
        <v>298</v>
      </c>
      <c r="G126" s="422">
        <v>1</v>
      </c>
      <c r="H126" s="422">
        <v>298</v>
      </c>
      <c r="I126" s="425"/>
      <c r="J126" s="425"/>
      <c r="K126" s="422"/>
      <c r="L126" s="422"/>
      <c r="M126" s="425"/>
      <c r="N126" s="425"/>
      <c r="O126" s="447"/>
      <c r="P126" s="426"/>
    </row>
    <row r="127" spans="1:16" ht="14.4" customHeight="1" x14ac:dyDescent="0.3">
      <c r="A127" s="421" t="s">
        <v>1157</v>
      </c>
      <c r="B127" s="422" t="s">
        <v>1010</v>
      </c>
      <c r="C127" s="422" t="s">
        <v>1177</v>
      </c>
      <c r="D127" s="422" t="s">
        <v>1003</v>
      </c>
      <c r="E127" s="425">
        <v>15</v>
      </c>
      <c r="F127" s="425">
        <v>8685</v>
      </c>
      <c r="G127" s="422">
        <v>1</v>
      </c>
      <c r="H127" s="422">
        <v>579</v>
      </c>
      <c r="I127" s="425">
        <v>15</v>
      </c>
      <c r="J127" s="425">
        <v>8685</v>
      </c>
      <c r="K127" s="422">
        <v>1</v>
      </c>
      <c r="L127" s="422">
        <v>579</v>
      </c>
      <c r="M127" s="425">
        <v>16</v>
      </c>
      <c r="N127" s="425">
        <v>9264</v>
      </c>
      <c r="O127" s="447">
        <v>1.0666666666666667</v>
      </c>
      <c r="P127" s="426">
        <v>579</v>
      </c>
    </row>
    <row r="128" spans="1:16" ht="14.4" customHeight="1" x14ac:dyDescent="0.3">
      <c r="A128" s="421" t="s">
        <v>1157</v>
      </c>
      <c r="B128" s="422" t="s">
        <v>1010</v>
      </c>
      <c r="C128" s="422" t="s">
        <v>1178</v>
      </c>
      <c r="D128" s="422" t="s">
        <v>1003</v>
      </c>
      <c r="E128" s="425"/>
      <c r="F128" s="425"/>
      <c r="G128" s="422"/>
      <c r="H128" s="422"/>
      <c r="I128" s="425"/>
      <c r="J128" s="425"/>
      <c r="K128" s="422"/>
      <c r="L128" s="422"/>
      <c r="M128" s="425">
        <v>1</v>
      </c>
      <c r="N128" s="425">
        <v>678</v>
      </c>
      <c r="O128" s="447"/>
      <c r="P128" s="426">
        <v>678</v>
      </c>
    </row>
    <row r="129" spans="1:16" ht="14.4" customHeight="1" x14ac:dyDescent="0.3">
      <c r="A129" s="421" t="s">
        <v>1157</v>
      </c>
      <c r="B129" s="422" t="s">
        <v>1060</v>
      </c>
      <c r="C129" s="422" t="s">
        <v>1067</v>
      </c>
      <c r="D129" s="422" t="s">
        <v>1068</v>
      </c>
      <c r="E129" s="425">
        <v>4</v>
      </c>
      <c r="F129" s="425">
        <v>311.11</v>
      </c>
      <c r="G129" s="422">
        <v>1</v>
      </c>
      <c r="H129" s="422">
        <v>77.777500000000003</v>
      </c>
      <c r="I129" s="425">
        <v>3</v>
      </c>
      <c r="J129" s="425">
        <v>233.34</v>
      </c>
      <c r="K129" s="422">
        <v>0.75002410722895441</v>
      </c>
      <c r="L129" s="422">
        <v>77.78</v>
      </c>
      <c r="M129" s="425">
        <v>7</v>
      </c>
      <c r="N129" s="425">
        <v>544.45000000000005</v>
      </c>
      <c r="O129" s="447">
        <v>1.7500241072289544</v>
      </c>
      <c r="P129" s="426">
        <v>77.778571428571439</v>
      </c>
    </row>
    <row r="130" spans="1:16" ht="14.4" customHeight="1" x14ac:dyDescent="0.3">
      <c r="A130" s="421" t="s">
        <v>1157</v>
      </c>
      <c r="B130" s="422" t="s">
        <v>1060</v>
      </c>
      <c r="C130" s="422" t="s">
        <v>1069</v>
      </c>
      <c r="D130" s="422" t="s">
        <v>1070</v>
      </c>
      <c r="E130" s="425">
        <v>26</v>
      </c>
      <c r="F130" s="425">
        <v>6500</v>
      </c>
      <c r="G130" s="422">
        <v>1</v>
      </c>
      <c r="H130" s="422">
        <v>250</v>
      </c>
      <c r="I130" s="425">
        <v>14</v>
      </c>
      <c r="J130" s="425">
        <v>3500</v>
      </c>
      <c r="K130" s="422">
        <v>0.53846153846153844</v>
      </c>
      <c r="L130" s="422">
        <v>250</v>
      </c>
      <c r="M130" s="425">
        <v>12</v>
      </c>
      <c r="N130" s="425">
        <v>3000</v>
      </c>
      <c r="O130" s="447">
        <v>0.46153846153846156</v>
      </c>
      <c r="P130" s="426">
        <v>250</v>
      </c>
    </row>
    <row r="131" spans="1:16" ht="14.4" customHeight="1" x14ac:dyDescent="0.3">
      <c r="A131" s="421" t="s">
        <v>1157</v>
      </c>
      <c r="B131" s="422" t="s">
        <v>1060</v>
      </c>
      <c r="C131" s="422" t="s">
        <v>1071</v>
      </c>
      <c r="D131" s="422" t="s">
        <v>1072</v>
      </c>
      <c r="E131" s="425">
        <v>141</v>
      </c>
      <c r="F131" s="425">
        <v>42300</v>
      </c>
      <c r="G131" s="422">
        <v>1</v>
      </c>
      <c r="H131" s="422">
        <v>300</v>
      </c>
      <c r="I131" s="425">
        <v>135</v>
      </c>
      <c r="J131" s="425">
        <v>40500</v>
      </c>
      <c r="K131" s="422">
        <v>0.95744680851063835</v>
      </c>
      <c r="L131" s="422">
        <v>300</v>
      </c>
      <c r="M131" s="425">
        <v>145</v>
      </c>
      <c r="N131" s="425">
        <v>43500</v>
      </c>
      <c r="O131" s="447">
        <v>1.0283687943262412</v>
      </c>
      <c r="P131" s="426">
        <v>300</v>
      </c>
    </row>
    <row r="132" spans="1:16" ht="14.4" customHeight="1" x14ac:dyDescent="0.3">
      <c r="A132" s="421" t="s">
        <v>1157</v>
      </c>
      <c r="B132" s="422" t="s">
        <v>1060</v>
      </c>
      <c r="C132" s="422" t="s">
        <v>1179</v>
      </c>
      <c r="D132" s="422" t="s">
        <v>1180</v>
      </c>
      <c r="E132" s="425">
        <v>78</v>
      </c>
      <c r="F132" s="425">
        <v>51999.990000000005</v>
      </c>
      <c r="G132" s="422">
        <v>1</v>
      </c>
      <c r="H132" s="422">
        <v>666.66653846153849</v>
      </c>
      <c r="I132" s="425">
        <v>76</v>
      </c>
      <c r="J132" s="425">
        <v>50666.67</v>
      </c>
      <c r="K132" s="422">
        <v>0.97435922583831258</v>
      </c>
      <c r="L132" s="422">
        <v>666.6667105263158</v>
      </c>
      <c r="M132" s="425">
        <v>77</v>
      </c>
      <c r="N132" s="425">
        <v>51333.33</v>
      </c>
      <c r="O132" s="447">
        <v>0.98717961291915624</v>
      </c>
      <c r="P132" s="426">
        <v>666.66662337662342</v>
      </c>
    </row>
    <row r="133" spans="1:16" ht="14.4" customHeight="1" x14ac:dyDescent="0.3">
      <c r="A133" s="421" t="s">
        <v>1157</v>
      </c>
      <c r="B133" s="422" t="s">
        <v>1060</v>
      </c>
      <c r="C133" s="422" t="s">
        <v>1181</v>
      </c>
      <c r="D133" s="422" t="s">
        <v>1182</v>
      </c>
      <c r="E133" s="425">
        <v>143</v>
      </c>
      <c r="F133" s="425">
        <v>33366.67</v>
      </c>
      <c r="G133" s="422">
        <v>1</v>
      </c>
      <c r="H133" s="422">
        <v>233.33335664335664</v>
      </c>
      <c r="I133" s="425">
        <v>113</v>
      </c>
      <c r="J133" s="425">
        <v>26366.660000000003</v>
      </c>
      <c r="K133" s="422">
        <v>0.79020951146758145</v>
      </c>
      <c r="L133" s="422">
        <v>233.33327433628321</v>
      </c>
      <c r="M133" s="425">
        <v>137</v>
      </c>
      <c r="N133" s="425">
        <v>31966.68</v>
      </c>
      <c r="O133" s="447">
        <v>0.95804226193384001</v>
      </c>
      <c r="P133" s="426">
        <v>233.3334306569343</v>
      </c>
    </row>
    <row r="134" spans="1:16" ht="14.4" customHeight="1" x14ac:dyDescent="0.3">
      <c r="A134" s="421" t="s">
        <v>1157</v>
      </c>
      <c r="B134" s="422" t="s">
        <v>1060</v>
      </c>
      <c r="C134" s="422" t="s">
        <v>1183</v>
      </c>
      <c r="D134" s="422" t="s">
        <v>1184</v>
      </c>
      <c r="E134" s="425">
        <v>74</v>
      </c>
      <c r="F134" s="425">
        <v>57555.55</v>
      </c>
      <c r="G134" s="422">
        <v>1</v>
      </c>
      <c r="H134" s="422">
        <v>777.77770270270275</v>
      </c>
      <c r="I134" s="425">
        <v>84</v>
      </c>
      <c r="J134" s="425">
        <v>65333.33</v>
      </c>
      <c r="K134" s="422">
        <v>1.1351351867891106</v>
      </c>
      <c r="L134" s="422">
        <v>777.77773809523808</v>
      </c>
      <c r="M134" s="425">
        <v>76</v>
      </c>
      <c r="N134" s="425">
        <v>59111.11</v>
      </c>
      <c r="O134" s="447">
        <v>1.0270271068558983</v>
      </c>
      <c r="P134" s="426">
        <v>777.7777631578947</v>
      </c>
    </row>
    <row r="135" spans="1:16" ht="14.4" customHeight="1" x14ac:dyDescent="0.3">
      <c r="A135" s="421" t="s">
        <v>1157</v>
      </c>
      <c r="B135" s="422" t="s">
        <v>1060</v>
      </c>
      <c r="C135" s="422" t="s">
        <v>1185</v>
      </c>
      <c r="D135" s="422" t="s">
        <v>1186</v>
      </c>
      <c r="E135" s="425">
        <v>361</v>
      </c>
      <c r="F135" s="425">
        <v>88244.45</v>
      </c>
      <c r="G135" s="422">
        <v>1</v>
      </c>
      <c r="H135" s="422">
        <v>244.44445983379501</v>
      </c>
      <c r="I135" s="425">
        <v>356</v>
      </c>
      <c r="J135" s="425">
        <v>87022.21</v>
      </c>
      <c r="K135" s="422">
        <v>0.98614938389893081</v>
      </c>
      <c r="L135" s="422">
        <v>244.44441011235958</v>
      </c>
      <c r="M135" s="425">
        <v>299</v>
      </c>
      <c r="N135" s="425">
        <v>73088.88</v>
      </c>
      <c r="O135" s="447">
        <v>0.82825469477117264</v>
      </c>
      <c r="P135" s="426">
        <v>244.44441471571909</v>
      </c>
    </row>
    <row r="136" spans="1:16" ht="14.4" customHeight="1" x14ac:dyDescent="0.3">
      <c r="A136" s="421" t="s">
        <v>1157</v>
      </c>
      <c r="B136" s="422" t="s">
        <v>1060</v>
      </c>
      <c r="C136" s="422" t="s">
        <v>1187</v>
      </c>
      <c r="D136" s="422" t="s">
        <v>1188</v>
      </c>
      <c r="E136" s="425">
        <v>3</v>
      </c>
      <c r="F136" s="425">
        <v>1576.6699999999998</v>
      </c>
      <c r="G136" s="422">
        <v>1</v>
      </c>
      <c r="H136" s="422">
        <v>525.55666666666662</v>
      </c>
      <c r="I136" s="425">
        <v>4</v>
      </c>
      <c r="J136" s="425">
        <v>2102.2199999999998</v>
      </c>
      <c r="K136" s="422">
        <v>1.3333291050124629</v>
      </c>
      <c r="L136" s="422">
        <v>525.55499999999995</v>
      </c>
      <c r="M136" s="425">
        <v>2</v>
      </c>
      <c r="N136" s="425">
        <v>1051.1099999999999</v>
      </c>
      <c r="O136" s="447">
        <v>0.66666455250623147</v>
      </c>
      <c r="P136" s="426">
        <v>525.55499999999995</v>
      </c>
    </row>
    <row r="137" spans="1:16" ht="14.4" customHeight="1" x14ac:dyDescent="0.3">
      <c r="A137" s="421" t="s">
        <v>1157</v>
      </c>
      <c r="B137" s="422" t="s">
        <v>1060</v>
      </c>
      <c r="C137" s="422" t="s">
        <v>1189</v>
      </c>
      <c r="D137" s="422" t="s">
        <v>1190</v>
      </c>
      <c r="E137" s="425">
        <v>2</v>
      </c>
      <c r="F137" s="425">
        <v>2000</v>
      </c>
      <c r="G137" s="422">
        <v>1</v>
      </c>
      <c r="H137" s="422">
        <v>1000</v>
      </c>
      <c r="I137" s="425"/>
      <c r="J137" s="425"/>
      <c r="K137" s="422"/>
      <c r="L137" s="422"/>
      <c r="M137" s="425">
        <v>1</v>
      </c>
      <c r="N137" s="425">
        <v>1000</v>
      </c>
      <c r="O137" s="447">
        <v>0.5</v>
      </c>
      <c r="P137" s="426">
        <v>1000</v>
      </c>
    </row>
    <row r="138" spans="1:16" ht="14.4" customHeight="1" x14ac:dyDescent="0.3">
      <c r="A138" s="421" t="s">
        <v>1157</v>
      </c>
      <c r="B138" s="422" t="s">
        <v>1060</v>
      </c>
      <c r="C138" s="422" t="s">
        <v>1107</v>
      </c>
      <c r="D138" s="422" t="s">
        <v>1108</v>
      </c>
      <c r="E138" s="425">
        <v>3</v>
      </c>
      <c r="F138" s="425">
        <v>0</v>
      </c>
      <c r="G138" s="422"/>
      <c r="H138" s="422">
        <v>0</v>
      </c>
      <c r="I138" s="425">
        <v>5</v>
      </c>
      <c r="J138" s="425">
        <v>0</v>
      </c>
      <c r="K138" s="422"/>
      <c r="L138" s="422">
        <v>0</v>
      </c>
      <c r="M138" s="425">
        <v>1</v>
      </c>
      <c r="N138" s="425">
        <v>0</v>
      </c>
      <c r="O138" s="447"/>
      <c r="P138" s="426">
        <v>0</v>
      </c>
    </row>
    <row r="139" spans="1:16" ht="14.4" customHeight="1" x14ac:dyDescent="0.3">
      <c r="A139" s="421" t="s">
        <v>1157</v>
      </c>
      <c r="B139" s="422" t="s">
        <v>1060</v>
      </c>
      <c r="C139" s="422" t="s">
        <v>1109</v>
      </c>
      <c r="D139" s="422" t="s">
        <v>1110</v>
      </c>
      <c r="E139" s="425">
        <v>225</v>
      </c>
      <c r="F139" s="425">
        <v>0</v>
      </c>
      <c r="G139" s="422"/>
      <c r="H139" s="422">
        <v>0</v>
      </c>
      <c r="I139" s="425">
        <v>215</v>
      </c>
      <c r="J139" s="425">
        <v>0</v>
      </c>
      <c r="K139" s="422"/>
      <c r="L139" s="422">
        <v>0</v>
      </c>
      <c r="M139" s="425">
        <v>211</v>
      </c>
      <c r="N139" s="425">
        <v>0</v>
      </c>
      <c r="O139" s="447"/>
      <c r="P139" s="426">
        <v>0</v>
      </c>
    </row>
    <row r="140" spans="1:16" ht="14.4" customHeight="1" x14ac:dyDescent="0.3">
      <c r="A140" s="421" t="s">
        <v>1157</v>
      </c>
      <c r="B140" s="422" t="s">
        <v>1060</v>
      </c>
      <c r="C140" s="422" t="s">
        <v>1111</v>
      </c>
      <c r="D140" s="422" t="s">
        <v>1112</v>
      </c>
      <c r="E140" s="425">
        <v>190</v>
      </c>
      <c r="F140" s="425">
        <v>58055.540000000008</v>
      </c>
      <c r="G140" s="422">
        <v>1</v>
      </c>
      <c r="H140" s="422">
        <v>305.5554736842106</v>
      </c>
      <c r="I140" s="425">
        <v>159</v>
      </c>
      <c r="J140" s="425">
        <v>48583.33</v>
      </c>
      <c r="K140" s="422">
        <v>0.83684227207257045</v>
      </c>
      <c r="L140" s="422">
        <v>305.555534591195</v>
      </c>
      <c r="M140" s="425">
        <v>171</v>
      </c>
      <c r="N140" s="425">
        <v>52250.009999999995</v>
      </c>
      <c r="O140" s="447">
        <v>0.90000041339723968</v>
      </c>
      <c r="P140" s="426">
        <v>305.55561403508767</v>
      </c>
    </row>
    <row r="141" spans="1:16" ht="14.4" customHeight="1" x14ac:dyDescent="0.3">
      <c r="A141" s="421" t="s">
        <v>1157</v>
      </c>
      <c r="B141" s="422" t="s">
        <v>1060</v>
      </c>
      <c r="C141" s="422" t="s">
        <v>1113</v>
      </c>
      <c r="D141" s="422" t="s">
        <v>1114</v>
      </c>
      <c r="E141" s="425">
        <v>583</v>
      </c>
      <c r="F141" s="425">
        <v>0</v>
      </c>
      <c r="G141" s="422"/>
      <c r="H141" s="422">
        <v>0</v>
      </c>
      <c r="I141" s="425">
        <v>516</v>
      </c>
      <c r="J141" s="425">
        <v>0</v>
      </c>
      <c r="K141" s="422"/>
      <c r="L141" s="422">
        <v>0</v>
      </c>
      <c r="M141" s="425">
        <v>210</v>
      </c>
      <c r="N141" s="425">
        <v>0</v>
      </c>
      <c r="O141" s="447"/>
      <c r="P141" s="426">
        <v>0</v>
      </c>
    </row>
    <row r="142" spans="1:16" ht="14.4" customHeight="1" x14ac:dyDescent="0.3">
      <c r="A142" s="421" t="s">
        <v>1157</v>
      </c>
      <c r="B142" s="422" t="s">
        <v>1060</v>
      </c>
      <c r="C142" s="422" t="s">
        <v>1115</v>
      </c>
      <c r="D142" s="422" t="s">
        <v>1116</v>
      </c>
      <c r="E142" s="425">
        <v>151</v>
      </c>
      <c r="F142" s="425">
        <v>68788.89</v>
      </c>
      <c r="G142" s="422">
        <v>1</v>
      </c>
      <c r="H142" s="422">
        <v>455.55556291390729</v>
      </c>
      <c r="I142" s="425">
        <v>173</v>
      </c>
      <c r="J142" s="425">
        <v>78811.11</v>
      </c>
      <c r="K142" s="422">
        <v>1.1456953295801109</v>
      </c>
      <c r="L142" s="422">
        <v>455.55554913294799</v>
      </c>
      <c r="M142" s="425">
        <v>146</v>
      </c>
      <c r="N142" s="425">
        <v>66511.11</v>
      </c>
      <c r="O142" s="447">
        <v>0.96688738544843511</v>
      </c>
      <c r="P142" s="426">
        <v>455.55554794520549</v>
      </c>
    </row>
    <row r="143" spans="1:16" ht="14.4" customHeight="1" x14ac:dyDescent="0.3">
      <c r="A143" s="421" t="s">
        <v>1157</v>
      </c>
      <c r="B143" s="422" t="s">
        <v>1060</v>
      </c>
      <c r="C143" s="422" t="s">
        <v>1119</v>
      </c>
      <c r="D143" s="422" t="s">
        <v>1120</v>
      </c>
      <c r="E143" s="425">
        <v>191</v>
      </c>
      <c r="F143" s="425">
        <v>14855.55</v>
      </c>
      <c r="G143" s="422">
        <v>1</v>
      </c>
      <c r="H143" s="422">
        <v>77.777748691099475</v>
      </c>
      <c r="I143" s="425">
        <v>164</v>
      </c>
      <c r="J143" s="425">
        <v>12755.56</v>
      </c>
      <c r="K143" s="422">
        <v>0.8586393637394778</v>
      </c>
      <c r="L143" s="422">
        <v>77.777804878048784</v>
      </c>
      <c r="M143" s="425">
        <v>185</v>
      </c>
      <c r="N143" s="425">
        <v>14388.9</v>
      </c>
      <c r="O143" s="447">
        <v>0.96858749760190643</v>
      </c>
      <c r="P143" s="426">
        <v>77.777837837837836</v>
      </c>
    </row>
    <row r="144" spans="1:16" ht="14.4" customHeight="1" x14ac:dyDescent="0.3">
      <c r="A144" s="421" t="s">
        <v>1157</v>
      </c>
      <c r="B144" s="422" t="s">
        <v>1060</v>
      </c>
      <c r="C144" s="422" t="s">
        <v>1191</v>
      </c>
      <c r="D144" s="422" t="s">
        <v>1192</v>
      </c>
      <c r="E144" s="425">
        <v>112</v>
      </c>
      <c r="F144" s="425">
        <v>161777.78</v>
      </c>
      <c r="G144" s="422">
        <v>1</v>
      </c>
      <c r="H144" s="422">
        <v>1444.4444642857143</v>
      </c>
      <c r="I144" s="425">
        <v>92</v>
      </c>
      <c r="J144" s="425">
        <v>132888.9</v>
      </c>
      <c r="K144" s="422">
        <v>0.82142862882652978</v>
      </c>
      <c r="L144" s="422">
        <v>1444.4445652173913</v>
      </c>
      <c r="M144" s="425">
        <v>76</v>
      </c>
      <c r="N144" s="425">
        <v>109777.78</v>
      </c>
      <c r="O144" s="447">
        <v>0.67857143298665612</v>
      </c>
      <c r="P144" s="426">
        <v>1444.4444736842106</v>
      </c>
    </row>
    <row r="145" spans="1:16" ht="14.4" customHeight="1" x14ac:dyDescent="0.3">
      <c r="A145" s="421" t="s">
        <v>1157</v>
      </c>
      <c r="B145" s="422" t="s">
        <v>1060</v>
      </c>
      <c r="C145" s="422" t="s">
        <v>1131</v>
      </c>
      <c r="D145" s="422" t="s">
        <v>1132</v>
      </c>
      <c r="E145" s="425">
        <v>3</v>
      </c>
      <c r="F145" s="425">
        <v>290</v>
      </c>
      <c r="G145" s="422">
        <v>1</v>
      </c>
      <c r="H145" s="422">
        <v>96.666666666666671</v>
      </c>
      <c r="I145" s="425">
        <v>2</v>
      </c>
      <c r="J145" s="425">
        <v>193.34</v>
      </c>
      <c r="K145" s="422">
        <v>0.66668965517241385</v>
      </c>
      <c r="L145" s="422">
        <v>96.67</v>
      </c>
      <c r="M145" s="425">
        <v>1</v>
      </c>
      <c r="N145" s="425">
        <v>96.67</v>
      </c>
      <c r="O145" s="447">
        <v>0.33334482758620693</v>
      </c>
      <c r="P145" s="426">
        <v>96.67</v>
      </c>
    </row>
    <row r="146" spans="1:16" ht="14.4" customHeight="1" x14ac:dyDescent="0.3">
      <c r="A146" s="421" t="s">
        <v>1157</v>
      </c>
      <c r="B146" s="422" t="s">
        <v>1060</v>
      </c>
      <c r="C146" s="422" t="s">
        <v>1193</v>
      </c>
      <c r="D146" s="422" t="s">
        <v>1194</v>
      </c>
      <c r="E146" s="425">
        <v>111</v>
      </c>
      <c r="F146" s="425">
        <v>38850</v>
      </c>
      <c r="G146" s="422">
        <v>1</v>
      </c>
      <c r="H146" s="422">
        <v>350</v>
      </c>
      <c r="I146" s="425">
        <v>90</v>
      </c>
      <c r="J146" s="425">
        <v>31500</v>
      </c>
      <c r="K146" s="422">
        <v>0.81081081081081086</v>
      </c>
      <c r="L146" s="422">
        <v>350</v>
      </c>
      <c r="M146" s="425">
        <v>103</v>
      </c>
      <c r="N146" s="425">
        <v>36050</v>
      </c>
      <c r="O146" s="447">
        <v>0.92792792792792789</v>
      </c>
      <c r="P146" s="426">
        <v>350</v>
      </c>
    </row>
    <row r="147" spans="1:16" ht="14.4" customHeight="1" x14ac:dyDescent="0.3">
      <c r="A147" s="421" t="s">
        <v>1157</v>
      </c>
      <c r="B147" s="422" t="s">
        <v>1060</v>
      </c>
      <c r="C147" s="422" t="s">
        <v>1195</v>
      </c>
      <c r="D147" s="422" t="s">
        <v>1196</v>
      </c>
      <c r="E147" s="425">
        <v>25</v>
      </c>
      <c r="F147" s="425">
        <v>1472.2199999999998</v>
      </c>
      <c r="G147" s="422">
        <v>1</v>
      </c>
      <c r="H147" s="422">
        <v>58.888799999999989</v>
      </c>
      <c r="I147" s="425">
        <v>14</v>
      </c>
      <c r="J147" s="425">
        <v>824.44999999999993</v>
      </c>
      <c r="K147" s="422">
        <v>0.5600046188748965</v>
      </c>
      <c r="L147" s="422">
        <v>58.889285714285712</v>
      </c>
      <c r="M147" s="425">
        <v>13</v>
      </c>
      <c r="N147" s="425">
        <v>765.56000000000006</v>
      </c>
      <c r="O147" s="447">
        <v>0.52000380377932653</v>
      </c>
      <c r="P147" s="426">
        <v>58.889230769230771</v>
      </c>
    </row>
    <row r="148" spans="1:16" ht="14.4" customHeight="1" x14ac:dyDescent="0.3">
      <c r="A148" s="421" t="s">
        <v>1157</v>
      </c>
      <c r="B148" s="422" t="s">
        <v>1060</v>
      </c>
      <c r="C148" s="422" t="s">
        <v>1197</v>
      </c>
      <c r="D148" s="422" t="s">
        <v>1198</v>
      </c>
      <c r="E148" s="425">
        <v>140</v>
      </c>
      <c r="F148" s="425">
        <v>18044.45</v>
      </c>
      <c r="G148" s="422">
        <v>1</v>
      </c>
      <c r="H148" s="422">
        <v>128.88892857142858</v>
      </c>
      <c r="I148" s="425">
        <v>134</v>
      </c>
      <c r="J148" s="425">
        <v>17271.11</v>
      </c>
      <c r="K148" s="422">
        <v>0.95714250087977193</v>
      </c>
      <c r="L148" s="422">
        <v>128.88888059701492</v>
      </c>
      <c r="M148" s="425">
        <v>145</v>
      </c>
      <c r="N148" s="425">
        <v>18688.88</v>
      </c>
      <c r="O148" s="447">
        <v>1.0357134742261471</v>
      </c>
      <c r="P148" s="426">
        <v>128.8888275862069</v>
      </c>
    </row>
    <row r="149" spans="1:16" ht="14.4" customHeight="1" x14ac:dyDescent="0.3">
      <c r="A149" s="421" t="s">
        <v>1157</v>
      </c>
      <c r="B149" s="422" t="s">
        <v>1060</v>
      </c>
      <c r="C149" s="422" t="s">
        <v>1143</v>
      </c>
      <c r="D149" s="422" t="s">
        <v>1144</v>
      </c>
      <c r="E149" s="425">
        <v>320</v>
      </c>
      <c r="F149" s="425">
        <v>15644.439999999999</v>
      </c>
      <c r="G149" s="422">
        <v>1</v>
      </c>
      <c r="H149" s="422">
        <v>48.888874999999999</v>
      </c>
      <c r="I149" s="425">
        <v>319</v>
      </c>
      <c r="J149" s="425">
        <v>15595.539999999999</v>
      </c>
      <c r="K149" s="422">
        <v>0.99687428888474117</v>
      </c>
      <c r="L149" s="422">
        <v>48.888840125391845</v>
      </c>
      <c r="M149" s="425">
        <v>320</v>
      </c>
      <c r="N149" s="425">
        <v>15644.439999999999</v>
      </c>
      <c r="O149" s="447">
        <v>1</v>
      </c>
      <c r="P149" s="426">
        <v>48.888874999999999</v>
      </c>
    </row>
    <row r="150" spans="1:16" ht="14.4" customHeight="1" x14ac:dyDescent="0.3">
      <c r="A150" s="421" t="s">
        <v>1157</v>
      </c>
      <c r="B150" s="422" t="s">
        <v>1060</v>
      </c>
      <c r="C150" s="422" t="s">
        <v>1199</v>
      </c>
      <c r="D150" s="422" t="s">
        <v>1200</v>
      </c>
      <c r="E150" s="425">
        <v>692</v>
      </c>
      <c r="F150" s="425">
        <v>615111.11</v>
      </c>
      <c r="G150" s="422">
        <v>1</v>
      </c>
      <c r="H150" s="422">
        <v>888.88888728323695</v>
      </c>
      <c r="I150" s="425">
        <v>613</v>
      </c>
      <c r="J150" s="425">
        <v>544888.89</v>
      </c>
      <c r="K150" s="422">
        <v>0.88583815369551699</v>
      </c>
      <c r="L150" s="422">
        <v>888.8888907014682</v>
      </c>
      <c r="M150" s="425">
        <v>603</v>
      </c>
      <c r="N150" s="425">
        <v>536000</v>
      </c>
      <c r="O150" s="447">
        <v>0.871387284811032</v>
      </c>
      <c r="P150" s="426">
        <v>888.88888888888891</v>
      </c>
    </row>
    <row r="151" spans="1:16" ht="14.4" customHeight="1" thickBot="1" x14ac:dyDescent="0.35">
      <c r="A151" s="427" t="s">
        <v>1157</v>
      </c>
      <c r="B151" s="428" t="s">
        <v>1060</v>
      </c>
      <c r="C151" s="428" t="s">
        <v>1201</v>
      </c>
      <c r="D151" s="428" t="s">
        <v>1202</v>
      </c>
      <c r="E151" s="431">
        <v>25</v>
      </c>
      <c r="F151" s="431">
        <v>8333.33</v>
      </c>
      <c r="G151" s="428">
        <v>1</v>
      </c>
      <c r="H151" s="428">
        <v>333.33319999999998</v>
      </c>
      <c r="I151" s="431">
        <v>15</v>
      </c>
      <c r="J151" s="431">
        <v>5000.01</v>
      </c>
      <c r="K151" s="428">
        <v>0.60000144000057598</v>
      </c>
      <c r="L151" s="428">
        <v>333.334</v>
      </c>
      <c r="M151" s="431">
        <v>5</v>
      </c>
      <c r="N151" s="431">
        <v>1666.6599999999999</v>
      </c>
      <c r="O151" s="439">
        <v>0.19999927999971198</v>
      </c>
      <c r="P151" s="432">
        <v>333.33199999999999</v>
      </c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2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34" bestFit="1" customWidth="1"/>
    <col min="2" max="2" width="11.6640625" style="134" hidden="1" customWidth="1"/>
    <col min="3" max="4" width="11" style="136" customWidth="1"/>
    <col min="5" max="5" width="11" style="137" customWidth="1"/>
    <col min="6" max="16384" width="8.88671875" style="134"/>
  </cols>
  <sheetData>
    <row r="1" spans="1:5" ht="18.600000000000001" thickBot="1" x14ac:dyDescent="0.4">
      <c r="A1" s="302" t="s">
        <v>105</v>
      </c>
      <c r="B1" s="302"/>
      <c r="C1" s="303"/>
      <c r="D1" s="303"/>
      <c r="E1" s="303"/>
    </row>
    <row r="2" spans="1:5" ht="14.4" customHeight="1" thickBot="1" x14ac:dyDescent="0.35">
      <c r="A2" s="212" t="s">
        <v>254</v>
      </c>
      <c r="B2" s="135"/>
    </row>
    <row r="3" spans="1:5" ht="14.4" customHeight="1" thickBot="1" x14ac:dyDescent="0.35">
      <c r="A3" s="138"/>
      <c r="C3" s="139" t="s">
        <v>93</v>
      </c>
      <c r="D3" s="140" t="s">
        <v>60</v>
      </c>
      <c r="E3" s="141" t="s">
        <v>62</v>
      </c>
    </row>
    <row r="4" spans="1:5" ht="14.4" customHeight="1" thickBot="1" x14ac:dyDescent="0.35">
      <c r="A4" s="142" t="str">
        <f>HYPERLINK("#HI!A1","NÁKLADY CELKEM (v tisících Kč)")</f>
        <v>NÁKLADY CELKEM (v tisících Kč)</v>
      </c>
      <c r="B4" s="143"/>
      <c r="C4" s="144">
        <f ca="1">IF(ISERROR(VLOOKUP("Náklady celkem",INDIRECT("HI!$A:$G"),6,0)),0,VLOOKUP("Náklady celkem",INDIRECT("HI!$A:$G"),6,0))</f>
        <v>7005.5785185157347</v>
      </c>
      <c r="D4" s="144">
        <f ca="1">IF(ISERROR(VLOOKUP("Náklady celkem",INDIRECT("HI!$A:$G"),5,0)),0,VLOOKUP("Náklady celkem",INDIRECT("HI!$A:$G"),5,0))</f>
        <v>5961.0097700000106</v>
      </c>
      <c r="E4" s="145">
        <f ca="1">IF(C4=0,0,D4/C4)</f>
        <v>0.85089471972158615</v>
      </c>
    </row>
    <row r="5" spans="1:5" ht="14.4" customHeight="1" x14ac:dyDescent="0.3">
      <c r="A5" s="146" t="s">
        <v>127</v>
      </c>
      <c r="B5" s="147"/>
      <c r="C5" s="148"/>
      <c r="D5" s="148"/>
      <c r="E5" s="149"/>
    </row>
    <row r="6" spans="1:5" ht="14.4" customHeight="1" x14ac:dyDescent="0.3">
      <c r="A6" s="150" t="s">
        <v>132</v>
      </c>
      <c r="B6" s="151"/>
      <c r="C6" s="152"/>
      <c r="D6" s="152"/>
      <c r="E6" s="149"/>
    </row>
    <row r="7" spans="1:5" ht="14.4" customHeight="1" x14ac:dyDescent="0.3">
      <c r="A7" s="15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1" t="s">
        <v>97</v>
      </c>
      <c r="C7" s="152">
        <f>IF(ISERROR(HI!F5),"",HI!F5)</f>
        <v>50.895959743187831</v>
      </c>
      <c r="D7" s="152">
        <f>IF(ISERROR(HI!E5),"",HI!E5)</f>
        <v>53.699169999999995</v>
      </c>
      <c r="E7" s="149">
        <f t="shared" ref="E7:E13" si="0">IF(C7=0,0,D7/C7)</f>
        <v>1.0550772648940441</v>
      </c>
    </row>
    <row r="8" spans="1:5" ht="14.4" customHeight="1" x14ac:dyDescent="0.3">
      <c r="A8" s="153" t="str">
        <f>HYPERLINK("#'LŽ PL'!A1","% plnění pozitivního listu")</f>
        <v>% plnění pozitivního listu</v>
      </c>
      <c r="B8" s="151" t="s">
        <v>125</v>
      </c>
      <c r="C8" s="154">
        <v>0.9</v>
      </c>
      <c r="D8" s="154">
        <f>IF(ISERROR(VLOOKUP("celkem",'LŽ PL'!$A:$F,5,0)),0,VLOOKUP("celkem",'LŽ PL'!$A:$F,5,0))</f>
        <v>1</v>
      </c>
      <c r="E8" s="149">
        <f t="shared" si="0"/>
        <v>1.1111111111111112</v>
      </c>
    </row>
    <row r="9" spans="1:5" ht="14.4" customHeight="1" x14ac:dyDescent="0.3">
      <c r="A9" s="289" t="str">
        <f>HYPERLINK("#'LŽ Statim'!A1","% podíl statimových žádanek")</f>
        <v>% podíl statimových žádanek</v>
      </c>
      <c r="B9" s="287" t="s">
        <v>229</v>
      </c>
      <c r="C9" s="288">
        <v>0.3</v>
      </c>
      <c r="D9" s="288">
        <f>IF('LŽ Statim'!G3="",0,'LŽ Statim'!G3)</f>
        <v>0</v>
      </c>
      <c r="E9" s="149">
        <f>IF(C9=0,0,D9/C9)</f>
        <v>0</v>
      </c>
    </row>
    <row r="10" spans="1:5" ht="14.4" customHeight="1" x14ac:dyDescent="0.3">
      <c r="A10" s="155" t="s">
        <v>128</v>
      </c>
      <c r="B10" s="151"/>
      <c r="C10" s="152"/>
      <c r="D10" s="152"/>
      <c r="E10" s="149"/>
    </row>
    <row r="11" spans="1:5" ht="14.4" customHeight="1" x14ac:dyDescent="0.3">
      <c r="A11" s="155" t="s">
        <v>129</v>
      </c>
      <c r="B11" s="151"/>
      <c r="C11" s="152"/>
      <c r="D11" s="152"/>
      <c r="E11" s="149"/>
    </row>
    <row r="12" spans="1:5" ht="14.4" customHeight="1" x14ac:dyDescent="0.3">
      <c r="A12" s="156" t="s">
        <v>133</v>
      </c>
      <c r="B12" s="151"/>
      <c r="C12" s="148"/>
      <c r="D12" s="148"/>
      <c r="E12" s="149"/>
    </row>
    <row r="13" spans="1:5" ht="14.4" customHeight="1" x14ac:dyDescent="0.3">
      <c r="A13" s="1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51" t="s">
        <v>97</v>
      </c>
      <c r="C13" s="152">
        <f>IF(ISERROR(HI!F6),"",HI!F6)</f>
        <v>647.96251792408327</v>
      </c>
      <c r="D13" s="152">
        <f>IF(ISERROR(HI!E6),"",HI!E6)</f>
        <v>492.032340000001</v>
      </c>
      <c r="E13" s="149">
        <f t="shared" si="0"/>
        <v>0.75935308970703241</v>
      </c>
    </row>
    <row r="14" spans="1:5" ht="14.4" customHeight="1" thickBot="1" x14ac:dyDescent="0.35">
      <c r="A14" s="158" t="str">
        <f>HYPERLINK("#HI!A1","Osobní náklady")</f>
        <v>Osobní náklady</v>
      </c>
      <c r="B14" s="151"/>
      <c r="C14" s="148">
        <f ca="1">IF(ISERROR(VLOOKUP("Osobní náklady (Kč) *",INDIRECT("HI!$A:$G"),6,0)),0,VLOOKUP("Osobní náklady (Kč) *",INDIRECT("HI!$A:$G"),6,0))</f>
        <v>4769.1665174993987</v>
      </c>
      <c r="D14" s="148">
        <f ca="1">IF(ISERROR(VLOOKUP("Osobní náklady (Kč) *",INDIRECT("HI!$A:$G"),5,0)),0,VLOOKUP("Osobní náklady (Kč) *",INDIRECT("HI!$A:$G"),5,0))</f>
        <v>4452.9880700000012</v>
      </c>
      <c r="E14" s="149">
        <f ca="1">IF(C14=0,0,D14/C14)</f>
        <v>0.93370362591885803</v>
      </c>
    </row>
    <row r="15" spans="1:5" ht="14.4" customHeight="1" thickBot="1" x14ac:dyDescent="0.35">
      <c r="A15" s="162"/>
      <c r="B15" s="163"/>
      <c r="C15" s="164"/>
      <c r="D15" s="164"/>
      <c r="E15" s="165"/>
    </row>
    <row r="16" spans="1:5" ht="14.4" customHeight="1" thickBot="1" x14ac:dyDescent="0.35">
      <c r="A16" s="166" t="str">
        <f>HYPERLINK("#HI!A1","VÝNOSY CELKEM (v tisících)")</f>
        <v>VÝNOSY CELKEM (v tisících)</v>
      </c>
      <c r="B16" s="167"/>
      <c r="C16" s="168">
        <f ca="1">IF(ISERROR(VLOOKUP("Výnosy celkem",INDIRECT("HI!$A:$G"),6,0)),0,VLOOKUP("Výnosy celkem",INDIRECT("HI!$A:$G"),6,0))</f>
        <v>3672.6133099999988</v>
      </c>
      <c r="D16" s="168">
        <f ca="1">IF(ISERROR(VLOOKUP("Výnosy celkem",INDIRECT("HI!$A:$G"),5,0)),0,VLOOKUP("Výnosy celkem",INDIRECT("HI!$A:$G"),5,0))</f>
        <v>3419.5555600000016</v>
      </c>
      <c r="E16" s="169">
        <f t="shared" ref="E16:E18" ca="1" si="1">IF(C16=0,0,D16/C16)</f>
        <v>0.93109599932261933</v>
      </c>
    </row>
    <row r="17" spans="1:5" ht="14.4" customHeight="1" x14ac:dyDescent="0.3">
      <c r="A17" s="170" t="str">
        <f>HYPERLINK("#HI!A1","Ambulance (body za výkony + Kč za ZUM a ZULP)")</f>
        <v>Ambulance (body za výkony + Kč za ZUM a ZULP)</v>
      </c>
      <c r="B17" s="147"/>
      <c r="C17" s="148">
        <f ca="1">IF(ISERROR(VLOOKUP("Ambulance *",INDIRECT("HI!$A:$G"),6,0)),0,VLOOKUP("Ambulance *",INDIRECT("HI!$A:$G"),6,0))</f>
        <v>3672.6133099999988</v>
      </c>
      <c r="D17" s="148">
        <f ca="1">IF(ISERROR(VLOOKUP("Ambulance *",INDIRECT("HI!$A:$G"),5,0)),0,VLOOKUP("Ambulance *",INDIRECT("HI!$A:$G"),5,0))</f>
        <v>3419.5555600000016</v>
      </c>
      <c r="E17" s="149">
        <f t="shared" ca="1" si="1"/>
        <v>0.93109599932261933</v>
      </c>
    </row>
    <row r="18" spans="1:5" ht="14.4" customHeight="1" x14ac:dyDescent="0.3">
      <c r="A18" s="171" t="str">
        <f>HYPERLINK("#'ZV Vykáz.-A'!A1","Zdravotní výkony vykázané u ambulantních pacientů (min. 100 %)")</f>
        <v>Zdravotní výkony vykázané u ambulantních pacientů (min. 100 %)</v>
      </c>
      <c r="B18" s="134" t="s">
        <v>107</v>
      </c>
      <c r="C18" s="154">
        <v>1</v>
      </c>
      <c r="D18" s="154">
        <f>IF(ISERROR(VLOOKUP("Celkem:",'ZV Vykáz.-A'!$A:$S,7,0)),"",VLOOKUP("Celkem:",'ZV Vykáz.-A'!$A:$S,7,0))</f>
        <v>0.93109599932261933</v>
      </c>
      <c r="E18" s="149">
        <f t="shared" si="1"/>
        <v>0.93109599932261933</v>
      </c>
    </row>
    <row r="19" spans="1:5" ht="14.4" customHeight="1" x14ac:dyDescent="0.3">
      <c r="A19" s="172" t="str">
        <f>HYPERLINK("#HI!A1","Hospitalizace (casemix * 30000)")</f>
        <v>Hospitalizace (casemix * 30000)</v>
      </c>
      <c r="B19" s="151"/>
      <c r="C19" s="148">
        <f ca="1">IF(ISERROR(VLOOKUP("Hospitalizace *",INDIRECT("HI!$A:$G"),6,0)),0,VLOOKUP("Hospitalizace *",INDIRECT("HI!$A:$G"),6,0))</f>
        <v>0</v>
      </c>
      <c r="D19" s="148">
        <f ca="1">IF(ISERROR(VLOOKUP("Hospitalizace *",INDIRECT("HI!$A:$G"),5,0)),0,VLOOKUP("Hospitalizace *",INDIRECT("HI!$A:$G"),5,0))</f>
        <v>0</v>
      </c>
      <c r="E19" s="149">
        <f ca="1">IF(C19=0,0,D19/C19)</f>
        <v>0</v>
      </c>
    </row>
    <row r="20" spans="1:5" ht="14.4" customHeight="1" thickBot="1" x14ac:dyDescent="0.35">
      <c r="A20" s="173" t="s">
        <v>130</v>
      </c>
      <c r="B20" s="159"/>
      <c r="C20" s="160"/>
      <c r="D20" s="160"/>
      <c r="E20" s="161"/>
    </row>
    <row r="21" spans="1:5" ht="14.4" customHeight="1" thickBot="1" x14ac:dyDescent="0.35">
      <c r="A21" s="174"/>
      <c r="B21" s="175"/>
      <c r="C21" s="176"/>
      <c r="D21" s="176"/>
      <c r="E21" s="177"/>
    </row>
    <row r="22" spans="1:5" ht="14.4" customHeight="1" thickBot="1" x14ac:dyDescent="0.35">
      <c r="A22" s="178" t="s">
        <v>131</v>
      </c>
      <c r="B22" s="179"/>
      <c r="C22" s="180"/>
      <c r="D22" s="180"/>
      <c r="E22" s="181"/>
    </row>
  </sheetData>
  <mergeCells count="1">
    <mergeCell ref="A1:E1"/>
  </mergeCells>
  <conditionalFormatting sqref="E5">
    <cfRule type="cellIs" dxfId="52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1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0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49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9">
    <cfRule type="cellIs" dxfId="48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7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cellIs" dxfId="46" priority="20" operator="lessThan">
      <formula>1</formula>
    </cfRule>
  </conditionalFormatting>
  <conditionalFormatting sqref="E9">
    <cfRule type="cellIs" dxfId="45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6 E18 E8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4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15" bestFit="1" customWidth="1"/>
    <col min="2" max="3" width="9.5546875" style="115" customWidth="1"/>
    <col min="4" max="4" width="2.21875" style="115" customWidth="1"/>
    <col min="5" max="8" width="9.5546875" style="115" customWidth="1"/>
    <col min="9" max="16384" width="8.88671875" style="115"/>
  </cols>
  <sheetData>
    <row r="1" spans="1:8" ht="18.600000000000001" customHeight="1" thickBot="1" x14ac:dyDescent="0.4">
      <c r="A1" s="302" t="s">
        <v>118</v>
      </c>
      <c r="B1" s="302"/>
      <c r="C1" s="302"/>
      <c r="D1" s="302"/>
      <c r="E1" s="302"/>
      <c r="F1" s="302"/>
      <c r="G1" s="303"/>
      <c r="H1" s="303"/>
    </row>
    <row r="2" spans="1:8" ht="14.4" customHeight="1" thickBot="1" x14ac:dyDescent="0.35">
      <c r="A2" s="212" t="s">
        <v>254</v>
      </c>
      <c r="B2" s="96"/>
      <c r="C2" s="96"/>
      <c r="D2" s="96"/>
      <c r="E2" s="96"/>
      <c r="F2" s="96"/>
    </row>
    <row r="3" spans="1:8" ht="14.4" customHeight="1" x14ac:dyDescent="0.3">
      <c r="A3" s="304"/>
      <c r="B3" s="92">
        <v>2013</v>
      </c>
      <c r="C3" s="40">
        <v>2014</v>
      </c>
      <c r="D3" s="7"/>
      <c r="E3" s="308">
        <v>2015</v>
      </c>
      <c r="F3" s="309"/>
      <c r="G3" s="309"/>
      <c r="H3" s="310"/>
    </row>
    <row r="4" spans="1:8" ht="14.4" customHeight="1" thickBot="1" x14ac:dyDescent="0.35">
      <c r="A4" s="305"/>
      <c r="B4" s="306" t="s">
        <v>60</v>
      </c>
      <c r="C4" s="307"/>
      <c r="D4" s="7"/>
      <c r="E4" s="113" t="s">
        <v>60</v>
      </c>
      <c r="F4" s="94" t="s">
        <v>61</v>
      </c>
      <c r="G4" s="94" t="s">
        <v>55</v>
      </c>
      <c r="H4" s="95" t="s">
        <v>62</v>
      </c>
    </row>
    <row r="5" spans="1:8" ht="14.4" customHeight="1" x14ac:dyDescent="0.3">
      <c r="A5" s="97" t="str">
        <f>HYPERLINK("#'Léky Žádanky'!A1","Léky (Kč)")</f>
        <v>Léky (Kč)</v>
      </c>
      <c r="B5" s="27">
        <v>37.606459999999998</v>
      </c>
      <c r="C5" s="29">
        <v>24.859740000000002</v>
      </c>
      <c r="D5" s="8"/>
      <c r="E5" s="102">
        <v>53.699169999999995</v>
      </c>
      <c r="F5" s="28">
        <v>50.895959743187831</v>
      </c>
      <c r="G5" s="101">
        <f>E5-F5</f>
        <v>2.8032102568121644</v>
      </c>
      <c r="H5" s="107">
        <f>IF(F5&lt;0.00000001,"",E5/F5)</f>
        <v>1.0550772648940441</v>
      </c>
    </row>
    <row r="6" spans="1:8" ht="14.4" customHeight="1" x14ac:dyDescent="0.3">
      <c r="A6" s="97" t="str">
        <f>HYPERLINK("#'Materiál Žádanky'!A1","Materiál - SZM (Kč)")</f>
        <v>Materiál - SZM (Kč)</v>
      </c>
      <c r="B6" s="10">
        <v>636.41773999999998</v>
      </c>
      <c r="C6" s="31">
        <v>624.470560000001</v>
      </c>
      <c r="D6" s="8"/>
      <c r="E6" s="103">
        <v>492.032340000001</v>
      </c>
      <c r="F6" s="30">
        <v>647.96251792408327</v>
      </c>
      <c r="G6" s="104">
        <f>E6-F6</f>
        <v>-155.93017792408227</v>
      </c>
      <c r="H6" s="108">
        <f>IF(F6&lt;0.00000001,"",E6/F6)</f>
        <v>0.75935308970703241</v>
      </c>
    </row>
    <row r="7" spans="1:8" ht="14.4" customHeight="1" x14ac:dyDescent="0.3">
      <c r="A7" s="97" t="str">
        <f>HYPERLINK("#'Osobní náklady'!A1","Osobní náklady (Kč) *")</f>
        <v>Osobní náklady (Kč) *</v>
      </c>
      <c r="B7" s="10">
        <v>4128.8028199999999</v>
      </c>
      <c r="C7" s="31">
        <v>4124.1696800000109</v>
      </c>
      <c r="D7" s="8"/>
      <c r="E7" s="103">
        <v>4452.9880700000012</v>
      </c>
      <c r="F7" s="30">
        <v>4769.1665174993987</v>
      </c>
      <c r="G7" s="104">
        <f>E7-F7</f>
        <v>-316.17844749939741</v>
      </c>
      <c r="H7" s="108">
        <f>IF(F7&lt;0.00000001,"",E7/F7)</f>
        <v>0.93370362591885803</v>
      </c>
    </row>
    <row r="8" spans="1:8" ht="14.4" customHeight="1" thickBot="1" x14ac:dyDescent="0.35">
      <c r="A8" s="1" t="s">
        <v>63</v>
      </c>
      <c r="B8" s="11">
        <v>1129.5916500000003</v>
      </c>
      <c r="C8" s="33">
        <v>1059.8288800000005</v>
      </c>
      <c r="D8" s="8"/>
      <c r="E8" s="105">
        <v>962.29019000000824</v>
      </c>
      <c r="F8" s="32">
        <v>1537.5535233490641</v>
      </c>
      <c r="G8" s="106">
        <f>E8-F8</f>
        <v>-575.26333334905587</v>
      </c>
      <c r="H8" s="109">
        <f>IF(F8&lt;0.00000001,"",E8/F8)</f>
        <v>0.6258580110459957</v>
      </c>
    </row>
    <row r="9" spans="1:8" ht="14.4" customHeight="1" thickBot="1" x14ac:dyDescent="0.35">
      <c r="A9" s="2" t="s">
        <v>64</v>
      </c>
      <c r="B9" s="3">
        <v>5932.41867</v>
      </c>
      <c r="C9" s="35">
        <v>5833.3288600000124</v>
      </c>
      <c r="D9" s="8"/>
      <c r="E9" s="3">
        <v>5961.0097700000106</v>
      </c>
      <c r="F9" s="34">
        <v>7005.5785185157347</v>
      </c>
      <c r="G9" s="34">
        <f>E9-F9</f>
        <v>-1044.5687485157241</v>
      </c>
      <c r="H9" s="110">
        <f>IF(F9&lt;0.00000001,"",E9/F9)</f>
        <v>0.85089471972158615</v>
      </c>
    </row>
    <row r="10" spans="1:8" ht="14.4" customHeight="1" thickBot="1" x14ac:dyDescent="0.35">
      <c r="A10" s="12"/>
      <c r="B10" s="12"/>
      <c r="C10" s="93"/>
      <c r="D10" s="8"/>
      <c r="E10" s="12"/>
      <c r="F10" s="13"/>
    </row>
    <row r="11" spans="1:8" ht="14.4" customHeight="1" x14ac:dyDescent="0.3">
      <c r="A11" s="118" t="str">
        <f>HYPERLINK("#'ZV Vykáz.-A'!A1","Ambulance *")</f>
        <v>Ambulance *</v>
      </c>
      <c r="B11" s="9">
        <f>IF(ISERROR(VLOOKUP("Celkem:",'ZV Vykáz.-A'!A:F,2,0)),0,VLOOKUP("Celkem:",'ZV Vykáz.-A'!A:F,2,0)/1000)</f>
        <v>3672.6133099999988</v>
      </c>
      <c r="C11" s="29">
        <f>IF(ISERROR(VLOOKUP("Celkem:",'ZV Vykáz.-A'!A:F,4,0)),0,VLOOKUP("Celkem:",'ZV Vykáz.-A'!A:F,4,0)/1000)</f>
        <v>3817.8099899999997</v>
      </c>
      <c r="D11" s="8"/>
      <c r="E11" s="102">
        <f>IF(ISERROR(VLOOKUP("Celkem:",'ZV Vykáz.-A'!A:F,6,0)),0,VLOOKUP("Celkem:",'ZV Vykáz.-A'!A:F,6,0)/1000)</f>
        <v>3419.5555600000016</v>
      </c>
      <c r="F11" s="28">
        <f>B11</f>
        <v>3672.6133099999988</v>
      </c>
      <c r="G11" s="101">
        <f>E11-F11</f>
        <v>-253.05774999999721</v>
      </c>
      <c r="H11" s="107">
        <f>IF(F11&lt;0.00000001,"",E11/F11)</f>
        <v>0.93109599932261933</v>
      </c>
    </row>
    <row r="12" spans="1:8" ht="14.4" customHeight="1" thickBot="1" x14ac:dyDescent="0.35">
      <c r="A12" s="11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05">
        <f>IF(ISERROR(VLOOKUP("Celkem",#REF!,4,0)),0,VLOOKUP("Celkem",#REF!,4,0)*30)</f>
        <v>0</v>
      </c>
      <c r="F12" s="32">
        <f>B12</f>
        <v>0</v>
      </c>
      <c r="G12" s="106">
        <f>E12-F12</f>
        <v>0</v>
      </c>
      <c r="H12" s="109" t="str">
        <f>IF(F12&lt;0.00000001,"",E12/F12)</f>
        <v/>
      </c>
    </row>
    <row r="13" spans="1:8" ht="14.4" customHeight="1" thickBot="1" x14ac:dyDescent="0.35">
      <c r="A13" s="4" t="s">
        <v>67</v>
      </c>
      <c r="B13" s="5">
        <f>SUM(B11:B12)</f>
        <v>3672.6133099999988</v>
      </c>
      <c r="C13" s="37">
        <f>SUM(C11:C12)</f>
        <v>3817.8099899999997</v>
      </c>
      <c r="D13" s="8"/>
      <c r="E13" s="5">
        <f>SUM(E11:E12)</f>
        <v>3419.5555600000016</v>
      </c>
      <c r="F13" s="36">
        <f>SUM(F11:F12)</f>
        <v>3672.6133099999988</v>
      </c>
      <c r="G13" s="36">
        <f>E13-F13</f>
        <v>-253.05774999999721</v>
      </c>
      <c r="H13" s="111">
        <f>IF(F13&lt;0.00000001,"",E13/F13)</f>
        <v>0.93109599932261933</v>
      </c>
    </row>
    <row r="14" spans="1:8" ht="14.4" customHeight="1" thickBot="1" x14ac:dyDescent="0.35">
      <c r="A14" s="12"/>
      <c r="B14" s="12"/>
      <c r="C14" s="93"/>
      <c r="D14" s="8"/>
      <c r="E14" s="12"/>
      <c r="F14" s="13"/>
    </row>
    <row r="15" spans="1:8" ht="14.4" customHeight="1" thickBot="1" x14ac:dyDescent="0.35">
      <c r="A15" s="120" t="str">
        <f>HYPERLINK("#'HI Graf'!A1","Hospodářský index (Výnosy / Náklady) *")</f>
        <v>Hospodářský index (Výnosy / Náklady) *</v>
      </c>
      <c r="B15" s="6">
        <f>IF(B9=0,"",B13/B9)</f>
        <v>0.61907520596485455</v>
      </c>
      <c r="C15" s="39">
        <f>IF(C9=0,"",C13/C9)</f>
        <v>0.65448221446578814</v>
      </c>
      <c r="D15" s="8"/>
      <c r="E15" s="6">
        <f>IF(E9=0,"",E13/E9)</f>
        <v>0.57365374188943752</v>
      </c>
      <c r="F15" s="38">
        <f>IF(F9=0,"",F13/F9)</f>
        <v>0.52424126006057692</v>
      </c>
      <c r="G15" s="38">
        <f>IF(ISERROR(F15-E15),"",E15-F15)</f>
        <v>4.9412481828860599E-2</v>
      </c>
      <c r="H15" s="112">
        <f>IF(ISERROR(F15-E15),"",IF(F15&lt;0.00000001,"",E15/F15))</f>
        <v>1.0942552324537578</v>
      </c>
    </row>
    <row r="17" spans="1:8" ht="14.4" customHeight="1" x14ac:dyDescent="0.3">
      <c r="A17" s="98" t="s">
        <v>135</v>
      </c>
    </row>
    <row r="18" spans="1:8" ht="14.4" customHeight="1" x14ac:dyDescent="0.3">
      <c r="A18" s="265" t="s">
        <v>176</v>
      </c>
      <c r="B18" s="266"/>
      <c r="C18" s="266"/>
      <c r="D18" s="266"/>
      <c r="E18" s="266"/>
      <c r="F18" s="266"/>
      <c r="G18" s="266"/>
      <c r="H18" s="266"/>
    </row>
    <row r="19" spans="1:8" x14ac:dyDescent="0.3">
      <c r="A19" s="264" t="s">
        <v>175</v>
      </c>
      <c r="B19" s="266"/>
      <c r="C19" s="266"/>
      <c r="D19" s="266"/>
      <c r="E19" s="266"/>
      <c r="F19" s="266"/>
      <c r="G19" s="266"/>
      <c r="H19" s="266"/>
    </row>
    <row r="20" spans="1:8" ht="14.4" customHeight="1" x14ac:dyDescent="0.3">
      <c r="A20" s="99" t="s">
        <v>230</v>
      </c>
    </row>
    <row r="21" spans="1:8" ht="14.4" customHeight="1" x14ac:dyDescent="0.3">
      <c r="A21" s="99" t="s">
        <v>136</v>
      </c>
    </row>
    <row r="22" spans="1:8" ht="14.4" customHeight="1" x14ac:dyDescent="0.3">
      <c r="A22" s="100" t="s">
        <v>137</v>
      </c>
    </row>
    <row r="23" spans="1:8" ht="14.4" customHeight="1" x14ac:dyDescent="0.3">
      <c r="A23" s="100" t="s">
        <v>138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3" priority="4" operator="greaterThan">
      <formula>0</formula>
    </cfRule>
  </conditionalFormatting>
  <conditionalFormatting sqref="G11:G13 G15">
    <cfRule type="cellIs" dxfId="42" priority="3" operator="lessThan">
      <formula>0</formula>
    </cfRule>
  </conditionalFormatting>
  <conditionalFormatting sqref="H5:H9">
    <cfRule type="cellIs" dxfId="41" priority="2" operator="greaterThan">
      <formula>1</formula>
    </cfRule>
  </conditionalFormatting>
  <conditionalFormatting sqref="H11:H13 H15">
    <cfRule type="cellIs" dxfId="40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15"/>
    <col min="2" max="13" width="8.88671875" style="115" customWidth="1"/>
    <col min="14" max="16384" width="8.88671875" style="115"/>
  </cols>
  <sheetData>
    <row r="1" spans="1:13" ht="18.600000000000001" customHeight="1" thickBot="1" x14ac:dyDescent="0.4">
      <c r="A1" s="302" t="s">
        <v>91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</row>
    <row r="2" spans="1:13" ht="14.4" customHeight="1" x14ac:dyDescent="0.3">
      <c r="A2" s="212" t="s">
        <v>254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</row>
    <row r="3" spans="1:13" ht="14.4" customHeight="1" x14ac:dyDescent="0.3">
      <c r="A3" s="182"/>
      <c r="B3" s="183" t="s">
        <v>69</v>
      </c>
      <c r="C3" s="184" t="s">
        <v>70</v>
      </c>
      <c r="D3" s="184" t="s">
        <v>71</v>
      </c>
      <c r="E3" s="183" t="s">
        <v>72</v>
      </c>
      <c r="F3" s="184" t="s">
        <v>73</v>
      </c>
      <c r="G3" s="184" t="s">
        <v>74</v>
      </c>
      <c r="H3" s="184" t="s">
        <v>75</v>
      </c>
      <c r="I3" s="184" t="s">
        <v>76</v>
      </c>
      <c r="J3" s="184" t="s">
        <v>77</v>
      </c>
      <c r="K3" s="184" t="s">
        <v>78</v>
      </c>
      <c r="L3" s="184" t="s">
        <v>79</v>
      </c>
      <c r="M3" s="184" t="s">
        <v>80</v>
      </c>
    </row>
    <row r="4" spans="1:13" ht="14.4" customHeight="1" x14ac:dyDescent="0.3">
      <c r="A4" s="182" t="s">
        <v>68</v>
      </c>
      <c r="B4" s="185">
        <f>(B10+B8)/B6</f>
        <v>0.5811648328968293</v>
      </c>
      <c r="C4" s="185">
        <f t="shared" ref="C4:M4" si="0">(C10+C8)/C6</f>
        <v>0.5736537737632319</v>
      </c>
      <c r="D4" s="185">
        <f t="shared" si="0"/>
        <v>0.5736537737632319</v>
      </c>
      <c r="E4" s="185">
        <f t="shared" si="0"/>
        <v>0.5736537737632319</v>
      </c>
      <c r="F4" s="185">
        <f t="shared" si="0"/>
        <v>0.5736537737632319</v>
      </c>
      <c r="G4" s="185">
        <f t="shared" si="0"/>
        <v>0.5736537737632319</v>
      </c>
      <c r="H4" s="185">
        <f t="shared" si="0"/>
        <v>0.5736537737632319</v>
      </c>
      <c r="I4" s="185">
        <f t="shared" si="0"/>
        <v>0.5736537737632319</v>
      </c>
      <c r="J4" s="185">
        <f t="shared" si="0"/>
        <v>0.5736537737632319</v>
      </c>
      <c r="K4" s="185">
        <f t="shared" si="0"/>
        <v>0.5736537737632319</v>
      </c>
      <c r="L4" s="185">
        <f t="shared" si="0"/>
        <v>0.5736537737632319</v>
      </c>
      <c r="M4" s="185">
        <f t="shared" si="0"/>
        <v>0.5736537737632319</v>
      </c>
    </row>
    <row r="5" spans="1:13" ht="14.4" customHeight="1" x14ac:dyDescent="0.3">
      <c r="A5" s="186" t="s">
        <v>40</v>
      </c>
      <c r="B5" s="185">
        <f>IF(ISERROR(VLOOKUP($A5,'Man Tab'!$A:$Q,COLUMN()+2,0)),0,VLOOKUP($A5,'Man Tab'!$A:$Q,COLUMN()+2,0))</f>
        <v>3001.3290400000001</v>
      </c>
      <c r="C5" s="185">
        <f>IF(ISERROR(VLOOKUP($A5,'Man Tab'!$A:$Q,COLUMN()+2,0)),0,VLOOKUP($A5,'Man Tab'!$A:$Q,COLUMN()+2,0))</f>
        <v>2959.68073000001</v>
      </c>
      <c r="D5" s="185">
        <f>IF(ISERROR(VLOOKUP($A5,'Man Tab'!$A:$Q,COLUMN()+2,0)),0,VLOOKUP($A5,'Man Tab'!$A:$Q,COLUMN()+2,0))</f>
        <v>0</v>
      </c>
      <c r="E5" s="185">
        <f>IF(ISERROR(VLOOKUP($A5,'Man Tab'!$A:$Q,COLUMN()+2,0)),0,VLOOKUP($A5,'Man Tab'!$A:$Q,COLUMN()+2,0))</f>
        <v>0</v>
      </c>
      <c r="F5" s="185">
        <f>IF(ISERROR(VLOOKUP($A5,'Man Tab'!$A:$Q,COLUMN()+2,0)),0,VLOOKUP($A5,'Man Tab'!$A:$Q,COLUMN()+2,0))</f>
        <v>0</v>
      </c>
      <c r="G5" s="185">
        <f>IF(ISERROR(VLOOKUP($A5,'Man Tab'!$A:$Q,COLUMN()+2,0)),0,VLOOKUP($A5,'Man Tab'!$A:$Q,COLUMN()+2,0))</f>
        <v>0</v>
      </c>
      <c r="H5" s="185">
        <f>IF(ISERROR(VLOOKUP($A5,'Man Tab'!$A:$Q,COLUMN()+2,0)),0,VLOOKUP($A5,'Man Tab'!$A:$Q,COLUMN()+2,0))</f>
        <v>0</v>
      </c>
      <c r="I5" s="185">
        <f>IF(ISERROR(VLOOKUP($A5,'Man Tab'!$A:$Q,COLUMN()+2,0)),0,VLOOKUP($A5,'Man Tab'!$A:$Q,COLUMN()+2,0))</f>
        <v>0</v>
      </c>
      <c r="J5" s="185">
        <f>IF(ISERROR(VLOOKUP($A5,'Man Tab'!$A:$Q,COLUMN()+2,0)),0,VLOOKUP($A5,'Man Tab'!$A:$Q,COLUMN()+2,0))</f>
        <v>0</v>
      </c>
      <c r="K5" s="185">
        <f>IF(ISERROR(VLOOKUP($A5,'Man Tab'!$A:$Q,COLUMN()+2,0)),0,VLOOKUP($A5,'Man Tab'!$A:$Q,COLUMN()+2,0))</f>
        <v>0</v>
      </c>
      <c r="L5" s="185">
        <f>IF(ISERROR(VLOOKUP($A5,'Man Tab'!$A:$Q,COLUMN()+2,0)),0,VLOOKUP($A5,'Man Tab'!$A:$Q,COLUMN()+2,0))</f>
        <v>0</v>
      </c>
      <c r="M5" s="185">
        <f>IF(ISERROR(VLOOKUP($A5,'Man Tab'!$A:$Q,COLUMN()+2,0)),0,VLOOKUP($A5,'Man Tab'!$A:$Q,COLUMN()+2,0))</f>
        <v>0</v>
      </c>
    </row>
    <row r="6" spans="1:13" ht="14.4" customHeight="1" x14ac:dyDescent="0.3">
      <c r="A6" s="186" t="s">
        <v>64</v>
      </c>
      <c r="B6" s="187">
        <f>B5</f>
        <v>3001.3290400000001</v>
      </c>
      <c r="C6" s="187">
        <f t="shared" ref="C6:M6" si="1">C5+B6</f>
        <v>5961.0097700000097</v>
      </c>
      <c r="D6" s="187">
        <f t="shared" si="1"/>
        <v>5961.0097700000097</v>
      </c>
      <c r="E6" s="187">
        <f t="shared" si="1"/>
        <v>5961.0097700000097</v>
      </c>
      <c r="F6" s="187">
        <f t="shared" si="1"/>
        <v>5961.0097700000097</v>
      </c>
      <c r="G6" s="187">
        <f t="shared" si="1"/>
        <v>5961.0097700000097</v>
      </c>
      <c r="H6" s="187">
        <f t="shared" si="1"/>
        <v>5961.0097700000097</v>
      </c>
      <c r="I6" s="187">
        <f t="shared" si="1"/>
        <v>5961.0097700000097</v>
      </c>
      <c r="J6" s="187">
        <f t="shared" si="1"/>
        <v>5961.0097700000097</v>
      </c>
      <c r="K6" s="187">
        <f t="shared" si="1"/>
        <v>5961.0097700000097</v>
      </c>
      <c r="L6" s="187">
        <f t="shared" si="1"/>
        <v>5961.0097700000097</v>
      </c>
      <c r="M6" s="187">
        <f t="shared" si="1"/>
        <v>5961.0097700000097</v>
      </c>
    </row>
    <row r="7" spans="1:13" ht="14.4" customHeight="1" x14ac:dyDescent="0.3">
      <c r="A7" s="186" t="s">
        <v>89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</row>
    <row r="8" spans="1:13" ht="14.4" customHeight="1" x14ac:dyDescent="0.3">
      <c r="A8" s="186" t="s">
        <v>65</v>
      </c>
      <c r="B8" s="187">
        <f>B7*30</f>
        <v>0</v>
      </c>
      <c r="C8" s="187">
        <f t="shared" ref="C8:M8" si="2">C7*30</f>
        <v>0</v>
      </c>
      <c r="D8" s="187">
        <f t="shared" si="2"/>
        <v>0</v>
      </c>
      <c r="E8" s="187">
        <f t="shared" si="2"/>
        <v>0</v>
      </c>
      <c r="F8" s="187">
        <f t="shared" si="2"/>
        <v>0</v>
      </c>
      <c r="G8" s="187">
        <f t="shared" si="2"/>
        <v>0</v>
      </c>
      <c r="H8" s="187">
        <f t="shared" si="2"/>
        <v>0</v>
      </c>
      <c r="I8" s="187">
        <f t="shared" si="2"/>
        <v>0</v>
      </c>
      <c r="J8" s="187">
        <f t="shared" si="2"/>
        <v>0</v>
      </c>
      <c r="K8" s="187">
        <f t="shared" si="2"/>
        <v>0</v>
      </c>
      <c r="L8" s="187">
        <f t="shared" si="2"/>
        <v>0</v>
      </c>
      <c r="M8" s="187">
        <f t="shared" si="2"/>
        <v>0</v>
      </c>
    </row>
    <row r="9" spans="1:13" ht="14.4" customHeight="1" x14ac:dyDescent="0.3">
      <c r="A9" s="186" t="s">
        <v>90</v>
      </c>
      <c r="B9" s="186">
        <v>1744266.8900000013</v>
      </c>
      <c r="C9" s="186">
        <v>1675288.8599999994</v>
      </c>
      <c r="D9" s="186">
        <v>0</v>
      </c>
      <c r="E9" s="186">
        <v>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</row>
    <row r="10" spans="1:13" ht="14.4" customHeight="1" x14ac:dyDescent="0.3">
      <c r="A10" s="186" t="s">
        <v>66</v>
      </c>
      <c r="B10" s="187">
        <f>B9/1000</f>
        <v>1744.2668900000012</v>
      </c>
      <c r="C10" s="187">
        <f t="shared" ref="C10:M10" si="3">C9/1000+B10</f>
        <v>3419.5557500000004</v>
      </c>
      <c r="D10" s="187">
        <f t="shared" si="3"/>
        <v>3419.5557500000004</v>
      </c>
      <c r="E10" s="187">
        <f t="shared" si="3"/>
        <v>3419.5557500000004</v>
      </c>
      <c r="F10" s="187">
        <f t="shared" si="3"/>
        <v>3419.5557500000004</v>
      </c>
      <c r="G10" s="187">
        <f t="shared" si="3"/>
        <v>3419.5557500000004</v>
      </c>
      <c r="H10" s="187">
        <f t="shared" si="3"/>
        <v>3419.5557500000004</v>
      </c>
      <c r="I10" s="187">
        <f t="shared" si="3"/>
        <v>3419.5557500000004</v>
      </c>
      <c r="J10" s="187">
        <f t="shared" si="3"/>
        <v>3419.5557500000004</v>
      </c>
      <c r="K10" s="187">
        <f t="shared" si="3"/>
        <v>3419.5557500000004</v>
      </c>
      <c r="L10" s="187">
        <f t="shared" si="3"/>
        <v>3419.5557500000004</v>
      </c>
      <c r="M10" s="187">
        <f t="shared" si="3"/>
        <v>3419.5557500000004</v>
      </c>
    </row>
    <row r="11" spans="1:13" ht="14.4" customHeight="1" x14ac:dyDescent="0.3">
      <c r="A11" s="182"/>
      <c r="B11" s="182" t="s">
        <v>81</v>
      </c>
      <c r="C11" s="182">
        <f ca="1">IF(MONTH(TODAY())=1,12,MONTH(TODAY())-1)</f>
        <v>2</v>
      </c>
      <c r="D11" s="182"/>
      <c r="E11" s="182"/>
      <c r="F11" s="182"/>
      <c r="G11" s="182"/>
      <c r="H11" s="182"/>
      <c r="I11" s="182"/>
      <c r="J11" s="182"/>
      <c r="K11" s="182"/>
      <c r="L11" s="182"/>
      <c r="M11" s="182"/>
    </row>
    <row r="12" spans="1:13" ht="14.4" customHeight="1" x14ac:dyDescent="0.3">
      <c r="A12" s="182">
        <v>0</v>
      </c>
      <c r="B12" s="185">
        <f>IF(ISERROR(HI!F15),#REF!,HI!F15)</f>
        <v>0.52424126006057692</v>
      </c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</row>
    <row r="13" spans="1:13" ht="14.4" customHeight="1" x14ac:dyDescent="0.3">
      <c r="A13" s="182">
        <v>1</v>
      </c>
      <c r="B13" s="185">
        <f>IF(ISERROR(HI!F15),#REF!,HI!F15)</f>
        <v>0.52424126006057692</v>
      </c>
      <c r="C13" s="182"/>
      <c r="D13" s="182"/>
      <c r="E13" s="182"/>
      <c r="F13" s="182"/>
      <c r="G13" s="182"/>
      <c r="H13" s="182"/>
      <c r="I13" s="182"/>
      <c r="J13" s="182"/>
      <c r="K13" s="182"/>
      <c r="L13" s="182"/>
      <c r="M13" s="18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15" bestFit="1" customWidth="1"/>
    <col min="2" max="2" width="12.77734375" style="115" bestFit="1" customWidth="1"/>
    <col min="3" max="3" width="13.6640625" style="115" bestFit="1" customWidth="1"/>
    <col min="4" max="15" width="7.77734375" style="115" bestFit="1" customWidth="1"/>
    <col min="16" max="16" width="8.88671875" style="115" customWidth="1"/>
    <col min="17" max="17" width="6.6640625" style="115" bestFit="1" customWidth="1"/>
    <col min="18" max="16384" width="8.88671875" style="115"/>
  </cols>
  <sheetData>
    <row r="1" spans="1:17" s="188" customFormat="1" ht="18.600000000000001" customHeight="1" thickBot="1" x14ac:dyDescent="0.4">
      <c r="A1" s="311" t="s">
        <v>256</v>
      </c>
      <c r="B1" s="311"/>
      <c r="C1" s="311"/>
      <c r="D1" s="311"/>
      <c r="E1" s="311"/>
      <c r="F1" s="311"/>
      <c r="G1" s="311"/>
      <c r="H1" s="302"/>
      <c r="I1" s="302"/>
      <c r="J1" s="302"/>
      <c r="K1" s="302"/>
      <c r="L1" s="302"/>
      <c r="M1" s="302"/>
      <c r="N1" s="302"/>
      <c r="O1" s="302"/>
      <c r="P1" s="302"/>
      <c r="Q1" s="302"/>
    </row>
    <row r="2" spans="1:17" s="188" customFormat="1" ht="14.4" customHeight="1" thickBot="1" x14ac:dyDescent="0.3">
      <c r="A2" s="212" t="s">
        <v>254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</row>
    <row r="3" spans="1:17" ht="14.4" customHeight="1" x14ac:dyDescent="0.3">
      <c r="A3" s="68"/>
      <c r="B3" s="312" t="s">
        <v>16</v>
      </c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123"/>
      <c r="Q3" s="125"/>
    </row>
    <row r="4" spans="1:17" ht="14.4" customHeight="1" x14ac:dyDescent="0.3">
      <c r="A4" s="69"/>
      <c r="B4" s="20">
        <v>2015</v>
      </c>
      <c r="C4" s="124" t="s">
        <v>17</v>
      </c>
      <c r="D4" s="114" t="s">
        <v>233</v>
      </c>
      <c r="E4" s="114" t="s">
        <v>234</v>
      </c>
      <c r="F4" s="114" t="s">
        <v>235</v>
      </c>
      <c r="G4" s="114" t="s">
        <v>236</v>
      </c>
      <c r="H4" s="114" t="s">
        <v>237</v>
      </c>
      <c r="I4" s="114" t="s">
        <v>238</v>
      </c>
      <c r="J4" s="114" t="s">
        <v>239</v>
      </c>
      <c r="K4" s="114" t="s">
        <v>240</v>
      </c>
      <c r="L4" s="114" t="s">
        <v>241</v>
      </c>
      <c r="M4" s="114" t="s">
        <v>242</v>
      </c>
      <c r="N4" s="114" t="s">
        <v>243</v>
      </c>
      <c r="O4" s="114" t="s">
        <v>244</v>
      </c>
      <c r="P4" s="314" t="s">
        <v>3</v>
      </c>
      <c r="Q4" s="315"/>
    </row>
    <row r="5" spans="1:17" ht="14.4" customHeight="1" thickBot="1" x14ac:dyDescent="0.35">
      <c r="A5" s="70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" customHeight="1" x14ac:dyDescent="0.3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80" t="s">
        <v>255</v>
      </c>
    </row>
    <row r="7" spans="1:17" ht="14.4" customHeight="1" x14ac:dyDescent="0.3">
      <c r="A7" s="15" t="s">
        <v>22</v>
      </c>
      <c r="B7" s="51">
        <v>305.37575845912698</v>
      </c>
      <c r="C7" s="52">
        <v>25.447979871592999</v>
      </c>
      <c r="D7" s="52">
        <v>28.224019999999999</v>
      </c>
      <c r="E7" s="52">
        <v>25.475149999999999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53.699170000000002</v>
      </c>
      <c r="Q7" s="81">
        <v>1.0550772648940001</v>
      </c>
    </row>
    <row r="8" spans="1:17" ht="14.4" customHeight="1" x14ac:dyDescent="0.3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81" t="s">
        <v>255</v>
      </c>
    </row>
    <row r="9" spans="1:17" ht="14.4" customHeight="1" x14ac:dyDescent="0.3">
      <c r="A9" s="15" t="s">
        <v>24</v>
      </c>
      <c r="B9" s="51">
        <v>3887.7751075444999</v>
      </c>
      <c r="C9" s="52">
        <v>323.98125896204198</v>
      </c>
      <c r="D9" s="52">
        <v>266.19839999999999</v>
      </c>
      <c r="E9" s="52">
        <v>225.83394000000101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492.03233999999998</v>
      </c>
      <c r="Q9" s="81">
        <v>0.759353089707</v>
      </c>
    </row>
    <row r="10" spans="1:17" ht="14.4" customHeight="1" x14ac:dyDescent="0.3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81" t="s">
        <v>255</v>
      </c>
    </row>
    <row r="11" spans="1:17" ht="14.4" customHeight="1" x14ac:dyDescent="0.3">
      <c r="A11" s="15" t="s">
        <v>26</v>
      </c>
      <c r="B11" s="51">
        <v>505.02884351081298</v>
      </c>
      <c r="C11" s="52">
        <v>42.085736959233998</v>
      </c>
      <c r="D11" s="52">
        <v>47.029960000000003</v>
      </c>
      <c r="E11" s="52">
        <v>64.373909999999995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111.40387</v>
      </c>
      <c r="Q11" s="81">
        <v>1.323534741804</v>
      </c>
    </row>
    <row r="12" spans="1:17" ht="14.4" customHeight="1" x14ac:dyDescent="0.3">
      <c r="A12" s="15" t="s">
        <v>27</v>
      </c>
      <c r="B12" s="51">
        <v>41.383601235020997</v>
      </c>
      <c r="C12" s="52">
        <v>3.4486334362509998</v>
      </c>
      <c r="D12" s="52">
        <v>2.8283999999999998</v>
      </c>
      <c r="E12" s="52">
        <v>7.5080499999999999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10.336449999999999</v>
      </c>
      <c r="Q12" s="81">
        <v>1.4986298473099999</v>
      </c>
    </row>
    <row r="13" spans="1:17" ht="14.4" customHeight="1" x14ac:dyDescent="0.3">
      <c r="A13" s="15" t="s">
        <v>28</v>
      </c>
      <c r="B13" s="51">
        <v>121.999996157295</v>
      </c>
      <c r="C13" s="52">
        <v>10.166666346441</v>
      </c>
      <c r="D13" s="52">
        <v>8.4880999999999993</v>
      </c>
      <c r="E13" s="52">
        <v>8.4623399999999993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16.95044</v>
      </c>
      <c r="Q13" s="81">
        <v>0.83362822297799999</v>
      </c>
    </row>
    <row r="14" spans="1:17" ht="14.4" customHeight="1" x14ac:dyDescent="0.3">
      <c r="A14" s="15" t="s">
        <v>29</v>
      </c>
      <c r="B14" s="51">
        <v>1437.00516722561</v>
      </c>
      <c r="C14" s="52">
        <v>119.750430602134</v>
      </c>
      <c r="D14" s="52">
        <v>169.251</v>
      </c>
      <c r="E14" s="52">
        <v>192.857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362.108</v>
      </c>
      <c r="Q14" s="81">
        <v>1.5119277575000001</v>
      </c>
    </row>
    <row r="15" spans="1:17" ht="14.4" customHeight="1" x14ac:dyDescent="0.3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81" t="s">
        <v>255</v>
      </c>
    </row>
    <row r="16" spans="1:17" ht="14.4" customHeight="1" x14ac:dyDescent="0.3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81" t="s">
        <v>255</v>
      </c>
    </row>
    <row r="17" spans="1:17" ht="14.4" customHeight="1" x14ac:dyDescent="0.3">
      <c r="A17" s="15" t="s">
        <v>32</v>
      </c>
      <c r="B17" s="51">
        <v>3620.0084035507898</v>
      </c>
      <c r="C17" s="52">
        <v>301.66736696256601</v>
      </c>
      <c r="D17" s="52">
        <v>20.84601</v>
      </c>
      <c r="E17" s="52">
        <v>39.393470000000001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60.23948</v>
      </c>
      <c r="Q17" s="81">
        <v>9.9844210207999995E-2</v>
      </c>
    </row>
    <row r="18" spans="1:17" ht="14.4" customHeight="1" x14ac:dyDescent="0.3">
      <c r="A18" s="15" t="s">
        <v>33</v>
      </c>
      <c r="B18" s="51">
        <v>0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0</v>
      </c>
      <c r="Q18" s="81" t="s">
        <v>255</v>
      </c>
    </row>
    <row r="19" spans="1:17" ht="14.4" customHeight="1" x14ac:dyDescent="0.3">
      <c r="A19" s="15" t="s">
        <v>34</v>
      </c>
      <c r="B19" s="51">
        <v>2689.7931447584901</v>
      </c>
      <c r="C19" s="52">
        <v>224.14942872987399</v>
      </c>
      <c r="D19" s="52">
        <v>137.61770000000001</v>
      </c>
      <c r="E19" s="52">
        <v>114.69521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252.31290999999999</v>
      </c>
      <c r="Q19" s="81">
        <v>0.562823004791</v>
      </c>
    </row>
    <row r="20" spans="1:17" ht="14.4" customHeight="1" x14ac:dyDescent="0.3">
      <c r="A20" s="15" t="s">
        <v>35</v>
      </c>
      <c r="B20" s="51">
        <v>28614.999104996401</v>
      </c>
      <c r="C20" s="52">
        <v>2384.5832587496998</v>
      </c>
      <c r="D20" s="52">
        <v>2246.0469699999999</v>
      </c>
      <c r="E20" s="52">
        <v>2206.94110000001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4452.9880700000003</v>
      </c>
      <c r="Q20" s="81">
        <v>0.93370362591800005</v>
      </c>
    </row>
    <row r="21" spans="1:17" ht="14.4" customHeight="1" x14ac:dyDescent="0.3">
      <c r="A21" s="16" t="s">
        <v>36</v>
      </c>
      <c r="B21" s="51">
        <v>809.99997448694501</v>
      </c>
      <c r="C21" s="52">
        <v>67.499997873911994</v>
      </c>
      <c r="D21" s="52">
        <v>74.69</v>
      </c>
      <c r="E21" s="52">
        <v>70.950999999999993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145.64099999999999</v>
      </c>
      <c r="Q21" s="81">
        <v>1.078822256202</v>
      </c>
    </row>
    <row r="22" spans="1:17" ht="14.4" customHeight="1" x14ac:dyDescent="0.3">
      <c r="A22" s="15" t="s">
        <v>37</v>
      </c>
      <c r="B22" s="51">
        <v>0</v>
      </c>
      <c r="C22" s="52">
        <v>0</v>
      </c>
      <c r="D22" s="52">
        <v>0</v>
      </c>
      <c r="E22" s="52">
        <v>3.19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3.19</v>
      </c>
      <c r="Q22" s="81" t="s">
        <v>255</v>
      </c>
    </row>
    <row r="23" spans="1:17" ht="14.4" customHeight="1" x14ac:dyDescent="0.3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81" t="s">
        <v>255</v>
      </c>
    </row>
    <row r="24" spans="1:17" ht="14.4" customHeight="1" x14ac:dyDescent="0.3">
      <c r="A24" s="16" t="s">
        <v>39</v>
      </c>
      <c r="B24" s="51">
        <v>0.102009169451</v>
      </c>
      <c r="C24" s="52">
        <v>8.5007641200000005E-3</v>
      </c>
      <c r="D24" s="52">
        <v>0.108479999999</v>
      </c>
      <c r="E24" s="52">
        <v>-4.3999999900000002E-4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0.10804</v>
      </c>
      <c r="Q24" s="81"/>
    </row>
    <row r="25" spans="1:17" ht="14.4" customHeight="1" x14ac:dyDescent="0.3">
      <c r="A25" s="17" t="s">
        <v>40</v>
      </c>
      <c r="B25" s="54">
        <v>42033.471111094397</v>
      </c>
      <c r="C25" s="55">
        <v>3502.7892592578701</v>
      </c>
      <c r="D25" s="55">
        <v>3001.3290400000001</v>
      </c>
      <c r="E25" s="55">
        <v>2959.68073000001</v>
      </c>
      <c r="F25" s="55">
        <v>0</v>
      </c>
      <c r="G25" s="55">
        <v>0</v>
      </c>
      <c r="H25" s="55">
        <v>0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5961.0097700000097</v>
      </c>
      <c r="Q25" s="82">
        <v>0.85089471972099995</v>
      </c>
    </row>
    <row r="26" spans="1:17" ht="14.4" customHeight="1" x14ac:dyDescent="0.3">
      <c r="A26" s="15" t="s">
        <v>41</v>
      </c>
      <c r="B26" s="51">
        <v>0</v>
      </c>
      <c r="C26" s="52">
        <v>0</v>
      </c>
      <c r="D26" s="52">
        <v>252.90145999999999</v>
      </c>
      <c r="E26" s="52">
        <v>297.85705999999999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550.75851999999998</v>
      </c>
      <c r="Q26" s="81" t="s">
        <v>255</v>
      </c>
    </row>
    <row r="27" spans="1:17" ht="14.4" customHeight="1" x14ac:dyDescent="0.3">
      <c r="A27" s="18" t="s">
        <v>42</v>
      </c>
      <c r="B27" s="54">
        <v>42033.471111094397</v>
      </c>
      <c r="C27" s="55">
        <v>3502.7892592578701</v>
      </c>
      <c r="D27" s="55">
        <v>3254.2305000000001</v>
      </c>
      <c r="E27" s="55">
        <v>3257.5377900000099</v>
      </c>
      <c r="F27" s="55">
        <v>0</v>
      </c>
      <c r="G27" s="55">
        <v>0</v>
      </c>
      <c r="H27" s="55">
        <v>0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6511.76829000001</v>
      </c>
      <c r="Q27" s="82">
        <v>0.929511855843</v>
      </c>
    </row>
    <row r="28" spans="1:17" ht="14.4" customHeight="1" x14ac:dyDescent="0.3">
      <c r="A28" s="16" t="s">
        <v>43</v>
      </c>
      <c r="B28" s="51">
        <v>10544.551229000799</v>
      </c>
      <c r="C28" s="52">
        <v>878.71260241673497</v>
      </c>
      <c r="D28" s="52">
        <v>573.98527999999999</v>
      </c>
      <c r="E28" s="52">
        <v>708.24627999999996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1282.2315599999999</v>
      </c>
      <c r="Q28" s="81">
        <v>0.72960804048600003</v>
      </c>
    </row>
    <row r="29" spans="1:17" ht="14.4" customHeight="1" x14ac:dyDescent="0.3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81" t="s">
        <v>255</v>
      </c>
    </row>
    <row r="30" spans="1:17" ht="14.4" customHeight="1" x14ac:dyDescent="0.3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81">
        <v>0</v>
      </c>
    </row>
    <row r="31" spans="1:17" ht="14.4" customHeight="1" thickBot="1" x14ac:dyDescent="0.3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3" t="s">
        <v>255</v>
      </c>
    </row>
    <row r="32" spans="1:17" ht="14.4" customHeight="1" x14ac:dyDescent="0.3"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</row>
    <row r="33" spans="1:17" ht="14.4" customHeight="1" x14ac:dyDescent="0.3">
      <c r="A33" s="98" t="s">
        <v>135</v>
      </c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  <row r="34" spans="1:17" ht="14.4" customHeight="1" x14ac:dyDescent="0.3">
      <c r="A34" s="121" t="s">
        <v>253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</row>
    <row r="35" spans="1:17" ht="14.4" customHeight="1" x14ac:dyDescent="0.3">
      <c r="A35" s="122" t="s">
        <v>47</v>
      </c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7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15" customWidth="1"/>
    <col min="2" max="11" width="10" style="115" customWidth="1"/>
    <col min="12" max="16384" width="8.88671875" style="115"/>
  </cols>
  <sheetData>
    <row r="1" spans="1:11" s="60" customFormat="1" ht="18.600000000000001" customHeight="1" thickBot="1" x14ac:dyDescent="0.4">
      <c r="A1" s="311" t="s">
        <v>48</v>
      </c>
      <c r="B1" s="311"/>
      <c r="C1" s="311"/>
      <c r="D1" s="311"/>
      <c r="E1" s="311"/>
      <c r="F1" s="311"/>
      <c r="G1" s="311"/>
      <c r="H1" s="316"/>
      <c r="I1" s="316"/>
      <c r="J1" s="316"/>
      <c r="K1" s="316"/>
    </row>
    <row r="2" spans="1:11" s="60" customFormat="1" ht="14.4" customHeight="1" thickBot="1" x14ac:dyDescent="0.35">
      <c r="A2" s="212" t="s">
        <v>254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68"/>
      <c r="B3" s="312" t="s">
        <v>49</v>
      </c>
      <c r="C3" s="313"/>
      <c r="D3" s="313"/>
      <c r="E3" s="313"/>
      <c r="F3" s="319" t="s">
        <v>50</v>
      </c>
      <c r="G3" s="313"/>
      <c r="H3" s="313"/>
      <c r="I3" s="313"/>
      <c r="J3" s="313"/>
      <c r="K3" s="320"/>
    </row>
    <row r="4" spans="1:11" ht="14.4" customHeight="1" x14ac:dyDescent="0.3">
      <c r="A4" s="69"/>
      <c r="B4" s="317"/>
      <c r="C4" s="318"/>
      <c r="D4" s="318"/>
      <c r="E4" s="318"/>
      <c r="F4" s="321" t="s">
        <v>249</v>
      </c>
      <c r="G4" s="323" t="s">
        <v>51</v>
      </c>
      <c r="H4" s="126" t="s">
        <v>122</v>
      </c>
      <c r="I4" s="321" t="s">
        <v>52</v>
      </c>
      <c r="J4" s="323" t="s">
        <v>251</v>
      </c>
      <c r="K4" s="324" t="s">
        <v>252</v>
      </c>
    </row>
    <row r="5" spans="1:11" ht="42" thickBot="1" x14ac:dyDescent="0.35">
      <c r="A5" s="70"/>
      <c r="B5" s="24" t="s">
        <v>245</v>
      </c>
      <c r="C5" s="25" t="s">
        <v>246</v>
      </c>
      <c r="D5" s="26" t="s">
        <v>247</v>
      </c>
      <c r="E5" s="26" t="s">
        <v>248</v>
      </c>
      <c r="F5" s="322"/>
      <c r="G5" s="322"/>
      <c r="H5" s="25" t="s">
        <v>250</v>
      </c>
      <c r="I5" s="322"/>
      <c r="J5" s="322"/>
      <c r="K5" s="325"/>
    </row>
    <row r="6" spans="1:11" ht="14.4" customHeight="1" thickBot="1" x14ac:dyDescent="0.35">
      <c r="A6" s="393" t="s">
        <v>257</v>
      </c>
      <c r="B6" s="375">
        <v>39241.978518844197</v>
      </c>
      <c r="C6" s="375">
        <v>38262.041570000001</v>
      </c>
      <c r="D6" s="376">
        <v>-979.93694884414401</v>
      </c>
      <c r="E6" s="377">
        <v>0.97502835010199995</v>
      </c>
      <c r="F6" s="375">
        <v>42033.471111094397</v>
      </c>
      <c r="G6" s="376">
        <v>7005.5785185157401</v>
      </c>
      <c r="H6" s="378">
        <v>2959.68073000001</v>
      </c>
      <c r="I6" s="375">
        <v>5961.0097700000097</v>
      </c>
      <c r="J6" s="376">
        <v>-1044.56874851573</v>
      </c>
      <c r="K6" s="379">
        <v>0.14181578662</v>
      </c>
    </row>
    <row r="7" spans="1:11" ht="14.4" customHeight="1" thickBot="1" x14ac:dyDescent="0.35">
      <c r="A7" s="394" t="s">
        <v>258</v>
      </c>
      <c r="B7" s="375">
        <v>7008.8365489464804</v>
      </c>
      <c r="C7" s="375">
        <v>6369.9066599999996</v>
      </c>
      <c r="D7" s="376">
        <v>-638.92988894647897</v>
      </c>
      <c r="E7" s="377">
        <v>0.90883937947600002</v>
      </c>
      <c r="F7" s="375">
        <v>6298.5684741323703</v>
      </c>
      <c r="G7" s="376">
        <v>1049.7614123553999</v>
      </c>
      <c r="H7" s="378">
        <v>524.50995000000103</v>
      </c>
      <c r="I7" s="375">
        <v>1046.5295100000001</v>
      </c>
      <c r="J7" s="376">
        <v>-3.2319023553939998</v>
      </c>
      <c r="K7" s="379">
        <v>0.16615354969900001</v>
      </c>
    </row>
    <row r="8" spans="1:11" ht="14.4" customHeight="1" thickBot="1" x14ac:dyDescent="0.35">
      <c r="A8" s="395" t="s">
        <v>259</v>
      </c>
      <c r="B8" s="375">
        <v>5008.3498227577402</v>
      </c>
      <c r="C8" s="375">
        <v>4889.4956599999996</v>
      </c>
      <c r="D8" s="376">
        <v>-118.85416275774</v>
      </c>
      <c r="E8" s="377">
        <v>0.97626879771499997</v>
      </c>
      <c r="F8" s="375">
        <v>4861.5633069067599</v>
      </c>
      <c r="G8" s="376">
        <v>810.26055115112695</v>
      </c>
      <c r="H8" s="378">
        <v>331.652950000001</v>
      </c>
      <c r="I8" s="375">
        <v>684.42151000000104</v>
      </c>
      <c r="J8" s="376">
        <v>-125.839041151126</v>
      </c>
      <c r="K8" s="379">
        <v>0.14078218605600001</v>
      </c>
    </row>
    <row r="9" spans="1:11" ht="14.4" customHeight="1" thickBot="1" x14ac:dyDescent="0.35">
      <c r="A9" s="396" t="s">
        <v>260</v>
      </c>
      <c r="B9" s="380">
        <v>0</v>
      </c>
      <c r="C9" s="380">
        <v>-3.2899999999999999E-2</v>
      </c>
      <c r="D9" s="381">
        <v>-3.2899999999999999E-2</v>
      </c>
      <c r="E9" s="382" t="s">
        <v>255</v>
      </c>
      <c r="F9" s="380">
        <v>0</v>
      </c>
      <c r="G9" s="381">
        <v>0</v>
      </c>
      <c r="H9" s="383">
        <v>-4.4000000000000002E-4</v>
      </c>
      <c r="I9" s="380">
        <v>-7.6000000000000004E-4</v>
      </c>
      <c r="J9" s="381">
        <v>-7.6000000000000004E-4</v>
      </c>
      <c r="K9" s="384" t="s">
        <v>255</v>
      </c>
    </row>
    <row r="10" spans="1:11" ht="14.4" customHeight="1" thickBot="1" x14ac:dyDescent="0.35">
      <c r="A10" s="397" t="s">
        <v>261</v>
      </c>
      <c r="B10" s="375">
        <v>0</v>
      </c>
      <c r="C10" s="375">
        <v>-3.2899999999999999E-2</v>
      </c>
      <c r="D10" s="376">
        <v>-3.2899999999999999E-2</v>
      </c>
      <c r="E10" s="385" t="s">
        <v>255</v>
      </c>
      <c r="F10" s="375">
        <v>0</v>
      </c>
      <c r="G10" s="376">
        <v>0</v>
      </c>
      <c r="H10" s="378">
        <v>-4.4000000000000002E-4</v>
      </c>
      <c r="I10" s="375">
        <v>-7.6000000000000004E-4</v>
      </c>
      <c r="J10" s="376">
        <v>-7.6000000000000004E-4</v>
      </c>
      <c r="K10" s="386" t="s">
        <v>255</v>
      </c>
    </row>
    <row r="11" spans="1:11" ht="14.4" customHeight="1" thickBot="1" x14ac:dyDescent="0.35">
      <c r="A11" s="396" t="s">
        <v>262</v>
      </c>
      <c r="B11" s="380">
        <v>275.76606941463501</v>
      </c>
      <c r="C11" s="380">
        <v>294.83587999999997</v>
      </c>
      <c r="D11" s="381">
        <v>19.069810585365001</v>
      </c>
      <c r="E11" s="387">
        <v>1.069152128199</v>
      </c>
      <c r="F11" s="380">
        <v>305.37575845912698</v>
      </c>
      <c r="G11" s="381">
        <v>50.895959743186999</v>
      </c>
      <c r="H11" s="383">
        <v>25.475149999999999</v>
      </c>
      <c r="I11" s="380">
        <v>53.699170000000002</v>
      </c>
      <c r="J11" s="381">
        <v>2.8032102568120001</v>
      </c>
      <c r="K11" s="388">
        <v>0.17584621081499999</v>
      </c>
    </row>
    <row r="12" spans="1:11" ht="14.4" customHeight="1" thickBot="1" x14ac:dyDescent="0.35">
      <c r="A12" s="397" t="s">
        <v>263</v>
      </c>
      <c r="B12" s="375">
        <v>254.21004598163501</v>
      </c>
      <c r="C12" s="375">
        <v>249.32192000000001</v>
      </c>
      <c r="D12" s="376">
        <v>-4.8881259816349996</v>
      </c>
      <c r="E12" s="377">
        <v>0.98077131073699997</v>
      </c>
      <c r="F12" s="375">
        <v>255.99999193662001</v>
      </c>
      <c r="G12" s="376">
        <v>42.666665322770001</v>
      </c>
      <c r="H12" s="378">
        <v>24.745349999999998</v>
      </c>
      <c r="I12" s="375">
        <v>44.866129999999998</v>
      </c>
      <c r="J12" s="376">
        <v>2.1994646772299999</v>
      </c>
      <c r="K12" s="379">
        <v>0.17525832583199999</v>
      </c>
    </row>
    <row r="13" spans="1:11" ht="14.4" customHeight="1" thickBot="1" x14ac:dyDescent="0.35">
      <c r="A13" s="397" t="s">
        <v>264</v>
      </c>
      <c r="B13" s="375">
        <v>3.9215472014869999</v>
      </c>
      <c r="C13" s="375">
        <v>1.69896</v>
      </c>
      <c r="D13" s="376">
        <v>-2.2225872014869998</v>
      </c>
      <c r="E13" s="377">
        <v>0.43323716704300003</v>
      </c>
      <c r="F13" s="375">
        <v>1.2833468323720001</v>
      </c>
      <c r="G13" s="376">
        <v>0.213891138728</v>
      </c>
      <c r="H13" s="378">
        <v>0.11269999999999999</v>
      </c>
      <c r="I13" s="375">
        <v>0.52488999999999997</v>
      </c>
      <c r="J13" s="376">
        <v>0.31099886127100002</v>
      </c>
      <c r="K13" s="379">
        <v>0.40900089263400002</v>
      </c>
    </row>
    <row r="14" spans="1:11" ht="14.4" customHeight="1" thickBot="1" x14ac:dyDescent="0.35">
      <c r="A14" s="397" t="s">
        <v>265</v>
      </c>
      <c r="B14" s="375">
        <v>0</v>
      </c>
      <c r="C14" s="375">
        <v>0</v>
      </c>
      <c r="D14" s="376">
        <v>0</v>
      </c>
      <c r="E14" s="377">
        <v>1</v>
      </c>
      <c r="F14" s="375">
        <v>0</v>
      </c>
      <c r="G14" s="376">
        <v>0</v>
      </c>
      <c r="H14" s="378">
        <v>0</v>
      </c>
      <c r="I14" s="375">
        <v>0.10105</v>
      </c>
      <c r="J14" s="376">
        <v>0.10105</v>
      </c>
      <c r="K14" s="386" t="s">
        <v>266</v>
      </c>
    </row>
    <row r="15" spans="1:11" ht="14.4" customHeight="1" thickBot="1" x14ac:dyDescent="0.35">
      <c r="A15" s="397" t="s">
        <v>267</v>
      </c>
      <c r="B15" s="375">
        <v>17.634476231511002</v>
      </c>
      <c r="C15" s="375">
        <v>43.814999999999998</v>
      </c>
      <c r="D15" s="376">
        <v>26.180523768488001</v>
      </c>
      <c r="E15" s="377">
        <v>2.4846215688390001</v>
      </c>
      <c r="F15" s="375">
        <v>48.092419690134001</v>
      </c>
      <c r="G15" s="376">
        <v>8.0154032816890002</v>
      </c>
      <c r="H15" s="378">
        <v>0.61709999999999998</v>
      </c>
      <c r="I15" s="375">
        <v>8.2071000000000005</v>
      </c>
      <c r="J15" s="376">
        <v>0.19169671831000001</v>
      </c>
      <c r="K15" s="379">
        <v>0.17065267359899999</v>
      </c>
    </row>
    <row r="16" spans="1:11" ht="14.4" customHeight="1" thickBot="1" x14ac:dyDescent="0.35">
      <c r="A16" s="396" t="s">
        <v>268</v>
      </c>
      <c r="B16" s="380">
        <v>3908.1860427184201</v>
      </c>
      <c r="C16" s="380">
        <v>3858.9077299999999</v>
      </c>
      <c r="D16" s="381">
        <v>-49.278312718414</v>
      </c>
      <c r="E16" s="387">
        <v>0.98739100130299995</v>
      </c>
      <c r="F16" s="380">
        <v>3887.7751075444999</v>
      </c>
      <c r="G16" s="381">
        <v>647.96251792408395</v>
      </c>
      <c r="H16" s="383">
        <v>225.83394000000101</v>
      </c>
      <c r="I16" s="380">
        <v>492.03233999999998</v>
      </c>
      <c r="J16" s="381">
        <v>-155.93017792408401</v>
      </c>
      <c r="K16" s="388">
        <v>0.12655884828399999</v>
      </c>
    </row>
    <row r="17" spans="1:11" ht="14.4" customHeight="1" thickBot="1" x14ac:dyDescent="0.35">
      <c r="A17" s="397" t="s">
        <v>269</v>
      </c>
      <c r="B17" s="375">
        <v>1.3877245097040001</v>
      </c>
      <c r="C17" s="375">
        <v>0.77522999999999997</v>
      </c>
      <c r="D17" s="376">
        <v>-0.61249450970399999</v>
      </c>
      <c r="E17" s="377">
        <v>0.55863393244000004</v>
      </c>
      <c r="F17" s="375">
        <v>0.77522997558200002</v>
      </c>
      <c r="G17" s="376">
        <v>0.12920499593000001</v>
      </c>
      <c r="H17" s="378">
        <v>0</v>
      </c>
      <c r="I17" s="375">
        <v>0</v>
      </c>
      <c r="J17" s="376">
        <v>-0.12920499593000001</v>
      </c>
      <c r="K17" s="379">
        <v>0</v>
      </c>
    </row>
    <row r="18" spans="1:11" ht="14.4" customHeight="1" thickBot="1" x14ac:dyDescent="0.35">
      <c r="A18" s="397" t="s">
        <v>270</v>
      </c>
      <c r="B18" s="375">
        <v>54.200525703906003</v>
      </c>
      <c r="C18" s="375">
        <v>58.391559999999998</v>
      </c>
      <c r="D18" s="376">
        <v>4.191034296093</v>
      </c>
      <c r="E18" s="377">
        <v>1.077324606019</v>
      </c>
      <c r="F18" s="375">
        <v>60.999998078647003</v>
      </c>
      <c r="G18" s="376">
        <v>10.166666346441</v>
      </c>
      <c r="H18" s="378">
        <v>5.8505700000000003</v>
      </c>
      <c r="I18" s="375">
        <v>14.279579999999999</v>
      </c>
      <c r="J18" s="376">
        <v>4.1129136535580004</v>
      </c>
      <c r="K18" s="379">
        <v>0.23409148278299999</v>
      </c>
    </row>
    <row r="19" spans="1:11" ht="14.4" customHeight="1" thickBot="1" x14ac:dyDescent="0.35">
      <c r="A19" s="397" t="s">
        <v>271</v>
      </c>
      <c r="B19" s="375">
        <v>74.822096011097997</v>
      </c>
      <c r="C19" s="375">
        <v>83.550460000000001</v>
      </c>
      <c r="D19" s="376">
        <v>8.7283639889020002</v>
      </c>
      <c r="E19" s="377">
        <v>1.1166548981410001</v>
      </c>
      <c r="F19" s="375">
        <v>87.999997228213005</v>
      </c>
      <c r="G19" s="376">
        <v>14.666666204702</v>
      </c>
      <c r="H19" s="378">
        <v>5.1844200000000003</v>
      </c>
      <c r="I19" s="375">
        <v>8.6057600000000001</v>
      </c>
      <c r="J19" s="376">
        <v>-6.0609062047020004</v>
      </c>
      <c r="K19" s="379">
        <v>9.7792730352000007E-2</v>
      </c>
    </row>
    <row r="20" spans="1:11" ht="14.4" customHeight="1" thickBot="1" x14ac:dyDescent="0.35">
      <c r="A20" s="397" t="s">
        <v>272</v>
      </c>
      <c r="B20" s="375">
        <v>71.585487819205994</v>
      </c>
      <c r="C20" s="375">
        <v>73.231430000000003</v>
      </c>
      <c r="D20" s="376">
        <v>1.6459421807929999</v>
      </c>
      <c r="E20" s="377">
        <v>1.0229926795349999</v>
      </c>
      <c r="F20" s="375">
        <v>74.999997637681005</v>
      </c>
      <c r="G20" s="376">
        <v>12.499999606279999</v>
      </c>
      <c r="H20" s="378">
        <v>8.0677400000000006</v>
      </c>
      <c r="I20" s="375">
        <v>15.32249</v>
      </c>
      <c r="J20" s="376">
        <v>2.8224903937189998</v>
      </c>
      <c r="K20" s="379">
        <v>0.20429987310100001</v>
      </c>
    </row>
    <row r="21" spans="1:11" ht="14.4" customHeight="1" thickBot="1" x14ac:dyDescent="0.35">
      <c r="A21" s="397" t="s">
        <v>273</v>
      </c>
      <c r="B21" s="375">
        <v>5.9938415171989998</v>
      </c>
      <c r="C21" s="375">
        <v>5.9203900000000003</v>
      </c>
      <c r="D21" s="376">
        <v>-7.3451517199000005E-2</v>
      </c>
      <c r="E21" s="377">
        <v>0.987745502281</v>
      </c>
      <c r="F21" s="375">
        <v>5.9999998110139998</v>
      </c>
      <c r="G21" s="376">
        <v>0.99999996850200001</v>
      </c>
      <c r="H21" s="378">
        <v>0.24299999999999999</v>
      </c>
      <c r="I21" s="375">
        <v>1.0923499999999999</v>
      </c>
      <c r="J21" s="376">
        <v>9.2350031496999996E-2</v>
      </c>
      <c r="K21" s="379">
        <v>0.182058339067</v>
      </c>
    </row>
    <row r="22" spans="1:11" ht="14.4" customHeight="1" thickBot="1" x14ac:dyDescent="0.35">
      <c r="A22" s="397" t="s">
        <v>274</v>
      </c>
      <c r="B22" s="375">
        <v>165.03610098861901</v>
      </c>
      <c r="C22" s="375">
        <v>181.35649000000001</v>
      </c>
      <c r="D22" s="376">
        <v>16.320389011381</v>
      </c>
      <c r="E22" s="377">
        <v>1.098889812069</v>
      </c>
      <c r="F22" s="375">
        <v>178.999994361934</v>
      </c>
      <c r="G22" s="376">
        <v>29.833332393654999</v>
      </c>
      <c r="H22" s="378">
        <v>13.23352</v>
      </c>
      <c r="I22" s="375">
        <v>30.825800000000001</v>
      </c>
      <c r="J22" s="376">
        <v>0.992467606344</v>
      </c>
      <c r="K22" s="379">
        <v>0.172211178608</v>
      </c>
    </row>
    <row r="23" spans="1:11" ht="14.4" customHeight="1" thickBot="1" x14ac:dyDescent="0.35">
      <c r="A23" s="397" t="s">
        <v>275</v>
      </c>
      <c r="B23" s="375">
        <v>3531.9338074854199</v>
      </c>
      <c r="C23" s="375">
        <v>3455.68217</v>
      </c>
      <c r="D23" s="376">
        <v>-76.251637485415003</v>
      </c>
      <c r="E23" s="377">
        <v>0.97841079656499996</v>
      </c>
      <c r="F23" s="375">
        <v>3477.99989045143</v>
      </c>
      <c r="G23" s="376">
        <v>579.66664840857197</v>
      </c>
      <c r="H23" s="378">
        <v>193.25469000000001</v>
      </c>
      <c r="I23" s="375">
        <v>421.90636000000001</v>
      </c>
      <c r="J23" s="376">
        <v>-157.760288408571</v>
      </c>
      <c r="K23" s="379">
        <v>0.121307180359</v>
      </c>
    </row>
    <row r="24" spans="1:11" ht="14.4" customHeight="1" thickBot="1" x14ac:dyDescent="0.35">
      <c r="A24" s="396" t="s">
        <v>276</v>
      </c>
      <c r="B24" s="380">
        <v>0</v>
      </c>
      <c r="C24" s="380">
        <v>2.1897000000000002</v>
      </c>
      <c r="D24" s="381">
        <v>2.1897000000000002</v>
      </c>
      <c r="E24" s="382" t="s">
        <v>255</v>
      </c>
      <c r="F24" s="380">
        <v>0</v>
      </c>
      <c r="G24" s="381">
        <v>0</v>
      </c>
      <c r="H24" s="383">
        <v>0</v>
      </c>
      <c r="I24" s="380">
        <v>0</v>
      </c>
      <c r="J24" s="381">
        <v>0</v>
      </c>
      <c r="K24" s="384" t="s">
        <v>255</v>
      </c>
    </row>
    <row r="25" spans="1:11" ht="14.4" customHeight="1" thickBot="1" x14ac:dyDescent="0.35">
      <c r="A25" s="397" t="s">
        <v>277</v>
      </c>
      <c r="B25" s="375">
        <v>0</v>
      </c>
      <c r="C25" s="375">
        <v>2.1897000000000002</v>
      </c>
      <c r="D25" s="376">
        <v>2.1897000000000002</v>
      </c>
      <c r="E25" s="385" t="s">
        <v>255</v>
      </c>
      <c r="F25" s="375">
        <v>0</v>
      </c>
      <c r="G25" s="376">
        <v>0</v>
      </c>
      <c r="H25" s="378">
        <v>0</v>
      </c>
      <c r="I25" s="375">
        <v>0</v>
      </c>
      <c r="J25" s="376">
        <v>0</v>
      </c>
      <c r="K25" s="386" t="s">
        <v>255</v>
      </c>
    </row>
    <row r="26" spans="1:11" ht="14.4" customHeight="1" thickBot="1" x14ac:dyDescent="0.35">
      <c r="A26" s="396" t="s">
        <v>278</v>
      </c>
      <c r="B26" s="380">
        <v>633.99054647967</v>
      </c>
      <c r="C26" s="380">
        <v>552.97370000000001</v>
      </c>
      <c r="D26" s="381">
        <v>-81.016846479668999</v>
      </c>
      <c r="E26" s="387">
        <v>0.87221127045199998</v>
      </c>
      <c r="F26" s="380">
        <v>505.02884351081298</v>
      </c>
      <c r="G26" s="381">
        <v>84.171473918467996</v>
      </c>
      <c r="H26" s="383">
        <v>64.373909999999995</v>
      </c>
      <c r="I26" s="380">
        <v>111.40387</v>
      </c>
      <c r="J26" s="381">
        <v>27.232396081531</v>
      </c>
      <c r="K26" s="388">
        <v>0.22058912363399999</v>
      </c>
    </row>
    <row r="27" spans="1:11" ht="14.4" customHeight="1" thickBot="1" x14ac:dyDescent="0.35">
      <c r="A27" s="397" t="s">
        <v>279</v>
      </c>
      <c r="B27" s="375">
        <v>8.6984907783719994</v>
      </c>
      <c r="C27" s="375">
        <v>5.1700699999989999</v>
      </c>
      <c r="D27" s="376">
        <v>-3.5284207783719999</v>
      </c>
      <c r="E27" s="377">
        <v>0.59436402609600003</v>
      </c>
      <c r="F27" s="375">
        <v>6.8951855880900004</v>
      </c>
      <c r="G27" s="376">
        <v>1.149197598015</v>
      </c>
      <c r="H27" s="378">
        <v>0</v>
      </c>
      <c r="I27" s="375">
        <v>2.7850000000000001</v>
      </c>
      <c r="J27" s="376">
        <v>1.6358024019849999</v>
      </c>
      <c r="K27" s="379">
        <v>0.40390500943300001</v>
      </c>
    </row>
    <row r="28" spans="1:11" ht="14.4" customHeight="1" thickBot="1" x14ac:dyDescent="0.35">
      <c r="A28" s="397" t="s">
        <v>280</v>
      </c>
      <c r="B28" s="375">
        <v>7.7343111015010004</v>
      </c>
      <c r="C28" s="375">
        <v>10.28407</v>
      </c>
      <c r="D28" s="376">
        <v>2.5497588984980002</v>
      </c>
      <c r="E28" s="377">
        <v>1.329668520574</v>
      </c>
      <c r="F28" s="375">
        <v>8.9999997165209997</v>
      </c>
      <c r="G28" s="376">
        <v>1.4999999527529999</v>
      </c>
      <c r="H28" s="378">
        <v>1.35741</v>
      </c>
      <c r="I28" s="375">
        <v>2.91092</v>
      </c>
      <c r="J28" s="376">
        <v>1.410920047246</v>
      </c>
      <c r="K28" s="379">
        <v>0.323435565742</v>
      </c>
    </row>
    <row r="29" spans="1:11" ht="14.4" customHeight="1" thickBot="1" x14ac:dyDescent="0.35">
      <c r="A29" s="397" t="s">
        <v>281</v>
      </c>
      <c r="B29" s="375">
        <v>250.50493545676201</v>
      </c>
      <c r="C29" s="375">
        <v>202.44847999999999</v>
      </c>
      <c r="D29" s="376">
        <v>-48.056455456761</v>
      </c>
      <c r="E29" s="377">
        <v>0.80816164212800001</v>
      </c>
      <c r="F29" s="375">
        <v>184.12453938459001</v>
      </c>
      <c r="G29" s="376">
        <v>30.687423230764999</v>
      </c>
      <c r="H29" s="378">
        <v>27.501180000000002</v>
      </c>
      <c r="I29" s="375">
        <v>48.698659999999997</v>
      </c>
      <c r="J29" s="376">
        <v>18.011236769235001</v>
      </c>
      <c r="K29" s="379">
        <v>0.26448761345299998</v>
      </c>
    </row>
    <row r="30" spans="1:11" ht="14.4" customHeight="1" thickBot="1" x14ac:dyDescent="0.35">
      <c r="A30" s="397" t="s">
        <v>282</v>
      </c>
      <c r="B30" s="375">
        <v>62.995975792518998</v>
      </c>
      <c r="C30" s="375">
        <v>37.376100000000001</v>
      </c>
      <c r="D30" s="376">
        <v>-25.619875792519</v>
      </c>
      <c r="E30" s="377">
        <v>0.59330932698100003</v>
      </c>
      <c r="F30" s="375">
        <v>45.999998551110998</v>
      </c>
      <c r="G30" s="376">
        <v>7.6666664251850003</v>
      </c>
      <c r="H30" s="378">
        <v>2.5175700000000001</v>
      </c>
      <c r="I30" s="375">
        <v>5.6551</v>
      </c>
      <c r="J30" s="376">
        <v>-2.0115664251849998</v>
      </c>
      <c r="K30" s="379">
        <v>0.12293696039300001</v>
      </c>
    </row>
    <row r="31" spans="1:11" ht="14.4" customHeight="1" thickBot="1" x14ac:dyDescent="0.35">
      <c r="A31" s="397" t="s">
        <v>283</v>
      </c>
      <c r="B31" s="375">
        <v>18.998460503922999</v>
      </c>
      <c r="C31" s="375">
        <v>27.142130000000002</v>
      </c>
      <c r="D31" s="376">
        <v>8.1436694960770009</v>
      </c>
      <c r="E31" s="377">
        <v>1.4286489157569999</v>
      </c>
      <c r="F31" s="375">
        <v>19.999999370047998</v>
      </c>
      <c r="G31" s="376">
        <v>3.333333228341</v>
      </c>
      <c r="H31" s="378">
        <v>4.3559999999999999</v>
      </c>
      <c r="I31" s="375">
        <v>4.5136000000000003</v>
      </c>
      <c r="J31" s="376">
        <v>1.180266771658</v>
      </c>
      <c r="K31" s="379">
        <v>0.22568000710800001</v>
      </c>
    </row>
    <row r="32" spans="1:11" ht="14.4" customHeight="1" thickBot="1" x14ac:dyDescent="0.35">
      <c r="A32" s="397" t="s">
        <v>284</v>
      </c>
      <c r="B32" s="375">
        <v>0.40808617724200003</v>
      </c>
      <c r="C32" s="375">
        <v>0.19900000000000001</v>
      </c>
      <c r="D32" s="376">
        <v>-0.20908617724199999</v>
      </c>
      <c r="E32" s="377">
        <v>0.48764209889299998</v>
      </c>
      <c r="F32" s="375">
        <v>0.22232651379099999</v>
      </c>
      <c r="G32" s="376">
        <v>3.7054418965000002E-2</v>
      </c>
      <c r="H32" s="378">
        <v>0</v>
      </c>
      <c r="I32" s="375">
        <v>0</v>
      </c>
      <c r="J32" s="376">
        <v>-3.7054418965000002E-2</v>
      </c>
      <c r="K32" s="379">
        <v>0</v>
      </c>
    </row>
    <row r="33" spans="1:11" ht="14.4" customHeight="1" thickBot="1" x14ac:dyDescent="0.35">
      <c r="A33" s="397" t="s">
        <v>285</v>
      </c>
      <c r="B33" s="375">
        <v>0.37213232892499998</v>
      </c>
      <c r="C33" s="375">
        <v>1.51824</v>
      </c>
      <c r="D33" s="376">
        <v>1.1461076710739999</v>
      </c>
      <c r="E33" s="377">
        <v>4.0798390303370002</v>
      </c>
      <c r="F33" s="375">
        <v>2.302442247029</v>
      </c>
      <c r="G33" s="376">
        <v>0.383740374504</v>
      </c>
      <c r="H33" s="378">
        <v>0.51905000000000001</v>
      </c>
      <c r="I33" s="375">
        <v>0.51905000000000001</v>
      </c>
      <c r="J33" s="376">
        <v>0.135309625495</v>
      </c>
      <c r="K33" s="379">
        <v>0.22543453616199999</v>
      </c>
    </row>
    <row r="34" spans="1:11" ht="14.4" customHeight="1" thickBot="1" x14ac:dyDescent="0.35">
      <c r="A34" s="397" t="s">
        <v>286</v>
      </c>
      <c r="B34" s="375">
        <v>156.983850996256</v>
      </c>
      <c r="C34" s="375">
        <v>154.4667</v>
      </c>
      <c r="D34" s="376">
        <v>-2.5171509962559999</v>
      </c>
      <c r="E34" s="377">
        <v>0.983965541803</v>
      </c>
      <c r="F34" s="375">
        <v>139.99999559033901</v>
      </c>
      <c r="G34" s="376">
        <v>23.333332598388999</v>
      </c>
      <c r="H34" s="378">
        <v>13.756489999999999</v>
      </c>
      <c r="I34" s="375">
        <v>23.685749999999999</v>
      </c>
      <c r="J34" s="376">
        <v>0.35241740161000001</v>
      </c>
      <c r="K34" s="379">
        <v>0.1691839339</v>
      </c>
    </row>
    <row r="35" spans="1:11" ht="14.4" customHeight="1" thickBot="1" x14ac:dyDescent="0.35">
      <c r="A35" s="397" t="s">
        <v>287</v>
      </c>
      <c r="B35" s="375">
        <v>69.299227268392002</v>
      </c>
      <c r="C35" s="375">
        <v>33.330370000000002</v>
      </c>
      <c r="D35" s="376">
        <v>-35.968857268392</v>
      </c>
      <c r="E35" s="377">
        <v>0.48096308305000002</v>
      </c>
      <c r="F35" s="375">
        <v>36.484358439144998</v>
      </c>
      <c r="G35" s="376">
        <v>6.0807264065239996</v>
      </c>
      <c r="H35" s="378">
        <v>1.6349</v>
      </c>
      <c r="I35" s="375">
        <v>2.0583999999999998</v>
      </c>
      <c r="J35" s="376">
        <v>-4.0223264065239999</v>
      </c>
      <c r="K35" s="379">
        <v>5.6418697986000001E-2</v>
      </c>
    </row>
    <row r="36" spans="1:11" ht="14.4" customHeight="1" thickBot="1" x14ac:dyDescent="0.35">
      <c r="A36" s="397" t="s">
        <v>288</v>
      </c>
      <c r="B36" s="375">
        <v>0</v>
      </c>
      <c r="C36" s="375">
        <v>4.1230000000000002</v>
      </c>
      <c r="D36" s="376">
        <v>4.1230000000000002</v>
      </c>
      <c r="E36" s="385" t="s">
        <v>255</v>
      </c>
      <c r="F36" s="375">
        <v>0</v>
      </c>
      <c r="G36" s="376">
        <v>0</v>
      </c>
      <c r="H36" s="378">
        <v>0</v>
      </c>
      <c r="I36" s="375">
        <v>0</v>
      </c>
      <c r="J36" s="376">
        <v>0</v>
      </c>
      <c r="K36" s="386" t="s">
        <v>255</v>
      </c>
    </row>
    <row r="37" spans="1:11" ht="14.4" customHeight="1" thickBot="1" x14ac:dyDescent="0.35">
      <c r="A37" s="397" t="s">
        <v>289</v>
      </c>
      <c r="B37" s="375">
        <v>57.995076075775003</v>
      </c>
      <c r="C37" s="375">
        <v>76.915539999999993</v>
      </c>
      <c r="D37" s="376">
        <v>18.920463924225</v>
      </c>
      <c r="E37" s="377">
        <v>1.32624259169</v>
      </c>
      <c r="F37" s="375">
        <v>59.999998110145</v>
      </c>
      <c r="G37" s="376">
        <v>9.9999996850239992</v>
      </c>
      <c r="H37" s="378">
        <v>12.731310000000001</v>
      </c>
      <c r="I37" s="375">
        <v>20.577390000000001</v>
      </c>
      <c r="J37" s="376">
        <v>10.577390314975</v>
      </c>
      <c r="K37" s="379">
        <v>0.34295651080200001</v>
      </c>
    </row>
    <row r="38" spans="1:11" ht="14.4" customHeight="1" thickBot="1" x14ac:dyDescent="0.35">
      <c r="A38" s="396" t="s">
        <v>290</v>
      </c>
      <c r="B38" s="380">
        <v>59.435216117666002</v>
      </c>
      <c r="C38" s="380">
        <v>69.268010000000004</v>
      </c>
      <c r="D38" s="381">
        <v>9.8327938823330001</v>
      </c>
      <c r="E38" s="387">
        <v>1.1654371688130001</v>
      </c>
      <c r="F38" s="380">
        <v>41.383601235020997</v>
      </c>
      <c r="G38" s="381">
        <v>6.8972668725029997</v>
      </c>
      <c r="H38" s="383">
        <v>7.5080499999999999</v>
      </c>
      <c r="I38" s="380">
        <v>10.336449999999999</v>
      </c>
      <c r="J38" s="381">
        <v>3.4391831274959999</v>
      </c>
      <c r="K38" s="388">
        <v>0.249771641218</v>
      </c>
    </row>
    <row r="39" spans="1:11" ht="14.4" customHeight="1" thickBot="1" x14ac:dyDescent="0.35">
      <c r="A39" s="397" t="s">
        <v>291</v>
      </c>
      <c r="B39" s="375">
        <v>0</v>
      </c>
      <c r="C39" s="375">
        <v>43.899149999999999</v>
      </c>
      <c r="D39" s="376">
        <v>43.899149999999999</v>
      </c>
      <c r="E39" s="385" t="s">
        <v>255</v>
      </c>
      <c r="F39" s="375">
        <v>0</v>
      </c>
      <c r="G39" s="376">
        <v>0</v>
      </c>
      <c r="H39" s="378">
        <v>7.5080499999999999</v>
      </c>
      <c r="I39" s="375">
        <v>10.049049999999999</v>
      </c>
      <c r="J39" s="376">
        <v>10.049049999999999</v>
      </c>
      <c r="K39" s="386" t="s">
        <v>255</v>
      </c>
    </row>
    <row r="40" spans="1:11" ht="14.4" customHeight="1" thickBot="1" x14ac:dyDescent="0.35">
      <c r="A40" s="397" t="s">
        <v>292</v>
      </c>
      <c r="B40" s="375">
        <v>48.159195307303001</v>
      </c>
      <c r="C40" s="375">
        <v>0.17</v>
      </c>
      <c r="D40" s="376">
        <v>-47.989195307303</v>
      </c>
      <c r="E40" s="377">
        <v>3.5299593130000001E-3</v>
      </c>
      <c r="F40" s="375">
        <v>0.30668451326200002</v>
      </c>
      <c r="G40" s="376">
        <v>5.1114085543000003E-2</v>
      </c>
      <c r="H40" s="378">
        <v>0</v>
      </c>
      <c r="I40" s="375">
        <v>0</v>
      </c>
      <c r="J40" s="376">
        <v>-5.1114085543000003E-2</v>
      </c>
      <c r="K40" s="379">
        <v>0</v>
      </c>
    </row>
    <row r="41" spans="1:11" ht="14.4" customHeight="1" thickBot="1" x14ac:dyDescent="0.35">
      <c r="A41" s="397" t="s">
        <v>293</v>
      </c>
      <c r="B41" s="375">
        <v>0.27396933219800002</v>
      </c>
      <c r="C41" s="375">
        <v>21.0975</v>
      </c>
      <c r="D41" s="376">
        <v>20.823530667800998</v>
      </c>
      <c r="E41" s="377">
        <v>77.006794266799005</v>
      </c>
      <c r="F41" s="375">
        <v>36.076916879247001</v>
      </c>
      <c r="G41" s="376">
        <v>6.0128194798739996</v>
      </c>
      <c r="H41" s="378">
        <v>0</v>
      </c>
      <c r="I41" s="375">
        <v>0</v>
      </c>
      <c r="J41" s="376">
        <v>-6.0128194798739996</v>
      </c>
      <c r="K41" s="379">
        <v>0</v>
      </c>
    </row>
    <row r="42" spans="1:11" ht="14.4" customHeight="1" thickBot="1" x14ac:dyDescent="0.35">
      <c r="A42" s="397" t="s">
        <v>294</v>
      </c>
      <c r="B42" s="375">
        <v>11.002051478165001</v>
      </c>
      <c r="C42" s="375">
        <v>4.1013599999999997</v>
      </c>
      <c r="D42" s="376">
        <v>-6.9006914781640001</v>
      </c>
      <c r="E42" s="377">
        <v>0.37278138610200001</v>
      </c>
      <c r="F42" s="375">
        <v>4.9999998425119996</v>
      </c>
      <c r="G42" s="376">
        <v>0.83333330708499997</v>
      </c>
      <c r="H42" s="378">
        <v>0</v>
      </c>
      <c r="I42" s="375">
        <v>0.28739999999999999</v>
      </c>
      <c r="J42" s="376">
        <v>-0.54593330708499999</v>
      </c>
      <c r="K42" s="379">
        <v>5.748000181E-2</v>
      </c>
    </row>
    <row r="43" spans="1:11" ht="14.4" customHeight="1" thickBot="1" x14ac:dyDescent="0.35">
      <c r="A43" s="396" t="s">
        <v>295</v>
      </c>
      <c r="B43" s="380">
        <v>130.97194802735399</v>
      </c>
      <c r="C43" s="380">
        <v>111.35354</v>
      </c>
      <c r="D43" s="381">
        <v>-19.618408027352999</v>
      </c>
      <c r="E43" s="387">
        <v>0.85020908428899999</v>
      </c>
      <c r="F43" s="380">
        <v>121.999996157295</v>
      </c>
      <c r="G43" s="381">
        <v>20.333332692881999</v>
      </c>
      <c r="H43" s="383">
        <v>8.4623399999999993</v>
      </c>
      <c r="I43" s="380">
        <v>16.95044</v>
      </c>
      <c r="J43" s="381">
        <v>-3.3828926928819998</v>
      </c>
      <c r="K43" s="388">
        <v>0.13893803716299999</v>
      </c>
    </row>
    <row r="44" spans="1:11" ht="14.4" customHeight="1" thickBot="1" x14ac:dyDescent="0.35">
      <c r="A44" s="397" t="s">
        <v>296</v>
      </c>
      <c r="B44" s="375">
        <v>28.978374727725999</v>
      </c>
      <c r="C44" s="375">
        <v>21.3643</v>
      </c>
      <c r="D44" s="376">
        <v>-7.6140747277259999</v>
      </c>
      <c r="E44" s="377">
        <v>0.73724976644499995</v>
      </c>
      <c r="F44" s="375">
        <v>22.999999275554998</v>
      </c>
      <c r="G44" s="376">
        <v>3.8333332125920001</v>
      </c>
      <c r="H44" s="378">
        <v>0.67698000000000003</v>
      </c>
      <c r="I44" s="375">
        <v>1.98495</v>
      </c>
      <c r="J44" s="376">
        <v>-1.8483832125919999</v>
      </c>
      <c r="K44" s="379">
        <v>8.6302176630999997E-2</v>
      </c>
    </row>
    <row r="45" spans="1:11" ht="14.4" customHeight="1" thickBot="1" x14ac:dyDescent="0.35">
      <c r="A45" s="397" t="s">
        <v>297</v>
      </c>
      <c r="B45" s="375">
        <v>0</v>
      </c>
      <c r="C45" s="375">
        <v>1.32</v>
      </c>
      <c r="D45" s="376">
        <v>1.32</v>
      </c>
      <c r="E45" s="385" t="s">
        <v>255</v>
      </c>
      <c r="F45" s="375">
        <v>0.99999996850200001</v>
      </c>
      <c r="G45" s="376">
        <v>0.16666666141700001</v>
      </c>
      <c r="H45" s="378">
        <v>0</v>
      </c>
      <c r="I45" s="375">
        <v>0</v>
      </c>
      <c r="J45" s="376">
        <v>-0.16666666141700001</v>
      </c>
      <c r="K45" s="379">
        <v>0</v>
      </c>
    </row>
    <row r="46" spans="1:11" ht="14.4" customHeight="1" thickBot="1" x14ac:dyDescent="0.35">
      <c r="A46" s="397" t="s">
        <v>298</v>
      </c>
      <c r="B46" s="375">
        <v>22.002116269260998</v>
      </c>
      <c r="C46" s="375">
        <v>18.633150000000001</v>
      </c>
      <c r="D46" s="376">
        <v>-3.36896626926</v>
      </c>
      <c r="E46" s="377">
        <v>0.84687989882199999</v>
      </c>
      <c r="F46" s="375">
        <v>21.999999307052999</v>
      </c>
      <c r="G46" s="376">
        <v>3.6666665511750001</v>
      </c>
      <c r="H46" s="378">
        <v>2.5358200000000002</v>
      </c>
      <c r="I46" s="375">
        <v>4.65991</v>
      </c>
      <c r="J46" s="376">
        <v>0.99324344882399995</v>
      </c>
      <c r="K46" s="379">
        <v>0.21181409758</v>
      </c>
    </row>
    <row r="47" spans="1:11" ht="14.4" customHeight="1" thickBot="1" x14ac:dyDescent="0.35">
      <c r="A47" s="397" t="s">
        <v>299</v>
      </c>
      <c r="B47" s="375">
        <v>19.999611650733002</v>
      </c>
      <c r="C47" s="375">
        <v>28.609190000000002</v>
      </c>
      <c r="D47" s="376">
        <v>8.6095783492670002</v>
      </c>
      <c r="E47" s="377">
        <v>1.430487276434</v>
      </c>
      <c r="F47" s="375">
        <v>29.999999055071999</v>
      </c>
      <c r="G47" s="376">
        <v>4.9999998425119996</v>
      </c>
      <c r="H47" s="378">
        <v>1.90154</v>
      </c>
      <c r="I47" s="375">
        <v>3.6095799999999998</v>
      </c>
      <c r="J47" s="376">
        <v>-1.390419842512</v>
      </c>
      <c r="K47" s="379">
        <v>0.120319337123</v>
      </c>
    </row>
    <row r="48" spans="1:11" ht="14.4" customHeight="1" thickBot="1" x14ac:dyDescent="0.35">
      <c r="A48" s="397" t="s">
        <v>300</v>
      </c>
      <c r="B48" s="375">
        <v>59.991845379632998</v>
      </c>
      <c r="C48" s="375">
        <v>41.426900000000003</v>
      </c>
      <c r="D48" s="376">
        <v>-18.564945379632999</v>
      </c>
      <c r="E48" s="377">
        <v>0.69054218515599997</v>
      </c>
      <c r="F48" s="375">
        <v>45.999998551110998</v>
      </c>
      <c r="G48" s="376">
        <v>7.6666664251850003</v>
      </c>
      <c r="H48" s="378">
        <v>3.3479999999999999</v>
      </c>
      <c r="I48" s="375">
        <v>6.6959999999999997</v>
      </c>
      <c r="J48" s="376">
        <v>-0.97066642518500001</v>
      </c>
      <c r="K48" s="379">
        <v>0.145565221976</v>
      </c>
    </row>
    <row r="49" spans="1:11" ht="14.4" customHeight="1" thickBot="1" x14ac:dyDescent="0.35">
      <c r="A49" s="395" t="s">
        <v>29</v>
      </c>
      <c r="B49" s="375">
        <v>2000.48672618874</v>
      </c>
      <c r="C49" s="375">
        <v>1480.4110000000001</v>
      </c>
      <c r="D49" s="376">
        <v>-520.07572618873996</v>
      </c>
      <c r="E49" s="377">
        <v>0.74002540512699999</v>
      </c>
      <c r="F49" s="375">
        <v>1437.00516722561</v>
      </c>
      <c r="G49" s="376">
        <v>239.500861204269</v>
      </c>
      <c r="H49" s="378">
        <v>192.857</v>
      </c>
      <c r="I49" s="375">
        <v>362.108</v>
      </c>
      <c r="J49" s="376">
        <v>122.607138795732</v>
      </c>
      <c r="K49" s="379">
        <v>0.25198795958300002</v>
      </c>
    </row>
    <row r="50" spans="1:11" ht="14.4" customHeight="1" thickBot="1" x14ac:dyDescent="0.35">
      <c r="A50" s="396" t="s">
        <v>301</v>
      </c>
      <c r="B50" s="380">
        <v>2000.48672618874</v>
      </c>
      <c r="C50" s="380">
        <v>1480.4110000000001</v>
      </c>
      <c r="D50" s="381">
        <v>-520.07572618873996</v>
      </c>
      <c r="E50" s="387">
        <v>0.74002540512699999</v>
      </c>
      <c r="F50" s="380">
        <v>1437.00516722561</v>
      </c>
      <c r="G50" s="381">
        <v>239.500861204269</v>
      </c>
      <c r="H50" s="383">
        <v>192.857</v>
      </c>
      <c r="I50" s="380">
        <v>362.108</v>
      </c>
      <c r="J50" s="381">
        <v>122.607138795732</v>
      </c>
      <c r="K50" s="388">
        <v>0.25198795958300002</v>
      </c>
    </row>
    <row r="51" spans="1:11" ht="14.4" customHeight="1" thickBot="1" x14ac:dyDescent="0.35">
      <c r="A51" s="397" t="s">
        <v>302</v>
      </c>
      <c r="B51" s="375">
        <v>689.69753160715197</v>
      </c>
      <c r="C51" s="375">
        <v>554.50699999999995</v>
      </c>
      <c r="D51" s="376">
        <v>-135.190531607152</v>
      </c>
      <c r="E51" s="377">
        <v>0.80398576852600001</v>
      </c>
      <c r="F51" s="375">
        <v>525.99998343227696</v>
      </c>
      <c r="G51" s="376">
        <v>87.666663905378996</v>
      </c>
      <c r="H51" s="378">
        <v>44.002000000000002</v>
      </c>
      <c r="I51" s="375">
        <v>44.002000000000002</v>
      </c>
      <c r="J51" s="376">
        <v>-43.664663905379001</v>
      </c>
      <c r="K51" s="379">
        <v>8.3653995029999997E-2</v>
      </c>
    </row>
    <row r="52" spans="1:11" ht="14.4" customHeight="1" thickBot="1" x14ac:dyDescent="0.35">
      <c r="A52" s="397" t="s">
        <v>303</v>
      </c>
      <c r="B52" s="375">
        <v>220.00149025923901</v>
      </c>
      <c r="C52" s="375">
        <v>201.333</v>
      </c>
      <c r="D52" s="376">
        <v>-18.668490259239</v>
      </c>
      <c r="E52" s="377">
        <v>0.91514380090199998</v>
      </c>
      <c r="F52" s="375">
        <v>219.99999307053301</v>
      </c>
      <c r="G52" s="376">
        <v>36.666665511754999</v>
      </c>
      <c r="H52" s="378">
        <v>15.691000000000001</v>
      </c>
      <c r="I52" s="375">
        <v>35.11</v>
      </c>
      <c r="J52" s="376">
        <v>-1.5566655117549999</v>
      </c>
      <c r="K52" s="379">
        <v>0.15959091411699999</v>
      </c>
    </row>
    <row r="53" spans="1:11" ht="14.4" customHeight="1" thickBot="1" x14ac:dyDescent="0.35">
      <c r="A53" s="397" t="s">
        <v>304</v>
      </c>
      <c r="B53" s="375">
        <v>1071.2745011321499</v>
      </c>
      <c r="C53" s="375">
        <v>719.82700000000102</v>
      </c>
      <c r="D53" s="376">
        <v>-351.44750113214502</v>
      </c>
      <c r="E53" s="377">
        <v>0.67193515689799999</v>
      </c>
      <c r="F53" s="375">
        <v>675.99997870764196</v>
      </c>
      <c r="G53" s="376">
        <v>112.66666311794</v>
      </c>
      <c r="H53" s="378">
        <v>133.16399999999999</v>
      </c>
      <c r="I53" s="375">
        <v>281.79599999999999</v>
      </c>
      <c r="J53" s="376">
        <v>169.12933688205999</v>
      </c>
      <c r="K53" s="379">
        <v>0.416858001295</v>
      </c>
    </row>
    <row r="54" spans="1:11" ht="14.4" customHeight="1" thickBot="1" x14ac:dyDescent="0.35">
      <c r="A54" s="397" t="s">
        <v>305</v>
      </c>
      <c r="B54" s="375">
        <v>19.513203190203999</v>
      </c>
      <c r="C54" s="375">
        <v>4.7439999999999998</v>
      </c>
      <c r="D54" s="376">
        <v>-14.769203190203999</v>
      </c>
      <c r="E54" s="377">
        <v>0.243117439702</v>
      </c>
      <c r="F54" s="375">
        <v>15.005212015161</v>
      </c>
      <c r="G54" s="376">
        <v>2.5008686691930002</v>
      </c>
      <c r="H54" s="378">
        <v>0</v>
      </c>
      <c r="I54" s="375">
        <v>1.2</v>
      </c>
      <c r="J54" s="376">
        <v>-1.300868669193</v>
      </c>
      <c r="K54" s="379">
        <v>7.9972212240999999E-2</v>
      </c>
    </row>
    <row r="55" spans="1:11" ht="14.4" customHeight="1" thickBot="1" x14ac:dyDescent="0.35">
      <c r="A55" s="398" t="s">
        <v>306</v>
      </c>
      <c r="B55" s="380">
        <v>3426.00676836605</v>
      </c>
      <c r="C55" s="380">
        <v>3460.87336</v>
      </c>
      <c r="D55" s="381">
        <v>34.866591633947998</v>
      </c>
      <c r="E55" s="387">
        <v>1.0101770352449999</v>
      </c>
      <c r="F55" s="380">
        <v>6309.8015483092804</v>
      </c>
      <c r="G55" s="381">
        <v>1051.63359138488</v>
      </c>
      <c r="H55" s="383">
        <v>154.08868000000001</v>
      </c>
      <c r="I55" s="380">
        <v>312.55239</v>
      </c>
      <c r="J55" s="381">
        <v>-739.08120138487902</v>
      </c>
      <c r="K55" s="388">
        <v>4.9534424751999998E-2</v>
      </c>
    </row>
    <row r="56" spans="1:11" ht="14.4" customHeight="1" thickBot="1" x14ac:dyDescent="0.35">
      <c r="A56" s="395" t="s">
        <v>32</v>
      </c>
      <c r="B56" s="375">
        <v>600.45396722338796</v>
      </c>
      <c r="C56" s="375">
        <v>1009.07589</v>
      </c>
      <c r="D56" s="376">
        <v>408.62192277661302</v>
      </c>
      <c r="E56" s="377">
        <v>1.68052164709</v>
      </c>
      <c r="F56" s="375">
        <v>3620.0084035507898</v>
      </c>
      <c r="G56" s="376">
        <v>603.33473392513099</v>
      </c>
      <c r="H56" s="378">
        <v>39.393470000000001</v>
      </c>
      <c r="I56" s="375">
        <v>60.23948</v>
      </c>
      <c r="J56" s="376">
        <v>-543.09525392513103</v>
      </c>
      <c r="K56" s="379">
        <v>1.6640701700999998E-2</v>
      </c>
    </row>
    <row r="57" spans="1:11" ht="14.4" customHeight="1" thickBot="1" x14ac:dyDescent="0.35">
      <c r="A57" s="399" t="s">
        <v>307</v>
      </c>
      <c r="B57" s="375">
        <v>600.45396722338796</v>
      </c>
      <c r="C57" s="375">
        <v>1009.07589</v>
      </c>
      <c r="D57" s="376">
        <v>408.62192277661302</v>
      </c>
      <c r="E57" s="377">
        <v>1.68052164709</v>
      </c>
      <c r="F57" s="375">
        <v>3620.0084035507898</v>
      </c>
      <c r="G57" s="376">
        <v>603.33473392513099</v>
      </c>
      <c r="H57" s="378">
        <v>39.393470000000001</v>
      </c>
      <c r="I57" s="375">
        <v>60.23948</v>
      </c>
      <c r="J57" s="376">
        <v>-543.09525392513103</v>
      </c>
      <c r="K57" s="379">
        <v>1.6640701700999998E-2</v>
      </c>
    </row>
    <row r="58" spans="1:11" ht="14.4" customHeight="1" thickBot="1" x14ac:dyDescent="0.35">
      <c r="A58" s="397" t="s">
        <v>308</v>
      </c>
      <c r="B58" s="375">
        <v>232.40679870340699</v>
      </c>
      <c r="C58" s="375">
        <v>268.54640000000001</v>
      </c>
      <c r="D58" s="376">
        <v>36.139601296591998</v>
      </c>
      <c r="E58" s="377">
        <v>1.1555014805849999</v>
      </c>
      <c r="F58" s="375">
        <v>199.05923241692</v>
      </c>
      <c r="G58" s="376">
        <v>33.176538736152999</v>
      </c>
      <c r="H58" s="378">
        <v>21.61975</v>
      </c>
      <c r="I58" s="375">
        <v>29.20675</v>
      </c>
      <c r="J58" s="376">
        <v>-3.9697887361530002</v>
      </c>
      <c r="K58" s="379">
        <v>0.146723915516</v>
      </c>
    </row>
    <row r="59" spans="1:11" ht="14.4" customHeight="1" thickBot="1" x14ac:dyDescent="0.35">
      <c r="A59" s="397" t="s">
        <v>309</v>
      </c>
      <c r="B59" s="375">
        <v>60.935718011589003</v>
      </c>
      <c r="C59" s="375">
        <v>20.753599999999999</v>
      </c>
      <c r="D59" s="376">
        <v>-40.182118011588997</v>
      </c>
      <c r="E59" s="377">
        <v>0.340581857032</v>
      </c>
      <c r="F59" s="375">
        <v>0.837244092986</v>
      </c>
      <c r="G59" s="376">
        <v>0.13954068216400001</v>
      </c>
      <c r="H59" s="378">
        <v>0</v>
      </c>
      <c r="I59" s="375">
        <v>0</v>
      </c>
      <c r="J59" s="376">
        <v>-0.13954068216400001</v>
      </c>
      <c r="K59" s="379">
        <v>0</v>
      </c>
    </row>
    <row r="60" spans="1:11" ht="14.4" customHeight="1" thickBot="1" x14ac:dyDescent="0.35">
      <c r="A60" s="397" t="s">
        <v>310</v>
      </c>
      <c r="B60" s="375">
        <v>159.99972987145199</v>
      </c>
      <c r="C60" s="375">
        <v>488.69936999999999</v>
      </c>
      <c r="D60" s="376">
        <v>328.69964012854899</v>
      </c>
      <c r="E60" s="377">
        <v>3.0543762192130002</v>
      </c>
      <c r="F60" s="375">
        <v>3284.9998965304699</v>
      </c>
      <c r="G60" s="376">
        <v>547.49998275507801</v>
      </c>
      <c r="H60" s="378">
        <v>5.52</v>
      </c>
      <c r="I60" s="375">
        <v>5.52</v>
      </c>
      <c r="J60" s="376">
        <v>-541.97998275507803</v>
      </c>
      <c r="K60" s="379">
        <v>1.680365349E-3</v>
      </c>
    </row>
    <row r="61" spans="1:11" ht="14.4" customHeight="1" thickBot="1" x14ac:dyDescent="0.35">
      <c r="A61" s="397" t="s">
        <v>311</v>
      </c>
      <c r="B61" s="375">
        <v>147.111720636939</v>
      </c>
      <c r="C61" s="375">
        <v>231.07651999999999</v>
      </c>
      <c r="D61" s="376">
        <v>83.964799363059996</v>
      </c>
      <c r="E61" s="377">
        <v>1.5707553347850001</v>
      </c>
      <c r="F61" s="375">
        <v>135.11203051041099</v>
      </c>
      <c r="G61" s="376">
        <v>22.518671751734999</v>
      </c>
      <c r="H61" s="378">
        <v>12.25372</v>
      </c>
      <c r="I61" s="375">
        <v>25.512730000000001</v>
      </c>
      <c r="J61" s="376">
        <v>2.9940582482639999</v>
      </c>
      <c r="K61" s="379">
        <v>0.188826486461</v>
      </c>
    </row>
    <row r="62" spans="1:11" ht="14.4" customHeight="1" thickBot="1" x14ac:dyDescent="0.35">
      <c r="A62" s="400" t="s">
        <v>33</v>
      </c>
      <c r="B62" s="380">
        <v>0</v>
      </c>
      <c r="C62" s="380">
        <v>0.16800000000000001</v>
      </c>
      <c r="D62" s="381">
        <v>0.16800000000000001</v>
      </c>
      <c r="E62" s="382" t="s">
        <v>255</v>
      </c>
      <c r="F62" s="380">
        <v>0</v>
      </c>
      <c r="G62" s="381">
        <v>0</v>
      </c>
      <c r="H62" s="383">
        <v>0</v>
      </c>
      <c r="I62" s="380">
        <v>0</v>
      </c>
      <c r="J62" s="381">
        <v>0</v>
      </c>
      <c r="K62" s="384" t="s">
        <v>255</v>
      </c>
    </row>
    <row r="63" spans="1:11" ht="14.4" customHeight="1" thickBot="1" x14ac:dyDescent="0.35">
      <c r="A63" s="396" t="s">
        <v>312</v>
      </c>
      <c r="B63" s="380">
        <v>0</v>
      </c>
      <c r="C63" s="380">
        <v>0.16800000000000001</v>
      </c>
      <c r="D63" s="381">
        <v>0.16800000000000001</v>
      </c>
      <c r="E63" s="382" t="s">
        <v>255</v>
      </c>
      <c r="F63" s="380">
        <v>0</v>
      </c>
      <c r="G63" s="381">
        <v>0</v>
      </c>
      <c r="H63" s="383">
        <v>0</v>
      </c>
      <c r="I63" s="380">
        <v>0</v>
      </c>
      <c r="J63" s="381">
        <v>0</v>
      </c>
      <c r="K63" s="384" t="s">
        <v>255</v>
      </c>
    </row>
    <row r="64" spans="1:11" ht="14.4" customHeight="1" thickBot="1" x14ac:dyDescent="0.35">
      <c r="A64" s="397" t="s">
        <v>313</v>
      </c>
      <c r="B64" s="375">
        <v>0</v>
      </c>
      <c r="C64" s="375">
        <v>0.16800000000000001</v>
      </c>
      <c r="D64" s="376">
        <v>0.16800000000000001</v>
      </c>
      <c r="E64" s="385" t="s">
        <v>255</v>
      </c>
      <c r="F64" s="375">
        <v>0</v>
      </c>
      <c r="G64" s="376">
        <v>0</v>
      </c>
      <c r="H64" s="378">
        <v>0</v>
      </c>
      <c r="I64" s="375">
        <v>0</v>
      </c>
      <c r="J64" s="376">
        <v>0</v>
      </c>
      <c r="K64" s="386" t="s">
        <v>255</v>
      </c>
    </row>
    <row r="65" spans="1:11" ht="14.4" customHeight="1" thickBot="1" x14ac:dyDescent="0.35">
      <c r="A65" s="395" t="s">
        <v>34</v>
      </c>
      <c r="B65" s="375">
        <v>2825.55280114267</v>
      </c>
      <c r="C65" s="375">
        <v>2451.6294699999999</v>
      </c>
      <c r="D65" s="376">
        <v>-373.92333114266398</v>
      </c>
      <c r="E65" s="377">
        <v>0.86766365470399998</v>
      </c>
      <c r="F65" s="375">
        <v>2689.7931447584901</v>
      </c>
      <c r="G65" s="376">
        <v>448.29885745974798</v>
      </c>
      <c r="H65" s="378">
        <v>114.69521</v>
      </c>
      <c r="I65" s="375">
        <v>252.31290999999999</v>
      </c>
      <c r="J65" s="376">
        <v>-195.98594745974799</v>
      </c>
      <c r="K65" s="379">
        <v>9.3803834131000005E-2</v>
      </c>
    </row>
    <row r="66" spans="1:11" ht="14.4" customHeight="1" thickBot="1" x14ac:dyDescent="0.35">
      <c r="A66" s="396" t="s">
        <v>314</v>
      </c>
      <c r="B66" s="380">
        <v>0.206244573264</v>
      </c>
      <c r="C66" s="380">
        <v>2.048</v>
      </c>
      <c r="D66" s="381">
        <v>1.841755426735</v>
      </c>
      <c r="E66" s="387">
        <v>9.9299582412399996</v>
      </c>
      <c r="F66" s="380">
        <v>1.872367545413</v>
      </c>
      <c r="G66" s="381">
        <v>0.31206125756800002</v>
      </c>
      <c r="H66" s="383">
        <v>0.104</v>
      </c>
      <c r="I66" s="380">
        <v>0.20699999999999999</v>
      </c>
      <c r="J66" s="381">
        <v>-0.105061257568</v>
      </c>
      <c r="K66" s="388">
        <v>0.110555216846</v>
      </c>
    </row>
    <row r="67" spans="1:11" ht="14.4" customHeight="1" thickBot="1" x14ac:dyDescent="0.35">
      <c r="A67" s="397" t="s">
        <v>315</v>
      </c>
      <c r="B67" s="375">
        <v>0.206244573264</v>
      </c>
      <c r="C67" s="375">
        <v>2.048</v>
      </c>
      <c r="D67" s="376">
        <v>1.841755426735</v>
      </c>
      <c r="E67" s="377">
        <v>9.9299582412399996</v>
      </c>
      <c r="F67" s="375">
        <v>1.872367545413</v>
      </c>
      <c r="G67" s="376">
        <v>0.31206125756800002</v>
      </c>
      <c r="H67" s="378">
        <v>0.104</v>
      </c>
      <c r="I67" s="375">
        <v>0.20699999999999999</v>
      </c>
      <c r="J67" s="376">
        <v>-0.105061257568</v>
      </c>
      <c r="K67" s="379">
        <v>0.110555216846</v>
      </c>
    </row>
    <row r="68" spans="1:11" ht="14.4" customHeight="1" thickBot="1" x14ac:dyDescent="0.35">
      <c r="A68" s="396" t="s">
        <v>316</v>
      </c>
      <c r="B68" s="380">
        <v>86.143393206305007</v>
      </c>
      <c r="C68" s="380">
        <v>80.916460000000001</v>
      </c>
      <c r="D68" s="381">
        <v>-5.2269332063049996</v>
      </c>
      <c r="E68" s="387">
        <v>0.93932287768300005</v>
      </c>
      <c r="F68" s="380">
        <v>83.033351075648</v>
      </c>
      <c r="G68" s="381">
        <v>13.838891845940999</v>
      </c>
      <c r="H68" s="383">
        <v>6.6442899999999998</v>
      </c>
      <c r="I68" s="380">
        <v>11.18267</v>
      </c>
      <c r="J68" s="381">
        <v>-2.6562218459409999</v>
      </c>
      <c r="K68" s="388">
        <v>0.134676847978</v>
      </c>
    </row>
    <row r="69" spans="1:11" ht="14.4" customHeight="1" thickBot="1" x14ac:dyDescent="0.35">
      <c r="A69" s="397" t="s">
        <v>317</v>
      </c>
      <c r="B69" s="375">
        <v>3.8248432068999998</v>
      </c>
      <c r="C69" s="375">
        <v>4.5888</v>
      </c>
      <c r="D69" s="376">
        <v>0.763956793099</v>
      </c>
      <c r="E69" s="377">
        <v>1.199735453657</v>
      </c>
      <c r="F69" s="375">
        <v>4.4612483474550002</v>
      </c>
      <c r="G69" s="376">
        <v>0.74354139124200003</v>
      </c>
      <c r="H69" s="378">
        <v>1.0184</v>
      </c>
      <c r="I69" s="375">
        <v>1.0184</v>
      </c>
      <c r="J69" s="376">
        <v>0.27485860875700002</v>
      </c>
      <c r="K69" s="379">
        <v>0.22827691280099999</v>
      </c>
    </row>
    <row r="70" spans="1:11" ht="14.4" customHeight="1" thickBot="1" x14ac:dyDescent="0.35">
      <c r="A70" s="397" t="s">
        <v>318</v>
      </c>
      <c r="B70" s="375">
        <v>82.318549999403999</v>
      </c>
      <c r="C70" s="375">
        <v>76.327659999999995</v>
      </c>
      <c r="D70" s="376">
        <v>-5.9908899994039997</v>
      </c>
      <c r="E70" s="377">
        <v>0.92722308641899998</v>
      </c>
      <c r="F70" s="375">
        <v>78.572102728191993</v>
      </c>
      <c r="G70" s="376">
        <v>13.095350454698</v>
      </c>
      <c r="H70" s="378">
        <v>5.6258900000000001</v>
      </c>
      <c r="I70" s="375">
        <v>10.16427</v>
      </c>
      <c r="J70" s="376">
        <v>-2.9310804546979998</v>
      </c>
      <c r="K70" s="379">
        <v>0.12936232641100001</v>
      </c>
    </row>
    <row r="71" spans="1:11" ht="14.4" customHeight="1" thickBot="1" x14ac:dyDescent="0.35">
      <c r="A71" s="396" t="s">
        <v>319</v>
      </c>
      <c r="B71" s="380">
        <v>22.801184140690999</v>
      </c>
      <c r="C71" s="380">
        <v>34.851680000000002</v>
      </c>
      <c r="D71" s="381">
        <v>12.050495859308</v>
      </c>
      <c r="E71" s="387">
        <v>1.5285030718120001</v>
      </c>
      <c r="F71" s="380">
        <v>33.356025102627001</v>
      </c>
      <c r="G71" s="381">
        <v>5.5593375171039998</v>
      </c>
      <c r="H71" s="383">
        <v>0.28422999999999998</v>
      </c>
      <c r="I71" s="380">
        <v>25.203019999999999</v>
      </c>
      <c r="J71" s="381">
        <v>19.643682482894999</v>
      </c>
      <c r="K71" s="388">
        <v>0.75557623914799998</v>
      </c>
    </row>
    <row r="72" spans="1:11" ht="14.4" customHeight="1" thickBot="1" x14ac:dyDescent="0.35">
      <c r="A72" s="397" t="s">
        <v>320</v>
      </c>
      <c r="B72" s="375">
        <v>3.3560261532609998</v>
      </c>
      <c r="C72" s="375">
        <v>3.24</v>
      </c>
      <c r="D72" s="376">
        <v>-0.11602615326100001</v>
      </c>
      <c r="E72" s="377">
        <v>0.96542751815299999</v>
      </c>
      <c r="F72" s="375">
        <v>3.3560260475539998</v>
      </c>
      <c r="G72" s="376">
        <v>0.55933767459200001</v>
      </c>
      <c r="H72" s="378">
        <v>0</v>
      </c>
      <c r="I72" s="375">
        <v>0.81</v>
      </c>
      <c r="J72" s="376">
        <v>0.25066232540700001</v>
      </c>
      <c r="K72" s="379">
        <v>0.24135688714</v>
      </c>
    </row>
    <row r="73" spans="1:11" ht="14.4" customHeight="1" thickBot="1" x14ac:dyDescent="0.35">
      <c r="A73" s="397" t="s">
        <v>321</v>
      </c>
      <c r="B73" s="375">
        <v>19.445157987428999</v>
      </c>
      <c r="C73" s="375">
        <v>31.61168</v>
      </c>
      <c r="D73" s="376">
        <v>12.166522012570001</v>
      </c>
      <c r="E73" s="377">
        <v>1.6256838859539999</v>
      </c>
      <c r="F73" s="375">
        <v>29.999999055071999</v>
      </c>
      <c r="G73" s="376">
        <v>4.9999998425119996</v>
      </c>
      <c r="H73" s="378">
        <v>0.28422999999999998</v>
      </c>
      <c r="I73" s="375">
        <v>24.39302</v>
      </c>
      <c r="J73" s="376">
        <v>19.393020157487999</v>
      </c>
      <c r="K73" s="379">
        <v>0.81310069227699999</v>
      </c>
    </row>
    <row r="74" spans="1:11" ht="14.4" customHeight="1" thickBot="1" x14ac:dyDescent="0.35">
      <c r="A74" s="396" t="s">
        <v>322</v>
      </c>
      <c r="B74" s="380">
        <v>0</v>
      </c>
      <c r="C74" s="380">
        <v>26.163</v>
      </c>
      <c r="D74" s="381">
        <v>26.163</v>
      </c>
      <c r="E74" s="382" t="s">
        <v>266</v>
      </c>
      <c r="F74" s="380">
        <v>0</v>
      </c>
      <c r="G74" s="381">
        <v>0</v>
      </c>
      <c r="H74" s="383">
        <v>4.25</v>
      </c>
      <c r="I74" s="380">
        <v>4.25</v>
      </c>
      <c r="J74" s="381">
        <v>4.25</v>
      </c>
      <c r="K74" s="384" t="s">
        <v>255</v>
      </c>
    </row>
    <row r="75" spans="1:11" ht="14.4" customHeight="1" thickBot="1" x14ac:dyDescent="0.35">
      <c r="A75" s="397" t="s">
        <v>323</v>
      </c>
      <c r="B75" s="375">
        <v>0</v>
      </c>
      <c r="C75" s="375">
        <v>26.163</v>
      </c>
      <c r="D75" s="376">
        <v>26.163</v>
      </c>
      <c r="E75" s="385" t="s">
        <v>266</v>
      </c>
      <c r="F75" s="375">
        <v>0</v>
      </c>
      <c r="G75" s="376">
        <v>0</v>
      </c>
      <c r="H75" s="378">
        <v>4.25</v>
      </c>
      <c r="I75" s="375">
        <v>4.25</v>
      </c>
      <c r="J75" s="376">
        <v>4.25</v>
      </c>
      <c r="K75" s="386" t="s">
        <v>255</v>
      </c>
    </row>
    <row r="76" spans="1:11" ht="14.4" customHeight="1" thickBot="1" x14ac:dyDescent="0.35">
      <c r="A76" s="396" t="s">
        <v>324</v>
      </c>
      <c r="B76" s="380">
        <v>811.72734945402703</v>
      </c>
      <c r="C76" s="380">
        <v>764.45072000000005</v>
      </c>
      <c r="D76" s="381">
        <v>-47.276629454026001</v>
      </c>
      <c r="E76" s="387">
        <v>0.94175799363400003</v>
      </c>
      <c r="F76" s="380">
        <v>815.70458823780996</v>
      </c>
      <c r="G76" s="381">
        <v>135.95076470630201</v>
      </c>
      <c r="H76" s="383">
        <v>61.679690000000001</v>
      </c>
      <c r="I76" s="380">
        <v>123.55522000000001</v>
      </c>
      <c r="J76" s="381">
        <v>-12.395544706300999</v>
      </c>
      <c r="K76" s="388">
        <v>0.15147054678999999</v>
      </c>
    </row>
    <row r="77" spans="1:11" ht="14.4" customHeight="1" thickBot="1" x14ac:dyDescent="0.35">
      <c r="A77" s="397" t="s">
        <v>325</v>
      </c>
      <c r="B77" s="375">
        <v>762.31896980064903</v>
      </c>
      <c r="C77" s="375">
        <v>708.58483999999999</v>
      </c>
      <c r="D77" s="376">
        <v>-53.734129800647999</v>
      </c>
      <c r="E77" s="377">
        <v>0.92951227513699997</v>
      </c>
      <c r="F77" s="375">
        <v>759.13140415938699</v>
      </c>
      <c r="G77" s="376">
        <v>126.521900693231</v>
      </c>
      <c r="H77" s="378">
        <v>58.524070000000002</v>
      </c>
      <c r="I77" s="375">
        <v>117.04814</v>
      </c>
      <c r="J77" s="376">
        <v>-9.4737606932310001</v>
      </c>
      <c r="K77" s="379">
        <v>0.15418692911199999</v>
      </c>
    </row>
    <row r="78" spans="1:11" ht="14.4" customHeight="1" thickBot="1" x14ac:dyDescent="0.35">
      <c r="A78" s="397" t="s">
        <v>326</v>
      </c>
      <c r="B78" s="375">
        <v>12.106639149008</v>
      </c>
      <c r="C78" s="375">
        <v>14.013</v>
      </c>
      <c r="D78" s="376">
        <v>1.906360850992</v>
      </c>
      <c r="E78" s="377">
        <v>1.1574640845840001</v>
      </c>
      <c r="F78" s="375">
        <v>14.36231725365</v>
      </c>
      <c r="G78" s="376">
        <v>2.3937195422749999</v>
      </c>
      <c r="H78" s="378">
        <v>0</v>
      </c>
      <c r="I78" s="375">
        <v>0</v>
      </c>
      <c r="J78" s="376">
        <v>-2.3937195422749999</v>
      </c>
      <c r="K78" s="379">
        <v>0</v>
      </c>
    </row>
    <row r="79" spans="1:11" ht="14.4" customHeight="1" thickBot="1" x14ac:dyDescent="0.35">
      <c r="A79" s="397" t="s">
        <v>327</v>
      </c>
      <c r="B79" s="375">
        <v>37.301740504370002</v>
      </c>
      <c r="C79" s="375">
        <v>41.480879999999999</v>
      </c>
      <c r="D79" s="376">
        <v>4.1791394956290002</v>
      </c>
      <c r="E79" s="377">
        <v>1.1120360454789999</v>
      </c>
      <c r="F79" s="375">
        <v>41.908126124052004</v>
      </c>
      <c r="G79" s="376">
        <v>6.9846876873420003</v>
      </c>
      <c r="H79" s="378">
        <v>3.1556199999999999</v>
      </c>
      <c r="I79" s="375">
        <v>6.5070800000000002</v>
      </c>
      <c r="J79" s="376">
        <v>-0.47760768734199999</v>
      </c>
      <c r="K79" s="379">
        <v>0.15527012543400001</v>
      </c>
    </row>
    <row r="80" spans="1:11" ht="14.4" customHeight="1" thickBot="1" x14ac:dyDescent="0.35">
      <c r="A80" s="397" t="s">
        <v>328</v>
      </c>
      <c r="B80" s="375">
        <v>0</v>
      </c>
      <c r="C80" s="375">
        <v>0.372</v>
      </c>
      <c r="D80" s="376">
        <v>0.372</v>
      </c>
      <c r="E80" s="385" t="s">
        <v>266</v>
      </c>
      <c r="F80" s="375">
        <v>0.302740700719</v>
      </c>
      <c r="G80" s="376">
        <v>5.0456783452999997E-2</v>
      </c>
      <c r="H80" s="378">
        <v>0</v>
      </c>
      <c r="I80" s="375">
        <v>0</v>
      </c>
      <c r="J80" s="376">
        <v>-5.0456783452999997E-2</v>
      </c>
      <c r="K80" s="379">
        <v>0</v>
      </c>
    </row>
    <row r="81" spans="1:11" ht="14.4" customHeight="1" thickBot="1" x14ac:dyDescent="0.35">
      <c r="A81" s="396" t="s">
        <v>329</v>
      </c>
      <c r="B81" s="380">
        <v>441.27162516312598</v>
      </c>
      <c r="C81" s="380">
        <v>518.24329</v>
      </c>
      <c r="D81" s="381">
        <v>76.971664836873003</v>
      </c>
      <c r="E81" s="387">
        <v>1.1744314849340001</v>
      </c>
      <c r="F81" s="380">
        <v>339.30493338941801</v>
      </c>
      <c r="G81" s="381">
        <v>56.550822231569001</v>
      </c>
      <c r="H81" s="383">
        <v>3.5819999999999999</v>
      </c>
      <c r="I81" s="380">
        <v>3.5819999999999999</v>
      </c>
      <c r="J81" s="381">
        <v>-52.968822231569</v>
      </c>
      <c r="K81" s="388">
        <v>1.0556875681E-2</v>
      </c>
    </row>
    <row r="82" spans="1:11" ht="14.4" customHeight="1" thickBot="1" x14ac:dyDescent="0.35">
      <c r="A82" s="397" t="s">
        <v>330</v>
      </c>
      <c r="B82" s="375">
        <v>0</v>
      </c>
      <c r="C82" s="375">
        <v>45.962000000000003</v>
      </c>
      <c r="D82" s="376">
        <v>45.962000000000003</v>
      </c>
      <c r="E82" s="385" t="s">
        <v>266</v>
      </c>
      <c r="F82" s="375">
        <v>3.9999998740090001</v>
      </c>
      <c r="G82" s="376">
        <v>0.66666664566800005</v>
      </c>
      <c r="H82" s="378">
        <v>0</v>
      </c>
      <c r="I82" s="375">
        <v>0</v>
      </c>
      <c r="J82" s="376">
        <v>-0.66666664566800005</v>
      </c>
      <c r="K82" s="379">
        <v>0</v>
      </c>
    </row>
    <row r="83" spans="1:11" ht="14.4" customHeight="1" thickBot="1" x14ac:dyDescent="0.35">
      <c r="A83" s="397" t="s">
        <v>331</v>
      </c>
      <c r="B83" s="375">
        <v>431.70230463298799</v>
      </c>
      <c r="C83" s="375">
        <v>461.85993000000002</v>
      </c>
      <c r="D83" s="376">
        <v>30.157625367011001</v>
      </c>
      <c r="E83" s="377">
        <v>1.069857457426</v>
      </c>
      <c r="F83" s="375">
        <v>318.79173733121303</v>
      </c>
      <c r="G83" s="376">
        <v>53.131956221868002</v>
      </c>
      <c r="H83" s="378">
        <v>3.5819999999999999</v>
      </c>
      <c r="I83" s="375">
        <v>3.5819999999999999</v>
      </c>
      <c r="J83" s="376">
        <v>-49.549956221868001</v>
      </c>
      <c r="K83" s="379">
        <v>1.1236175786E-2</v>
      </c>
    </row>
    <row r="84" spans="1:11" ht="14.4" customHeight="1" thickBot="1" x14ac:dyDescent="0.35">
      <c r="A84" s="397" t="s">
        <v>332</v>
      </c>
      <c r="B84" s="375">
        <v>3.0010932502209999</v>
      </c>
      <c r="C84" s="375">
        <v>2.629</v>
      </c>
      <c r="D84" s="376">
        <v>-0.37209325022099998</v>
      </c>
      <c r="E84" s="377">
        <v>0.87601409912999995</v>
      </c>
      <c r="F84" s="375">
        <v>2.9999999055069999</v>
      </c>
      <c r="G84" s="376">
        <v>0.49999998425100001</v>
      </c>
      <c r="H84" s="378">
        <v>0</v>
      </c>
      <c r="I84" s="375">
        <v>0</v>
      </c>
      <c r="J84" s="376">
        <v>-0.49999998425100001</v>
      </c>
      <c r="K84" s="379">
        <v>0</v>
      </c>
    </row>
    <row r="85" spans="1:11" ht="14.4" customHeight="1" thickBot="1" x14ac:dyDescent="0.35">
      <c r="A85" s="397" t="s">
        <v>333</v>
      </c>
      <c r="B85" s="375">
        <v>1.4632420148550001</v>
      </c>
      <c r="C85" s="375">
        <v>4.2591999999999999</v>
      </c>
      <c r="D85" s="376">
        <v>2.7959579851440002</v>
      </c>
      <c r="E85" s="377">
        <v>2.910796680767</v>
      </c>
      <c r="F85" s="375">
        <v>3.7775766687919998</v>
      </c>
      <c r="G85" s="376">
        <v>0.62959611146500005</v>
      </c>
      <c r="H85" s="378">
        <v>0</v>
      </c>
      <c r="I85" s="375">
        <v>0</v>
      </c>
      <c r="J85" s="376">
        <v>-0.62959611146500005</v>
      </c>
      <c r="K85" s="379">
        <v>0</v>
      </c>
    </row>
    <row r="86" spans="1:11" ht="14.4" customHeight="1" thickBot="1" x14ac:dyDescent="0.35">
      <c r="A86" s="397" t="s">
        <v>334</v>
      </c>
      <c r="B86" s="375">
        <v>5.1049852650609999</v>
      </c>
      <c r="C86" s="375">
        <v>3.5331600000000001</v>
      </c>
      <c r="D86" s="376">
        <v>-1.5718252650610001</v>
      </c>
      <c r="E86" s="377">
        <v>0.692099940852</v>
      </c>
      <c r="F86" s="375">
        <v>9.7356196098950001</v>
      </c>
      <c r="G86" s="376">
        <v>1.622603268315</v>
      </c>
      <c r="H86" s="378">
        <v>0</v>
      </c>
      <c r="I86" s="375">
        <v>0</v>
      </c>
      <c r="J86" s="376">
        <v>-1.622603268315</v>
      </c>
      <c r="K86" s="379">
        <v>0</v>
      </c>
    </row>
    <row r="87" spans="1:11" ht="14.4" customHeight="1" thickBot="1" x14ac:dyDescent="0.35">
      <c r="A87" s="396" t="s">
        <v>335</v>
      </c>
      <c r="B87" s="380">
        <v>1463.4030046052501</v>
      </c>
      <c r="C87" s="380">
        <v>1024.95632</v>
      </c>
      <c r="D87" s="381">
        <v>-438.44668460525003</v>
      </c>
      <c r="E87" s="387">
        <v>0.70039238458200004</v>
      </c>
      <c r="F87" s="380">
        <v>1416.5218794075699</v>
      </c>
      <c r="G87" s="381">
        <v>236.086979901262</v>
      </c>
      <c r="H87" s="383">
        <v>38.151000000000003</v>
      </c>
      <c r="I87" s="380">
        <v>84.332999999999998</v>
      </c>
      <c r="J87" s="381">
        <v>-151.753979901262</v>
      </c>
      <c r="K87" s="388">
        <v>5.9535261138999998E-2</v>
      </c>
    </row>
    <row r="88" spans="1:11" ht="14.4" customHeight="1" thickBot="1" x14ac:dyDescent="0.35">
      <c r="A88" s="397" t="s">
        <v>336</v>
      </c>
      <c r="B88" s="375">
        <v>24.037846805084001</v>
      </c>
      <c r="C88" s="375">
        <v>17.363320000000002</v>
      </c>
      <c r="D88" s="376">
        <v>-6.6745268050839996</v>
      </c>
      <c r="E88" s="377">
        <v>0.72233258414500001</v>
      </c>
      <c r="F88" s="375">
        <v>2.5219239451469999</v>
      </c>
      <c r="G88" s="376">
        <v>0.420320657524</v>
      </c>
      <c r="H88" s="378">
        <v>0</v>
      </c>
      <c r="I88" s="375">
        <v>1.694</v>
      </c>
      <c r="J88" s="376">
        <v>1.2736793424749999</v>
      </c>
      <c r="K88" s="379">
        <v>0.67170939205299995</v>
      </c>
    </row>
    <row r="89" spans="1:11" ht="14.4" customHeight="1" thickBot="1" x14ac:dyDescent="0.35">
      <c r="A89" s="397" t="s">
        <v>337</v>
      </c>
      <c r="B89" s="375">
        <v>1389.36515780017</v>
      </c>
      <c r="C89" s="375">
        <v>1005.7329999999999</v>
      </c>
      <c r="D89" s="376">
        <v>-383.63215780016702</v>
      </c>
      <c r="E89" s="377">
        <v>0.72387953185200005</v>
      </c>
      <c r="F89" s="375">
        <v>1388.9999562498699</v>
      </c>
      <c r="G89" s="376">
        <v>231.499992708311</v>
      </c>
      <c r="H89" s="378">
        <v>37.779000000000003</v>
      </c>
      <c r="I89" s="375">
        <v>82.266999999999996</v>
      </c>
      <c r="J89" s="376">
        <v>-149.232992708311</v>
      </c>
      <c r="K89" s="379">
        <v>5.9227503665E-2</v>
      </c>
    </row>
    <row r="90" spans="1:11" ht="14.4" customHeight="1" thickBot="1" x14ac:dyDescent="0.35">
      <c r="A90" s="397" t="s">
        <v>338</v>
      </c>
      <c r="B90" s="375">
        <v>0</v>
      </c>
      <c r="C90" s="375">
        <v>1.86</v>
      </c>
      <c r="D90" s="376">
        <v>1.86</v>
      </c>
      <c r="E90" s="385" t="s">
        <v>266</v>
      </c>
      <c r="F90" s="375">
        <v>0</v>
      </c>
      <c r="G90" s="376">
        <v>0</v>
      </c>
      <c r="H90" s="378">
        <v>0.372</v>
      </c>
      <c r="I90" s="375">
        <v>0.372</v>
      </c>
      <c r="J90" s="376">
        <v>0.372</v>
      </c>
      <c r="K90" s="386" t="s">
        <v>255</v>
      </c>
    </row>
    <row r="91" spans="1:11" ht="14.4" customHeight="1" thickBot="1" x14ac:dyDescent="0.35">
      <c r="A91" s="397" t="s">
        <v>339</v>
      </c>
      <c r="B91" s="375">
        <v>49.999999999998998</v>
      </c>
      <c r="C91" s="375">
        <v>0</v>
      </c>
      <c r="D91" s="376">
        <v>-49.999999999998998</v>
      </c>
      <c r="E91" s="377">
        <v>0</v>
      </c>
      <c r="F91" s="375">
        <v>24.999999212559999</v>
      </c>
      <c r="G91" s="376">
        <v>4.1666665354259997</v>
      </c>
      <c r="H91" s="378">
        <v>0</v>
      </c>
      <c r="I91" s="375">
        <v>0</v>
      </c>
      <c r="J91" s="376">
        <v>-4.1666665354259997</v>
      </c>
      <c r="K91" s="379">
        <v>0</v>
      </c>
    </row>
    <row r="92" spans="1:11" ht="14.4" customHeight="1" thickBot="1" x14ac:dyDescent="0.35">
      <c r="A92" s="394" t="s">
        <v>35</v>
      </c>
      <c r="B92" s="375">
        <v>27891.137076979801</v>
      </c>
      <c r="C92" s="375">
        <v>27326.870149999999</v>
      </c>
      <c r="D92" s="376">
        <v>-564.26692697977001</v>
      </c>
      <c r="E92" s="377">
        <v>0.97976895221500004</v>
      </c>
      <c r="F92" s="375">
        <v>28614.999104996401</v>
      </c>
      <c r="G92" s="376">
        <v>4769.1665174993996</v>
      </c>
      <c r="H92" s="378">
        <v>2206.94110000001</v>
      </c>
      <c r="I92" s="375">
        <v>4452.9880700000003</v>
      </c>
      <c r="J92" s="376">
        <v>-316.17844749939002</v>
      </c>
      <c r="K92" s="379">
        <v>0.15561727098600001</v>
      </c>
    </row>
    <row r="93" spans="1:11" ht="14.4" customHeight="1" thickBot="1" x14ac:dyDescent="0.35">
      <c r="A93" s="400" t="s">
        <v>340</v>
      </c>
      <c r="B93" s="380">
        <v>20725.9999999996</v>
      </c>
      <c r="C93" s="380">
        <v>20359.86</v>
      </c>
      <c r="D93" s="381">
        <v>-366.13999999961698</v>
      </c>
      <c r="E93" s="387">
        <v>0.98233426613899999</v>
      </c>
      <c r="F93" s="380">
        <v>21264.999336503599</v>
      </c>
      <c r="G93" s="381">
        <v>3544.1665560839301</v>
      </c>
      <c r="H93" s="383">
        <v>1645.0340000000001</v>
      </c>
      <c r="I93" s="380">
        <v>3316.1080000000002</v>
      </c>
      <c r="J93" s="381">
        <v>-228.05855608392301</v>
      </c>
      <c r="K93" s="388">
        <v>0.15594206929000001</v>
      </c>
    </row>
    <row r="94" spans="1:11" ht="14.4" customHeight="1" thickBot="1" x14ac:dyDescent="0.35">
      <c r="A94" s="396" t="s">
        <v>341</v>
      </c>
      <c r="B94" s="380">
        <v>20471.9999999996</v>
      </c>
      <c r="C94" s="380">
        <v>20079.992999999999</v>
      </c>
      <c r="D94" s="381">
        <v>-392.00699999961898</v>
      </c>
      <c r="E94" s="387">
        <v>0.98085155334100005</v>
      </c>
      <c r="F94" s="380">
        <v>20999.999338550901</v>
      </c>
      <c r="G94" s="381">
        <v>3499.9998897584801</v>
      </c>
      <c r="H94" s="383">
        <v>1617.8879999999999</v>
      </c>
      <c r="I94" s="380">
        <v>3272.5120000000002</v>
      </c>
      <c r="J94" s="381">
        <v>-227.48788975847901</v>
      </c>
      <c r="K94" s="388">
        <v>0.15583390966999999</v>
      </c>
    </row>
    <row r="95" spans="1:11" ht="14.4" customHeight="1" thickBot="1" x14ac:dyDescent="0.35">
      <c r="A95" s="397" t="s">
        <v>342</v>
      </c>
      <c r="B95" s="375">
        <v>20471.9999999996</v>
      </c>
      <c r="C95" s="375">
        <v>20079.992999999999</v>
      </c>
      <c r="D95" s="376">
        <v>-392.00699999961898</v>
      </c>
      <c r="E95" s="377">
        <v>0.98085155334100005</v>
      </c>
      <c r="F95" s="375">
        <v>20999.999338550901</v>
      </c>
      <c r="G95" s="376">
        <v>3499.9998897584801</v>
      </c>
      <c r="H95" s="378">
        <v>1617.8879999999999</v>
      </c>
      <c r="I95" s="375">
        <v>3272.5120000000002</v>
      </c>
      <c r="J95" s="376">
        <v>-227.48788975847901</v>
      </c>
      <c r="K95" s="379">
        <v>0.15583390966999999</v>
      </c>
    </row>
    <row r="96" spans="1:11" ht="14.4" customHeight="1" thickBot="1" x14ac:dyDescent="0.35">
      <c r="A96" s="396" t="s">
        <v>343</v>
      </c>
      <c r="B96" s="380">
        <v>191.99999999999599</v>
      </c>
      <c r="C96" s="380">
        <v>209.89</v>
      </c>
      <c r="D96" s="381">
        <v>17.890000000002999</v>
      </c>
      <c r="E96" s="387">
        <v>1.0931770833329999</v>
      </c>
      <c r="F96" s="380">
        <v>200</v>
      </c>
      <c r="G96" s="381">
        <v>33.333333333333002</v>
      </c>
      <c r="H96" s="383">
        <v>17.22</v>
      </c>
      <c r="I96" s="380">
        <v>33.18</v>
      </c>
      <c r="J96" s="381">
        <v>-0.153333333333</v>
      </c>
      <c r="K96" s="388">
        <v>0.16589999999999999</v>
      </c>
    </row>
    <row r="97" spans="1:11" ht="14.4" customHeight="1" thickBot="1" x14ac:dyDescent="0.35">
      <c r="A97" s="397" t="s">
        <v>344</v>
      </c>
      <c r="B97" s="375">
        <v>191.99999999999599</v>
      </c>
      <c r="C97" s="375">
        <v>209.89</v>
      </c>
      <c r="D97" s="376">
        <v>17.890000000002999</v>
      </c>
      <c r="E97" s="377">
        <v>1.0931770833329999</v>
      </c>
      <c r="F97" s="375">
        <v>200</v>
      </c>
      <c r="G97" s="376">
        <v>33.333333333333002</v>
      </c>
      <c r="H97" s="378">
        <v>17.22</v>
      </c>
      <c r="I97" s="375">
        <v>33.18</v>
      </c>
      <c r="J97" s="376">
        <v>-0.153333333333</v>
      </c>
      <c r="K97" s="379">
        <v>0.16589999999999999</v>
      </c>
    </row>
    <row r="98" spans="1:11" ht="14.4" customHeight="1" thickBot="1" x14ac:dyDescent="0.35">
      <c r="A98" s="396" t="s">
        <v>345</v>
      </c>
      <c r="B98" s="380">
        <v>61.999999999998003</v>
      </c>
      <c r="C98" s="380">
        <v>69.977000000000004</v>
      </c>
      <c r="D98" s="381">
        <v>7.9770000000010004</v>
      </c>
      <c r="E98" s="387">
        <v>1.1286612903219999</v>
      </c>
      <c r="F98" s="380">
        <v>64.999997952656997</v>
      </c>
      <c r="G98" s="381">
        <v>10.833332992109</v>
      </c>
      <c r="H98" s="383">
        <v>9.9260000000000002</v>
      </c>
      <c r="I98" s="380">
        <v>10.416</v>
      </c>
      <c r="J98" s="381">
        <v>-0.41733299210899999</v>
      </c>
      <c r="K98" s="388">
        <v>0.16024615889300001</v>
      </c>
    </row>
    <row r="99" spans="1:11" ht="14.4" customHeight="1" thickBot="1" x14ac:dyDescent="0.35">
      <c r="A99" s="397" t="s">
        <v>346</v>
      </c>
      <c r="B99" s="375">
        <v>61.999999999998003</v>
      </c>
      <c r="C99" s="375">
        <v>69.977000000000004</v>
      </c>
      <c r="D99" s="376">
        <v>7.9770000000010004</v>
      </c>
      <c r="E99" s="377">
        <v>1.1286612903219999</v>
      </c>
      <c r="F99" s="375">
        <v>64.999997952656997</v>
      </c>
      <c r="G99" s="376">
        <v>10.833332992109</v>
      </c>
      <c r="H99" s="378">
        <v>9.9260000000000002</v>
      </c>
      <c r="I99" s="375">
        <v>10.416</v>
      </c>
      <c r="J99" s="376">
        <v>-0.41733299210899999</v>
      </c>
      <c r="K99" s="379">
        <v>0.16024615889300001</v>
      </c>
    </row>
    <row r="100" spans="1:11" ht="14.4" customHeight="1" thickBot="1" x14ac:dyDescent="0.35">
      <c r="A100" s="395" t="s">
        <v>347</v>
      </c>
      <c r="B100" s="375">
        <v>6961.1370769801597</v>
      </c>
      <c r="C100" s="375">
        <v>6765.4158500000003</v>
      </c>
      <c r="D100" s="376">
        <v>-195.721226980155</v>
      </c>
      <c r="E100" s="377">
        <v>0.97188372749700003</v>
      </c>
      <c r="F100" s="375">
        <v>7139.9997751072997</v>
      </c>
      <c r="G100" s="376">
        <v>1189.99996251788</v>
      </c>
      <c r="H100" s="378">
        <v>545.62900000000104</v>
      </c>
      <c r="I100" s="375">
        <v>1104.0503000000001</v>
      </c>
      <c r="J100" s="376">
        <v>-85.949662517882004</v>
      </c>
      <c r="K100" s="379">
        <v>0.15462889842700001</v>
      </c>
    </row>
    <row r="101" spans="1:11" ht="14.4" customHeight="1" thickBot="1" x14ac:dyDescent="0.35">
      <c r="A101" s="396" t="s">
        <v>348</v>
      </c>
      <c r="B101" s="380">
        <v>1843.13707698026</v>
      </c>
      <c r="C101" s="380">
        <v>1816.6360999999999</v>
      </c>
      <c r="D101" s="381">
        <v>-26.500976980259999</v>
      </c>
      <c r="E101" s="387">
        <v>0.985621808973</v>
      </c>
      <c r="F101" s="380">
        <v>1889.99994046958</v>
      </c>
      <c r="G101" s="381">
        <v>314.99999007826301</v>
      </c>
      <c r="H101" s="383">
        <v>146.40350000000001</v>
      </c>
      <c r="I101" s="380">
        <v>296.11430000000001</v>
      </c>
      <c r="J101" s="381">
        <v>-18.885690078263</v>
      </c>
      <c r="K101" s="388">
        <v>0.15667423773899999</v>
      </c>
    </row>
    <row r="102" spans="1:11" ht="14.4" customHeight="1" thickBot="1" x14ac:dyDescent="0.35">
      <c r="A102" s="397" t="s">
        <v>349</v>
      </c>
      <c r="B102" s="375">
        <v>1843.13707698026</v>
      </c>
      <c r="C102" s="375">
        <v>1816.6360999999999</v>
      </c>
      <c r="D102" s="376">
        <v>-26.500976980259999</v>
      </c>
      <c r="E102" s="377">
        <v>0.985621808973</v>
      </c>
      <c r="F102" s="375">
        <v>1889.99994046958</v>
      </c>
      <c r="G102" s="376">
        <v>314.99999007826301</v>
      </c>
      <c r="H102" s="378">
        <v>146.40350000000001</v>
      </c>
      <c r="I102" s="375">
        <v>296.11430000000001</v>
      </c>
      <c r="J102" s="376">
        <v>-18.885690078263</v>
      </c>
      <c r="K102" s="379">
        <v>0.15667423773899999</v>
      </c>
    </row>
    <row r="103" spans="1:11" ht="14.4" customHeight="1" thickBot="1" x14ac:dyDescent="0.35">
      <c r="A103" s="396" t="s">
        <v>350</v>
      </c>
      <c r="B103" s="380">
        <v>5117.9999999999</v>
      </c>
      <c r="C103" s="380">
        <v>4948.7797499999997</v>
      </c>
      <c r="D103" s="381">
        <v>-169.220249999895</v>
      </c>
      <c r="E103" s="387">
        <v>0.96693625439599995</v>
      </c>
      <c r="F103" s="380">
        <v>5249.9998346377197</v>
      </c>
      <c r="G103" s="381">
        <v>874.99997243962105</v>
      </c>
      <c r="H103" s="383">
        <v>399.22550000000098</v>
      </c>
      <c r="I103" s="380">
        <v>807.93600000000094</v>
      </c>
      <c r="J103" s="381">
        <v>-67.063972439618993</v>
      </c>
      <c r="K103" s="388">
        <v>0.153892576275</v>
      </c>
    </row>
    <row r="104" spans="1:11" ht="14.4" customHeight="1" thickBot="1" x14ac:dyDescent="0.35">
      <c r="A104" s="397" t="s">
        <v>351</v>
      </c>
      <c r="B104" s="375">
        <v>5117.9999999999</v>
      </c>
      <c r="C104" s="375">
        <v>4948.7797499999997</v>
      </c>
      <c r="D104" s="376">
        <v>-169.220249999895</v>
      </c>
      <c r="E104" s="377">
        <v>0.96693625439599995</v>
      </c>
      <c r="F104" s="375">
        <v>5249.9998346377197</v>
      </c>
      <c r="G104" s="376">
        <v>874.99997243962105</v>
      </c>
      <c r="H104" s="378">
        <v>399.22550000000098</v>
      </c>
      <c r="I104" s="375">
        <v>807.93600000000094</v>
      </c>
      <c r="J104" s="376">
        <v>-67.063972439618993</v>
      </c>
      <c r="K104" s="379">
        <v>0.153892576275</v>
      </c>
    </row>
    <row r="105" spans="1:11" ht="14.4" customHeight="1" thickBot="1" x14ac:dyDescent="0.35">
      <c r="A105" s="395" t="s">
        <v>352</v>
      </c>
      <c r="B105" s="375">
        <v>203.99999999999599</v>
      </c>
      <c r="C105" s="375">
        <v>201.5943</v>
      </c>
      <c r="D105" s="376">
        <v>-2.4056999999949999</v>
      </c>
      <c r="E105" s="377">
        <v>0.98820735294100004</v>
      </c>
      <c r="F105" s="375">
        <v>209.99999338550899</v>
      </c>
      <c r="G105" s="376">
        <v>34.999998897584</v>
      </c>
      <c r="H105" s="378">
        <v>16.278099999999998</v>
      </c>
      <c r="I105" s="375">
        <v>32.829770000000003</v>
      </c>
      <c r="J105" s="376">
        <v>-2.1702288975839998</v>
      </c>
      <c r="K105" s="379">
        <v>0.15633224301900001</v>
      </c>
    </row>
    <row r="106" spans="1:11" ht="14.4" customHeight="1" thickBot="1" x14ac:dyDescent="0.35">
      <c r="A106" s="396" t="s">
        <v>353</v>
      </c>
      <c r="B106" s="380">
        <v>203.99999999999599</v>
      </c>
      <c r="C106" s="380">
        <v>201.5943</v>
      </c>
      <c r="D106" s="381">
        <v>-2.4056999999949999</v>
      </c>
      <c r="E106" s="387">
        <v>0.98820735294100004</v>
      </c>
      <c r="F106" s="380">
        <v>209.99999338550899</v>
      </c>
      <c r="G106" s="381">
        <v>34.999998897584</v>
      </c>
      <c r="H106" s="383">
        <v>16.278099999999998</v>
      </c>
      <c r="I106" s="380">
        <v>32.829770000000003</v>
      </c>
      <c r="J106" s="381">
        <v>-2.1702288975839998</v>
      </c>
      <c r="K106" s="388">
        <v>0.15633224301900001</v>
      </c>
    </row>
    <row r="107" spans="1:11" ht="14.4" customHeight="1" thickBot="1" x14ac:dyDescent="0.35">
      <c r="A107" s="397" t="s">
        <v>354</v>
      </c>
      <c r="B107" s="375">
        <v>203.99999999999599</v>
      </c>
      <c r="C107" s="375">
        <v>201.5943</v>
      </c>
      <c r="D107" s="376">
        <v>-2.4056999999949999</v>
      </c>
      <c r="E107" s="377">
        <v>0.98820735294100004</v>
      </c>
      <c r="F107" s="375">
        <v>209.99999338550899</v>
      </c>
      <c r="G107" s="376">
        <v>34.999998897584</v>
      </c>
      <c r="H107" s="378">
        <v>16.278099999999998</v>
      </c>
      <c r="I107" s="375">
        <v>32.829770000000003</v>
      </c>
      <c r="J107" s="376">
        <v>-2.1702288975839998</v>
      </c>
      <c r="K107" s="379">
        <v>0.15633224301900001</v>
      </c>
    </row>
    <row r="108" spans="1:11" ht="14.4" customHeight="1" thickBot="1" x14ac:dyDescent="0.35">
      <c r="A108" s="394" t="s">
        <v>355</v>
      </c>
      <c r="B108" s="375">
        <v>0</v>
      </c>
      <c r="C108" s="375">
        <v>0.1</v>
      </c>
      <c r="D108" s="376">
        <v>0.1</v>
      </c>
      <c r="E108" s="385" t="s">
        <v>266</v>
      </c>
      <c r="F108" s="375">
        <v>0.102009169451</v>
      </c>
      <c r="G108" s="376">
        <v>1.7001528241E-2</v>
      </c>
      <c r="H108" s="378">
        <v>0</v>
      </c>
      <c r="I108" s="375">
        <v>0</v>
      </c>
      <c r="J108" s="376">
        <v>-1.7001528241E-2</v>
      </c>
      <c r="K108" s="379">
        <v>0</v>
      </c>
    </row>
    <row r="109" spans="1:11" ht="14.4" customHeight="1" thickBot="1" x14ac:dyDescent="0.35">
      <c r="A109" s="395" t="s">
        <v>356</v>
      </c>
      <c r="B109" s="375">
        <v>0</v>
      </c>
      <c r="C109" s="375">
        <v>0.1</v>
      </c>
      <c r="D109" s="376">
        <v>0.1</v>
      </c>
      <c r="E109" s="385" t="s">
        <v>266</v>
      </c>
      <c r="F109" s="375">
        <v>0.102009169451</v>
      </c>
      <c r="G109" s="376">
        <v>1.7001528241E-2</v>
      </c>
      <c r="H109" s="378">
        <v>0</v>
      </c>
      <c r="I109" s="375">
        <v>0</v>
      </c>
      <c r="J109" s="376">
        <v>-1.7001528241E-2</v>
      </c>
      <c r="K109" s="379">
        <v>0</v>
      </c>
    </row>
    <row r="110" spans="1:11" ht="14.4" customHeight="1" thickBot="1" x14ac:dyDescent="0.35">
      <c r="A110" s="396" t="s">
        <v>357</v>
      </c>
      <c r="B110" s="380">
        <v>0</v>
      </c>
      <c r="C110" s="380">
        <v>0.1</v>
      </c>
      <c r="D110" s="381">
        <v>0.1</v>
      </c>
      <c r="E110" s="382" t="s">
        <v>266</v>
      </c>
      <c r="F110" s="380">
        <v>0.102009169451</v>
      </c>
      <c r="G110" s="381">
        <v>1.7001528241E-2</v>
      </c>
      <c r="H110" s="383">
        <v>0</v>
      </c>
      <c r="I110" s="380">
        <v>0</v>
      </c>
      <c r="J110" s="381">
        <v>-1.7001528241E-2</v>
      </c>
      <c r="K110" s="388">
        <v>0</v>
      </c>
    </row>
    <row r="111" spans="1:11" ht="14.4" customHeight="1" thickBot="1" x14ac:dyDescent="0.35">
      <c r="A111" s="397" t="s">
        <v>358</v>
      </c>
      <c r="B111" s="375">
        <v>0</v>
      </c>
      <c r="C111" s="375">
        <v>0.1</v>
      </c>
      <c r="D111" s="376">
        <v>0.1</v>
      </c>
      <c r="E111" s="385" t="s">
        <v>266</v>
      </c>
      <c r="F111" s="375">
        <v>0.102009169451</v>
      </c>
      <c r="G111" s="376">
        <v>1.7001528241E-2</v>
      </c>
      <c r="H111" s="378">
        <v>0</v>
      </c>
      <c r="I111" s="375">
        <v>0</v>
      </c>
      <c r="J111" s="376">
        <v>-1.7001528241E-2</v>
      </c>
      <c r="K111" s="379">
        <v>0</v>
      </c>
    </row>
    <row r="112" spans="1:11" ht="14.4" customHeight="1" thickBot="1" x14ac:dyDescent="0.35">
      <c r="A112" s="394" t="s">
        <v>359</v>
      </c>
      <c r="B112" s="375">
        <v>0</v>
      </c>
      <c r="C112" s="375">
        <v>3.2327499999999998</v>
      </c>
      <c r="D112" s="376">
        <v>3.2327499999999998</v>
      </c>
      <c r="E112" s="385" t="s">
        <v>255</v>
      </c>
      <c r="F112" s="375">
        <v>0</v>
      </c>
      <c r="G112" s="376">
        <v>0</v>
      </c>
      <c r="H112" s="378">
        <v>0</v>
      </c>
      <c r="I112" s="375">
        <v>0.10879999999999999</v>
      </c>
      <c r="J112" s="376">
        <v>0.10879999999999999</v>
      </c>
      <c r="K112" s="386" t="s">
        <v>255</v>
      </c>
    </row>
    <row r="113" spans="1:11" ht="14.4" customHeight="1" thickBot="1" x14ac:dyDescent="0.35">
      <c r="A113" s="395" t="s">
        <v>360</v>
      </c>
      <c r="B113" s="375">
        <v>0</v>
      </c>
      <c r="C113" s="375">
        <v>3.2327499999999998</v>
      </c>
      <c r="D113" s="376">
        <v>3.2327499999999998</v>
      </c>
      <c r="E113" s="385" t="s">
        <v>255</v>
      </c>
      <c r="F113" s="375">
        <v>0</v>
      </c>
      <c r="G113" s="376">
        <v>0</v>
      </c>
      <c r="H113" s="378">
        <v>0</v>
      </c>
      <c r="I113" s="375">
        <v>0.10879999999999999</v>
      </c>
      <c r="J113" s="376">
        <v>0.10879999999999999</v>
      </c>
      <c r="K113" s="386" t="s">
        <v>255</v>
      </c>
    </row>
    <row r="114" spans="1:11" ht="14.4" customHeight="1" thickBot="1" x14ac:dyDescent="0.35">
      <c r="A114" s="396" t="s">
        <v>361</v>
      </c>
      <c r="B114" s="380">
        <v>0</v>
      </c>
      <c r="C114" s="380">
        <v>17.616949999999999</v>
      </c>
      <c r="D114" s="381">
        <v>17.616949999999999</v>
      </c>
      <c r="E114" s="382" t="s">
        <v>255</v>
      </c>
      <c r="F114" s="380">
        <v>0</v>
      </c>
      <c r="G114" s="381">
        <v>0</v>
      </c>
      <c r="H114" s="383">
        <v>0</v>
      </c>
      <c r="I114" s="380">
        <v>0.10879999999999999</v>
      </c>
      <c r="J114" s="381">
        <v>0.10879999999999999</v>
      </c>
      <c r="K114" s="384" t="s">
        <v>255</v>
      </c>
    </row>
    <row r="115" spans="1:11" ht="14.4" customHeight="1" thickBot="1" x14ac:dyDescent="0.35">
      <c r="A115" s="397" t="s">
        <v>362</v>
      </c>
      <c r="B115" s="375">
        <v>0</v>
      </c>
      <c r="C115" s="375">
        <v>10.216950000000001</v>
      </c>
      <c r="D115" s="376">
        <v>10.216950000000001</v>
      </c>
      <c r="E115" s="385" t="s">
        <v>255</v>
      </c>
      <c r="F115" s="375">
        <v>0</v>
      </c>
      <c r="G115" s="376">
        <v>0</v>
      </c>
      <c r="H115" s="378">
        <v>0</v>
      </c>
      <c r="I115" s="375">
        <v>0.10879999999999999</v>
      </c>
      <c r="J115" s="376">
        <v>0.10879999999999999</v>
      </c>
      <c r="K115" s="386" t="s">
        <v>255</v>
      </c>
    </row>
    <row r="116" spans="1:11" ht="14.4" customHeight="1" thickBot="1" x14ac:dyDescent="0.35">
      <c r="A116" s="397" t="s">
        <v>363</v>
      </c>
      <c r="B116" s="375">
        <v>0</v>
      </c>
      <c r="C116" s="375">
        <v>6</v>
      </c>
      <c r="D116" s="376">
        <v>6</v>
      </c>
      <c r="E116" s="385" t="s">
        <v>255</v>
      </c>
      <c r="F116" s="375">
        <v>0</v>
      </c>
      <c r="G116" s="376">
        <v>0</v>
      </c>
      <c r="H116" s="378">
        <v>0</v>
      </c>
      <c r="I116" s="375">
        <v>0</v>
      </c>
      <c r="J116" s="376">
        <v>0</v>
      </c>
      <c r="K116" s="379">
        <v>2</v>
      </c>
    </row>
    <row r="117" spans="1:11" ht="14.4" customHeight="1" thickBot="1" x14ac:dyDescent="0.35">
      <c r="A117" s="397" t="s">
        <v>364</v>
      </c>
      <c r="B117" s="375">
        <v>0</v>
      </c>
      <c r="C117" s="375">
        <v>1.4</v>
      </c>
      <c r="D117" s="376">
        <v>1.4</v>
      </c>
      <c r="E117" s="385" t="s">
        <v>255</v>
      </c>
      <c r="F117" s="375">
        <v>0</v>
      </c>
      <c r="G117" s="376">
        <v>0</v>
      </c>
      <c r="H117" s="378">
        <v>0</v>
      </c>
      <c r="I117" s="375">
        <v>0</v>
      </c>
      <c r="J117" s="376">
        <v>0</v>
      </c>
      <c r="K117" s="386" t="s">
        <v>255</v>
      </c>
    </row>
    <row r="118" spans="1:11" ht="14.4" customHeight="1" thickBot="1" x14ac:dyDescent="0.35">
      <c r="A118" s="396" t="s">
        <v>365</v>
      </c>
      <c r="B118" s="380">
        <v>0</v>
      </c>
      <c r="C118" s="380">
        <v>-14.3842</v>
      </c>
      <c r="D118" s="381">
        <v>-14.3842</v>
      </c>
      <c r="E118" s="382" t="s">
        <v>266</v>
      </c>
      <c r="F118" s="380">
        <v>0</v>
      </c>
      <c r="G118" s="381">
        <v>0</v>
      </c>
      <c r="H118" s="383">
        <v>0</v>
      </c>
      <c r="I118" s="380">
        <v>0</v>
      </c>
      <c r="J118" s="381">
        <v>0</v>
      </c>
      <c r="K118" s="384" t="s">
        <v>255</v>
      </c>
    </row>
    <row r="119" spans="1:11" ht="14.4" customHeight="1" thickBot="1" x14ac:dyDescent="0.35">
      <c r="A119" s="397" t="s">
        <v>366</v>
      </c>
      <c r="B119" s="375">
        <v>0</v>
      </c>
      <c r="C119" s="375">
        <v>-14.3842</v>
      </c>
      <c r="D119" s="376">
        <v>-14.3842</v>
      </c>
      <c r="E119" s="385" t="s">
        <v>266</v>
      </c>
      <c r="F119" s="375">
        <v>0</v>
      </c>
      <c r="G119" s="376">
        <v>0</v>
      </c>
      <c r="H119" s="378">
        <v>0</v>
      </c>
      <c r="I119" s="375">
        <v>0</v>
      </c>
      <c r="J119" s="376">
        <v>0</v>
      </c>
      <c r="K119" s="386" t="s">
        <v>255</v>
      </c>
    </row>
    <row r="120" spans="1:11" ht="14.4" customHeight="1" thickBot="1" x14ac:dyDescent="0.35">
      <c r="A120" s="394" t="s">
        <v>367</v>
      </c>
      <c r="B120" s="375">
        <v>915.99812455183803</v>
      </c>
      <c r="C120" s="375">
        <v>1101.0498</v>
      </c>
      <c r="D120" s="376">
        <v>185.051675448162</v>
      </c>
      <c r="E120" s="377">
        <v>1.202021893373</v>
      </c>
      <c r="F120" s="375">
        <v>809.99997448694501</v>
      </c>
      <c r="G120" s="376">
        <v>134.99999574782399</v>
      </c>
      <c r="H120" s="378">
        <v>74.141000000000005</v>
      </c>
      <c r="I120" s="375">
        <v>148.83099999999999</v>
      </c>
      <c r="J120" s="376">
        <v>13.831004252174999</v>
      </c>
      <c r="K120" s="379">
        <v>0.18374198109600001</v>
      </c>
    </row>
    <row r="121" spans="1:11" ht="14.4" customHeight="1" thickBot="1" x14ac:dyDescent="0.35">
      <c r="A121" s="395" t="s">
        <v>368</v>
      </c>
      <c r="B121" s="375">
        <v>896.99812455183803</v>
      </c>
      <c r="C121" s="375">
        <v>947.83600000000001</v>
      </c>
      <c r="D121" s="376">
        <v>50.837875448162002</v>
      </c>
      <c r="E121" s="377">
        <v>1.0566755649270001</v>
      </c>
      <c r="F121" s="375">
        <v>809.99997448694501</v>
      </c>
      <c r="G121" s="376">
        <v>134.99999574782399</v>
      </c>
      <c r="H121" s="378">
        <v>70.950999999999993</v>
      </c>
      <c r="I121" s="375">
        <v>145.64099999999999</v>
      </c>
      <c r="J121" s="376">
        <v>10.641004252175</v>
      </c>
      <c r="K121" s="379">
        <v>0.17980370936699999</v>
      </c>
    </row>
    <row r="122" spans="1:11" ht="14.4" customHeight="1" thickBot="1" x14ac:dyDescent="0.35">
      <c r="A122" s="396" t="s">
        <v>369</v>
      </c>
      <c r="B122" s="380">
        <v>896.99812455183803</v>
      </c>
      <c r="C122" s="380">
        <v>904.18499999999995</v>
      </c>
      <c r="D122" s="381">
        <v>7.1868754481619996</v>
      </c>
      <c r="E122" s="387">
        <v>1.008012140997</v>
      </c>
      <c r="F122" s="380">
        <v>809.99997448694501</v>
      </c>
      <c r="G122" s="381">
        <v>134.99999574782399</v>
      </c>
      <c r="H122" s="383">
        <v>70.950999999999993</v>
      </c>
      <c r="I122" s="380">
        <v>145.64099999999999</v>
      </c>
      <c r="J122" s="381">
        <v>10.641004252175</v>
      </c>
      <c r="K122" s="388">
        <v>0.17980370936699999</v>
      </c>
    </row>
    <row r="123" spans="1:11" ht="14.4" customHeight="1" thickBot="1" x14ac:dyDescent="0.35">
      <c r="A123" s="397" t="s">
        <v>370</v>
      </c>
      <c r="B123" s="375">
        <v>66.997338104844999</v>
      </c>
      <c r="C123" s="375">
        <v>67.403999999999996</v>
      </c>
      <c r="D123" s="376">
        <v>0.40666189515399997</v>
      </c>
      <c r="E123" s="377">
        <v>1.0060698216770001</v>
      </c>
      <c r="F123" s="375">
        <v>66.999997889661003</v>
      </c>
      <c r="G123" s="376">
        <v>11.166666314943001</v>
      </c>
      <c r="H123" s="378">
        <v>5.617</v>
      </c>
      <c r="I123" s="375">
        <v>11.234</v>
      </c>
      <c r="J123" s="376">
        <v>6.7333685056000001E-2</v>
      </c>
      <c r="K123" s="379">
        <v>0.167671647072</v>
      </c>
    </row>
    <row r="124" spans="1:11" ht="14.4" customHeight="1" thickBot="1" x14ac:dyDescent="0.35">
      <c r="A124" s="397" t="s">
        <v>371</v>
      </c>
      <c r="B124" s="375">
        <v>607.99999999998897</v>
      </c>
      <c r="C124" s="375">
        <v>615.27599999999995</v>
      </c>
      <c r="D124" s="376">
        <v>7.2760000000109999</v>
      </c>
      <c r="E124" s="377">
        <v>1.0119671052629999</v>
      </c>
      <c r="F124" s="375">
        <v>572.999981951878</v>
      </c>
      <c r="G124" s="376">
        <v>95.499996991979003</v>
      </c>
      <c r="H124" s="378">
        <v>50.609000000000002</v>
      </c>
      <c r="I124" s="375">
        <v>101.22799999999999</v>
      </c>
      <c r="J124" s="376">
        <v>5.72800300802</v>
      </c>
      <c r="K124" s="379">
        <v>0.17666318182900001</v>
      </c>
    </row>
    <row r="125" spans="1:11" ht="14.4" customHeight="1" thickBot="1" x14ac:dyDescent="0.35">
      <c r="A125" s="397" t="s">
        <v>372</v>
      </c>
      <c r="B125" s="375">
        <v>94.000786447006007</v>
      </c>
      <c r="C125" s="375">
        <v>93.745000000000005</v>
      </c>
      <c r="D125" s="376">
        <v>-0.25578644700600001</v>
      </c>
      <c r="E125" s="377">
        <v>0.99727889035100004</v>
      </c>
      <c r="F125" s="375">
        <v>41.999998677100997</v>
      </c>
      <c r="G125" s="376">
        <v>6.9999997795160001</v>
      </c>
      <c r="H125" s="378">
        <v>4.08</v>
      </c>
      <c r="I125" s="375">
        <v>11.888999999999999</v>
      </c>
      <c r="J125" s="376">
        <v>4.8890002204830001</v>
      </c>
      <c r="K125" s="379">
        <v>0.28307143748699998</v>
      </c>
    </row>
    <row r="126" spans="1:11" ht="14.4" customHeight="1" thickBot="1" x14ac:dyDescent="0.35">
      <c r="A126" s="397" t="s">
        <v>373</v>
      </c>
      <c r="B126" s="375">
        <v>127.999999999998</v>
      </c>
      <c r="C126" s="375">
        <v>127.76</v>
      </c>
      <c r="D126" s="376">
        <v>-0.239999999997</v>
      </c>
      <c r="E126" s="377">
        <v>0.99812500000000004</v>
      </c>
      <c r="F126" s="375">
        <v>127.999995968305</v>
      </c>
      <c r="G126" s="376">
        <v>21.333332661383999</v>
      </c>
      <c r="H126" s="378">
        <v>10.645</v>
      </c>
      <c r="I126" s="375">
        <v>21.29</v>
      </c>
      <c r="J126" s="376">
        <v>-4.3332661384E-2</v>
      </c>
      <c r="K126" s="379">
        <v>0.166328130238</v>
      </c>
    </row>
    <row r="127" spans="1:11" ht="14.4" customHeight="1" thickBot="1" x14ac:dyDescent="0.35">
      <c r="A127" s="396" t="s">
        <v>374</v>
      </c>
      <c r="B127" s="380">
        <v>0</v>
      </c>
      <c r="C127" s="380">
        <v>43.651000000000003</v>
      </c>
      <c r="D127" s="381">
        <v>43.651000000000003</v>
      </c>
      <c r="E127" s="382" t="s">
        <v>255</v>
      </c>
      <c r="F127" s="380">
        <v>0</v>
      </c>
      <c r="G127" s="381">
        <v>0</v>
      </c>
      <c r="H127" s="383">
        <v>0</v>
      </c>
      <c r="I127" s="380">
        <v>0</v>
      </c>
      <c r="J127" s="381">
        <v>0</v>
      </c>
      <c r="K127" s="384" t="s">
        <v>255</v>
      </c>
    </row>
    <row r="128" spans="1:11" ht="14.4" customHeight="1" thickBot="1" x14ac:dyDescent="0.35">
      <c r="A128" s="397" t="s">
        <v>375</v>
      </c>
      <c r="B128" s="375">
        <v>0</v>
      </c>
      <c r="C128" s="375">
        <v>43.651000000000003</v>
      </c>
      <c r="D128" s="376">
        <v>43.651000000000003</v>
      </c>
      <c r="E128" s="385" t="s">
        <v>255</v>
      </c>
      <c r="F128" s="375">
        <v>0</v>
      </c>
      <c r="G128" s="376">
        <v>0</v>
      </c>
      <c r="H128" s="378">
        <v>0</v>
      </c>
      <c r="I128" s="375">
        <v>0</v>
      </c>
      <c r="J128" s="376">
        <v>0</v>
      </c>
      <c r="K128" s="386" t="s">
        <v>255</v>
      </c>
    </row>
    <row r="129" spans="1:11" ht="14.4" customHeight="1" thickBot="1" x14ac:dyDescent="0.35">
      <c r="A129" s="395" t="s">
        <v>376</v>
      </c>
      <c r="B129" s="375">
        <v>19</v>
      </c>
      <c r="C129" s="375">
        <v>153.21379999999999</v>
      </c>
      <c r="D129" s="376">
        <v>134.21379999999999</v>
      </c>
      <c r="E129" s="377">
        <v>8.063884210526</v>
      </c>
      <c r="F129" s="375">
        <v>0</v>
      </c>
      <c r="G129" s="376">
        <v>0</v>
      </c>
      <c r="H129" s="378">
        <v>3.19</v>
      </c>
      <c r="I129" s="375">
        <v>3.19</v>
      </c>
      <c r="J129" s="376">
        <v>3.19</v>
      </c>
      <c r="K129" s="386" t="s">
        <v>255</v>
      </c>
    </row>
    <row r="130" spans="1:11" ht="14.4" customHeight="1" thickBot="1" x14ac:dyDescent="0.35">
      <c r="A130" s="396" t="s">
        <v>377</v>
      </c>
      <c r="B130" s="380">
        <v>19</v>
      </c>
      <c r="C130" s="380">
        <v>65.015799999999999</v>
      </c>
      <c r="D130" s="381">
        <v>46.015799999999999</v>
      </c>
      <c r="E130" s="387">
        <v>3.4218842105260001</v>
      </c>
      <c r="F130" s="380">
        <v>0</v>
      </c>
      <c r="G130" s="381">
        <v>0</v>
      </c>
      <c r="H130" s="383">
        <v>0</v>
      </c>
      <c r="I130" s="380">
        <v>0</v>
      </c>
      <c r="J130" s="381">
        <v>0</v>
      </c>
      <c r="K130" s="388">
        <v>0</v>
      </c>
    </row>
    <row r="131" spans="1:11" ht="14.4" customHeight="1" thickBot="1" x14ac:dyDescent="0.35">
      <c r="A131" s="397" t="s">
        <v>378</v>
      </c>
      <c r="B131" s="375">
        <v>19</v>
      </c>
      <c r="C131" s="375">
        <v>65.015799999999999</v>
      </c>
      <c r="D131" s="376">
        <v>46.015799999999999</v>
      </c>
      <c r="E131" s="377">
        <v>3.4218842105260001</v>
      </c>
      <c r="F131" s="375">
        <v>0</v>
      </c>
      <c r="G131" s="376">
        <v>0</v>
      </c>
      <c r="H131" s="378">
        <v>0</v>
      </c>
      <c r="I131" s="375">
        <v>0</v>
      </c>
      <c r="J131" s="376">
        <v>0</v>
      </c>
      <c r="K131" s="379">
        <v>0</v>
      </c>
    </row>
    <row r="132" spans="1:11" ht="14.4" customHeight="1" thickBot="1" x14ac:dyDescent="0.35">
      <c r="A132" s="396" t="s">
        <v>379</v>
      </c>
      <c r="B132" s="380">
        <v>0</v>
      </c>
      <c r="C132" s="380">
        <v>21.969000000000001</v>
      </c>
      <c r="D132" s="381">
        <v>21.969000000000001</v>
      </c>
      <c r="E132" s="382" t="s">
        <v>255</v>
      </c>
      <c r="F132" s="380">
        <v>0</v>
      </c>
      <c r="G132" s="381">
        <v>0</v>
      </c>
      <c r="H132" s="383">
        <v>3.19</v>
      </c>
      <c r="I132" s="380">
        <v>3.19</v>
      </c>
      <c r="J132" s="381">
        <v>3.19</v>
      </c>
      <c r="K132" s="384" t="s">
        <v>255</v>
      </c>
    </row>
    <row r="133" spans="1:11" ht="14.4" customHeight="1" thickBot="1" x14ac:dyDescent="0.35">
      <c r="A133" s="397" t="s">
        <v>380</v>
      </c>
      <c r="B133" s="375">
        <v>0</v>
      </c>
      <c r="C133" s="375">
        <v>16.329000000000001</v>
      </c>
      <c r="D133" s="376">
        <v>16.329000000000001</v>
      </c>
      <c r="E133" s="385" t="s">
        <v>255</v>
      </c>
      <c r="F133" s="375">
        <v>0</v>
      </c>
      <c r="G133" s="376">
        <v>0</v>
      </c>
      <c r="H133" s="378">
        <v>3.19</v>
      </c>
      <c r="I133" s="375">
        <v>3.19</v>
      </c>
      <c r="J133" s="376">
        <v>3.19</v>
      </c>
      <c r="K133" s="386" t="s">
        <v>255</v>
      </c>
    </row>
    <row r="134" spans="1:11" ht="14.4" customHeight="1" thickBot="1" x14ac:dyDescent="0.35">
      <c r="A134" s="397" t="s">
        <v>381</v>
      </c>
      <c r="B134" s="375">
        <v>0</v>
      </c>
      <c r="C134" s="375">
        <v>5.64</v>
      </c>
      <c r="D134" s="376">
        <v>5.64</v>
      </c>
      <c r="E134" s="385" t="s">
        <v>266</v>
      </c>
      <c r="F134" s="375">
        <v>0</v>
      </c>
      <c r="G134" s="376">
        <v>0</v>
      </c>
      <c r="H134" s="378">
        <v>0</v>
      </c>
      <c r="I134" s="375">
        <v>0</v>
      </c>
      <c r="J134" s="376">
        <v>0</v>
      </c>
      <c r="K134" s="386" t="s">
        <v>255</v>
      </c>
    </row>
    <row r="135" spans="1:11" ht="14.4" customHeight="1" thickBot="1" x14ac:dyDescent="0.35">
      <c r="A135" s="396" t="s">
        <v>382</v>
      </c>
      <c r="B135" s="380">
        <v>0</v>
      </c>
      <c r="C135" s="380">
        <v>28.706900000000001</v>
      </c>
      <c r="D135" s="381">
        <v>28.706900000000001</v>
      </c>
      <c r="E135" s="382" t="s">
        <v>255</v>
      </c>
      <c r="F135" s="380">
        <v>0</v>
      </c>
      <c r="G135" s="381">
        <v>0</v>
      </c>
      <c r="H135" s="383">
        <v>0</v>
      </c>
      <c r="I135" s="380">
        <v>0</v>
      </c>
      <c r="J135" s="381">
        <v>0</v>
      </c>
      <c r="K135" s="388">
        <v>0</v>
      </c>
    </row>
    <row r="136" spans="1:11" ht="14.4" customHeight="1" thickBot="1" x14ac:dyDescent="0.35">
      <c r="A136" s="397" t="s">
        <v>383</v>
      </c>
      <c r="B136" s="375">
        <v>0</v>
      </c>
      <c r="C136" s="375">
        <v>28.706900000000001</v>
      </c>
      <c r="D136" s="376">
        <v>28.706900000000001</v>
      </c>
      <c r="E136" s="385" t="s">
        <v>255</v>
      </c>
      <c r="F136" s="375">
        <v>0</v>
      </c>
      <c r="G136" s="376">
        <v>0</v>
      </c>
      <c r="H136" s="378">
        <v>0</v>
      </c>
      <c r="I136" s="375">
        <v>0</v>
      </c>
      <c r="J136" s="376">
        <v>0</v>
      </c>
      <c r="K136" s="379">
        <v>0</v>
      </c>
    </row>
    <row r="137" spans="1:11" ht="14.4" customHeight="1" thickBot="1" x14ac:dyDescent="0.35">
      <c r="A137" s="396" t="s">
        <v>384</v>
      </c>
      <c r="B137" s="380">
        <v>0</v>
      </c>
      <c r="C137" s="380">
        <v>37.522100000000002</v>
      </c>
      <c r="D137" s="381">
        <v>37.522100000000002</v>
      </c>
      <c r="E137" s="382" t="s">
        <v>255</v>
      </c>
      <c r="F137" s="380">
        <v>0</v>
      </c>
      <c r="G137" s="381">
        <v>0</v>
      </c>
      <c r="H137" s="383">
        <v>0</v>
      </c>
      <c r="I137" s="380">
        <v>0</v>
      </c>
      <c r="J137" s="381">
        <v>0</v>
      </c>
      <c r="K137" s="384" t="s">
        <v>255</v>
      </c>
    </row>
    <row r="138" spans="1:11" ht="14.4" customHeight="1" thickBot="1" x14ac:dyDescent="0.35">
      <c r="A138" s="397" t="s">
        <v>385</v>
      </c>
      <c r="B138" s="375">
        <v>0</v>
      </c>
      <c r="C138" s="375">
        <v>37.522100000000002</v>
      </c>
      <c r="D138" s="376">
        <v>37.522100000000002</v>
      </c>
      <c r="E138" s="385" t="s">
        <v>255</v>
      </c>
      <c r="F138" s="375">
        <v>0</v>
      </c>
      <c r="G138" s="376">
        <v>0</v>
      </c>
      <c r="H138" s="378">
        <v>0</v>
      </c>
      <c r="I138" s="375">
        <v>0</v>
      </c>
      <c r="J138" s="376">
        <v>0</v>
      </c>
      <c r="K138" s="386" t="s">
        <v>255</v>
      </c>
    </row>
    <row r="139" spans="1:11" ht="14.4" customHeight="1" thickBot="1" x14ac:dyDescent="0.35">
      <c r="A139" s="394" t="s">
        <v>386</v>
      </c>
      <c r="B139" s="375">
        <v>0</v>
      </c>
      <c r="C139" s="375">
        <v>8.8500000000000002E-3</v>
      </c>
      <c r="D139" s="376">
        <v>8.8500000000000002E-3</v>
      </c>
      <c r="E139" s="385" t="s">
        <v>266</v>
      </c>
      <c r="F139" s="375">
        <v>0</v>
      </c>
      <c r="G139" s="376">
        <v>0</v>
      </c>
      <c r="H139" s="378">
        <v>0</v>
      </c>
      <c r="I139" s="375">
        <v>0</v>
      </c>
      <c r="J139" s="376">
        <v>0</v>
      </c>
      <c r="K139" s="386" t="s">
        <v>255</v>
      </c>
    </row>
    <row r="140" spans="1:11" ht="14.4" customHeight="1" thickBot="1" x14ac:dyDescent="0.35">
      <c r="A140" s="395" t="s">
        <v>387</v>
      </c>
      <c r="B140" s="375">
        <v>0</v>
      </c>
      <c r="C140" s="375">
        <v>8.8500000000000002E-3</v>
      </c>
      <c r="D140" s="376">
        <v>8.8500000000000002E-3</v>
      </c>
      <c r="E140" s="385" t="s">
        <v>266</v>
      </c>
      <c r="F140" s="375">
        <v>0</v>
      </c>
      <c r="G140" s="376">
        <v>0</v>
      </c>
      <c r="H140" s="378">
        <v>0</v>
      </c>
      <c r="I140" s="375">
        <v>0</v>
      </c>
      <c r="J140" s="376">
        <v>0</v>
      </c>
      <c r="K140" s="386" t="s">
        <v>255</v>
      </c>
    </row>
    <row r="141" spans="1:11" ht="14.4" customHeight="1" thickBot="1" x14ac:dyDescent="0.35">
      <c r="A141" s="396" t="s">
        <v>388</v>
      </c>
      <c r="B141" s="380">
        <v>0</v>
      </c>
      <c r="C141" s="380">
        <v>8.8500000000000002E-3</v>
      </c>
      <c r="D141" s="381">
        <v>8.8500000000000002E-3</v>
      </c>
      <c r="E141" s="382" t="s">
        <v>266</v>
      </c>
      <c r="F141" s="380">
        <v>0</v>
      </c>
      <c r="G141" s="381">
        <v>0</v>
      </c>
      <c r="H141" s="383">
        <v>0</v>
      </c>
      <c r="I141" s="380">
        <v>0</v>
      </c>
      <c r="J141" s="381">
        <v>0</v>
      </c>
      <c r="K141" s="384" t="s">
        <v>255</v>
      </c>
    </row>
    <row r="142" spans="1:11" ht="14.4" customHeight="1" thickBot="1" x14ac:dyDescent="0.35">
      <c r="A142" s="397" t="s">
        <v>389</v>
      </c>
      <c r="B142" s="375">
        <v>0</v>
      </c>
      <c r="C142" s="375">
        <v>8.8500000000000002E-3</v>
      </c>
      <c r="D142" s="376">
        <v>8.8500000000000002E-3</v>
      </c>
      <c r="E142" s="385" t="s">
        <v>266</v>
      </c>
      <c r="F142" s="375">
        <v>0</v>
      </c>
      <c r="G142" s="376">
        <v>0</v>
      </c>
      <c r="H142" s="378">
        <v>0</v>
      </c>
      <c r="I142" s="375">
        <v>0</v>
      </c>
      <c r="J142" s="376">
        <v>0</v>
      </c>
      <c r="K142" s="386" t="s">
        <v>255</v>
      </c>
    </row>
    <row r="143" spans="1:11" ht="14.4" customHeight="1" thickBot="1" x14ac:dyDescent="0.35">
      <c r="A143" s="393" t="s">
        <v>390</v>
      </c>
      <c r="B143" s="375">
        <v>33782.800523264799</v>
      </c>
      <c r="C143" s="375">
        <v>32506.237649999999</v>
      </c>
      <c r="D143" s="376">
        <v>-1276.5628732648399</v>
      </c>
      <c r="E143" s="377">
        <v>0.96221263916800004</v>
      </c>
      <c r="F143" s="375">
        <v>31920.859483344</v>
      </c>
      <c r="G143" s="376">
        <v>5320.1432472240103</v>
      </c>
      <c r="H143" s="378">
        <v>2758.7844500000001</v>
      </c>
      <c r="I143" s="375">
        <v>4844.0215600000001</v>
      </c>
      <c r="J143" s="376">
        <v>-476.12168722400799</v>
      </c>
      <c r="K143" s="379">
        <v>0.15175097533000001</v>
      </c>
    </row>
    <row r="144" spans="1:11" ht="14.4" customHeight="1" thickBot="1" x14ac:dyDescent="0.35">
      <c r="A144" s="394" t="s">
        <v>391</v>
      </c>
      <c r="B144" s="375">
        <v>33527.243349538498</v>
      </c>
      <c r="C144" s="375">
        <v>32309.163680000001</v>
      </c>
      <c r="D144" s="376">
        <v>-1218.07966953852</v>
      </c>
      <c r="E144" s="377">
        <v>0.96366895849900003</v>
      </c>
      <c r="F144" s="375">
        <v>31751.5512290064</v>
      </c>
      <c r="G144" s="376">
        <v>5291.9252048343897</v>
      </c>
      <c r="H144" s="378">
        <v>2727.2444799999998</v>
      </c>
      <c r="I144" s="375">
        <v>4794.1287599999996</v>
      </c>
      <c r="J144" s="376">
        <v>-497.796444834395</v>
      </c>
      <c r="K144" s="379">
        <v>0.15098880446499999</v>
      </c>
    </row>
    <row r="145" spans="1:11" ht="14.4" customHeight="1" thickBot="1" x14ac:dyDescent="0.35">
      <c r="A145" s="395" t="s">
        <v>392</v>
      </c>
      <c r="B145" s="375">
        <v>33527.243349538498</v>
      </c>
      <c r="C145" s="375">
        <v>32309.163680000001</v>
      </c>
      <c r="D145" s="376">
        <v>-1218.07966953852</v>
      </c>
      <c r="E145" s="377">
        <v>0.96366895849900003</v>
      </c>
      <c r="F145" s="375">
        <v>31751.5512290064</v>
      </c>
      <c r="G145" s="376">
        <v>5291.9252048343897</v>
      </c>
      <c r="H145" s="378">
        <v>2727.2444799999998</v>
      </c>
      <c r="I145" s="375">
        <v>4794.1287599999996</v>
      </c>
      <c r="J145" s="376">
        <v>-497.796444834395</v>
      </c>
      <c r="K145" s="379">
        <v>0.15098880446499999</v>
      </c>
    </row>
    <row r="146" spans="1:11" ht="14.4" customHeight="1" thickBot="1" x14ac:dyDescent="0.35">
      <c r="A146" s="396" t="s">
        <v>393</v>
      </c>
      <c r="B146" s="380">
        <v>11734.3418363575</v>
      </c>
      <c r="C146" s="380">
        <v>11082.390460000001</v>
      </c>
      <c r="D146" s="381">
        <v>-651.95137635754099</v>
      </c>
      <c r="E146" s="387">
        <v>0.94444073766900005</v>
      </c>
      <c r="F146" s="380">
        <v>10544.551229000799</v>
      </c>
      <c r="G146" s="381">
        <v>1757.4252048334699</v>
      </c>
      <c r="H146" s="383">
        <v>708.24627999999996</v>
      </c>
      <c r="I146" s="380">
        <v>1282.2315599999999</v>
      </c>
      <c r="J146" s="381">
        <v>-475.19364483347101</v>
      </c>
      <c r="K146" s="388">
        <v>0.121601340081</v>
      </c>
    </row>
    <row r="147" spans="1:11" ht="14.4" customHeight="1" thickBot="1" x14ac:dyDescent="0.35">
      <c r="A147" s="397" t="s">
        <v>394</v>
      </c>
      <c r="B147" s="375">
        <v>3.1923837013030001</v>
      </c>
      <c r="C147" s="375">
        <v>5.0412699999999999</v>
      </c>
      <c r="D147" s="376">
        <v>1.848886298696</v>
      </c>
      <c r="E147" s="377">
        <v>1.579155412283</v>
      </c>
      <c r="F147" s="375">
        <v>4.5512290008239997</v>
      </c>
      <c r="G147" s="376">
        <v>0.75853816680399999</v>
      </c>
      <c r="H147" s="378">
        <v>0.16528000000000001</v>
      </c>
      <c r="I147" s="375">
        <v>0.33056000000000002</v>
      </c>
      <c r="J147" s="376">
        <v>-0.42797816680400003</v>
      </c>
      <c r="K147" s="379">
        <v>7.2630931103999999E-2</v>
      </c>
    </row>
    <row r="148" spans="1:11" ht="14.4" customHeight="1" thickBot="1" x14ac:dyDescent="0.35">
      <c r="A148" s="397" t="s">
        <v>395</v>
      </c>
      <c r="B148" s="375">
        <v>66.763750633843998</v>
      </c>
      <c r="C148" s="375">
        <v>45.534999999999997</v>
      </c>
      <c r="D148" s="376">
        <v>-21.228750633844001</v>
      </c>
      <c r="E148" s="377">
        <v>0.68203178472799997</v>
      </c>
      <c r="F148" s="375">
        <v>46</v>
      </c>
      <c r="G148" s="376">
        <v>7.6666666666659999</v>
      </c>
      <c r="H148" s="378">
        <v>6.8090000000000002</v>
      </c>
      <c r="I148" s="375">
        <v>11.388999999999999</v>
      </c>
      <c r="J148" s="376">
        <v>3.7223333333330002</v>
      </c>
      <c r="K148" s="379">
        <v>0.24758695652099999</v>
      </c>
    </row>
    <row r="149" spans="1:11" ht="14.4" customHeight="1" thickBot="1" x14ac:dyDescent="0.35">
      <c r="A149" s="397" t="s">
        <v>396</v>
      </c>
      <c r="B149" s="375">
        <v>11663.6492186373</v>
      </c>
      <c r="C149" s="375">
        <v>11031.814189999999</v>
      </c>
      <c r="D149" s="376">
        <v>-631.83502863732394</v>
      </c>
      <c r="E149" s="377">
        <v>0.94582870105200001</v>
      </c>
      <c r="F149" s="375">
        <v>10494</v>
      </c>
      <c r="G149" s="376">
        <v>1749</v>
      </c>
      <c r="H149" s="378">
        <v>701.27200000000005</v>
      </c>
      <c r="I149" s="375">
        <v>1270.5119999999999</v>
      </c>
      <c r="J149" s="376">
        <v>-478.488</v>
      </c>
      <c r="K149" s="379">
        <v>0.1210703259</v>
      </c>
    </row>
    <row r="150" spans="1:11" ht="14.4" customHeight="1" thickBot="1" x14ac:dyDescent="0.35">
      <c r="A150" s="396" t="s">
        <v>397</v>
      </c>
      <c r="B150" s="380">
        <v>7046</v>
      </c>
      <c r="C150" s="380">
        <v>6525.1779999999999</v>
      </c>
      <c r="D150" s="381">
        <v>-520.82199999999705</v>
      </c>
      <c r="E150" s="387">
        <v>0.92608260005599996</v>
      </c>
      <c r="F150" s="380">
        <v>6527.0000000017099</v>
      </c>
      <c r="G150" s="381">
        <v>1087.83333333362</v>
      </c>
      <c r="H150" s="383">
        <v>667.23820000000001</v>
      </c>
      <c r="I150" s="380">
        <v>1094.7692</v>
      </c>
      <c r="J150" s="381">
        <v>6.9358666663820001</v>
      </c>
      <c r="K150" s="388">
        <v>0.16772930902399999</v>
      </c>
    </row>
    <row r="151" spans="1:11" ht="14.4" customHeight="1" thickBot="1" x14ac:dyDescent="0.35">
      <c r="A151" s="397" t="s">
        <v>398</v>
      </c>
      <c r="B151" s="375">
        <v>7046</v>
      </c>
      <c r="C151" s="375">
        <v>6517.183</v>
      </c>
      <c r="D151" s="376">
        <v>-528.81699999999705</v>
      </c>
      <c r="E151" s="377">
        <v>0.92494791370899998</v>
      </c>
      <c r="F151" s="375">
        <v>6512.0000000016998</v>
      </c>
      <c r="G151" s="376">
        <v>1085.33333333362</v>
      </c>
      <c r="H151" s="378">
        <v>667.23820000000001</v>
      </c>
      <c r="I151" s="375">
        <v>1094.0142000000001</v>
      </c>
      <c r="J151" s="376">
        <v>8.6808666663820002</v>
      </c>
      <c r="K151" s="379">
        <v>0.16799972358699999</v>
      </c>
    </row>
    <row r="152" spans="1:11" ht="14.4" customHeight="1" thickBot="1" x14ac:dyDescent="0.35">
      <c r="A152" s="397" t="s">
        <v>399</v>
      </c>
      <c r="B152" s="375">
        <v>0</v>
      </c>
      <c r="C152" s="375">
        <v>7.9950000000000001</v>
      </c>
      <c r="D152" s="376">
        <v>7.9950000000000001</v>
      </c>
      <c r="E152" s="385" t="s">
        <v>255</v>
      </c>
      <c r="F152" s="375">
        <v>15.000000000003</v>
      </c>
      <c r="G152" s="376">
        <v>2.5</v>
      </c>
      <c r="H152" s="378">
        <v>0</v>
      </c>
      <c r="I152" s="375">
        <v>0.755</v>
      </c>
      <c r="J152" s="376">
        <v>-1.7450000000000001</v>
      </c>
      <c r="K152" s="379">
        <v>5.0333333332999997E-2</v>
      </c>
    </row>
    <row r="153" spans="1:11" ht="14.4" customHeight="1" thickBot="1" x14ac:dyDescent="0.35">
      <c r="A153" s="396" t="s">
        <v>400</v>
      </c>
      <c r="B153" s="380">
        <v>14746.901513180999</v>
      </c>
      <c r="C153" s="380">
        <v>14701.595219999999</v>
      </c>
      <c r="D153" s="381">
        <v>-45.306293180981001</v>
      </c>
      <c r="E153" s="387">
        <v>0.99692774152300001</v>
      </c>
      <c r="F153" s="380">
        <v>14680.0000000038</v>
      </c>
      <c r="G153" s="381">
        <v>2446.66666666731</v>
      </c>
      <c r="H153" s="383">
        <v>1351.76</v>
      </c>
      <c r="I153" s="380">
        <v>2417.1280000000002</v>
      </c>
      <c r="J153" s="381">
        <v>-29.538666667305002</v>
      </c>
      <c r="K153" s="388">
        <v>0.16465449591199999</v>
      </c>
    </row>
    <row r="154" spans="1:11" ht="14.4" customHeight="1" thickBot="1" x14ac:dyDescent="0.35">
      <c r="A154" s="397" t="s">
        <v>401</v>
      </c>
      <c r="B154" s="375">
        <v>14746.901513180999</v>
      </c>
      <c r="C154" s="375">
        <v>14701.595219999999</v>
      </c>
      <c r="D154" s="376">
        <v>-45.306293180981001</v>
      </c>
      <c r="E154" s="377">
        <v>0.99692774152300001</v>
      </c>
      <c r="F154" s="375">
        <v>14680.0000000038</v>
      </c>
      <c r="G154" s="376">
        <v>2446.66666666731</v>
      </c>
      <c r="H154" s="378">
        <v>1351.76</v>
      </c>
      <c r="I154" s="375">
        <v>2417.1280000000002</v>
      </c>
      <c r="J154" s="376">
        <v>-29.538666667305002</v>
      </c>
      <c r="K154" s="379">
        <v>0.16465449591199999</v>
      </c>
    </row>
    <row r="155" spans="1:11" ht="14.4" customHeight="1" thickBot="1" x14ac:dyDescent="0.35">
      <c r="A155" s="394" t="s">
        <v>402</v>
      </c>
      <c r="B155" s="375">
        <v>255.55717372632401</v>
      </c>
      <c r="C155" s="375">
        <v>197.07397</v>
      </c>
      <c r="D155" s="376">
        <v>-58.483203726322998</v>
      </c>
      <c r="E155" s="377">
        <v>0.77115413011599998</v>
      </c>
      <c r="F155" s="375">
        <v>169.30825433768501</v>
      </c>
      <c r="G155" s="376">
        <v>28.218042389613998</v>
      </c>
      <c r="H155" s="378">
        <v>31.53997</v>
      </c>
      <c r="I155" s="375">
        <v>49.892800000000001</v>
      </c>
      <c r="J155" s="376">
        <v>21.674757610385001</v>
      </c>
      <c r="K155" s="379">
        <v>0.29468616397399999</v>
      </c>
    </row>
    <row r="156" spans="1:11" ht="14.4" customHeight="1" thickBot="1" x14ac:dyDescent="0.35">
      <c r="A156" s="400" t="s">
        <v>403</v>
      </c>
      <c r="B156" s="380">
        <v>255.55717372632401</v>
      </c>
      <c r="C156" s="380">
        <v>197.07397</v>
      </c>
      <c r="D156" s="381">
        <v>-58.483203726322998</v>
      </c>
      <c r="E156" s="387">
        <v>0.77115413011599998</v>
      </c>
      <c r="F156" s="380">
        <v>169.30825433768501</v>
      </c>
      <c r="G156" s="381">
        <v>28.218042389613998</v>
      </c>
      <c r="H156" s="383">
        <v>31.53997</v>
      </c>
      <c r="I156" s="380">
        <v>49.892800000000001</v>
      </c>
      <c r="J156" s="381">
        <v>21.674757610385001</v>
      </c>
      <c r="K156" s="388">
        <v>0.29468616397399999</v>
      </c>
    </row>
    <row r="157" spans="1:11" ht="14.4" customHeight="1" thickBot="1" x14ac:dyDescent="0.35">
      <c r="A157" s="396" t="s">
        <v>404</v>
      </c>
      <c r="B157" s="380">
        <v>0</v>
      </c>
      <c r="C157" s="380">
        <v>6.0999999999999997E-4</v>
      </c>
      <c r="D157" s="381">
        <v>6.0999999999999997E-4</v>
      </c>
      <c r="E157" s="382" t="s">
        <v>255</v>
      </c>
      <c r="F157" s="380">
        <v>0</v>
      </c>
      <c r="G157" s="381">
        <v>0</v>
      </c>
      <c r="H157" s="383">
        <v>6.0000000000000002E-5</v>
      </c>
      <c r="I157" s="380">
        <v>1E-4</v>
      </c>
      <c r="J157" s="381">
        <v>1E-4</v>
      </c>
      <c r="K157" s="384" t="s">
        <v>255</v>
      </c>
    </row>
    <row r="158" spans="1:11" ht="14.4" customHeight="1" thickBot="1" x14ac:dyDescent="0.35">
      <c r="A158" s="397" t="s">
        <v>405</v>
      </c>
      <c r="B158" s="375">
        <v>0</v>
      </c>
      <c r="C158" s="375">
        <v>6.0999999999999997E-4</v>
      </c>
      <c r="D158" s="376">
        <v>6.0999999999999997E-4</v>
      </c>
      <c r="E158" s="385" t="s">
        <v>255</v>
      </c>
      <c r="F158" s="375">
        <v>0</v>
      </c>
      <c r="G158" s="376">
        <v>0</v>
      </c>
      <c r="H158" s="378">
        <v>6.0000000000000002E-5</v>
      </c>
      <c r="I158" s="375">
        <v>1E-4</v>
      </c>
      <c r="J158" s="376">
        <v>1E-4</v>
      </c>
      <c r="K158" s="386" t="s">
        <v>255</v>
      </c>
    </row>
    <row r="159" spans="1:11" ht="14.4" customHeight="1" thickBot="1" x14ac:dyDescent="0.35">
      <c r="A159" s="396" t="s">
        <v>406</v>
      </c>
      <c r="B159" s="380">
        <v>255.55717372632401</v>
      </c>
      <c r="C159" s="380">
        <v>197.07336000000001</v>
      </c>
      <c r="D159" s="381">
        <v>-58.483813726323</v>
      </c>
      <c r="E159" s="387">
        <v>0.77115174317500002</v>
      </c>
      <c r="F159" s="380">
        <v>169.30825433768501</v>
      </c>
      <c r="G159" s="381">
        <v>28.218042389613998</v>
      </c>
      <c r="H159" s="383">
        <v>31.539909999999999</v>
      </c>
      <c r="I159" s="380">
        <v>49.892699999999998</v>
      </c>
      <c r="J159" s="381">
        <v>21.674657610385001</v>
      </c>
      <c r="K159" s="388">
        <v>0.29468557333500001</v>
      </c>
    </row>
    <row r="160" spans="1:11" ht="14.4" customHeight="1" thickBot="1" x14ac:dyDescent="0.35">
      <c r="A160" s="397" t="s">
        <v>407</v>
      </c>
      <c r="B160" s="375">
        <v>0</v>
      </c>
      <c r="C160" s="375">
        <v>2.016</v>
      </c>
      <c r="D160" s="376">
        <v>2.016</v>
      </c>
      <c r="E160" s="385" t="s">
        <v>255</v>
      </c>
      <c r="F160" s="375">
        <v>1.308254337685</v>
      </c>
      <c r="G160" s="376">
        <v>0.21804238961399999</v>
      </c>
      <c r="H160" s="378">
        <v>0.13500000000000001</v>
      </c>
      <c r="I160" s="375">
        <v>0.30599999999999999</v>
      </c>
      <c r="J160" s="376">
        <v>8.7957610384999996E-2</v>
      </c>
      <c r="K160" s="379">
        <v>0.233899472897</v>
      </c>
    </row>
    <row r="161" spans="1:11" ht="14.4" customHeight="1" thickBot="1" x14ac:dyDescent="0.35">
      <c r="A161" s="397" t="s">
        <v>408</v>
      </c>
      <c r="B161" s="375">
        <v>255.55717372632401</v>
      </c>
      <c r="C161" s="375">
        <v>195.04098999999999</v>
      </c>
      <c r="D161" s="376">
        <v>-60.516183726323</v>
      </c>
      <c r="E161" s="377">
        <v>0.76319904135700001</v>
      </c>
      <c r="F161" s="375">
        <v>168</v>
      </c>
      <c r="G161" s="376">
        <v>28</v>
      </c>
      <c r="H161" s="378">
        <v>31.404910000000001</v>
      </c>
      <c r="I161" s="375">
        <v>49.5867</v>
      </c>
      <c r="J161" s="376">
        <v>21.5867</v>
      </c>
      <c r="K161" s="379">
        <v>0.29515892857100001</v>
      </c>
    </row>
    <row r="162" spans="1:11" ht="14.4" customHeight="1" thickBot="1" x14ac:dyDescent="0.35">
      <c r="A162" s="397" t="s">
        <v>409</v>
      </c>
      <c r="B162" s="375">
        <v>0</v>
      </c>
      <c r="C162" s="375">
        <v>1.6369999999999999E-2</v>
      </c>
      <c r="D162" s="376">
        <v>1.6369999999999999E-2</v>
      </c>
      <c r="E162" s="385" t="s">
        <v>255</v>
      </c>
      <c r="F162" s="375">
        <v>0</v>
      </c>
      <c r="G162" s="376">
        <v>0</v>
      </c>
      <c r="H162" s="378">
        <v>0</v>
      </c>
      <c r="I162" s="375">
        <v>0</v>
      </c>
      <c r="J162" s="376">
        <v>0</v>
      </c>
      <c r="K162" s="386" t="s">
        <v>255</v>
      </c>
    </row>
    <row r="163" spans="1:11" ht="14.4" customHeight="1" thickBot="1" x14ac:dyDescent="0.35">
      <c r="A163" s="393" t="s">
        <v>410</v>
      </c>
      <c r="B163" s="375">
        <v>4520.0082222852297</v>
      </c>
      <c r="C163" s="375">
        <v>4225.86114</v>
      </c>
      <c r="D163" s="376">
        <v>-294.14708228522699</v>
      </c>
      <c r="E163" s="377">
        <v>0.93492333026399999</v>
      </c>
      <c r="F163" s="375">
        <v>0</v>
      </c>
      <c r="G163" s="376">
        <v>0</v>
      </c>
      <c r="H163" s="378">
        <v>297.85705999999999</v>
      </c>
      <c r="I163" s="375">
        <v>550.75851999999998</v>
      </c>
      <c r="J163" s="376">
        <v>550.75851999999998</v>
      </c>
      <c r="K163" s="386" t="s">
        <v>255</v>
      </c>
    </row>
    <row r="164" spans="1:11" ht="14.4" customHeight="1" thickBot="1" x14ac:dyDescent="0.35">
      <c r="A164" s="398" t="s">
        <v>411</v>
      </c>
      <c r="B164" s="380">
        <v>4520.0082222852297</v>
      </c>
      <c r="C164" s="380">
        <v>4225.86114</v>
      </c>
      <c r="D164" s="381">
        <v>-294.14708228522699</v>
      </c>
      <c r="E164" s="387">
        <v>0.93492333026399999</v>
      </c>
      <c r="F164" s="380">
        <v>0</v>
      </c>
      <c r="G164" s="381">
        <v>0</v>
      </c>
      <c r="H164" s="383">
        <v>297.85705999999999</v>
      </c>
      <c r="I164" s="380">
        <v>550.75851999999998</v>
      </c>
      <c r="J164" s="381">
        <v>550.75851999999998</v>
      </c>
      <c r="K164" s="384" t="s">
        <v>255</v>
      </c>
    </row>
    <row r="165" spans="1:11" ht="14.4" customHeight="1" thickBot="1" x14ac:dyDescent="0.35">
      <c r="A165" s="400" t="s">
        <v>41</v>
      </c>
      <c r="B165" s="380">
        <v>4520.0082222852297</v>
      </c>
      <c r="C165" s="380">
        <v>4225.86114</v>
      </c>
      <c r="D165" s="381">
        <v>-294.14708228522699</v>
      </c>
      <c r="E165" s="387">
        <v>0.93492333026399999</v>
      </c>
      <c r="F165" s="380">
        <v>0</v>
      </c>
      <c r="G165" s="381">
        <v>0</v>
      </c>
      <c r="H165" s="383">
        <v>297.85705999999999</v>
      </c>
      <c r="I165" s="380">
        <v>550.75851999999998</v>
      </c>
      <c r="J165" s="381">
        <v>550.75851999999998</v>
      </c>
      <c r="K165" s="384" t="s">
        <v>255</v>
      </c>
    </row>
    <row r="166" spans="1:11" ht="14.4" customHeight="1" thickBot="1" x14ac:dyDescent="0.35">
      <c r="A166" s="396" t="s">
        <v>412</v>
      </c>
      <c r="B166" s="380">
        <v>65</v>
      </c>
      <c r="C166" s="380">
        <v>46.53</v>
      </c>
      <c r="D166" s="381">
        <v>-18.47</v>
      </c>
      <c r="E166" s="387">
        <v>0.71584615384600003</v>
      </c>
      <c r="F166" s="380">
        <v>0</v>
      </c>
      <c r="G166" s="381">
        <v>0</v>
      </c>
      <c r="H166" s="383">
        <v>3.9180000000000001</v>
      </c>
      <c r="I166" s="380">
        <v>7.8367500000000003</v>
      </c>
      <c r="J166" s="381">
        <v>7.8367500000000003</v>
      </c>
      <c r="K166" s="384" t="s">
        <v>255</v>
      </c>
    </row>
    <row r="167" spans="1:11" ht="14.4" customHeight="1" thickBot="1" x14ac:dyDescent="0.35">
      <c r="A167" s="397" t="s">
        <v>413</v>
      </c>
      <c r="B167" s="375">
        <v>65</v>
      </c>
      <c r="C167" s="375">
        <v>46.53</v>
      </c>
      <c r="D167" s="376">
        <v>-18.47</v>
      </c>
      <c r="E167" s="377">
        <v>0.71584615384600003</v>
      </c>
      <c r="F167" s="375">
        <v>0</v>
      </c>
      <c r="G167" s="376">
        <v>0</v>
      </c>
      <c r="H167" s="378">
        <v>3.9180000000000001</v>
      </c>
      <c r="I167" s="375">
        <v>7.8367500000000003</v>
      </c>
      <c r="J167" s="376">
        <v>7.8367500000000003</v>
      </c>
      <c r="K167" s="386" t="s">
        <v>255</v>
      </c>
    </row>
    <row r="168" spans="1:11" ht="14.4" customHeight="1" thickBot="1" x14ac:dyDescent="0.35">
      <c r="A168" s="396" t="s">
        <v>414</v>
      </c>
      <c r="B168" s="380">
        <v>58.008222285228001</v>
      </c>
      <c r="C168" s="380">
        <v>63.968679999999999</v>
      </c>
      <c r="D168" s="381">
        <v>5.9604577147709996</v>
      </c>
      <c r="E168" s="387">
        <v>1.102751945844</v>
      </c>
      <c r="F168" s="380">
        <v>0</v>
      </c>
      <c r="G168" s="381">
        <v>0</v>
      </c>
      <c r="H168" s="383">
        <v>8.3211200000000005</v>
      </c>
      <c r="I168" s="380">
        <v>12.26544</v>
      </c>
      <c r="J168" s="381">
        <v>12.26544</v>
      </c>
      <c r="K168" s="384" t="s">
        <v>255</v>
      </c>
    </row>
    <row r="169" spans="1:11" ht="14.4" customHeight="1" thickBot="1" x14ac:dyDescent="0.35">
      <c r="A169" s="397" t="s">
        <v>415</v>
      </c>
      <c r="B169" s="375">
        <v>58.008222285228001</v>
      </c>
      <c r="C169" s="375">
        <v>63.968679999999999</v>
      </c>
      <c r="D169" s="376">
        <v>5.9604577147709996</v>
      </c>
      <c r="E169" s="377">
        <v>1.102751945844</v>
      </c>
      <c r="F169" s="375">
        <v>0</v>
      </c>
      <c r="G169" s="376">
        <v>0</v>
      </c>
      <c r="H169" s="378">
        <v>8.3211200000000005</v>
      </c>
      <c r="I169" s="375">
        <v>12.26544</v>
      </c>
      <c r="J169" s="376">
        <v>12.26544</v>
      </c>
      <c r="K169" s="386" t="s">
        <v>255</v>
      </c>
    </row>
    <row r="170" spans="1:11" ht="14.4" customHeight="1" thickBot="1" x14ac:dyDescent="0.35">
      <c r="A170" s="396" t="s">
        <v>416</v>
      </c>
      <c r="B170" s="380">
        <v>344</v>
      </c>
      <c r="C170" s="380">
        <v>184.03585000000001</v>
      </c>
      <c r="D170" s="381">
        <v>-159.96414999999999</v>
      </c>
      <c r="E170" s="387">
        <v>0.53498793604600003</v>
      </c>
      <c r="F170" s="380">
        <v>0</v>
      </c>
      <c r="G170" s="381">
        <v>0</v>
      </c>
      <c r="H170" s="383">
        <v>14.838760000000001</v>
      </c>
      <c r="I170" s="380">
        <v>27.557670000000002</v>
      </c>
      <c r="J170" s="381">
        <v>27.557670000000002</v>
      </c>
      <c r="K170" s="384" t="s">
        <v>255</v>
      </c>
    </row>
    <row r="171" spans="1:11" ht="14.4" customHeight="1" thickBot="1" x14ac:dyDescent="0.35">
      <c r="A171" s="397" t="s">
        <v>417</v>
      </c>
      <c r="B171" s="375">
        <v>344</v>
      </c>
      <c r="C171" s="375">
        <v>184.03585000000001</v>
      </c>
      <c r="D171" s="376">
        <v>-159.96414999999999</v>
      </c>
      <c r="E171" s="377">
        <v>0.53498793604600003</v>
      </c>
      <c r="F171" s="375">
        <v>0</v>
      </c>
      <c r="G171" s="376">
        <v>0</v>
      </c>
      <c r="H171" s="378">
        <v>14.838760000000001</v>
      </c>
      <c r="I171" s="375">
        <v>27.557670000000002</v>
      </c>
      <c r="J171" s="376">
        <v>27.557670000000002</v>
      </c>
      <c r="K171" s="386" t="s">
        <v>255</v>
      </c>
    </row>
    <row r="172" spans="1:11" ht="14.4" customHeight="1" thickBot="1" x14ac:dyDescent="0.35">
      <c r="A172" s="396" t="s">
        <v>418</v>
      </c>
      <c r="B172" s="380">
        <v>0</v>
      </c>
      <c r="C172" s="380">
        <v>5.8920000000000003</v>
      </c>
      <c r="D172" s="381">
        <v>5.8920000000000003</v>
      </c>
      <c r="E172" s="382" t="s">
        <v>266</v>
      </c>
      <c r="F172" s="380">
        <v>0</v>
      </c>
      <c r="G172" s="381">
        <v>0</v>
      </c>
      <c r="H172" s="383">
        <v>0.69399999999999995</v>
      </c>
      <c r="I172" s="380">
        <v>1.1140000000000001</v>
      </c>
      <c r="J172" s="381">
        <v>1.1140000000000001</v>
      </c>
      <c r="K172" s="384" t="s">
        <v>255</v>
      </c>
    </row>
    <row r="173" spans="1:11" ht="14.4" customHeight="1" thickBot="1" x14ac:dyDescent="0.35">
      <c r="A173" s="397" t="s">
        <v>419</v>
      </c>
      <c r="B173" s="375">
        <v>0</v>
      </c>
      <c r="C173" s="375">
        <v>5.8920000000000003</v>
      </c>
      <c r="D173" s="376">
        <v>5.8920000000000003</v>
      </c>
      <c r="E173" s="385" t="s">
        <v>266</v>
      </c>
      <c r="F173" s="375">
        <v>0</v>
      </c>
      <c r="G173" s="376">
        <v>0</v>
      </c>
      <c r="H173" s="378">
        <v>0.69399999999999995</v>
      </c>
      <c r="I173" s="375">
        <v>1.1140000000000001</v>
      </c>
      <c r="J173" s="376">
        <v>1.1140000000000001</v>
      </c>
      <c r="K173" s="386" t="s">
        <v>255</v>
      </c>
    </row>
    <row r="174" spans="1:11" ht="14.4" customHeight="1" thickBot="1" x14ac:dyDescent="0.35">
      <c r="A174" s="396" t="s">
        <v>420</v>
      </c>
      <c r="B174" s="380">
        <v>919</v>
      </c>
      <c r="C174" s="380">
        <v>805.38708999999994</v>
      </c>
      <c r="D174" s="381">
        <v>-113.61291</v>
      </c>
      <c r="E174" s="387">
        <v>0.87637332970600001</v>
      </c>
      <c r="F174" s="380">
        <v>0</v>
      </c>
      <c r="G174" s="381">
        <v>0</v>
      </c>
      <c r="H174" s="383">
        <v>12.309760000000001</v>
      </c>
      <c r="I174" s="380">
        <v>31.083860000000001</v>
      </c>
      <c r="J174" s="381">
        <v>31.083860000000001</v>
      </c>
      <c r="K174" s="384" t="s">
        <v>255</v>
      </c>
    </row>
    <row r="175" spans="1:11" ht="14.4" customHeight="1" thickBot="1" x14ac:dyDescent="0.35">
      <c r="A175" s="397" t="s">
        <v>421</v>
      </c>
      <c r="B175" s="375">
        <v>919</v>
      </c>
      <c r="C175" s="375">
        <v>805.38708999999994</v>
      </c>
      <c r="D175" s="376">
        <v>-113.61291</v>
      </c>
      <c r="E175" s="377">
        <v>0.87637332970600001</v>
      </c>
      <c r="F175" s="375">
        <v>0</v>
      </c>
      <c r="G175" s="376">
        <v>0</v>
      </c>
      <c r="H175" s="378">
        <v>12.309760000000001</v>
      </c>
      <c r="I175" s="375">
        <v>31.083860000000001</v>
      </c>
      <c r="J175" s="376">
        <v>31.083860000000001</v>
      </c>
      <c r="K175" s="386" t="s">
        <v>255</v>
      </c>
    </row>
    <row r="176" spans="1:11" ht="14.4" customHeight="1" thickBot="1" x14ac:dyDescent="0.35">
      <c r="A176" s="396" t="s">
        <v>422</v>
      </c>
      <c r="B176" s="380">
        <v>3134</v>
      </c>
      <c r="C176" s="380">
        <v>3120.0475200000001</v>
      </c>
      <c r="D176" s="381">
        <v>-13.952479999998999</v>
      </c>
      <c r="E176" s="387">
        <v>0.995548028079</v>
      </c>
      <c r="F176" s="380">
        <v>0</v>
      </c>
      <c r="G176" s="381">
        <v>0</v>
      </c>
      <c r="H176" s="383">
        <v>257.77542</v>
      </c>
      <c r="I176" s="380">
        <v>470.9008</v>
      </c>
      <c r="J176" s="381">
        <v>470.9008</v>
      </c>
      <c r="K176" s="384" t="s">
        <v>255</v>
      </c>
    </row>
    <row r="177" spans="1:11" ht="14.4" customHeight="1" thickBot="1" x14ac:dyDescent="0.35">
      <c r="A177" s="397" t="s">
        <v>423</v>
      </c>
      <c r="B177" s="375">
        <v>3134</v>
      </c>
      <c r="C177" s="375">
        <v>3120.0475200000001</v>
      </c>
      <c r="D177" s="376">
        <v>-13.952479999998999</v>
      </c>
      <c r="E177" s="377">
        <v>0.995548028079</v>
      </c>
      <c r="F177" s="375">
        <v>0</v>
      </c>
      <c r="G177" s="376">
        <v>0</v>
      </c>
      <c r="H177" s="378">
        <v>257.77542</v>
      </c>
      <c r="I177" s="375">
        <v>470.9008</v>
      </c>
      <c r="J177" s="376">
        <v>470.9008</v>
      </c>
      <c r="K177" s="386" t="s">
        <v>255</v>
      </c>
    </row>
    <row r="178" spans="1:11" ht="14.4" customHeight="1" thickBot="1" x14ac:dyDescent="0.35">
      <c r="A178" s="401"/>
      <c r="B178" s="375">
        <v>-9979.1862178645497</v>
      </c>
      <c r="C178" s="375">
        <v>-9981.6650600000194</v>
      </c>
      <c r="D178" s="376">
        <v>-2.478842135471</v>
      </c>
      <c r="E178" s="377">
        <v>1.0002484012299999</v>
      </c>
      <c r="F178" s="375">
        <v>-10112.611627750401</v>
      </c>
      <c r="G178" s="376">
        <v>-1685.43527129173</v>
      </c>
      <c r="H178" s="378">
        <v>-498.75334000000697</v>
      </c>
      <c r="I178" s="375">
        <v>-1667.7467300000101</v>
      </c>
      <c r="J178" s="376">
        <v>17.688541291722</v>
      </c>
      <c r="K178" s="379">
        <v>0.16491751007399999</v>
      </c>
    </row>
    <row r="179" spans="1:11" ht="14.4" customHeight="1" thickBot="1" x14ac:dyDescent="0.35">
      <c r="A179" s="402" t="s">
        <v>53</v>
      </c>
      <c r="B179" s="389">
        <v>-9979.1862178645497</v>
      </c>
      <c r="C179" s="389">
        <v>-9981.6650600000194</v>
      </c>
      <c r="D179" s="390">
        <v>-2.4788421354720001</v>
      </c>
      <c r="E179" s="391">
        <v>-0.94773904119800001</v>
      </c>
      <c r="F179" s="389">
        <v>-10112.611627750401</v>
      </c>
      <c r="G179" s="390">
        <v>-1685.43527129173</v>
      </c>
      <c r="H179" s="389">
        <v>-498.75334000000697</v>
      </c>
      <c r="I179" s="389">
        <v>-1667.7467300000101</v>
      </c>
      <c r="J179" s="390">
        <v>17.688541291722</v>
      </c>
      <c r="K179" s="392">
        <v>0.16491751007399999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20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92" customWidth="1"/>
    <col min="2" max="2" width="61.109375" style="192" customWidth="1"/>
    <col min="3" max="3" width="9.5546875" style="115" customWidth="1"/>
    <col min="4" max="4" width="9.5546875" style="193" customWidth="1"/>
    <col min="5" max="5" width="2.21875" style="193" customWidth="1"/>
    <col min="6" max="6" width="9.5546875" style="194" customWidth="1"/>
    <col min="7" max="7" width="9.5546875" style="191" customWidth="1"/>
    <col min="8" max="9" width="9.5546875" style="115" customWidth="1"/>
    <col min="10" max="10" width="0" style="115" hidden="1" customWidth="1"/>
    <col min="11" max="16384" width="8.88671875" style="115"/>
  </cols>
  <sheetData>
    <row r="1" spans="1:10" ht="18.600000000000001" customHeight="1" thickBot="1" x14ac:dyDescent="0.4">
      <c r="A1" s="331" t="s">
        <v>119</v>
      </c>
      <c r="B1" s="332"/>
      <c r="C1" s="332"/>
      <c r="D1" s="332"/>
      <c r="E1" s="332"/>
      <c r="F1" s="332"/>
      <c r="G1" s="303"/>
      <c r="H1" s="333"/>
      <c r="I1" s="333"/>
    </row>
    <row r="2" spans="1:10" ht="14.4" customHeight="1" thickBot="1" x14ac:dyDescent="0.35">
      <c r="A2" s="212" t="s">
        <v>254</v>
      </c>
      <c r="B2" s="190"/>
      <c r="C2" s="190"/>
      <c r="D2" s="190"/>
      <c r="E2" s="190"/>
      <c r="F2" s="190"/>
    </row>
    <row r="3" spans="1:10" ht="14.4" customHeight="1" thickBot="1" x14ac:dyDescent="0.35">
      <c r="A3" s="212"/>
      <c r="B3" s="190"/>
      <c r="C3" s="270">
        <v>2013</v>
      </c>
      <c r="D3" s="271">
        <v>2014</v>
      </c>
      <c r="E3" s="7"/>
      <c r="F3" s="326">
        <v>2015</v>
      </c>
      <c r="G3" s="327"/>
      <c r="H3" s="327"/>
      <c r="I3" s="328"/>
    </row>
    <row r="4" spans="1:10" ht="14.4" customHeight="1" thickBot="1" x14ac:dyDescent="0.35">
      <c r="A4" s="275" t="s">
        <v>0</v>
      </c>
      <c r="B4" s="276" t="s">
        <v>218</v>
      </c>
      <c r="C4" s="329" t="s">
        <v>60</v>
      </c>
      <c r="D4" s="330"/>
      <c r="E4" s="277"/>
      <c r="F4" s="272" t="s">
        <v>60</v>
      </c>
      <c r="G4" s="273" t="s">
        <v>61</v>
      </c>
      <c r="H4" s="273" t="s">
        <v>55</v>
      </c>
      <c r="I4" s="274" t="s">
        <v>62</v>
      </c>
    </row>
    <row r="5" spans="1:10" ht="14.4" customHeight="1" x14ac:dyDescent="0.3">
      <c r="A5" s="403" t="s">
        <v>424</v>
      </c>
      <c r="B5" s="404" t="s">
        <v>425</v>
      </c>
      <c r="C5" s="405" t="s">
        <v>426</v>
      </c>
      <c r="D5" s="405" t="s">
        <v>426</v>
      </c>
      <c r="E5" s="405"/>
      <c r="F5" s="405" t="s">
        <v>426</v>
      </c>
      <c r="G5" s="405" t="s">
        <v>426</v>
      </c>
      <c r="H5" s="405" t="s">
        <v>426</v>
      </c>
      <c r="I5" s="406" t="s">
        <v>426</v>
      </c>
      <c r="J5" s="407" t="s">
        <v>56</v>
      </c>
    </row>
    <row r="6" spans="1:10" ht="14.4" customHeight="1" x14ac:dyDescent="0.3">
      <c r="A6" s="403" t="s">
        <v>424</v>
      </c>
      <c r="B6" s="404" t="s">
        <v>263</v>
      </c>
      <c r="C6" s="405">
        <v>37.061669999999999</v>
      </c>
      <c r="D6" s="405">
        <v>17.38729</v>
      </c>
      <c r="E6" s="405"/>
      <c r="F6" s="405">
        <v>44.866129999999998</v>
      </c>
      <c r="G6" s="405">
        <v>42.666665322770001</v>
      </c>
      <c r="H6" s="405">
        <v>2.1994646772299973</v>
      </c>
      <c r="I6" s="406">
        <v>1.0515499549962768</v>
      </c>
      <c r="J6" s="407" t="s">
        <v>1</v>
      </c>
    </row>
    <row r="7" spans="1:10" ht="14.4" customHeight="1" x14ac:dyDescent="0.3">
      <c r="A7" s="403" t="s">
        <v>424</v>
      </c>
      <c r="B7" s="404" t="s">
        <v>264</v>
      </c>
      <c r="C7" s="405">
        <v>0.54479</v>
      </c>
      <c r="D7" s="405">
        <v>0.16994999999999999</v>
      </c>
      <c r="E7" s="405"/>
      <c r="F7" s="405">
        <v>0.52488999999999997</v>
      </c>
      <c r="G7" s="405">
        <v>0.21389113872866669</v>
      </c>
      <c r="H7" s="405">
        <v>0.31099886127133325</v>
      </c>
      <c r="I7" s="406">
        <v>2.4540053558079062</v>
      </c>
      <c r="J7" s="407" t="s">
        <v>1</v>
      </c>
    </row>
    <row r="8" spans="1:10" ht="14.4" customHeight="1" x14ac:dyDescent="0.3">
      <c r="A8" s="403" t="s">
        <v>424</v>
      </c>
      <c r="B8" s="404" t="s">
        <v>265</v>
      </c>
      <c r="C8" s="405" t="s">
        <v>426</v>
      </c>
      <c r="D8" s="405" t="s">
        <v>426</v>
      </c>
      <c r="E8" s="405"/>
      <c r="F8" s="405">
        <v>0.10105</v>
      </c>
      <c r="G8" s="405">
        <v>0</v>
      </c>
      <c r="H8" s="405">
        <v>0.10105</v>
      </c>
      <c r="I8" s="406" t="s">
        <v>426</v>
      </c>
      <c r="J8" s="407" t="s">
        <v>1</v>
      </c>
    </row>
    <row r="9" spans="1:10" ht="14.4" customHeight="1" x14ac:dyDescent="0.3">
      <c r="A9" s="403" t="s">
        <v>424</v>
      </c>
      <c r="B9" s="404" t="s">
        <v>267</v>
      </c>
      <c r="C9" s="405">
        <v>0</v>
      </c>
      <c r="D9" s="405">
        <v>7.3025000000000002</v>
      </c>
      <c r="E9" s="405"/>
      <c r="F9" s="405">
        <v>8.2071000000000005</v>
      </c>
      <c r="G9" s="405">
        <v>8.0154032816890002</v>
      </c>
      <c r="H9" s="405">
        <v>0.19169671831100032</v>
      </c>
      <c r="I9" s="406">
        <v>1.0239160415981723</v>
      </c>
      <c r="J9" s="407" t="s">
        <v>1</v>
      </c>
    </row>
    <row r="10" spans="1:10" ht="14.4" customHeight="1" x14ac:dyDescent="0.3">
      <c r="A10" s="403" t="s">
        <v>424</v>
      </c>
      <c r="B10" s="404" t="s">
        <v>427</v>
      </c>
      <c r="C10" s="405">
        <v>37.606459999999998</v>
      </c>
      <c r="D10" s="405">
        <v>24.859740000000002</v>
      </c>
      <c r="E10" s="405"/>
      <c r="F10" s="405">
        <v>53.699169999999995</v>
      </c>
      <c r="G10" s="405">
        <v>50.895959743187674</v>
      </c>
      <c r="H10" s="405">
        <v>2.8032102568123207</v>
      </c>
      <c r="I10" s="406">
        <v>1.0550772648940474</v>
      </c>
      <c r="J10" s="407" t="s">
        <v>428</v>
      </c>
    </row>
    <row r="12" spans="1:10" ht="14.4" customHeight="1" x14ac:dyDescent="0.3">
      <c r="A12" s="403" t="s">
        <v>424</v>
      </c>
      <c r="B12" s="404" t="s">
        <v>425</v>
      </c>
      <c r="C12" s="405" t="s">
        <v>426</v>
      </c>
      <c r="D12" s="405" t="s">
        <v>426</v>
      </c>
      <c r="E12" s="405"/>
      <c r="F12" s="405" t="s">
        <v>426</v>
      </c>
      <c r="G12" s="405" t="s">
        <v>426</v>
      </c>
      <c r="H12" s="405" t="s">
        <v>426</v>
      </c>
      <c r="I12" s="406" t="s">
        <v>426</v>
      </c>
      <c r="J12" s="407" t="s">
        <v>56</v>
      </c>
    </row>
    <row r="13" spans="1:10" ht="14.4" customHeight="1" x14ac:dyDescent="0.3">
      <c r="A13" s="403" t="s">
        <v>429</v>
      </c>
      <c r="B13" s="404" t="s">
        <v>430</v>
      </c>
      <c r="C13" s="405" t="s">
        <v>426</v>
      </c>
      <c r="D13" s="405" t="s">
        <v>426</v>
      </c>
      <c r="E13" s="405"/>
      <c r="F13" s="405" t="s">
        <v>426</v>
      </c>
      <c r="G13" s="405" t="s">
        <v>426</v>
      </c>
      <c r="H13" s="405" t="s">
        <v>426</v>
      </c>
      <c r="I13" s="406" t="s">
        <v>426</v>
      </c>
      <c r="J13" s="407" t="s">
        <v>0</v>
      </c>
    </row>
    <row r="14" spans="1:10" ht="14.4" customHeight="1" x14ac:dyDescent="0.3">
      <c r="A14" s="403" t="s">
        <v>429</v>
      </c>
      <c r="B14" s="404" t="s">
        <v>263</v>
      </c>
      <c r="C14" s="405">
        <v>37.061669999999999</v>
      </c>
      <c r="D14" s="405">
        <v>17.38729</v>
      </c>
      <c r="E14" s="405"/>
      <c r="F14" s="405">
        <v>44.866129999999998</v>
      </c>
      <c r="G14" s="405">
        <v>42.666665322770001</v>
      </c>
      <c r="H14" s="405">
        <v>2.1994646772299973</v>
      </c>
      <c r="I14" s="406">
        <v>1.0515499549962768</v>
      </c>
      <c r="J14" s="407" t="s">
        <v>1</v>
      </c>
    </row>
    <row r="15" spans="1:10" ht="14.4" customHeight="1" x14ac:dyDescent="0.3">
      <c r="A15" s="403" t="s">
        <v>429</v>
      </c>
      <c r="B15" s="404" t="s">
        <v>264</v>
      </c>
      <c r="C15" s="405">
        <v>0.54479</v>
      </c>
      <c r="D15" s="405">
        <v>0.16994999999999999</v>
      </c>
      <c r="E15" s="405"/>
      <c r="F15" s="405">
        <v>0.52488999999999997</v>
      </c>
      <c r="G15" s="405">
        <v>0.21389113872866669</v>
      </c>
      <c r="H15" s="405">
        <v>0.31099886127133325</v>
      </c>
      <c r="I15" s="406">
        <v>2.4540053558079062</v>
      </c>
      <c r="J15" s="407" t="s">
        <v>1</v>
      </c>
    </row>
    <row r="16" spans="1:10" ht="14.4" customHeight="1" x14ac:dyDescent="0.3">
      <c r="A16" s="403" t="s">
        <v>429</v>
      </c>
      <c r="B16" s="404" t="s">
        <v>265</v>
      </c>
      <c r="C16" s="405" t="s">
        <v>426</v>
      </c>
      <c r="D16" s="405" t="s">
        <v>426</v>
      </c>
      <c r="E16" s="405"/>
      <c r="F16" s="405">
        <v>0.10105</v>
      </c>
      <c r="G16" s="405">
        <v>0</v>
      </c>
      <c r="H16" s="405">
        <v>0.10105</v>
      </c>
      <c r="I16" s="406" t="s">
        <v>426</v>
      </c>
      <c r="J16" s="407" t="s">
        <v>1</v>
      </c>
    </row>
    <row r="17" spans="1:10" ht="14.4" customHeight="1" x14ac:dyDescent="0.3">
      <c r="A17" s="403" t="s">
        <v>429</v>
      </c>
      <c r="B17" s="404" t="s">
        <v>267</v>
      </c>
      <c r="C17" s="405">
        <v>0</v>
      </c>
      <c r="D17" s="405">
        <v>7.3025000000000002</v>
      </c>
      <c r="E17" s="405"/>
      <c r="F17" s="405">
        <v>8.2071000000000005</v>
      </c>
      <c r="G17" s="405">
        <v>8.0154032816890002</v>
      </c>
      <c r="H17" s="405">
        <v>0.19169671831100032</v>
      </c>
      <c r="I17" s="406">
        <v>1.0239160415981723</v>
      </c>
      <c r="J17" s="407" t="s">
        <v>1</v>
      </c>
    </row>
    <row r="18" spans="1:10" ht="14.4" customHeight="1" x14ac:dyDescent="0.3">
      <c r="A18" s="403" t="s">
        <v>429</v>
      </c>
      <c r="B18" s="404" t="s">
        <v>431</v>
      </c>
      <c r="C18" s="405">
        <v>37.606459999999998</v>
      </c>
      <c r="D18" s="405">
        <v>24.859740000000002</v>
      </c>
      <c r="E18" s="405"/>
      <c r="F18" s="405">
        <v>53.699169999999995</v>
      </c>
      <c r="G18" s="405">
        <v>50.895959743187674</v>
      </c>
      <c r="H18" s="405">
        <v>2.8032102568123207</v>
      </c>
      <c r="I18" s="406">
        <v>1.0550772648940474</v>
      </c>
      <c r="J18" s="407" t="s">
        <v>432</v>
      </c>
    </row>
    <row r="19" spans="1:10" ht="14.4" customHeight="1" x14ac:dyDescent="0.3">
      <c r="A19" s="403" t="s">
        <v>426</v>
      </c>
      <c r="B19" s="404" t="s">
        <v>426</v>
      </c>
      <c r="C19" s="405" t="s">
        <v>426</v>
      </c>
      <c r="D19" s="405" t="s">
        <v>426</v>
      </c>
      <c r="E19" s="405"/>
      <c r="F19" s="405" t="s">
        <v>426</v>
      </c>
      <c r="G19" s="405" t="s">
        <v>426</v>
      </c>
      <c r="H19" s="405" t="s">
        <v>426</v>
      </c>
      <c r="I19" s="406" t="s">
        <v>426</v>
      </c>
      <c r="J19" s="407" t="s">
        <v>433</v>
      </c>
    </row>
    <row r="20" spans="1:10" ht="14.4" customHeight="1" x14ac:dyDescent="0.3">
      <c r="A20" s="403" t="s">
        <v>424</v>
      </c>
      <c r="B20" s="404" t="s">
        <v>427</v>
      </c>
      <c r="C20" s="405">
        <v>37.606459999999998</v>
      </c>
      <c r="D20" s="405">
        <v>24.859740000000002</v>
      </c>
      <c r="E20" s="405"/>
      <c r="F20" s="405">
        <v>53.699169999999995</v>
      </c>
      <c r="G20" s="405">
        <v>50.895959743187674</v>
      </c>
      <c r="H20" s="405">
        <v>2.8032102568123207</v>
      </c>
      <c r="I20" s="406">
        <v>1.0550772648940474</v>
      </c>
      <c r="J20" s="407" t="s">
        <v>428</v>
      </c>
    </row>
  </sheetData>
  <mergeCells count="3">
    <mergeCell ref="F3:I3"/>
    <mergeCell ref="C4:D4"/>
    <mergeCell ref="A1:I1"/>
  </mergeCells>
  <conditionalFormatting sqref="F11 F21:F65537">
    <cfRule type="cellIs" dxfId="39" priority="18" stopIfTrue="1" operator="greaterThan">
      <formula>1</formula>
    </cfRule>
  </conditionalFormatting>
  <conditionalFormatting sqref="H5:H10">
    <cfRule type="expression" dxfId="38" priority="14">
      <formula>$H5&gt;0</formula>
    </cfRule>
  </conditionalFormatting>
  <conditionalFormatting sqref="I5:I10">
    <cfRule type="expression" dxfId="37" priority="15">
      <formula>$I5&gt;1</formula>
    </cfRule>
  </conditionalFormatting>
  <conditionalFormatting sqref="B5:B10">
    <cfRule type="expression" dxfId="36" priority="11">
      <formula>OR($J5="NS",$J5="SumaNS",$J5="Účet")</formula>
    </cfRule>
  </conditionalFormatting>
  <conditionalFormatting sqref="B5:D10 F5:I10">
    <cfRule type="expression" dxfId="35" priority="17">
      <formula>AND($J5&lt;&gt;"",$J5&lt;&gt;"mezeraKL")</formula>
    </cfRule>
  </conditionalFormatting>
  <conditionalFormatting sqref="B5:D10 F5:I10">
    <cfRule type="expression" dxfId="34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3" priority="13">
      <formula>OR($J5="SumaNS",$J5="NS")</formula>
    </cfRule>
  </conditionalFormatting>
  <conditionalFormatting sqref="A5:A10">
    <cfRule type="expression" dxfId="32" priority="9">
      <formula>AND($J5&lt;&gt;"mezeraKL",$J5&lt;&gt;"")</formula>
    </cfRule>
  </conditionalFormatting>
  <conditionalFormatting sqref="A5:A10">
    <cfRule type="expression" dxfId="31" priority="10">
      <formula>AND($J5&lt;&gt;"",$J5&lt;&gt;"mezeraKL")</formula>
    </cfRule>
  </conditionalFormatting>
  <conditionalFormatting sqref="H12:H20">
    <cfRule type="expression" dxfId="30" priority="5">
      <formula>$H12&gt;0</formula>
    </cfRule>
  </conditionalFormatting>
  <conditionalFormatting sqref="A12:A20">
    <cfRule type="expression" dxfId="29" priority="2">
      <formula>AND($J12&lt;&gt;"mezeraKL",$J12&lt;&gt;"")</formula>
    </cfRule>
  </conditionalFormatting>
  <conditionalFormatting sqref="I12:I20">
    <cfRule type="expression" dxfId="28" priority="6">
      <formula>$I12&gt;1</formula>
    </cfRule>
  </conditionalFormatting>
  <conditionalFormatting sqref="B12:B20">
    <cfRule type="expression" dxfId="27" priority="1">
      <formula>OR($J12="NS",$J12="SumaNS",$J12="Účet")</formula>
    </cfRule>
  </conditionalFormatting>
  <conditionalFormatting sqref="A12:D20 F12:I20">
    <cfRule type="expression" dxfId="26" priority="8">
      <formula>AND($J12&lt;&gt;"",$J12&lt;&gt;"mezeraKL")</formula>
    </cfRule>
  </conditionalFormatting>
  <conditionalFormatting sqref="B12:D20 F12:I20">
    <cfRule type="expression" dxfId="25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0 F12:I20">
    <cfRule type="expression" dxfId="24" priority="4">
      <formula>OR($J12="SumaNS",$J12="NS")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3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15" hidden="1" customWidth="1" outlineLevel="1"/>
    <col min="2" max="2" width="28.33203125" style="115" hidden="1" customWidth="1" outlineLevel="1"/>
    <col min="3" max="3" width="5.33203125" style="193" bestFit="1" customWidth="1" collapsed="1"/>
    <col min="4" max="4" width="18.77734375" style="197" customWidth="1"/>
    <col min="5" max="5" width="9" style="193" bestFit="1" customWidth="1"/>
    <col min="6" max="6" width="18.77734375" style="197" customWidth="1"/>
    <col min="7" max="7" width="5" style="193" customWidth="1"/>
    <col min="8" max="8" width="12.44140625" style="193" hidden="1" customWidth="1" outlineLevel="1"/>
    <col min="9" max="9" width="8.5546875" style="193" hidden="1" customWidth="1" outlineLevel="1"/>
    <col min="10" max="10" width="25.77734375" style="193" customWidth="1" collapsed="1"/>
    <col min="11" max="11" width="8.77734375" style="193" customWidth="1"/>
    <col min="12" max="13" width="7.77734375" style="191" customWidth="1"/>
    <col min="14" max="14" width="11.109375" style="191" customWidth="1"/>
    <col min="15" max="16384" width="8.88671875" style="115"/>
  </cols>
  <sheetData>
    <row r="1" spans="1:14" ht="18.600000000000001" customHeight="1" thickBot="1" x14ac:dyDescent="0.4">
      <c r="A1" s="338" t="s">
        <v>139</v>
      </c>
      <c r="B1" s="303"/>
      <c r="C1" s="303"/>
      <c r="D1" s="303"/>
      <c r="E1" s="303"/>
      <c r="F1" s="303"/>
      <c r="G1" s="303"/>
      <c r="H1" s="303"/>
      <c r="I1" s="303"/>
      <c r="J1" s="303"/>
      <c r="K1" s="303"/>
      <c r="L1" s="303"/>
      <c r="M1" s="303"/>
      <c r="N1" s="303"/>
    </row>
    <row r="2" spans="1:14" ht="14.4" customHeight="1" thickBot="1" x14ac:dyDescent="0.35">
      <c r="A2" s="212" t="s">
        <v>254</v>
      </c>
      <c r="B2" s="62"/>
      <c r="C2" s="195"/>
      <c r="D2" s="195"/>
      <c r="E2" s="195"/>
      <c r="F2" s="195"/>
      <c r="G2" s="195"/>
      <c r="H2" s="195"/>
      <c r="I2" s="195"/>
      <c r="J2" s="195"/>
      <c r="K2" s="195"/>
      <c r="L2" s="196"/>
      <c r="M2" s="196"/>
      <c r="N2" s="196"/>
    </row>
    <row r="3" spans="1:14" ht="14.4" customHeight="1" thickBot="1" x14ac:dyDescent="0.35">
      <c r="A3" s="62"/>
      <c r="B3" s="62"/>
      <c r="C3" s="334"/>
      <c r="D3" s="335"/>
      <c r="E3" s="335"/>
      <c r="F3" s="335"/>
      <c r="G3" s="335"/>
      <c r="H3" s="335"/>
      <c r="I3" s="335"/>
      <c r="J3" s="336" t="s">
        <v>109</v>
      </c>
      <c r="K3" s="337"/>
      <c r="L3" s="84">
        <f>IF(M3&lt;&gt;0,N3/M3,0)</f>
        <v>116.05116124882952</v>
      </c>
      <c r="M3" s="84">
        <f>SUBTOTAL(9,M5:M1048576)</f>
        <v>392</v>
      </c>
      <c r="N3" s="85">
        <f>SUBTOTAL(9,N5:N1048576)</f>
        <v>45492.055209541169</v>
      </c>
    </row>
    <row r="4" spans="1:14" s="192" customFormat="1" ht="14.4" customHeight="1" thickBot="1" x14ac:dyDescent="0.35">
      <c r="A4" s="408" t="s">
        <v>4</v>
      </c>
      <c r="B4" s="409" t="s">
        <v>5</v>
      </c>
      <c r="C4" s="409" t="s">
        <v>0</v>
      </c>
      <c r="D4" s="409" t="s">
        <v>6</v>
      </c>
      <c r="E4" s="409" t="s">
        <v>7</v>
      </c>
      <c r="F4" s="409" t="s">
        <v>1</v>
      </c>
      <c r="G4" s="409" t="s">
        <v>8</v>
      </c>
      <c r="H4" s="409" t="s">
        <v>9</v>
      </c>
      <c r="I4" s="409" t="s">
        <v>10</v>
      </c>
      <c r="J4" s="410" t="s">
        <v>11</v>
      </c>
      <c r="K4" s="410" t="s">
        <v>12</v>
      </c>
      <c r="L4" s="411" t="s">
        <v>123</v>
      </c>
      <c r="M4" s="411" t="s">
        <v>13</v>
      </c>
      <c r="N4" s="412" t="s">
        <v>134</v>
      </c>
    </row>
    <row r="5" spans="1:14" ht="14.4" customHeight="1" x14ac:dyDescent="0.3">
      <c r="A5" s="415" t="s">
        <v>424</v>
      </c>
      <c r="B5" s="416" t="s">
        <v>425</v>
      </c>
      <c r="C5" s="417" t="s">
        <v>429</v>
      </c>
      <c r="D5" s="418" t="s">
        <v>571</v>
      </c>
      <c r="E5" s="417" t="s">
        <v>434</v>
      </c>
      <c r="F5" s="418" t="s">
        <v>572</v>
      </c>
      <c r="G5" s="417" t="s">
        <v>435</v>
      </c>
      <c r="H5" s="417" t="s">
        <v>436</v>
      </c>
      <c r="I5" s="417" t="s">
        <v>437</v>
      </c>
      <c r="J5" s="417" t="s">
        <v>438</v>
      </c>
      <c r="K5" s="417" t="s">
        <v>439</v>
      </c>
      <c r="L5" s="419">
        <v>87.030000000000015</v>
      </c>
      <c r="M5" s="419">
        <v>2</v>
      </c>
      <c r="N5" s="420">
        <v>174.06000000000003</v>
      </c>
    </row>
    <row r="6" spans="1:14" ht="14.4" customHeight="1" x14ac:dyDescent="0.3">
      <c r="A6" s="421" t="s">
        <v>424</v>
      </c>
      <c r="B6" s="422" t="s">
        <v>425</v>
      </c>
      <c r="C6" s="423" t="s">
        <v>429</v>
      </c>
      <c r="D6" s="424" t="s">
        <v>571</v>
      </c>
      <c r="E6" s="423" t="s">
        <v>434</v>
      </c>
      <c r="F6" s="424" t="s">
        <v>572</v>
      </c>
      <c r="G6" s="423" t="s">
        <v>435</v>
      </c>
      <c r="H6" s="423" t="s">
        <v>440</v>
      </c>
      <c r="I6" s="423" t="s">
        <v>441</v>
      </c>
      <c r="J6" s="423" t="s">
        <v>442</v>
      </c>
      <c r="K6" s="423" t="s">
        <v>443</v>
      </c>
      <c r="L6" s="425">
        <v>98.69</v>
      </c>
      <c r="M6" s="425">
        <v>1</v>
      </c>
      <c r="N6" s="426">
        <v>98.69</v>
      </c>
    </row>
    <row r="7" spans="1:14" ht="14.4" customHeight="1" x14ac:dyDescent="0.3">
      <c r="A7" s="421" t="s">
        <v>424</v>
      </c>
      <c r="B7" s="422" t="s">
        <v>425</v>
      </c>
      <c r="C7" s="423" t="s">
        <v>429</v>
      </c>
      <c r="D7" s="424" t="s">
        <v>571</v>
      </c>
      <c r="E7" s="423" t="s">
        <v>434</v>
      </c>
      <c r="F7" s="424" t="s">
        <v>572</v>
      </c>
      <c r="G7" s="423" t="s">
        <v>435</v>
      </c>
      <c r="H7" s="423" t="s">
        <v>444</v>
      </c>
      <c r="I7" s="423" t="s">
        <v>445</v>
      </c>
      <c r="J7" s="423" t="s">
        <v>446</v>
      </c>
      <c r="K7" s="423" t="s">
        <v>447</v>
      </c>
      <c r="L7" s="425">
        <v>157.40990776495366</v>
      </c>
      <c r="M7" s="425">
        <v>4</v>
      </c>
      <c r="N7" s="426">
        <v>629.63963105981463</v>
      </c>
    </row>
    <row r="8" spans="1:14" ht="14.4" customHeight="1" x14ac:dyDescent="0.3">
      <c r="A8" s="421" t="s">
        <v>424</v>
      </c>
      <c r="B8" s="422" t="s">
        <v>425</v>
      </c>
      <c r="C8" s="423" t="s">
        <v>429</v>
      </c>
      <c r="D8" s="424" t="s">
        <v>571</v>
      </c>
      <c r="E8" s="423" t="s">
        <v>434</v>
      </c>
      <c r="F8" s="424" t="s">
        <v>572</v>
      </c>
      <c r="G8" s="423" t="s">
        <v>435</v>
      </c>
      <c r="H8" s="423" t="s">
        <v>448</v>
      </c>
      <c r="I8" s="423" t="s">
        <v>142</v>
      </c>
      <c r="J8" s="423" t="s">
        <v>449</v>
      </c>
      <c r="K8" s="423"/>
      <c r="L8" s="425">
        <v>30.98</v>
      </c>
      <c r="M8" s="425">
        <v>1</v>
      </c>
      <c r="N8" s="426">
        <v>30.98</v>
      </c>
    </row>
    <row r="9" spans="1:14" ht="14.4" customHeight="1" x14ac:dyDescent="0.3">
      <c r="A9" s="421" t="s">
        <v>424</v>
      </c>
      <c r="B9" s="422" t="s">
        <v>425</v>
      </c>
      <c r="C9" s="423" t="s">
        <v>429</v>
      </c>
      <c r="D9" s="424" t="s">
        <v>571</v>
      </c>
      <c r="E9" s="423" t="s">
        <v>434</v>
      </c>
      <c r="F9" s="424" t="s">
        <v>572</v>
      </c>
      <c r="G9" s="423" t="s">
        <v>435</v>
      </c>
      <c r="H9" s="423" t="s">
        <v>450</v>
      </c>
      <c r="I9" s="423" t="s">
        <v>142</v>
      </c>
      <c r="J9" s="423" t="s">
        <v>451</v>
      </c>
      <c r="K9" s="423"/>
      <c r="L9" s="425">
        <v>31.902122879366264</v>
      </c>
      <c r="M9" s="425">
        <v>9</v>
      </c>
      <c r="N9" s="426">
        <v>287.11910591429637</v>
      </c>
    </row>
    <row r="10" spans="1:14" ht="14.4" customHeight="1" x14ac:dyDescent="0.3">
      <c r="A10" s="421" t="s">
        <v>424</v>
      </c>
      <c r="B10" s="422" t="s">
        <v>425</v>
      </c>
      <c r="C10" s="423" t="s">
        <v>429</v>
      </c>
      <c r="D10" s="424" t="s">
        <v>571</v>
      </c>
      <c r="E10" s="423" t="s">
        <v>434</v>
      </c>
      <c r="F10" s="424" t="s">
        <v>572</v>
      </c>
      <c r="G10" s="423" t="s">
        <v>435</v>
      </c>
      <c r="H10" s="423" t="s">
        <v>452</v>
      </c>
      <c r="I10" s="423" t="s">
        <v>142</v>
      </c>
      <c r="J10" s="423" t="s">
        <v>453</v>
      </c>
      <c r="K10" s="423" t="s">
        <v>454</v>
      </c>
      <c r="L10" s="425">
        <v>32.819999999999972</v>
      </c>
      <c r="M10" s="425">
        <v>3</v>
      </c>
      <c r="N10" s="426">
        <v>98.459999999999923</v>
      </c>
    </row>
    <row r="11" spans="1:14" ht="14.4" customHeight="1" x14ac:dyDescent="0.3">
      <c r="A11" s="421" t="s">
        <v>424</v>
      </c>
      <c r="B11" s="422" t="s">
        <v>425</v>
      </c>
      <c r="C11" s="423" t="s">
        <v>429</v>
      </c>
      <c r="D11" s="424" t="s">
        <v>571</v>
      </c>
      <c r="E11" s="423" t="s">
        <v>434</v>
      </c>
      <c r="F11" s="424" t="s">
        <v>572</v>
      </c>
      <c r="G11" s="423" t="s">
        <v>435</v>
      </c>
      <c r="H11" s="423" t="s">
        <v>455</v>
      </c>
      <c r="I11" s="423" t="s">
        <v>142</v>
      </c>
      <c r="J11" s="423" t="s">
        <v>456</v>
      </c>
      <c r="K11" s="423"/>
      <c r="L11" s="425">
        <v>35.651600000000009</v>
      </c>
      <c r="M11" s="425">
        <v>6</v>
      </c>
      <c r="N11" s="426">
        <v>213.90960000000007</v>
      </c>
    </row>
    <row r="12" spans="1:14" ht="14.4" customHeight="1" x14ac:dyDescent="0.3">
      <c r="A12" s="421" t="s">
        <v>424</v>
      </c>
      <c r="B12" s="422" t="s">
        <v>425</v>
      </c>
      <c r="C12" s="423" t="s">
        <v>429</v>
      </c>
      <c r="D12" s="424" t="s">
        <v>571</v>
      </c>
      <c r="E12" s="423" t="s">
        <v>434</v>
      </c>
      <c r="F12" s="424" t="s">
        <v>572</v>
      </c>
      <c r="G12" s="423" t="s">
        <v>435</v>
      </c>
      <c r="H12" s="423" t="s">
        <v>457</v>
      </c>
      <c r="I12" s="423" t="s">
        <v>458</v>
      </c>
      <c r="J12" s="423" t="s">
        <v>459</v>
      </c>
      <c r="K12" s="423" t="s">
        <v>460</v>
      </c>
      <c r="L12" s="425">
        <v>23.08</v>
      </c>
      <c r="M12" s="425">
        <v>6</v>
      </c>
      <c r="N12" s="426">
        <v>138.47999999999999</v>
      </c>
    </row>
    <row r="13" spans="1:14" ht="14.4" customHeight="1" x14ac:dyDescent="0.3">
      <c r="A13" s="421" t="s">
        <v>424</v>
      </c>
      <c r="B13" s="422" t="s">
        <v>425</v>
      </c>
      <c r="C13" s="423" t="s">
        <v>429</v>
      </c>
      <c r="D13" s="424" t="s">
        <v>571</v>
      </c>
      <c r="E13" s="423" t="s">
        <v>434</v>
      </c>
      <c r="F13" s="424" t="s">
        <v>572</v>
      </c>
      <c r="G13" s="423" t="s">
        <v>435</v>
      </c>
      <c r="H13" s="423" t="s">
        <v>461</v>
      </c>
      <c r="I13" s="423" t="s">
        <v>462</v>
      </c>
      <c r="J13" s="423" t="s">
        <v>463</v>
      </c>
      <c r="K13" s="423" t="s">
        <v>464</v>
      </c>
      <c r="L13" s="425">
        <v>153.9874394502277</v>
      </c>
      <c r="M13" s="425">
        <v>165</v>
      </c>
      <c r="N13" s="426">
        <v>25407.927509287569</v>
      </c>
    </row>
    <row r="14" spans="1:14" ht="14.4" customHeight="1" x14ac:dyDescent="0.3">
      <c r="A14" s="421" t="s">
        <v>424</v>
      </c>
      <c r="B14" s="422" t="s">
        <v>425</v>
      </c>
      <c r="C14" s="423" t="s">
        <v>429</v>
      </c>
      <c r="D14" s="424" t="s">
        <v>571</v>
      </c>
      <c r="E14" s="423" t="s">
        <v>434</v>
      </c>
      <c r="F14" s="424" t="s">
        <v>572</v>
      </c>
      <c r="G14" s="423" t="s">
        <v>435</v>
      </c>
      <c r="H14" s="423" t="s">
        <v>465</v>
      </c>
      <c r="I14" s="423" t="s">
        <v>142</v>
      </c>
      <c r="J14" s="423" t="s">
        <v>466</v>
      </c>
      <c r="K14" s="423"/>
      <c r="L14" s="425">
        <v>98.687875645918979</v>
      </c>
      <c r="M14" s="425">
        <v>1</v>
      </c>
      <c r="N14" s="426">
        <v>98.687875645918979</v>
      </c>
    </row>
    <row r="15" spans="1:14" ht="14.4" customHeight="1" x14ac:dyDescent="0.3">
      <c r="A15" s="421" t="s">
        <v>424</v>
      </c>
      <c r="B15" s="422" t="s">
        <v>425</v>
      </c>
      <c r="C15" s="423" t="s">
        <v>429</v>
      </c>
      <c r="D15" s="424" t="s">
        <v>571</v>
      </c>
      <c r="E15" s="423" t="s">
        <v>434</v>
      </c>
      <c r="F15" s="424" t="s">
        <v>572</v>
      </c>
      <c r="G15" s="423" t="s">
        <v>435</v>
      </c>
      <c r="H15" s="423" t="s">
        <v>467</v>
      </c>
      <c r="I15" s="423" t="s">
        <v>142</v>
      </c>
      <c r="J15" s="423" t="s">
        <v>468</v>
      </c>
      <c r="K15" s="423"/>
      <c r="L15" s="425">
        <v>29.28976323490129</v>
      </c>
      <c r="M15" s="425">
        <v>8</v>
      </c>
      <c r="N15" s="426">
        <v>234.31810587921032</v>
      </c>
    </row>
    <row r="16" spans="1:14" ht="14.4" customHeight="1" x14ac:dyDescent="0.3">
      <c r="A16" s="421" t="s">
        <v>424</v>
      </c>
      <c r="B16" s="422" t="s">
        <v>425</v>
      </c>
      <c r="C16" s="423" t="s">
        <v>429</v>
      </c>
      <c r="D16" s="424" t="s">
        <v>571</v>
      </c>
      <c r="E16" s="423" t="s">
        <v>434</v>
      </c>
      <c r="F16" s="424" t="s">
        <v>572</v>
      </c>
      <c r="G16" s="423" t="s">
        <v>435</v>
      </c>
      <c r="H16" s="423" t="s">
        <v>469</v>
      </c>
      <c r="I16" s="423" t="s">
        <v>142</v>
      </c>
      <c r="J16" s="423" t="s">
        <v>470</v>
      </c>
      <c r="K16" s="423"/>
      <c r="L16" s="425">
        <v>122.7072567839848</v>
      </c>
      <c r="M16" s="425">
        <v>14</v>
      </c>
      <c r="N16" s="426">
        <v>1717.9015949757872</v>
      </c>
    </row>
    <row r="17" spans="1:14" ht="14.4" customHeight="1" x14ac:dyDescent="0.3">
      <c r="A17" s="421" t="s">
        <v>424</v>
      </c>
      <c r="B17" s="422" t="s">
        <v>425</v>
      </c>
      <c r="C17" s="423" t="s">
        <v>429</v>
      </c>
      <c r="D17" s="424" t="s">
        <v>571</v>
      </c>
      <c r="E17" s="423" t="s">
        <v>434</v>
      </c>
      <c r="F17" s="424" t="s">
        <v>572</v>
      </c>
      <c r="G17" s="423" t="s">
        <v>435</v>
      </c>
      <c r="H17" s="423" t="s">
        <v>471</v>
      </c>
      <c r="I17" s="423" t="s">
        <v>472</v>
      </c>
      <c r="J17" s="423" t="s">
        <v>473</v>
      </c>
      <c r="K17" s="423" t="s">
        <v>474</v>
      </c>
      <c r="L17" s="425">
        <v>24.439802439774244</v>
      </c>
      <c r="M17" s="425">
        <v>1</v>
      </c>
      <c r="N17" s="426">
        <v>24.439802439774244</v>
      </c>
    </row>
    <row r="18" spans="1:14" ht="14.4" customHeight="1" x14ac:dyDescent="0.3">
      <c r="A18" s="421" t="s">
        <v>424</v>
      </c>
      <c r="B18" s="422" t="s">
        <v>425</v>
      </c>
      <c r="C18" s="423" t="s">
        <v>429</v>
      </c>
      <c r="D18" s="424" t="s">
        <v>571</v>
      </c>
      <c r="E18" s="423" t="s">
        <v>434</v>
      </c>
      <c r="F18" s="424" t="s">
        <v>572</v>
      </c>
      <c r="G18" s="423" t="s">
        <v>435</v>
      </c>
      <c r="H18" s="423" t="s">
        <v>475</v>
      </c>
      <c r="I18" s="423" t="s">
        <v>476</v>
      </c>
      <c r="J18" s="423" t="s">
        <v>477</v>
      </c>
      <c r="K18" s="423" t="s">
        <v>478</v>
      </c>
      <c r="L18" s="425">
        <v>104.06947910743355</v>
      </c>
      <c r="M18" s="425">
        <v>1</v>
      </c>
      <c r="N18" s="426">
        <v>104.06947910743355</v>
      </c>
    </row>
    <row r="19" spans="1:14" ht="14.4" customHeight="1" x14ac:dyDescent="0.3">
      <c r="A19" s="421" t="s">
        <v>424</v>
      </c>
      <c r="B19" s="422" t="s">
        <v>425</v>
      </c>
      <c r="C19" s="423" t="s">
        <v>429</v>
      </c>
      <c r="D19" s="424" t="s">
        <v>571</v>
      </c>
      <c r="E19" s="423" t="s">
        <v>434</v>
      </c>
      <c r="F19" s="424" t="s">
        <v>572</v>
      </c>
      <c r="G19" s="423" t="s">
        <v>435</v>
      </c>
      <c r="H19" s="423" t="s">
        <v>479</v>
      </c>
      <c r="I19" s="423" t="s">
        <v>480</v>
      </c>
      <c r="J19" s="423" t="s">
        <v>481</v>
      </c>
      <c r="K19" s="423" t="s">
        <v>482</v>
      </c>
      <c r="L19" s="425">
        <v>64.460161925705151</v>
      </c>
      <c r="M19" s="425">
        <v>6</v>
      </c>
      <c r="N19" s="426">
        <v>386.76097155423088</v>
      </c>
    </row>
    <row r="20" spans="1:14" ht="14.4" customHeight="1" x14ac:dyDescent="0.3">
      <c r="A20" s="421" t="s">
        <v>424</v>
      </c>
      <c r="B20" s="422" t="s">
        <v>425</v>
      </c>
      <c r="C20" s="423" t="s">
        <v>429</v>
      </c>
      <c r="D20" s="424" t="s">
        <v>571</v>
      </c>
      <c r="E20" s="423" t="s">
        <v>434</v>
      </c>
      <c r="F20" s="424" t="s">
        <v>572</v>
      </c>
      <c r="G20" s="423" t="s">
        <v>435</v>
      </c>
      <c r="H20" s="423" t="s">
        <v>483</v>
      </c>
      <c r="I20" s="423" t="s">
        <v>142</v>
      </c>
      <c r="J20" s="423" t="s">
        <v>484</v>
      </c>
      <c r="K20" s="423"/>
      <c r="L20" s="425">
        <v>74.140000000000015</v>
      </c>
      <c r="M20" s="425">
        <v>1</v>
      </c>
      <c r="N20" s="426">
        <v>74.140000000000015</v>
      </c>
    </row>
    <row r="21" spans="1:14" ht="14.4" customHeight="1" x14ac:dyDescent="0.3">
      <c r="A21" s="421" t="s">
        <v>424</v>
      </c>
      <c r="B21" s="422" t="s">
        <v>425</v>
      </c>
      <c r="C21" s="423" t="s">
        <v>429</v>
      </c>
      <c r="D21" s="424" t="s">
        <v>571</v>
      </c>
      <c r="E21" s="423" t="s">
        <v>434</v>
      </c>
      <c r="F21" s="424" t="s">
        <v>572</v>
      </c>
      <c r="G21" s="423" t="s">
        <v>435</v>
      </c>
      <c r="H21" s="423" t="s">
        <v>485</v>
      </c>
      <c r="I21" s="423" t="s">
        <v>142</v>
      </c>
      <c r="J21" s="423" t="s">
        <v>486</v>
      </c>
      <c r="K21" s="423"/>
      <c r="L21" s="425">
        <v>48.277965622348617</v>
      </c>
      <c r="M21" s="425">
        <v>1</v>
      </c>
      <c r="N21" s="426">
        <v>48.277965622348617</v>
      </c>
    </row>
    <row r="22" spans="1:14" ht="14.4" customHeight="1" x14ac:dyDescent="0.3">
      <c r="A22" s="421" t="s">
        <v>424</v>
      </c>
      <c r="B22" s="422" t="s">
        <v>425</v>
      </c>
      <c r="C22" s="423" t="s">
        <v>429</v>
      </c>
      <c r="D22" s="424" t="s">
        <v>571</v>
      </c>
      <c r="E22" s="423" t="s">
        <v>434</v>
      </c>
      <c r="F22" s="424" t="s">
        <v>572</v>
      </c>
      <c r="G22" s="423" t="s">
        <v>435</v>
      </c>
      <c r="H22" s="423" t="s">
        <v>487</v>
      </c>
      <c r="I22" s="423" t="s">
        <v>142</v>
      </c>
      <c r="J22" s="423" t="s">
        <v>488</v>
      </c>
      <c r="K22" s="423"/>
      <c r="L22" s="425">
        <v>189.15259005871076</v>
      </c>
      <c r="M22" s="425">
        <v>2</v>
      </c>
      <c r="N22" s="426">
        <v>378.30518011742151</v>
      </c>
    </row>
    <row r="23" spans="1:14" ht="14.4" customHeight="1" x14ac:dyDescent="0.3">
      <c r="A23" s="421" t="s">
        <v>424</v>
      </c>
      <c r="B23" s="422" t="s">
        <v>425</v>
      </c>
      <c r="C23" s="423" t="s">
        <v>429</v>
      </c>
      <c r="D23" s="424" t="s">
        <v>571</v>
      </c>
      <c r="E23" s="423" t="s">
        <v>434</v>
      </c>
      <c r="F23" s="424" t="s">
        <v>572</v>
      </c>
      <c r="G23" s="423" t="s">
        <v>435</v>
      </c>
      <c r="H23" s="423" t="s">
        <v>489</v>
      </c>
      <c r="I23" s="423" t="s">
        <v>142</v>
      </c>
      <c r="J23" s="423" t="s">
        <v>490</v>
      </c>
      <c r="K23" s="423"/>
      <c r="L23" s="425">
        <v>51.818602645825806</v>
      </c>
      <c r="M23" s="425">
        <v>1</v>
      </c>
      <c r="N23" s="426">
        <v>51.818602645825806</v>
      </c>
    </row>
    <row r="24" spans="1:14" ht="14.4" customHeight="1" x14ac:dyDescent="0.3">
      <c r="A24" s="421" t="s">
        <v>424</v>
      </c>
      <c r="B24" s="422" t="s">
        <v>425</v>
      </c>
      <c r="C24" s="423" t="s">
        <v>429</v>
      </c>
      <c r="D24" s="424" t="s">
        <v>571</v>
      </c>
      <c r="E24" s="423" t="s">
        <v>434</v>
      </c>
      <c r="F24" s="424" t="s">
        <v>572</v>
      </c>
      <c r="G24" s="423" t="s">
        <v>435</v>
      </c>
      <c r="H24" s="423" t="s">
        <v>491</v>
      </c>
      <c r="I24" s="423" t="s">
        <v>142</v>
      </c>
      <c r="J24" s="423" t="s">
        <v>492</v>
      </c>
      <c r="K24" s="423"/>
      <c r="L24" s="425">
        <v>37.573475175768522</v>
      </c>
      <c r="M24" s="425">
        <v>4</v>
      </c>
      <c r="N24" s="426">
        <v>150.29390070307409</v>
      </c>
    </row>
    <row r="25" spans="1:14" ht="14.4" customHeight="1" x14ac:dyDescent="0.3">
      <c r="A25" s="421" t="s">
        <v>424</v>
      </c>
      <c r="B25" s="422" t="s">
        <v>425</v>
      </c>
      <c r="C25" s="423" t="s">
        <v>429</v>
      </c>
      <c r="D25" s="424" t="s">
        <v>571</v>
      </c>
      <c r="E25" s="423" t="s">
        <v>434</v>
      </c>
      <c r="F25" s="424" t="s">
        <v>572</v>
      </c>
      <c r="G25" s="423" t="s">
        <v>435</v>
      </c>
      <c r="H25" s="423" t="s">
        <v>493</v>
      </c>
      <c r="I25" s="423" t="s">
        <v>142</v>
      </c>
      <c r="J25" s="423" t="s">
        <v>494</v>
      </c>
      <c r="K25" s="423"/>
      <c r="L25" s="425">
        <v>49.049843631504956</v>
      </c>
      <c r="M25" s="425">
        <v>2</v>
      </c>
      <c r="N25" s="426">
        <v>98.099687263009912</v>
      </c>
    </row>
    <row r="26" spans="1:14" ht="14.4" customHeight="1" x14ac:dyDescent="0.3">
      <c r="A26" s="421" t="s">
        <v>424</v>
      </c>
      <c r="B26" s="422" t="s">
        <v>425</v>
      </c>
      <c r="C26" s="423" t="s">
        <v>429</v>
      </c>
      <c r="D26" s="424" t="s">
        <v>571</v>
      </c>
      <c r="E26" s="423" t="s">
        <v>434</v>
      </c>
      <c r="F26" s="424" t="s">
        <v>572</v>
      </c>
      <c r="G26" s="423" t="s">
        <v>435</v>
      </c>
      <c r="H26" s="423" t="s">
        <v>495</v>
      </c>
      <c r="I26" s="423" t="s">
        <v>142</v>
      </c>
      <c r="J26" s="423" t="s">
        <v>496</v>
      </c>
      <c r="K26" s="423"/>
      <c r="L26" s="425">
        <v>70.202818959648909</v>
      </c>
      <c r="M26" s="425">
        <v>1</v>
      </c>
      <c r="N26" s="426">
        <v>70.202818959648909</v>
      </c>
    </row>
    <row r="27" spans="1:14" ht="14.4" customHeight="1" x14ac:dyDescent="0.3">
      <c r="A27" s="421" t="s">
        <v>424</v>
      </c>
      <c r="B27" s="422" t="s">
        <v>425</v>
      </c>
      <c r="C27" s="423" t="s">
        <v>429</v>
      </c>
      <c r="D27" s="424" t="s">
        <v>571</v>
      </c>
      <c r="E27" s="423" t="s">
        <v>434</v>
      </c>
      <c r="F27" s="424" t="s">
        <v>572</v>
      </c>
      <c r="G27" s="423" t="s">
        <v>435</v>
      </c>
      <c r="H27" s="423" t="s">
        <v>497</v>
      </c>
      <c r="I27" s="423" t="s">
        <v>142</v>
      </c>
      <c r="J27" s="423" t="s">
        <v>498</v>
      </c>
      <c r="K27" s="423"/>
      <c r="L27" s="425">
        <v>43.909035713009416</v>
      </c>
      <c r="M27" s="425">
        <v>4</v>
      </c>
      <c r="N27" s="426">
        <v>175.63614285203766</v>
      </c>
    </row>
    <row r="28" spans="1:14" ht="14.4" customHeight="1" x14ac:dyDescent="0.3">
      <c r="A28" s="421" t="s">
        <v>424</v>
      </c>
      <c r="B28" s="422" t="s">
        <v>425</v>
      </c>
      <c r="C28" s="423" t="s">
        <v>429</v>
      </c>
      <c r="D28" s="424" t="s">
        <v>571</v>
      </c>
      <c r="E28" s="423" t="s">
        <v>434</v>
      </c>
      <c r="F28" s="424" t="s">
        <v>572</v>
      </c>
      <c r="G28" s="423" t="s">
        <v>435</v>
      </c>
      <c r="H28" s="423" t="s">
        <v>499</v>
      </c>
      <c r="I28" s="423" t="s">
        <v>142</v>
      </c>
      <c r="J28" s="423" t="s">
        <v>500</v>
      </c>
      <c r="K28" s="423"/>
      <c r="L28" s="425">
        <v>39.764403071117002</v>
      </c>
      <c r="M28" s="425">
        <v>5</v>
      </c>
      <c r="N28" s="426">
        <v>198.82201535558499</v>
      </c>
    </row>
    <row r="29" spans="1:14" ht="14.4" customHeight="1" x14ac:dyDescent="0.3">
      <c r="A29" s="421" t="s">
        <v>424</v>
      </c>
      <c r="B29" s="422" t="s">
        <v>425</v>
      </c>
      <c r="C29" s="423" t="s">
        <v>429</v>
      </c>
      <c r="D29" s="424" t="s">
        <v>571</v>
      </c>
      <c r="E29" s="423" t="s">
        <v>434</v>
      </c>
      <c r="F29" s="424" t="s">
        <v>572</v>
      </c>
      <c r="G29" s="423" t="s">
        <v>435</v>
      </c>
      <c r="H29" s="423" t="s">
        <v>501</v>
      </c>
      <c r="I29" s="423" t="s">
        <v>502</v>
      </c>
      <c r="J29" s="423" t="s">
        <v>503</v>
      </c>
      <c r="K29" s="423" t="s">
        <v>504</v>
      </c>
      <c r="L29" s="425">
        <v>88.12</v>
      </c>
      <c r="M29" s="425">
        <v>6</v>
      </c>
      <c r="N29" s="426">
        <v>528.72</v>
      </c>
    </row>
    <row r="30" spans="1:14" ht="14.4" customHeight="1" x14ac:dyDescent="0.3">
      <c r="A30" s="421" t="s">
        <v>424</v>
      </c>
      <c r="B30" s="422" t="s">
        <v>425</v>
      </c>
      <c r="C30" s="423" t="s">
        <v>429</v>
      </c>
      <c r="D30" s="424" t="s">
        <v>571</v>
      </c>
      <c r="E30" s="423" t="s">
        <v>434</v>
      </c>
      <c r="F30" s="424" t="s">
        <v>572</v>
      </c>
      <c r="G30" s="423" t="s">
        <v>435</v>
      </c>
      <c r="H30" s="423" t="s">
        <v>505</v>
      </c>
      <c r="I30" s="423" t="s">
        <v>142</v>
      </c>
      <c r="J30" s="423" t="s">
        <v>506</v>
      </c>
      <c r="K30" s="423"/>
      <c r="L30" s="425">
        <v>73.714619519311256</v>
      </c>
      <c r="M30" s="425">
        <v>2</v>
      </c>
      <c r="N30" s="426">
        <v>147.42923903862251</v>
      </c>
    </row>
    <row r="31" spans="1:14" ht="14.4" customHeight="1" x14ac:dyDescent="0.3">
      <c r="A31" s="421" t="s">
        <v>424</v>
      </c>
      <c r="B31" s="422" t="s">
        <v>425</v>
      </c>
      <c r="C31" s="423" t="s">
        <v>429</v>
      </c>
      <c r="D31" s="424" t="s">
        <v>571</v>
      </c>
      <c r="E31" s="423" t="s">
        <v>434</v>
      </c>
      <c r="F31" s="424" t="s">
        <v>572</v>
      </c>
      <c r="G31" s="423" t="s">
        <v>435</v>
      </c>
      <c r="H31" s="423" t="s">
        <v>507</v>
      </c>
      <c r="I31" s="423" t="s">
        <v>142</v>
      </c>
      <c r="J31" s="423" t="s">
        <v>508</v>
      </c>
      <c r="K31" s="423" t="s">
        <v>509</v>
      </c>
      <c r="L31" s="425">
        <v>95.776387938532906</v>
      </c>
      <c r="M31" s="425">
        <v>21</v>
      </c>
      <c r="N31" s="426">
        <v>2011.3041467091912</v>
      </c>
    </row>
    <row r="32" spans="1:14" ht="14.4" customHeight="1" x14ac:dyDescent="0.3">
      <c r="A32" s="421" t="s">
        <v>424</v>
      </c>
      <c r="B32" s="422" t="s">
        <v>425</v>
      </c>
      <c r="C32" s="423" t="s">
        <v>429</v>
      </c>
      <c r="D32" s="424" t="s">
        <v>571</v>
      </c>
      <c r="E32" s="423" t="s">
        <v>434</v>
      </c>
      <c r="F32" s="424" t="s">
        <v>572</v>
      </c>
      <c r="G32" s="423" t="s">
        <v>435</v>
      </c>
      <c r="H32" s="423" t="s">
        <v>510</v>
      </c>
      <c r="I32" s="423" t="s">
        <v>142</v>
      </c>
      <c r="J32" s="423" t="s">
        <v>511</v>
      </c>
      <c r="K32" s="423"/>
      <c r="L32" s="425">
        <v>58.130918603031319</v>
      </c>
      <c r="M32" s="425">
        <v>2</v>
      </c>
      <c r="N32" s="426">
        <v>116.26183720606264</v>
      </c>
    </row>
    <row r="33" spans="1:14" ht="14.4" customHeight="1" x14ac:dyDescent="0.3">
      <c r="A33" s="421" t="s">
        <v>424</v>
      </c>
      <c r="B33" s="422" t="s">
        <v>425</v>
      </c>
      <c r="C33" s="423" t="s">
        <v>429</v>
      </c>
      <c r="D33" s="424" t="s">
        <v>571</v>
      </c>
      <c r="E33" s="423" t="s">
        <v>434</v>
      </c>
      <c r="F33" s="424" t="s">
        <v>572</v>
      </c>
      <c r="G33" s="423" t="s">
        <v>435</v>
      </c>
      <c r="H33" s="423" t="s">
        <v>512</v>
      </c>
      <c r="I33" s="423" t="s">
        <v>142</v>
      </c>
      <c r="J33" s="423" t="s">
        <v>513</v>
      </c>
      <c r="K33" s="423"/>
      <c r="L33" s="425">
        <v>73.398994616175145</v>
      </c>
      <c r="M33" s="425">
        <v>10</v>
      </c>
      <c r="N33" s="426">
        <v>733.9899461617515</v>
      </c>
    </row>
    <row r="34" spans="1:14" ht="14.4" customHeight="1" x14ac:dyDescent="0.3">
      <c r="A34" s="421" t="s">
        <v>424</v>
      </c>
      <c r="B34" s="422" t="s">
        <v>425</v>
      </c>
      <c r="C34" s="423" t="s">
        <v>429</v>
      </c>
      <c r="D34" s="424" t="s">
        <v>571</v>
      </c>
      <c r="E34" s="423" t="s">
        <v>434</v>
      </c>
      <c r="F34" s="424" t="s">
        <v>572</v>
      </c>
      <c r="G34" s="423" t="s">
        <v>435</v>
      </c>
      <c r="H34" s="423" t="s">
        <v>514</v>
      </c>
      <c r="I34" s="423" t="s">
        <v>515</v>
      </c>
      <c r="J34" s="423" t="s">
        <v>516</v>
      </c>
      <c r="K34" s="423" t="s">
        <v>517</v>
      </c>
      <c r="L34" s="425">
        <v>192.04999931667334</v>
      </c>
      <c r="M34" s="425">
        <v>2</v>
      </c>
      <c r="N34" s="426">
        <v>384.09999863334667</v>
      </c>
    </row>
    <row r="35" spans="1:14" ht="14.4" customHeight="1" x14ac:dyDescent="0.3">
      <c r="A35" s="421" t="s">
        <v>424</v>
      </c>
      <c r="B35" s="422" t="s">
        <v>425</v>
      </c>
      <c r="C35" s="423" t="s">
        <v>429</v>
      </c>
      <c r="D35" s="424" t="s">
        <v>571</v>
      </c>
      <c r="E35" s="423" t="s">
        <v>434</v>
      </c>
      <c r="F35" s="424" t="s">
        <v>572</v>
      </c>
      <c r="G35" s="423" t="s">
        <v>435</v>
      </c>
      <c r="H35" s="423" t="s">
        <v>518</v>
      </c>
      <c r="I35" s="423" t="s">
        <v>142</v>
      </c>
      <c r="J35" s="423" t="s">
        <v>519</v>
      </c>
      <c r="K35" s="423"/>
      <c r="L35" s="425">
        <v>38.88708114931773</v>
      </c>
      <c r="M35" s="425">
        <v>2</v>
      </c>
      <c r="N35" s="426">
        <v>77.77416229863546</v>
      </c>
    </row>
    <row r="36" spans="1:14" ht="14.4" customHeight="1" x14ac:dyDescent="0.3">
      <c r="A36" s="421" t="s">
        <v>424</v>
      </c>
      <c r="B36" s="422" t="s">
        <v>425</v>
      </c>
      <c r="C36" s="423" t="s">
        <v>429</v>
      </c>
      <c r="D36" s="424" t="s">
        <v>571</v>
      </c>
      <c r="E36" s="423" t="s">
        <v>434</v>
      </c>
      <c r="F36" s="424" t="s">
        <v>572</v>
      </c>
      <c r="G36" s="423" t="s">
        <v>435</v>
      </c>
      <c r="H36" s="423" t="s">
        <v>520</v>
      </c>
      <c r="I36" s="423" t="s">
        <v>142</v>
      </c>
      <c r="J36" s="423" t="s">
        <v>521</v>
      </c>
      <c r="K36" s="423"/>
      <c r="L36" s="425">
        <v>72.243876955838928</v>
      </c>
      <c r="M36" s="425">
        <v>12</v>
      </c>
      <c r="N36" s="426">
        <v>866.9265234700672</v>
      </c>
    </row>
    <row r="37" spans="1:14" ht="14.4" customHeight="1" x14ac:dyDescent="0.3">
      <c r="A37" s="421" t="s">
        <v>424</v>
      </c>
      <c r="B37" s="422" t="s">
        <v>425</v>
      </c>
      <c r="C37" s="423" t="s">
        <v>429</v>
      </c>
      <c r="D37" s="424" t="s">
        <v>571</v>
      </c>
      <c r="E37" s="423" t="s">
        <v>434</v>
      </c>
      <c r="F37" s="424" t="s">
        <v>572</v>
      </c>
      <c r="G37" s="423" t="s">
        <v>435</v>
      </c>
      <c r="H37" s="423" t="s">
        <v>522</v>
      </c>
      <c r="I37" s="423" t="s">
        <v>142</v>
      </c>
      <c r="J37" s="423" t="s">
        <v>523</v>
      </c>
      <c r="K37" s="423"/>
      <c r="L37" s="425">
        <v>106.69185460456946</v>
      </c>
      <c r="M37" s="425">
        <v>3</v>
      </c>
      <c r="N37" s="426">
        <v>320.07556381370836</v>
      </c>
    </row>
    <row r="38" spans="1:14" ht="14.4" customHeight="1" x14ac:dyDescent="0.3">
      <c r="A38" s="421" t="s">
        <v>424</v>
      </c>
      <c r="B38" s="422" t="s">
        <v>425</v>
      </c>
      <c r="C38" s="423" t="s">
        <v>429</v>
      </c>
      <c r="D38" s="424" t="s">
        <v>571</v>
      </c>
      <c r="E38" s="423" t="s">
        <v>434</v>
      </c>
      <c r="F38" s="424" t="s">
        <v>572</v>
      </c>
      <c r="G38" s="423" t="s">
        <v>435</v>
      </c>
      <c r="H38" s="423" t="s">
        <v>524</v>
      </c>
      <c r="I38" s="423" t="s">
        <v>142</v>
      </c>
      <c r="J38" s="423" t="s">
        <v>525</v>
      </c>
      <c r="K38" s="423"/>
      <c r="L38" s="425">
        <v>68.071932949045404</v>
      </c>
      <c r="M38" s="425">
        <v>2</v>
      </c>
      <c r="N38" s="426">
        <v>136.14386589809081</v>
      </c>
    </row>
    <row r="39" spans="1:14" ht="14.4" customHeight="1" x14ac:dyDescent="0.3">
      <c r="A39" s="421" t="s">
        <v>424</v>
      </c>
      <c r="B39" s="422" t="s">
        <v>425</v>
      </c>
      <c r="C39" s="423" t="s">
        <v>429</v>
      </c>
      <c r="D39" s="424" t="s">
        <v>571</v>
      </c>
      <c r="E39" s="423" t="s">
        <v>434</v>
      </c>
      <c r="F39" s="424" t="s">
        <v>572</v>
      </c>
      <c r="G39" s="423" t="s">
        <v>435</v>
      </c>
      <c r="H39" s="423" t="s">
        <v>526</v>
      </c>
      <c r="I39" s="423" t="s">
        <v>142</v>
      </c>
      <c r="J39" s="423" t="s">
        <v>527</v>
      </c>
      <c r="K39" s="423"/>
      <c r="L39" s="425">
        <v>124.096929730727</v>
      </c>
      <c r="M39" s="425">
        <v>2</v>
      </c>
      <c r="N39" s="426">
        <v>248.193859461454</v>
      </c>
    </row>
    <row r="40" spans="1:14" ht="14.4" customHeight="1" x14ac:dyDescent="0.3">
      <c r="A40" s="421" t="s">
        <v>424</v>
      </c>
      <c r="B40" s="422" t="s">
        <v>425</v>
      </c>
      <c r="C40" s="423" t="s">
        <v>429</v>
      </c>
      <c r="D40" s="424" t="s">
        <v>571</v>
      </c>
      <c r="E40" s="423" t="s">
        <v>434</v>
      </c>
      <c r="F40" s="424" t="s">
        <v>572</v>
      </c>
      <c r="G40" s="423" t="s">
        <v>435</v>
      </c>
      <c r="H40" s="423" t="s">
        <v>528</v>
      </c>
      <c r="I40" s="423" t="s">
        <v>142</v>
      </c>
      <c r="J40" s="423" t="s">
        <v>529</v>
      </c>
      <c r="K40" s="423"/>
      <c r="L40" s="425">
        <v>37.838419671543576</v>
      </c>
      <c r="M40" s="425">
        <v>8</v>
      </c>
      <c r="N40" s="426">
        <v>302.70735737234861</v>
      </c>
    </row>
    <row r="41" spans="1:14" ht="14.4" customHeight="1" x14ac:dyDescent="0.3">
      <c r="A41" s="421" t="s">
        <v>424</v>
      </c>
      <c r="B41" s="422" t="s">
        <v>425</v>
      </c>
      <c r="C41" s="423" t="s">
        <v>429</v>
      </c>
      <c r="D41" s="424" t="s">
        <v>571</v>
      </c>
      <c r="E41" s="423" t="s">
        <v>434</v>
      </c>
      <c r="F41" s="424" t="s">
        <v>572</v>
      </c>
      <c r="G41" s="423" t="s">
        <v>435</v>
      </c>
      <c r="H41" s="423" t="s">
        <v>530</v>
      </c>
      <c r="I41" s="423" t="s">
        <v>142</v>
      </c>
      <c r="J41" s="423" t="s">
        <v>531</v>
      </c>
      <c r="K41" s="423"/>
      <c r="L41" s="425">
        <v>74.554762698640474</v>
      </c>
      <c r="M41" s="425">
        <v>4</v>
      </c>
      <c r="N41" s="426">
        <v>298.21905079456189</v>
      </c>
    </row>
    <row r="42" spans="1:14" ht="14.4" customHeight="1" x14ac:dyDescent="0.3">
      <c r="A42" s="421" t="s">
        <v>424</v>
      </c>
      <c r="B42" s="422" t="s">
        <v>425</v>
      </c>
      <c r="C42" s="423" t="s">
        <v>429</v>
      </c>
      <c r="D42" s="424" t="s">
        <v>571</v>
      </c>
      <c r="E42" s="423" t="s">
        <v>434</v>
      </c>
      <c r="F42" s="424" t="s">
        <v>572</v>
      </c>
      <c r="G42" s="423" t="s">
        <v>435</v>
      </c>
      <c r="H42" s="423" t="s">
        <v>532</v>
      </c>
      <c r="I42" s="423" t="s">
        <v>142</v>
      </c>
      <c r="J42" s="423" t="s">
        <v>533</v>
      </c>
      <c r="K42" s="423"/>
      <c r="L42" s="425">
        <v>47.055518356379736</v>
      </c>
      <c r="M42" s="425">
        <v>1</v>
      </c>
      <c r="N42" s="426">
        <v>47.055518356379736</v>
      </c>
    </row>
    <row r="43" spans="1:14" ht="14.4" customHeight="1" x14ac:dyDescent="0.3">
      <c r="A43" s="421" t="s">
        <v>424</v>
      </c>
      <c r="B43" s="422" t="s">
        <v>425</v>
      </c>
      <c r="C43" s="423" t="s">
        <v>429</v>
      </c>
      <c r="D43" s="424" t="s">
        <v>571</v>
      </c>
      <c r="E43" s="423" t="s">
        <v>434</v>
      </c>
      <c r="F43" s="424" t="s">
        <v>572</v>
      </c>
      <c r="G43" s="423" t="s">
        <v>435</v>
      </c>
      <c r="H43" s="423" t="s">
        <v>534</v>
      </c>
      <c r="I43" s="423" t="s">
        <v>142</v>
      </c>
      <c r="J43" s="423" t="s">
        <v>535</v>
      </c>
      <c r="K43" s="423"/>
      <c r="L43" s="425">
        <v>86.913709711390425</v>
      </c>
      <c r="M43" s="425">
        <v>5</v>
      </c>
      <c r="N43" s="426">
        <v>434.56854855695212</v>
      </c>
    </row>
    <row r="44" spans="1:14" ht="14.4" customHeight="1" x14ac:dyDescent="0.3">
      <c r="A44" s="421" t="s">
        <v>424</v>
      </c>
      <c r="B44" s="422" t="s">
        <v>425</v>
      </c>
      <c r="C44" s="423" t="s">
        <v>429</v>
      </c>
      <c r="D44" s="424" t="s">
        <v>571</v>
      </c>
      <c r="E44" s="423" t="s">
        <v>434</v>
      </c>
      <c r="F44" s="424" t="s">
        <v>572</v>
      </c>
      <c r="G44" s="423" t="s">
        <v>435</v>
      </c>
      <c r="H44" s="423" t="s">
        <v>536</v>
      </c>
      <c r="I44" s="423" t="s">
        <v>142</v>
      </c>
      <c r="J44" s="423" t="s">
        <v>537</v>
      </c>
      <c r="K44" s="423" t="s">
        <v>509</v>
      </c>
      <c r="L44" s="425">
        <v>77.985161334488154</v>
      </c>
      <c r="M44" s="425">
        <v>17</v>
      </c>
      <c r="N44" s="426">
        <v>1325.7477426862986</v>
      </c>
    </row>
    <row r="45" spans="1:14" ht="14.4" customHeight="1" x14ac:dyDescent="0.3">
      <c r="A45" s="421" t="s">
        <v>424</v>
      </c>
      <c r="B45" s="422" t="s">
        <v>425</v>
      </c>
      <c r="C45" s="423" t="s">
        <v>429</v>
      </c>
      <c r="D45" s="424" t="s">
        <v>571</v>
      </c>
      <c r="E45" s="423" t="s">
        <v>434</v>
      </c>
      <c r="F45" s="424" t="s">
        <v>572</v>
      </c>
      <c r="G45" s="423" t="s">
        <v>435</v>
      </c>
      <c r="H45" s="423" t="s">
        <v>538</v>
      </c>
      <c r="I45" s="423" t="s">
        <v>142</v>
      </c>
      <c r="J45" s="423" t="s">
        <v>539</v>
      </c>
      <c r="K45" s="423" t="s">
        <v>509</v>
      </c>
      <c r="L45" s="425">
        <v>72.873635704315291</v>
      </c>
      <c r="M45" s="425">
        <v>6</v>
      </c>
      <c r="N45" s="426">
        <v>437.24181422589174</v>
      </c>
    </row>
    <row r="46" spans="1:14" ht="14.4" customHeight="1" x14ac:dyDescent="0.3">
      <c r="A46" s="421" t="s">
        <v>424</v>
      </c>
      <c r="B46" s="422" t="s">
        <v>425</v>
      </c>
      <c r="C46" s="423" t="s">
        <v>429</v>
      </c>
      <c r="D46" s="424" t="s">
        <v>571</v>
      </c>
      <c r="E46" s="423" t="s">
        <v>434</v>
      </c>
      <c r="F46" s="424" t="s">
        <v>572</v>
      </c>
      <c r="G46" s="423" t="s">
        <v>435</v>
      </c>
      <c r="H46" s="423" t="s">
        <v>540</v>
      </c>
      <c r="I46" s="423" t="s">
        <v>142</v>
      </c>
      <c r="J46" s="423" t="s">
        <v>541</v>
      </c>
      <c r="K46" s="423"/>
      <c r="L46" s="425">
        <v>182.66087119501927</v>
      </c>
      <c r="M46" s="425">
        <v>21</v>
      </c>
      <c r="N46" s="426">
        <v>3835.8782950954046</v>
      </c>
    </row>
    <row r="47" spans="1:14" ht="14.4" customHeight="1" x14ac:dyDescent="0.3">
      <c r="A47" s="421" t="s">
        <v>424</v>
      </c>
      <c r="B47" s="422" t="s">
        <v>425</v>
      </c>
      <c r="C47" s="423" t="s">
        <v>429</v>
      </c>
      <c r="D47" s="424" t="s">
        <v>571</v>
      </c>
      <c r="E47" s="423" t="s">
        <v>434</v>
      </c>
      <c r="F47" s="424" t="s">
        <v>572</v>
      </c>
      <c r="G47" s="423" t="s">
        <v>435</v>
      </c>
      <c r="H47" s="423" t="s">
        <v>542</v>
      </c>
      <c r="I47" s="423" t="s">
        <v>543</v>
      </c>
      <c r="J47" s="423" t="s">
        <v>544</v>
      </c>
      <c r="K47" s="423" t="s">
        <v>545</v>
      </c>
      <c r="L47" s="425">
        <v>150.0592489176658</v>
      </c>
      <c r="M47" s="425">
        <v>3</v>
      </c>
      <c r="N47" s="426">
        <v>450.17774675299739</v>
      </c>
    </row>
    <row r="48" spans="1:14" ht="14.4" customHeight="1" x14ac:dyDescent="0.3">
      <c r="A48" s="421" t="s">
        <v>424</v>
      </c>
      <c r="B48" s="422" t="s">
        <v>425</v>
      </c>
      <c r="C48" s="423" t="s">
        <v>429</v>
      </c>
      <c r="D48" s="424" t="s">
        <v>571</v>
      </c>
      <c r="E48" s="423" t="s">
        <v>434</v>
      </c>
      <c r="F48" s="424" t="s">
        <v>572</v>
      </c>
      <c r="G48" s="423" t="s">
        <v>435</v>
      </c>
      <c r="H48" s="423" t="s">
        <v>546</v>
      </c>
      <c r="I48" s="423" t="s">
        <v>546</v>
      </c>
      <c r="J48" s="423" t="s">
        <v>547</v>
      </c>
      <c r="K48" s="423" t="s">
        <v>548</v>
      </c>
      <c r="L48" s="425">
        <v>117.47999999999999</v>
      </c>
      <c r="M48" s="425">
        <v>2</v>
      </c>
      <c r="N48" s="426">
        <v>234.95999999999998</v>
      </c>
    </row>
    <row r="49" spans="1:14" ht="14.4" customHeight="1" x14ac:dyDescent="0.3">
      <c r="A49" s="421" t="s">
        <v>424</v>
      </c>
      <c r="B49" s="422" t="s">
        <v>425</v>
      </c>
      <c r="C49" s="423" t="s">
        <v>429</v>
      </c>
      <c r="D49" s="424" t="s">
        <v>571</v>
      </c>
      <c r="E49" s="423" t="s">
        <v>434</v>
      </c>
      <c r="F49" s="424" t="s">
        <v>572</v>
      </c>
      <c r="G49" s="423" t="s">
        <v>435</v>
      </c>
      <c r="H49" s="423" t="s">
        <v>549</v>
      </c>
      <c r="I49" s="423" t="s">
        <v>549</v>
      </c>
      <c r="J49" s="423" t="s">
        <v>550</v>
      </c>
      <c r="K49" s="423" t="s">
        <v>551</v>
      </c>
      <c r="L49" s="425">
        <v>172.93333333333331</v>
      </c>
      <c r="M49" s="425">
        <v>6</v>
      </c>
      <c r="N49" s="426">
        <v>1037.5999999999999</v>
      </c>
    </row>
    <row r="50" spans="1:14" ht="14.4" customHeight="1" x14ac:dyDescent="0.3">
      <c r="A50" s="421" t="s">
        <v>424</v>
      </c>
      <c r="B50" s="422" t="s">
        <v>425</v>
      </c>
      <c r="C50" s="423" t="s">
        <v>429</v>
      </c>
      <c r="D50" s="424" t="s">
        <v>571</v>
      </c>
      <c r="E50" s="423" t="s">
        <v>552</v>
      </c>
      <c r="F50" s="424" t="s">
        <v>573</v>
      </c>
      <c r="G50" s="423" t="s">
        <v>435</v>
      </c>
      <c r="H50" s="423" t="s">
        <v>553</v>
      </c>
      <c r="I50" s="423" t="s">
        <v>554</v>
      </c>
      <c r="J50" s="423" t="s">
        <v>555</v>
      </c>
      <c r="K50" s="423" t="s">
        <v>556</v>
      </c>
      <c r="L50" s="425">
        <v>82.810001537735616</v>
      </c>
      <c r="M50" s="425">
        <v>1</v>
      </c>
      <c r="N50" s="426">
        <v>82.810001537735616</v>
      </c>
    </row>
    <row r="51" spans="1:14" ht="14.4" customHeight="1" x14ac:dyDescent="0.3">
      <c r="A51" s="421" t="s">
        <v>424</v>
      </c>
      <c r="B51" s="422" t="s">
        <v>425</v>
      </c>
      <c r="C51" s="423" t="s">
        <v>429</v>
      </c>
      <c r="D51" s="424" t="s">
        <v>571</v>
      </c>
      <c r="E51" s="423" t="s">
        <v>552</v>
      </c>
      <c r="F51" s="424" t="s">
        <v>573</v>
      </c>
      <c r="G51" s="423" t="s">
        <v>435</v>
      </c>
      <c r="H51" s="423" t="s">
        <v>557</v>
      </c>
      <c r="I51" s="423" t="s">
        <v>558</v>
      </c>
      <c r="J51" s="423" t="s">
        <v>559</v>
      </c>
      <c r="K51" s="423" t="s">
        <v>560</v>
      </c>
      <c r="L51" s="425">
        <v>104.42</v>
      </c>
      <c r="M51" s="425">
        <v>1</v>
      </c>
      <c r="N51" s="426">
        <v>104.42</v>
      </c>
    </row>
    <row r="52" spans="1:14" ht="14.4" customHeight="1" x14ac:dyDescent="0.3">
      <c r="A52" s="421" t="s">
        <v>424</v>
      </c>
      <c r="B52" s="422" t="s">
        <v>425</v>
      </c>
      <c r="C52" s="423" t="s">
        <v>429</v>
      </c>
      <c r="D52" s="424" t="s">
        <v>571</v>
      </c>
      <c r="E52" s="423" t="s">
        <v>552</v>
      </c>
      <c r="F52" s="424" t="s">
        <v>573</v>
      </c>
      <c r="G52" s="423" t="s">
        <v>561</v>
      </c>
      <c r="H52" s="423" t="s">
        <v>562</v>
      </c>
      <c r="I52" s="423" t="s">
        <v>563</v>
      </c>
      <c r="J52" s="423" t="s">
        <v>564</v>
      </c>
      <c r="K52" s="423" t="s">
        <v>565</v>
      </c>
      <c r="L52" s="425">
        <v>112.55333402956369</v>
      </c>
      <c r="M52" s="425">
        <v>3</v>
      </c>
      <c r="N52" s="426">
        <v>337.66000208869104</v>
      </c>
    </row>
    <row r="53" spans="1:14" ht="14.4" customHeight="1" thickBot="1" x14ac:dyDescent="0.35">
      <c r="A53" s="427" t="s">
        <v>424</v>
      </c>
      <c r="B53" s="428" t="s">
        <v>425</v>
      </c>
      <c r="C53" s="429" t="s">
        <v>429</v>
      </c>
      <c r="D53" s="430" t="s">
        <v>571</v>
      </c>
      <c r="E53" s="429" t="s">
        <v>566</v>
      </c>
      <c r="F53" s="430" t="s">
        <v>574</v>
      </c>
      <c r="G53" s="429" t="s">
        <v>435</v>
      </c>
      <c r="H53" s="429" t="s">
        <v>567</v>
      </c>
      <c r="I53" s="429" t="s">
        <v>568</v>
      </c>
      <c r="J53" s="429" t="s">
        <v>569</v>
      </c>
      <c r="K53" s="429" t="s">
        <v>570</v>
      </c>
      <c r="L53" s="431">
        <v>101.05000000000003</v>
      </c>
      <c r="M53" s="431">
        <v>1</v>
      </c>
      <c r="N53" s="432">
        <v>101.05000000000003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15" customWidth="1"/>
    <col min="2" max="2" width="10" style="191" customWidth="1"/>
    <col min="3" max="3" width="5.5546875" style="194" customWidth="1"/>
    <col min="4" max="4" width="10" style="191" customWidth="1"/>
    <col min="5" max="5" width="5.5546875" style="194" customWidth="1"/>
    <col min="6" max="6" width="10" style="191" customWidth="1"/>
    <col min="7" max="16384" width="8.88671875" style="115"/>
  </cols>
  <sheetData>
    <row r="1" spans="1:6" ht="37.200000000000003" customHeight="1" thickBot="1" x14ac:dyDescent="0.4">
      <c r="A1" s="339" t="s">
        <v>140</v>
      </c>
      <c r="B1" s="340"/>
      <c r="C1" s="340"/>
      <c r="D1" s="340"/>
      <c r="E1" s="340"/>
      <c r="F1" s="340"/>
    </row>
    <row r="2" spans="1:6" ht="14.4" customHeight="1" thickBot="1" x14ac:dyDescent="0.35">
      <c r="A2" s="212" t="s">
        <v>254</v>
      </c>
      <c r="B2" s="63"/>
      <c r="C2" s="64"/>
      <c r="D2" s="65"/>
      <c r="E2" s="64"/>
      <c r="F2" s="65"/>
    </row>
    <row r="3" spans="1:6" ht="14.4" customHeight="1" thickBot="1" x14ac:dyDescent="0.35">
      <c r="A3" s="86"/>
      <c r="B3" s="341" t="s">
        <v>111</v>
      </c>
      <c r="C3" s="342"/>
      <c r="D3" s="343" t="s">
        <v>110</v>
      </c>
      <c r="E3" s="342"/>
      <c r="F3" s="72" t="s">
        <v>3</v>
      </c>
    </row>
    <row r="4" spans="1:6" ht="14.4" customHeight="1" thickBot="1" x14ac:dyDescent="0.35">
      <c r="A4" s="433" t="s">
        <v>124</v>
      </c>
      <c r="B4" s="434" t="s">
        <v>14</v>
      </c>
      <c r="C4" s="435" t="s">
        <v>2</v>
      </c>
      <c r="D4" s="434" t="s">
        <v>14</v>
      </c>
      <c r="E4" s="435" t="s">
        <v>2</v>
      </c>
      <c r="F4" s="436" t="s">
        <v>14</v>
      </c>
    </row>
    <row r="5" spans="1:6" ht="14.4" customHeight="1" thickBot="1" x14ac:dyDescent="0.35">
      <c r="A5" s="445" t="s">
        <v>575</v>
      </c>
      <c r="B5" s="413"/>
      <c r="C5" s="437">
        <v>0</v>
      </c>
      <c r="D5" s="413">
        <v>442.08000208869106</v>
      </c>
      <c r="E5" s="437">
        <v>1</v>
      </c>
      <c r="F5" s="414">
        <v>442.08000208869106</v>
      </c>
    </row>
    <row r="6" spans="1:6" ht="14.4" customHeight="1" thickBot="1" x14ac:dyDescent="0.35">
      <c r="A6" s="441" t="s">
        <v>3</v>
      </c>
      <c r="B6" s="442"/>
      <c r="C6" s="443">
        <v>0</v>
      </c>
      <c r="D6" s="442">
        <v>442.08000208869106</v>
      </c>
      <c r="E6" s="443">
        <v>1</v>
      </c>
      <c r="F6" s="444">
        <v>442.08000208869106</v>
      </c>
    </row>
    <row r="7" spans="1:6" ht="14.4" customHeight="1" thickBot="1" x14ac:dyDescent="0.35"/>
    <row r="8" spans="1:6" ht="14.4" customHeight="1" x14ac:dyDescent="0.3">
      <c r="A8" s="451" t="s">
        <v>576</v>
      </c>
      <c r="B8" s="419"/>
      <c r="C8" s="438">
        <v>0</v>
      </c>
      <c r="D8" s="419">
        <v>104.42</v>
      </c>
      <c r="E8" s="438">
        <v>1</v>
      </c>
      <c r="F8" s="420">
        <v>104.42</v>
      </c>
    </row>
    <row r="9" spans="1:6" ht="14.4" customHeight="1" thickBot="1" x14ac:dyDescent="0.35">
      <c r="A9" s="452" t="s">
        <v>577</v>
      </c>
      <c r="B9" s="448"/>
      <c r="C9" s="449">
        <v>0</v>
      </c>
      <c r="D9" s="448">
        <v>337.66000208869104</v>
      </c>
      <c r="E9" s="449">
        <v>1</v>
      </c>
      <c r="F9" s="450">
        <v>337.66000208869104</v>
      </c>
    </row>
    <row r="10" spans="1:6" ht="14.4" customHeight="1" thickBot="1" x14ac:dyDescent="0.35">
      <c r="A10" s="441" t="s">
        <v>3</v>
      </c>
      <c r="B10" s="442"/>
      <c r="C10" s="443">
        <v>0</v>
      </c>
      <c r="D10" s="442">
        <v>442.08000208869106</v>
      </c>
      <c r="E10" s="443">
        <v>1</v>
      </c>
      <c r="F10" s="444">
        <v>442.08000208869106</v>
      </c>
    </row>
  </sheetData>
  <mergeCells count="3">
    <mergeCell ref="A1:F1"/>
    <mergeCell ref="B3:C3"/>
    <mergeCell ref="D3:E3"/>
  </mergeCells>
  <conditionalFormatting sqref="C5:C1048576">
    <cfRule type="cellIs" dxfId="23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1</vt:i4>
      </vt:variant>
    </vt:vector>
  </HeadingPairs>
  <TitlesOfParts>
    <vt:vector size="1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doměsíce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2015-03-21T00:14:47Z</dcterms:modified>
</cp:coreProperties>
</file>