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A" sheetId="344" r:id="rId16"/>
    <sheet name="ZV Vykáz.-A Lékaři" sheetId="429" r:id="rId17"/>
    <sheet name="ZV Vykáz.-A Detail" sheetId="345" r:id="rId18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7" hidden="1">'ZV Vykáz.-A Detail'!$A$5:$P$5</definedName>
    <definedName name="_xlnm._FilterDatabase" localSheetId="16" hidden="1">'ZV Vykáz.-A Lékaři'!$A$4:$A$5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F3" i="344" l="1"/>
  <c r="D3" i="344"/>
  <c r="B3" i="344"/>
  <c r="AI21" i="419" l="1"/>
  <c r="AH21" i="419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I20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I19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I17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I16" i="419"/>
  <c r="AI18" i="419" s="1"/>
  <c r="AH16" i="419"/>
  <c r="AG16" i="419"/>
  <c r="AF16" i="419"/>
  <c r="AF18" i="419" s="1"/>
  <c r="AE16" i="419"/>
  <c r="AD16" i="419"/>
  <c r="AD18" i="419" s="1"/>
  <c r="AC16" i="419"/>
  <c r="AB16" i="419"/>
  <c r="AB18" i="419" s="1"/>
  <c r="AA16" i="419"/>
  <c r="Z16" i="419"/>
  <c r="Z18" i="419" s="1"/>
  <c r="Y16" i="419"/>
  <c r="X16" i="419"/>
  <c r="X18" i="419" s="1"/>
  <c r="W16" i="419"/>
  <c r="V16" i="419"/>
  <c r="U16" i="419"/>
  <c r="T16" i="419"/>
  <c r="T18" i="419" s="1"/>
  <c r="S16" i="419"/>
  <c r="R16" i="419"/>
  <c r="R18" i="419" s="1"/>
  <c r="Q16" i="419"/>
  <c r="P16" i="419"/>
  <c r="P18" i="419" s="1"/>
  <c r="O16" i="419"/>
  <c r="N16" i="419"/>
  <c r="N18" i="419" s="1"/>
  <c r="M16" i="419"/>
  <c r="L16" i="419"/>
  <c r="L18" i="419" s="1"/>
  <c r="K16" i="419"/>
  <c r="J16" i="419"/>
  <c r="J18" i="419" s="1"/>
  <c r="I16" i="419"/>
  <c r="H16" i="419"/>
  <c r="H18" i="419" s="1"/>
  <c r="AI14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I13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I12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I11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V18" i="419" l="1"/>
  <c r="J23" i="419"/>
  <c r="N23" i="419"/>
  <c r="R23" i="419"/>
  <c r="Z23" i="419"/>
  <c r="AD23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AI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AI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2" i="383"/>
  <c r="G3" i="429"/>
  <c r="F3" i="429"/>
  <c r="E3" i="429"/>
  <c r="D3" i="429"/>
  <c r="C3" i="429"/>
  <c r="B3" i="429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16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AC6" i="419"/>
  <c r="U6" i="419"/>
  <c r="I6" i="419"/>
  <c r="L6" i="419"/>
  <c r="AI6" i="419"/>
  <c r="AF6" i="419"/>
  <c r="AB6" i="419"/>
  <c r="X6" i="419"/>
  <c r="T6" i="419"/>
  <c r="H6" i="419"/>
  <c r="AH6" i="419"/>
  <c r="AE6" i="419"/>
  <c r="AA6" i="419"/>
  <c r="W6" i="419"/>
  <c r="S6" i="419"/>
  <c r="O6" i="419"/>
  <c r="AD6" i="419"/>
  <c r="Z6" i="419"/>
  <c r="V6" i="419"/>
  <c r="R6" i="419"/>
  <c r="N6" i="419"/>
  <c r="J6" i="419"/>
  <c r="Y6" i="419"/>
  <c r="Q6" i="419"/>
  <c r="M6" i="419"/>
  <c r="P6" i="419"/>
  <c r="K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7" i="414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8" i="414" s="1"/>
  <c r="C11" i="339"/>
  <c r="H11" i="339" l="1"/>
  <c r="G11" i="339"/>
  <c r="A18" i="414"/>
  <c r="A13" i="414"/>
  <c r="A8" i="414"/>
  <c r="A7" i="414"/>
  <c r="A14" i="414"/>
  <c r="A4" i="414"/>
  <c r="A6" i="339" l="1"/>
  <c r="A5" i="339"/>
  <c r="C14" i="414"/>
  <c r="D4" i="414"/>
  <c r="C17" i="414"/>
  <c r="D14" i="414"/>
  <c r="D17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N3" i="345"/>
  <c r="M3" i="345"/>
  <c r="P3" i="345" s="1"/>
  <c r="J3" i="345"/>
  <c r="I3" i="345"/>
  <c r="F3" i="345"/>
  <c r="O3" i="345" s="1"/>
  <c r="E3" i="345"/>
  <c r="M3" i="387"/>
  <c r="K3" i="387" s="1"/>
  <c r="L3" i="387"/>
  <c r="J3" i="387"/>
  <c r="I3" i="387"/>
  <c r="H3" i="387"/>
  <c r="G3" i="387"/>
  <c r="F3" i="387"/>
  <c r="N3" i="220"/>
  <c r="L3" i="220" s="1"/>
  <c r="C19" i="414"/>
  <c r="D19" i="414"/>
  <c r="F13" i="339" l="1"/>
  <c r="E13" i="339"/>
  <c r="E15" i="339" s="1"/>
  <c r="H12" i="339"/>
  <c r="G12" i="339"/>
  <c r="A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6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19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<sst xmlns="http://schemas.openxmlformats.org/spreadsheetml/2006/main" count="5391" uniqueCount="1690">
  <si>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</si>
  <si>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</si>
  <si>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</si>
  <si>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</si>
  <si>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</si>
  <si>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</si>
  <si>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</si>
  <si>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</si>
  <si>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</si>
  <si>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</si>
  <si>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</si>
  <si>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</si>
  <si>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</si>
  <si>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</si>
  <si>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</si>
  <si>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</si>
  <si>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</si>
  <si>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</si>
  <si>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</si>
  <si>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</si>
  <si>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</si>
  <si>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</si>
  <si>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</si>
  <si>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</si>
  <si>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</si>
  <si>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</si>
  <si>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</si>
  <si>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</si>
  <si>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</si>
  <si>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</si>
  <si>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</si>
  <si>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</si>
  <si>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</si>
  <si>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</si>
  <si>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</si>
  <si>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</si>
  <si>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</si>
  <si>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</si>
  <si>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</si>
  <si>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</si>
  <si>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</si>
  <si>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</si>
  <si>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</si>
  <si>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</si>
  <si>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</si>
  <si>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</si>
  <si>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</si>
  <si>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</si>
  <si>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</si>
  <si>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</si>
  <si>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</si>
  <si>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</si>
  <si>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</si>
  <si>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</si>
  <si>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</si>
  <si>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</si>
  <si>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</si>
  <si>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</si>
  <si>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</si>
  <si>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</si>
  <si>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</si>
  <si>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</si>
  <si>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</si>
  <si>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</si>
  <si>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</si>
  <si>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</si>
  <si>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</si>
  <si>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</si>
  <si>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</si>
  <si>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</si>
  <si>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</si>
  <si>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</si>
  <si>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</si>
  <si>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</si>
  <si>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</si>
  <si>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</si>
  <si>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</si>
  <si>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</si>
  <si>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</si>
  <si>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</si>
  <si>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</si>
  <si>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</si>
  <si>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</si>
  <si>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</si>
  <si>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</si>
  <si>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</si>
  <si>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</si>
  <si>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</si>
  <si>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</si>
  <si>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</si>
  <si>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</si>
  <si>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</si>
  <si>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</si>
  <si>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</si>
  <si>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</si>
  <si>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</si>
  <si>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</si>
  <si>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</si>
  <si>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</si>
  <si>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</si>
  <si>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</si>
  <si>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</si>
  <si>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</si>
  <si>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</si>
  <si>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</si>
  <si>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</si>
  <si>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</si>
  <si>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</si>
  <si>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</si>
  <si>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</si>
  <si>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</si>
  <si>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</si>
  <si>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</si>
  <si>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</si>
  <si>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</si>
  <si>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</si>
  <si>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</si>
  <si>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</si>
  <si>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</si>
  <si>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</si>
  <si>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</si>
  <si>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</si>
  <si>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</si>
  <si>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</si>
  <si>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</si>
  <si>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</si>
  <si>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</si>
  <si>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</si>
  <si>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</si>
  <si>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</si>
  <si>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</si>
  <si>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</si>
  <si>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</si>
  <si>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</si>
  <si>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</si>
  <si>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</si>
  <si>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</si>
  <si>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</si>
  <si>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</si>
  <si>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</si>
  <si>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</si>
  <si>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</si>
  <si>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</si>
  <si>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</si>
  <si>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</si>
  <si>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</si>
  <si>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</si>
  <si>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</si>
  <si>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</si>
  <si>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</si>
  <si>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</si>
  <si>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</si>
  <si>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</si>
  <si>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</si>
  <si>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</si>
  <si>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</si>
  <si>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</si>
  <si>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</si>
  <si>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</si>
  <si>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</si>
  <si>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</si>
  <si>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</si>
  <si>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</si>
  <si>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</si>
  <si>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</si>
  <si>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</si>
  <si>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</si>
  <si>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</si>
  <si>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</si>
  <si>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</si>
  <si>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</si>
  <si>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</si>
  <si>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</si>
  <si>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</si>
  <si>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</si>
  <si>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</si>
  <si>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</si>
  <si>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</si>
  <si>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</si>
  <si>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</si>
  <si>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</si>
  <si>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</si>
  <si>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</si>
  <si>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</si>
  <si>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</si>
  <si>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</si>
  <si>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</si>
  <si>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</si>
  <si>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</si>
  <si>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</si>
  <si>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</si>
  <si>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</si>
  <si>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</si>
  <si>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</si>
  <si>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</si>
  <si>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</si>
  <si>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</si>
  <si>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</si>
  <si>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</si>
  <si>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</si>
  <si>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</si>
  <si>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</si>
  <si>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</si>
  <si>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</si>
  <si>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</si>
  <si>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</si>
  <si>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</si>
  <si>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</si>
  <si>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</si>
  <si>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</si>
  <si>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</si>
  <si>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</si>
  <si>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</si>
  <si>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</si>
  <si>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</si>
  <si>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</si>
  <si>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</si>
  <si>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</si>
  <si>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</si>
  <si>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</si>
  <si>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</si>
  <si>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</si>
  <si>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</si>
  <si>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</si>
  <si>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</si>
  <si>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</si>
  <si>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</si>
  <si>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</si>
  <si>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</si>
  <si>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</si>
  <si>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</si>
  <si>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</si>
  <si>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</si>
  <si>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</si>
  <si>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</si>
  <si>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</si>
  <si>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</si>
  <si>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</si>
  <si>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</si>
  <si>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</si>
  <si>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</si>
  <si>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</si>
  <si>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</si>
  <si>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</si>
  <si>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</si>
  <si>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</si>
  <si>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</si>
  <si>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</si>
  <si>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</si>
  <si>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</si>
  <si>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</si>
  <si>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</si>
  <si>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</si>
  <si>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</si>
  <si>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</si>
  <si>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Klinika zubního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</si>
  <si>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</si>
  <si>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</si>
  <si>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</si>
  <si>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</si>
  <si>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</si>
  <si>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</si>
  <si>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</si>
  <si>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</si>
  <si>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</si>
  <si>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</si>
  <si>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50113014     léky (paušál) - antimykotika (LEK)</t>
  </si>
  <si>
    <t>--</t>
  </si>
  <si>
    <t>50113190     medicinální plyny</t>
  </si>
  <si>
    <t>50115     Zdravotnické prostředky</t>
  </si>
  <si>
    <t>50115004     implant.umělé těl.náhr.-kovové (s.Z_506)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</si>
  <si>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</si>
  <si>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</si>
  <si>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</si>
  <si>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</si>
  <si>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50115064     ostatní ZPr - šicí materiál (sk.Z_529)</t>
  </si>
  <si>
    <t>50115065     ostatní ZPr - vpichovací materiál (sk.Z_530)</t>
  </si>
  <si>
    <t>50115067     ostatní ZPr - rukavice (sk.Z_532)</t>
  </si>
  <si>
    <t>50115079     ostatní ZPr - intenzivní péče (sk.Z_542)</t>
  </si>
  <si>
    <t>50115090     ostatní ZPr - zubolékařský materiál (sk.Z_509)</t>
  </si>
  <si>
    <t>50116     Potraviny</t>
  </si>
  <si>
    <t>50116099     nápoje - horké dny (daň.neúčinné)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</si>
  <si>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</si>
  <si>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</si>
  <si>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</si>
  <si>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</si>
  <si>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</si>
  <si>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</si>
  <si>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</si>
  <si>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</si>
  <si>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</si>
  <si>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</si>
  <si>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50117022     všeob.mat. - kuchyň tech. (V33) od 1tis do 2999,99</t>
  </si>
  <si>
    <t>50117024     všeob.mat. - ostatní-vyjímky (V44) od 0,01 do 999,99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</si>
  <si>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</si>
  <si>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</si>
  <si>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</si>
  <si>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</si>
  <si>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</si>
  <si>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</si>
  <si>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</si>
  <si>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</si>
  <si>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</si>
  <si>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</si>
  <si>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</si>
  <si>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</si>
  <si>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</si>
  <si>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</si>
  <si>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</si>
  <si>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</si>
  <si>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</si>
  <si>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</si>
  <si>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</si>
  <si>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</si>
  <si>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</si>
  <si>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</si>
  <si>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</si>
  <si>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</si>
  <si>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</si>
  <si>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</si>
  <si>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</si>
  <si>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</si>
  <si>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</si>
  <si>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</si>
  <si>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</si>
  <si>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</si>
  <si>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</si>
  <si>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</si>
  <si>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</si>
  <si>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</si>
  <si>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</si>
  <si>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</si>
  <si>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</si>
  <si>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</si>
  <si>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</si>
  <si>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</si>
  <si>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</si>
  <si>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</si>
  <si>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</si>
  <si>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</si>
  <si>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</si>
  <si>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</si>
  <si>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51874002     služby (ostraha)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</si>
  <si>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</si>
  <si>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</si>
  <si>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</si>
  <si>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</si>
  <si>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</si>
  <si>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</si>
  <si>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</si>
  <si>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</si>
  <si>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</si>
  <si>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</si>
  <si>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</si>
  <si>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</si>
  <si>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</si>
  <si>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</si>
  <si>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</si>
  <si>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</si>
  <si>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</si>
  <si>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</si>
  <si>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</si>
  <si>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</si>
  <si>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</si>
  <si>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</si>
  <si>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</si>
  <si>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</si>
  <si>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</si>
  <si>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</si>
  <si>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</si>
  <si>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53801004     ostatní poplatky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</si>
  <si>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</si>
  <si>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</si>
  <si>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</si>
  <si>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</si>
  <si>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</si>
  <si>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</si>
  <si>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</si>
  <si>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54970     Předpis - KDF za služby</t>
  </si>
  <si>
    <t>54970000     předpis KDF - služby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</si>
  <si>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</si>
  <si>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</si>
  <si>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</si>
  <si>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</si>
  <si>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</si>
  <si>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</si>
  <si>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55110014     odpisy DHM - zdravot.techn.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</si>
  <si>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</si>
  <si>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</si>
  <si>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</si>
  <si>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</si>
  <si>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</si>
  <si>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</si>
  <si>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</si>
  <si>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</si>
  <si>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</si>
  <si>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55802005     DDHM - OOPP pro pacienty a doprovod (sk.T_13)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</si>
  <si>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</si>
  <si>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</si>
  <si>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</si>
  <si>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</si>
  <si>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</si>
  <si>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</si>
  <si>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</si>
  <si>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</si>
  <si>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</si>
  <si>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</si>
  <si>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</si>
  <si>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</si>
  <si>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</si>
  <si>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</si>
  <si>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</si>
  <si>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</si>
  <si>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</si>
  <si>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60228109     výkony stomatologie</t>
  </si>
  <si>
    <t>60228191     výkony za cizince (mimo EHS)</t>
  </si>
  <si>
    <t>60229     Zdr. výkony - ost. ZP sled.položky  OZPI</t>
  </si>
  <si>
    <t>60229209     výkony stomatologie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</si>
  <si>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</si>
  <si>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</si>
  <si>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</si>
  <si>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</si>
  <si>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</si>
  <si>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</si>
  <si>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</si>
  <si>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64924460     foto při UZ a ost. služby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</si>
  <si>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</si>
  <si>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</si>
  <si>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</si>
  <si>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</si>
  <si>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</si>
  <si>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</si>
  <si>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</si>
  <si>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</si>
  <si>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</si>
  <si>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</si>
  <si>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</si>
  <si>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</si>
  <si>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</si>
  <si>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</si>
  <si>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24</t>
  </si>
  <si>
    <t>Klinika zubního lékařství</t>
  </si>
  <si>
    <t/>
  </si>
  <si>
    <t>Klinika zubního lékařství Celkem</t>
  </si>
  <si>
    <t>SumaKL</t>
  </si>
  <si>
    <t>2421</t>
  </si>
  <si>
    <t xml:space="preserve">ambulance </t>
  </si>
  <si>
    <t>ambulance  Celkem</t>
  </si>
  <si>
    <t>SumaNS</t>
  </si>
  <si>
    <t>mezeraNS</t>
  </si>
  <si>
    <t>50113001</t>
  </si>
  <si>
    <t>O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</si>
  <si>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</si>
  <si>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</si>
  <si>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</si>
  <si>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</si>
  <si>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</si>
  <si>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</si>
  <si>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</si>
  <si>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</si>
  <si>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100643</t>
  </si>
  <si>
    <t>643</t>
  </si>
  <si>
    <t>VITAMIN B12 LECIVA 1000RG</t>
  </si>
  <si>
    <t>INJ 5X1ML/1000RG</t>
  </si>
  <si>
    <t>166555</t>
  </si>
  <si>
    <t>66555</t>
  </si>
  <si>
    <t>MAGNOSOLV</t>
  </si>
  <si>
    <t>GRA 30X6.1GM(SACKY)</t>
  </si>
  <si>
    <t>395294</t>
  </si>
  <si>
    <t>180306</t>
  </si>
  <si>
    <t>TANTUM VERDE</t>
  </si>
  <si>
    <t>LIQ 1X240ML-PET TR</t>
  </si>
  <si>
    <t>395997</t>
  </si>
  <si>
    <t>DZ SOFTASEPT N BEZBARVÝ 250 ml</t>
  </si>
  <si>
    <t>773465</t>
  </si>
  <si>
    <t>Indulona Rakytníková</t>
  </si>
  <si>
    <t>840169</t>
  </si>
  <si>
    <t>Indulona  Měsíčková 100g</t>
  </si>
  <si>
    <t>841059</t>
  </si>
  <si>
    <t>Indulona olivová ung.100g</t>
  </si>
  <si>
    <t>846341</t>
  </si>
  <si>
    <t>Indulona Heřmánková</t>
  </si>
  <si>
    <t>1x100g</t>
  </si>
  <si>
    <t>849941</t>
  </si>
  <si>
    <t>162142</t>
  </si>
  <si>
    <t>PARALEN 500</t>
  </si>
  <si>
    <t>POR TBL NOB 24X500MG</t>
  </si>
  <si>
    <t>930444</t>
  </si>
  <si>
    <t>KL AQUA PURIF. KUL., FAG. 1 kg</t>
  </si>
  <si>
    <t>51384</t>
  </si>
  <si>
    <t>CHLORID SODNÝ 0,9% BRAUN</t>
  </si>
  <si>
    <t>INF SOL 10X1000MLPLAH</t>
  </si>
  <si>
    <t>189244</t>
  </si>
  <si>
    <t>89244</t>
  </si>
  <si>
    <t>AQUA PRO INJECTIONE ARDEAPHARMA</t>
  </si>
  <si>
    <t>INF 1X250ML</t>
  </si>
  <si>
    <t>196610</t>
  </si>
  <si>
    <t>96610</t>
  </si>
  <si>
    <t>APAURIN</t>
  </si>
  <si>
    <t>INJ 10X2ML/10MG</t>
  </si>
  <si>
    <t>920170</t>
  </si>
  <si>
    <t>DZ TRIXO 500 ML</t>
  </si>
  <si>
    <t>169789</t>
  </si>
  <si>
    <t>69789</t>
  </si>
  <si>
    <t>INF 1X500ML</t>
  </si>
  <si>
    <t>193109</t>
  </si>
  <si>
    <t>93109</t>
  </si>
  <si>
    <t>SUPRACAIN 4%</t>
  </si>
  <si>
    <t>INJ 10X2ML</t>
  </si>
  <si>
    <t>911927</t>
  </si>
  <si>
    <t>KL ETHANOL.C.BENZINO 200G</t>
  </si>
  <si>
    <t>100392</t>
  </si>
  <si>
    <t>392</t>
  </si>
  <si>
    <t>ATROPIN BIOTIKA 0.5MG</t>
  </si>
  <si>
    <t>INJ 10X1ML/0.5MG</t>
  </si>
  <si>
    <t>705608</t>
  </si>
  <si>
    <t>Indulona modrá 100ml</t>
  </si>
  <si>
    <t>900321</t>
  </si>
  <si>
    <t>KL PRIPRAVEK</t>
  </si>
  <si>
    <t>101940</t>
  </si>
  <si>
    <t>1940</t>
  </si>
  <si>
    <t>OXAZEPAM TBL.20X10MG</t>
  </si>
  <si>
    <t>TBL 20X10MG(BLISTR)</t>
  </si>
  <si>
    <t>117011</t>
  </si>
  <si>
    <t>17011</t>
  </si>
  <si>
    <t>DICYNONE 250</t>
  </si>
  <si>
    <t>INJ SOL 4X2ML/250MG</t>
  </si>
  <si>
    <t>156926</t>
  </si>
  <si>
    <t>56926</t>
  </si>
  <si>
    <t>AQUA PRO INJECTIONE BRAUN</t>
  </si>
  <si>
    <t>INJ SOL 20X10ML-PLA</t>
  </si>
  <si>
    <t>394712</t>
  </si>
  <si>
    <t>IR  AQUA STERILE OPLACH.1x1000 ml ECOTAINER</t>
  </si>
  <si>
    <t>IR OPLACH</t>
  </si>
  <si>
    <t>841543</t>
  </si>
  <si>
    <t>MENALIND Krém na ruce 200ml</t>
  </si>
  <si>
    <t>169755</t>
  </si>
  <si>
    <t>69755</t>
  </si>
  <si>
    <t>ARDEANUTRISOL G 40</t>
  </si>
  <si>
    <t>INF 1X80ML</t>
  </si>
  <si>
    <t>501065</t>
  </si>
  <si>
    <t>KL SIGNATURY</t>
  </si>
  <si>
    <t>921184</t>
  </si>
  <si>
    <t>KL UNGUENTUM</t>
  </si>
  <si>
    <t>930589</t>
  </si>
  <si>
    <t>KL ETHANOLUM BENZ.DENAT. 900 ml / 720g/</t>
  </si>
  <si>
    <t>UN 1170</t>
  </si>
  <si>
    <t>790001</t>
  </si>
  <si>
    <t>TRAUMACEL P 2G</t>
  </si>
  <si>
    <t>neleč.</t>
  </si>
  <si>
    <t>921249</t>
  </si>
  <si>
    <t>KL SOL.FORMALDEHYDI 10%, 200G</t>
  </si>
  <si>
    <t>621272</t>
  </si>
  <si>
    <t>DZ STERILIUM CLASSIC PURE 100ML</t>
  </si>
  <si>
    <t>UN 1987</t>
  </si>
  <si>
    <t>900873</t>
  </si>
  <si>
    <t>KL VASELINUM ALBUM, 100G</t>
  </si>
  <si>
    <t>921230</t>
  </si>
  <si>
    <t>KL VASELINUM ALBUM, 20G</t>
  </si>
  <si>
    <t>920064</t>
  </si>
  <si>
    <t>KL SOL.METHYLROS.CHL.1% 10G</t>
  </si>
  <si>
    <t>900012</t>
  </si>
  <si>
    <t>KL SOL.HYD.PEROX.3% 200G</t>
  </si>
  <si>
    <t>921403</t>
  </si>
  <si>
    <t>KL VASELINUM ALBUM, 50G</t>
  </si>
  <si>
    <t>930095</t>
  </si>
  <si>
    <t>KL VASELINUM ALBUM, 30G</t>
  </si>
  <si>
    <t>100514</t>
  </si>
  <si>
    <t>514</t>
  </si>
  <si>
    <t>NATRIUM CHLORATUM BIOTIKA ISOT.</t>
  </si>
  <si>
    <t>INJ 10X5ML</t>
  </si>
  <si>
    <t>920380</t>
  </si>
  <si>
    <t>KL SOL.HYD.PEROX.3% 100G v sirokohrdle lahvi</t>
  </si>
  <si>
    <t>930671</t>
  </si>
  <si>
    <t>KL CHLORHEXIDINI SOL. 0,1% 300 g</t>
  </si>
  <si>
    <t>v sirokohrdle lahvi</t>
  </si>
  <si>
    <t>500989</t>
  </si>
  <si>
    <t>KL MS HYDROG.PEROX. 3% 1000g</t>
  </si>
  <si>
    <t>900513</t>
  </si>
  <si>
    <t>KL ETHANOL.C.BENZINO 75G</t>
  </si>
  <si>
    <t>180441</t>
  </si>
  <si>
    <t>80441</t>
  </si>
  <si>
    <t>UBISTESIN FORTE</t>
  </si>
  <si>
    <t>INJ SOL 50X1.7ML</t>
  </si>
  <si>
    <t>185793</t>
  </si>
  <si>
    <t>136395</t>
  </si>
  <si>
    <t>SOLCOSERYL DENTAL ADHESIVE</t>
  </si>
  <si>
    <t>STM PST 1X5GM</t>
  </si>
  <si>
    <t>847204</t>
  </si>
  <si>
    <t>Listerine Freshmint 500ml</t>
  </si>
  <si>
    <t>920355</t>
  </si>
  <si>
    <t>KL SOL.BORGLYCEROLI 3% 10 G</t>
  </si>
  <si>
    <t>920376</t>
  </si>
  <si>
    <t>KL SOL.HYD.PEROX.3% 200G v sirokohrdle lahvi</t>
  </si>
  <si>
    <t>920377</t>
  </si>
  <si>
    <t>KL SOL.HYD.PEROX.3% 300G v sirokohrdle lahvi</t>
  </si>
  <si>
    <t>921241</t>
  </si>
  <si>
    <t>KL SOL.ARG.NITR.10% 10G</t>
  </si>
  <si>
    <t>921272</t>
  </si>
  <si>
    <t>KL JODOVY OLEJ 10G</t>
  </si>
  <si>
    <t>921320</t>
  </si>
  <si>
    <t>KL SOL.HYD.PEROX.3% 10G</t>
  </si>
  <si>
    <t>921453</t>
  </si>
  <si>
    <t>KL SOL.PHENOLI CAMPHOR. 10g</t>
  </si>
  <si>
    <t>921520</t>
  </si>
  <si>
    <t>KL PHENOLUM liq.10g</t>
  </si>
  <si>
    <t>930417</t>
  </si>
  <si>
    <t>KL SOL.ZINCI CHLOR.10% 10 g</t>
  </si>
  <si>
    <t>930670</t>
  </si>
  <si>
    <t>KL CHLORHEXIDINI SOL. 0,2% 200 g</t>
  </si>
  <si>
    <t>930673</t>
  </si>
  <si>
    <t>KL CHLORHEXIDINI SOL. 0,1% 200g</t>
  </si>
  <si>
    <t>930674</t>
  </si>
  <si>
    <t>KL CHLORNAN SODNÝ 1% 300g v sirokohrdle lahvi</t>
  </si>
  <si>
    <t>140631</t>
  </si>
  <si>
    <t>40631</t>
  </si>
  <si>
    <t>ELMEX GELEE</t>
  </si>
  <si>
    <t>STM GEL 1X25GM</t>
  </si>
  <si>
    <t>847638</t>
  </si>
  <si>
    <t>Listerine Total Care 500ml</t>
  </si>
  <si>
    <t>395712</t>
  </si>
  <si>
    <t>HBF Calcium panthotenát mast 30g</t>
  </si>
  <si>
    <t>201452</t>
  </si>
  <si>
    <t>OPHTAL</t>
  </si>
  <si>
    <t>OPH AQA 4X25ML PLAST</t>
  </si>
  <si>
    <t>203092</t>
  </si>
  <si>
    <t>LIDOCAIN EGIS 10 %</t>
  </si>
  <si>
    <t>DRM SPR SOL 1X38GM</t>
  </si>
  <si>
    <t>10561</t>
  </si>
  <si>
    <t>INJ SOL 10X1000ML-PE</t>
  </si>
  <si>
    <t>50113013</t>
  </si>
  <si>
    <t>190778</t>
  </si>
  <si>
    <t>90778</t>
  </si>
  <si>
    <t>BACTROBAN</t>
  </si>
  <si>
    <t>DRM UNG 1X15GM</t>
  </si>
  <si>
    <t>844576</t>
  </si>
  <si>
    <t>100339</t>
  </si>
  <si>
    <t>DALACIN C 300 MG</t>
  </si>
  <si>
    <t>POR CPS DUR 16X300MG</t>
  </si>
  <si>
    <t>P</t>
  </si>
  <si>
    <t>105951</t>
  </si>
  <si>
    <t>5951</t>
  </si>
  <si>
    <t>AMOKSIKLAV 1G</t>
  </si>
  <si>
    <t>TBL OBD 14X1GM</t>
  </si>
  <si>
    <t>50113014</t>
  </si>
  <si>
    <t>176152</t>
  </si>
  <si>
    <t>76152</t>
  </si>
  <si>
    <t>BATRAFEN</t>
  </si>
  <si>
    <t>LIQ 1X20ML</t>
  </si>
  <si>
    <t>Klinika zubního lékařství, ambulance</t>
  </si>
  <si>
    <t>Lékárna - léčiva</t>
  </si>
  <si>
    <t>Lékárna - antibiotika</t>
  </si>
  <si>
    <t>Lékárna - antimykotika</t>
  </si>
  <si>
    <t>2421 - Klinika zubního lékařství, ambulance</t>
  </si>
  <si>
    <t>J01FF01 - Klindamycin</t>
  </si>
  <si>
    <t>J01CR02 - Amoxicilin a enzymový inhibitor</t>
  </si>
  <si>
    <t>J01CR02</t>
  </si>
  <si>
    <t>AMOKSIKLAV 1 G</t>
  </si>
  <si>
    <t>POR TBL FLM 14</t>
  </si>
  <si>
    <t>J01FF01</t>
  </si>
  <si>
    <t>Přehled plnění pozitivního listu - spotřeba léčivých přípravků - orientační přehled</t>
  </si>
  <si>
    <t>24 - Klinika zubního lékařství</t>
  </si>
  <si>
    <t xml:space="preserve">2421 - ambulance </t>
  </si>
  <si>
    <t>50115070     ostatní ZPr - katetry (sk.Z_513)</t>
  </si>
  <si>
    <t>2406</t>
  </si>
  <si>
    <t>IOP - Mod.tech.vyb.v oblasti prevence nozokomiál.infek.</t>
  </si>
  <si>
    <t>IOP - Mod.tech.vyb.v oblasti prevence nozokomiál.infek. Celkem</t>
  </si>
  <si>
    <t>ZA090</t>
  </si>
  <si>
    <t>Vata buničitá přířezy 37 x 57 cm 2730152</t>
  </si>
  <si>
    <t>ZA321</t>
  </si>
  <si>
    <t>Kompresa gáza 7,5 cm x 7,5 cm / 100 ks 17 nití, 8 vrstev 06002</t>
  </si>
  <si>
    <t>ZA443</t>
  </si>
  <si>
    <t>Šátek trojcípý pletený 125 x 85 x 85 cm 20001</t>
  </si>
  <si>
    <t>ZA446</t>
  </si>
  <si>
    <t>Vata buničitá přířezy 20 x 30 cm 1230200129</t>
  </si>
  <si>
    <t>ZA451</t>
  </si>
  <si>
    <t>Náplast omniplast 5 cm x 9,2 m 9004540 (900429)</t>
  </si>
  <si>
    <t>ZA554</t>
  </si>
  <si>
    <t>Krytí hypro-sorb R 10 x 10 x 10 mm bal. á 10 ks 006</t>
  </si>
  <si>
    <t>ZA582</t>
  </si>
  <si>
    <t>Tampon sterilní small bal. á 100 ks 156760</t>
  </si>
  <si>
    <t>ZA603</t>
  </si>
  <si>
    <t>Kompresa gáza 7,5 x 7,5 cm / 2 ks sterilní karton á 1000 ks 26005</t>
  </si>
  <si>
    <t>ZA604</t>
  </si>
  <si>
    <t>Tyčinka vatová sterilní jednotlivě balalená bal. á 1000 ks 5100/SG/CS</t>
  </si>
  <si>
    <t>ZB404</t>
  </si>
  <si>
    <t>Náplast cosmos 8 cm x 1 m 5403353</t>
  </si>
  <si>
    <t>ZC100</t>
  </si>
  <si>
    <t>Vata buničitá dělená 2 role / 500 ks 40 x 50 mm 1230200310</t>
  </si>
  <si>
    <t>ZD103</t>
  </si>
  <si>
    <t>Náplast omniplast 2,5 cm x 9,2 m 9004530</t>
  </si>
  <si>
    <t>ZD740</t>
  </si>
  <si>
    <t>Kompresa gáza sterilkompres 7,5 x 7,5 cm / 5 ks sterilní 1325019265(1230119225)</t>
  </si>
  <si>
    <t>ZF080</t>
  </si>
  <si>
    <t>Rouška břišní 17 nití s kroužkem na tkanici 12 x 47 cm karton á 300 ks 1230100311</t>
  </si>
  <si>
    <t>ZG538</t>
  </si>
  <si>
    <t>Obvaz ran po chir.zákrocích COE PACK 530315</t>
  </si>
  <si>
    <t>ZA613</t>
  </si>
  <si>
    <t>Drenáž ústní sterilní 1 x 8 cm 0368 - již se nevyrábí</t>
  </si>
  <si>
    <t>ZA616</t>
  </si>
  <si>
    <t>Drenáž zubní sterilní 1 x 6 cm 0360</t>
  </si>
  <si>
    <t>ZC917</t>
  </si>
  <si>
    <t>Krytí hypro-sorb F 20 x 30 mm HY 2030/2</t>
  </si>
  <si>
    <t>ZL789</t>
  </si>
  <si>
    <t>Obvaz sterilní hotový č. 2 A4091360</t>
  </si>
  <si>
    <t>ZL790</t>
  </si>
  <si>
    <t>Obvaz sterilní hotový č. 3 A4101144</t>
  </si>
  <si>
    <t>ZL791</t>
  </si>
  <si>
    <t>Obvaz sterilní hotový č. 4 002370873</t>
  </si>
  <si>
    <t>ZM000</t>
  </si>
  <si>
    <t>Vata obvazová skládaná 50g 004307667</t>
  </si>
  <si>
    <t>ZA533</t>
  </si>
  <si>
    <t>Váleček zubní Celluron č.2 á 600 ks 4301821</t>
  </si>
  <si>
    <t>ZF598</t>
  </si>
  <si>
    <t>Krytí hypro-sorb Z bal. á 10 ks 009</t>
  </si>
  <si>
    <t>ZN200</t>
  </si>
  <si>
    <t>Krytí  traumacel new dent bal. á 50 ks 10115</t>
  </si>
  <si>
    <t>ZA727</t>
  </si>
  <si>
    <t>Kontejner 30 ml sterilní 331690251750</t>
  </si>
  <si>
    <t>ZA728</t>
  </si>
  <si>
    <t>Lopatka lékařská nesterilní dřevěná ústní bal. á 100 ks 1320100655</t>
  </si>
  <si>
    <t>ZA789</t>
  </si>
  <si>
    <t>Stříkačka injekční 2-dílná 2 ml L Inject Solo 4606027V</t>
  </si>
  <si>
    <t>ZA790</t>
  </si>
  <si>
    <t>Stříkačka injekční 2-dílná 5 ml L Inject Solo4606051V</t>
  </si>
  <si>
    <t>ZB006</t>
  </si>
  <si>
    <t>Teploměr digitální thermoval basic 9250391</t>
  </si>
  <si>
    <t>ZB830</t>
  </si>
  <si>
    <t>Zrcátko zubní - zvětšovací b397122510020</t>
  </si>
  <si>
    <t>ZB844</t>
  </si>
  <si>
    <t>Esmarch 60 x 1250 KVS 06125</t>
  </si>
  <si>
    <t>ZB949</t>
  </si>
  <si>
    <t>Pinzeta UH sterilní HAR999565</t>
  </si>
  <si>
    <t>ZC752</t>
  </si>
  <si>
    <t>Čepelka skalpelová 15 BB515</t>
  </si>
  <si>
    <t>ZE159</t>
  </si>
  <si>
    <t>Nádoba na kontaminovaný odpad 2 l 15-0003</t>
  </si>
  <si>
    <t>ZF159</t>
  </si>
  <si>
    <t>Nádoba na kontaminovaný odpad 1 l 15-0002</t>
  </si>
  <si>
    <t>ZI179</t>
  </si>
  <si>
    <t>Zkumavka s mediem+ flovakovaný tampon eSwab růžový 490CE.A</t>
  </si>
  <si>
    <t>ZD131</t>
  </si>
  <si>
    <t>Čepelka skalpelová 12 BB512</t>
  </si>
  <si>
    <t>ZF549</t>
  </si>
  <si>
    <t>Náústek s filtrem výměnný k plynu Entonox 1043178</t>
  </si>
  <si>
    <t>ZB585</t>
  </si>
  <si>
    <t>Vzduchovod nosní PVC 6/8 KVS 321024 (579208)</t>
  </si>
  <si>
    <t>ZB823</t>
  </si>
  <si>
    <t>Drát kulatý 0,8 mm IN0308</t>
  </si>
  <si>
    <t>ZG735</t>
  </si>
  <si>
    <t>Čep vodící bi-pin krátký, á 100 ks RE326.1000</t>
  </si>
  <si>
    <t>ZB458</t>
  </si>
  <si>
    <t>Osteofix 0,7 mm</t>
  </si>
  <si>
    <t>ZB681</t>
  </si>
  <si>
    <t>Návlek na fix.tyčinku k OPG bal. á 200 ks 6644-IMG</t>
  </si>
  <si>
    <t>ZB848</t>
  </si>
  <si>
    <t>Osteofix 0,9 mm</t>
  </si>
  <si>
    <t>ZD178</t>
  </si>
  <si>
    <t>Sof-lex disky ES8692F</t>
  </si>
  <si>
    <t>ZL504</t>
  </si>
  <si>
    <t>Drát retainerový pozlacený bal. á 5 ks ZMRW</t>
  </si>
  <si>
    <t>ZB933</t>
  </si>
  <si>
    <t>Štětečky aplikační, á 400 ks, SD8100123</t>
  </si>
  <si>
    <t>ZC196</t>
  </si>
  <si>
    <t>Implantát D5.1 BIO/L10 2551:3</t>
  </si>
  <si>
    <t>ZC234</t>
  </si>
  <si>
    <t>Implantát D3.7 BIO/L12 0351:3</t>
  </si>
  <si>
    <t>ZC237</t>
  </si>
  <si>
    <t>Implantát D5.1 BIO/L12 3551:3</t>
  </si>
  <si>
    <t>ZC300</t>
  </si>
  <si>
    <t>Pasta Depural Neo 75 g 4816210</t>
  </si>
  <si>
    <t>ZC301</t>
  </si>
  <si>
    <t>Ypeen 800 g dóza 100066</t>
  </si>
  <si>
    <t>ZC306</t>
  </si>
  <si>
    <t>Adhesor orig. 80 g N-1 prášek 55 g tekutina N-1</t>
  </si>
  <si>
    <t>ZC313</t>
  </si>
  <si>
    <t>Repin 800g orig. 4241110</t>
  </si>
  <si>
    <t>ZC325</t>
  </si>
  <si>
    <t>Gel Etching 4122505</t>
  </si>
  <si>
    <t>ZC357</t>
  </si>
  <si>
    <t>Superacryl plus Z a 500 gr pl 4328414</t>
  </si>
  <si>
    <t>ZC360</t>
  </si>
  <si>
    <t>Premacryl liq.bezbarvý 250 ml 4342921</t>
  </si>
  <si>
    <t>ZC373</t>
  </si>
  <si>
    <t>Sprej cognoscin orig. 120 g 1IX1140</t>
  </si>
  <si>
    <t>ZC405</t>
  </si>
  <si>
    <t>Pilíř Attachment kulový classic D3.7/d3.7/L2 22432:3</t>
  </si>
  <si>
    <t>ZC441</t>
  </si>
  <si>
    <t>Sádra marmodent 0208/25 á 25 kg</t>
  </si>
  <si>
    <t>ZC450</t>
  </si>
  <si>
    <t>Sádra efektor otisk 25 kg 4251135</t>
  </si>
  <si>
    <t>ZC453</t>
  </si>
  <si>
    <t>Prime-bond 60667240</t>
  </si>
  <si>
    <t>ZC455</t>
  </si>
  <si>
    <t>Kartáček nylon do kolénka BT260.23N</t>
  </si>
  <si>
    <t>ZC456</t>
  </si>
  <si>
    <t>Savka UH 709, á 100 ks, 00709</t>
  </si>
  <si>
    <t>ZC462</t>
  </si>
  <si>
    <t>Písek Interalox 250 620000122</t>
  </si>
  <si>
    <t>ZC481</t>
  </si>
  <si>
    <t>Siloflex plus catal. 60 g 4213310</t>
  </si>
  <si>
    <t>ZC518</t>
  </si>
  <si>
    <t>Kromopan 100 450 g, 1/X2710</t>
  </si>
  <si>
    <t>ZC519</t>
  </si>
  <si>
    <t>Elastic cromo 4221305</t>
  </si>
  <si>
    <t>ZC527</t>
  </si>
  <si>
    <t>Sádra alabastr. 0301/25 á 25 kg</t>
  </si>
  <si>
    <t>ZD161</t>
  </si>
  <si>
    <t>Matrice classic eliptická 7932.3</t>
  </si>
  <si>
    <t>ZD351</t>
  </si>
  <si>
    <t>Speedex Universal Aktivator 1 x 60 ml - 60 g IX4990</t>
  </si>
  <si>
    <t>ZD387</t>
  </si>
  <si>
    <t>Gumička ligovací elast.ligatury Safe-T-Ties (400-417) 400-801</t>
  </si>
  <si>
    <t>ZD390</t>
  </si>
  <si>
    <t>Tahy gumové intraor.-medium 3/16" 407-031S</t>
  </si>
  <si>
    <t>ZD528</t>
  </si>
  <si>
    <t>Zuby primodent zadní PO610</t>
  </si>
  <si>
    <t>ZD680</t>
  </si>
  <si>
    <t>Aqua cem, fix.materiál pro zub.náhrady 30 g 88115</t>
  </si>
  <si>
    <t>ZD767</t>
  </si>
  <si>
    <t>Aquasil soft Putty01</t>
  </si>
  <si>
    <t>ZD811</t>
  </si>
  <si>
    <t>Pilíř Attachment kulový classic D3.7/d3.7/L1 21432:3</t>
  </si>
  <si>
    <t>ZE025</t>
  </si>
  <si>
    <t>Zuby primodent přední PO609</t>
  </si>
  <si>
    <t>ZE060</t>
  </si>
  <si>
    <t>Drát NiTi 012 upper oval form III 101-430</t>
  </si>
  <si>
    <t>ZE066</t>
  </si>
  <si>
    <t>Gumička ligovací neon růžová 400-803 (400-405)</t>
  </si>
  <si>
    <t>ZE730</t>
  </si>
  <si>
    <t>Implantát D4.4 BIO-ACCEL/L10 0221:3</t>
  </si>
  <si>
    <t>ZF135</t>
  </si>
  <si>
    <t>Fréza malá 999-6000</t>
  </si>
  <si>
    <t>ZG557</t>
  </si>
  <si>
    <t>Zámky keramické signature (sada=6ks) Q3010</t>
  </si>
  <si>
    <t>ZG693</t>
  </si>
  <si>
    <t>Desky bazální - horní transparentní bal.á 50 ks 90 02 525</t>
  </si>
  <si>
    <t>ZI638</t>
  </si>
  <si>
    <t>Koncovka odsávací Sugritip-micro, á 20 ks 402048</t>
  </si>
  <si>
    <t>ZI663</t>
  </si>
  <si>
    <t>Gumička ligovací 400-402</t>
  </si>
  <si>
    <t>ZI807</t>
  </si>
  <si>
    <t>Implantát D4.4 BIO-ACCEL/L12 0321:3</t>
  </si>
  <si>
    <t>ZI810</t>
  </si>
  <si>
    <t>Nit elastická kulatá hrubá J0388</t>
  </si>
  <si>
    <t>ZI811</t>
  </si>
  <si>
    <t>Klínek derotační 400-301</t>
  </si>
  <si>
    <t>ZI927</t>
  </si>
  <si>
    <t>Amalgám YDM velikost 1 YDM-I/400</t>
  </si>
  <si>
    <t>ZL577</t>
  </si>
  <si>
    <t>Sprej Kavo 4119640KA</t>
  </si>
  <si>
    <t>ZA985</t>
  </si>
  <si>
    <t>Šroubovák imbus ruční hex krátký 1.4/L11/L25 2224.3</t>
  </si>
  <si>
    <t>ZB881</t>
  </si>
  <si>
    <t>Implantát D2.9 SB/L12 02101:3</t>
  </si>
  <si>
    <t>ZC480</t>
  </si>
  <si>
    <t>Siloflex plus light 200 g 4213210</t>
  </si>
  <si>
    <t>ZC512</t>
  </si>
  <si>
    <t>Čep papírový 15-40 BT930.1</t>
  </si>
  <si>
    <t>ZC570</t>
  </si>
  <si>
    <t>Kavitan LC A2 12 g prášku + 5 g tekutiny 4113411</t>
  </si>
  <si>
    <t>ZC920</t>
  </si>
  <si>
    <t>Zámky elite medium twin set. 022 707-398</t>
  </si>
  <si>
    <t>ZD118</t>
  </si>
  <si>
    <t>Interim Stand pěn.vložky 0658697</t>
  </si>
  <si>
    <t>ZD133</t>
  </si>
  <si>
    <t>Hmota otiskovací kettenbach 0137221</t>
  </si>
  <si>
    <t>ZD290</t>
  </si>
  <si>
    <t>Tetric Evo 2g Flow A2</t>
  </si>
  <si>
    <t>ZD336</t>
  </si>
  <si>
    <t>Dentalon plus liquid 250 ml HK65041138</t>
  </si>
  <si>
    <t>ZD531</t>
  </si>
  <si>
    <t>Superacryl plus PLV. 500 g</t>
  </si>
  <si>
    <t>ZD789</t>
  </si>
  <si>
    <t>Clip clip /voco/prov.výplňový materiál stříkačka 2 x 4 g 1284</t>
  </si>
  <si>
    <t>ZF313</t>
  </si>
  <si>
    <t>Opticor flow barva A3 4000009</t>
  </si>
  <si>
    <t>ZF690</t>
  </si>
  <si>
    <t>Drát NiTi 016 lower oval form III 101-435</t>
  </si>
  <si>
    <t>ZF691</t>
  </si>
  <si>
    <t>Drát NiTi 16 x 22 upper oval form III 101-442</t>
  </si>
  <si>
    <t>ZG386</t>
  </si>
  <si>
    <t>Sprej CAD/CAM 50 ml 9002655</t>
  </si>
  <si>
    <t>ZG402</t>
  </si>
  <si>
    <t>Orthocryl Neon modrý á 1 kg 160-003-00</t>
  </si>
  <si>
    <t>ZG841</t>
  </si>
  <si>
    <t>Cement výplňový skloionomerní bal. á 50 ks 0298198</t>
  </si>
  <si>
    <t>ZG862</t>
  </si>
  <si>
    <t>Gumička ligovací á 30 ks 400-446</t>
  </si>
  <si>
    <t>ZH467</t>
  </si>
  <si>
    <t>Sprej KaVo QUATTROCARE á 6 ks (6 lahví) KaVo QUATTROcare spreje a 500 ml 1.005.4525</t>
  </si>
  <si>
    <t>ZJ177</t>
  </si>
  <si>
    <t>Implantát D3.7 BIO/L8 0151:3</t>
  </si>
  <si>
    <t>ZK611</t>
  </si>
  <si>
    <t>Kanyla RMO FLI 47 A08747</t>
  </si>
  <si>
    <t>ZL447</t>
  </si>
  <si>
    <t>Matrice Hawe adapt 1207581207</t>
  </si>
  <si>
    <t>ZL587</t>
  </si>
  <si>
    <t>Blána na kofferdam nic tone rubber nam medium 13227</t>
  </si>
  <si>
    <t>ZL622</t>
  </si>
  <si>
    <t>Štětečky jednorázové bílé měkké, á 50 ks, DC702008</t>
  </si>
  <si>
    <t>ZB277</t>
  </si>
  <si>
    <t>Pronikač K-File 063025015</t>
  </si>
  <si>
    <t>ZL796</t>
  </si>
  <si>
    <t>Vlákno zubní Oral-Satin Tape 0498822</t>
  </si>
  <si>
    <t>ZC827</t>
  </si>
  <si>
    <t>Implantát D4.4 BIO-ACCEL/L14 0421:3</t>
  </si>
  <si>
    <t>ZL894</t>
  </si>
  <si>
    <t>Aplikátor M+W MicroTips modrý 0200507</t>
  </si>
  <si>
    <t>ZC446</t>
  </si>
  <si>
    <t>Kroužek molárový horní +7 H/LV  887-001 až 036</t>
  </si>
  <si>
    <t>ZG111</t>
  </si>
  <si>
    <t>Kroužky molárové dolní 6-  D/PR  880-001 až 036</t>
  </si>
  <si>
    <t>ZK252</t>
  </si>
  <si>
    <t>Hmota otiskovací zeta plus 900 ml 003-540107</t>
  </si>
  <si>
    <t>ZL967</t>
  </si>
  <si>
    <t>Transpa incizal TI 3 á 20 g IV593264</t>
  </si>
  <si>
    <t>ZL961</t>
  </si>
  <si>
    <t>Dentin D 3 á 20 g IV593240</t>
  </si>
  <si>
    <t>ZM052</t>
  </si>
  <si>
    <t>Hmota otiskovací silikonová express XT Ligh Body A 9018671</t>
  </si>
  <si>
    <t>ZE181</t>
  </si>
  <si>
    <t>Fólie erkodur 1,0 x 120 mm ER521210</t>
  </si>
  <si>
    <t>ZD986</t>
  </si>
  <si>
    <t>Superpont Vita 100g 620003503</t>
  </si>
  <si>
    <t>ZH111</t>
  </si>
  <si>
    <t>Čep 06 papírový 15-40 dentaclean 9019134</t>
  </si>
  <si>
    <t>ZI092</t>
  </si>
  <si>
    <t>Čep papírový 04% VDW558025 1569322</t>
  </si>
  <si>
    <t>ZD465</t>
  </si>
  <si>
    <t>Pilník K-File 397144518762</t>
  </si>
  <si>
    <t>ZC193</t>
  </si>
  <si>
    <t>Poresorb-TCP 1.0 g/1.2 ml 1,0-2,0 m 41:2</t>
  </si>
  <si>
    <t>ZE581</t>
  </si>
  <si>
    <t>Signum - insulating gel á 10g HK64706307</t>
  </si>
  <si>
    <t>ZC479</t>
  </si>
  <si>
    <t>Siloflex plus putty 1350 g 4213110</t>
  </si>
  <si>
    <t>ZD415</t>
  </si>
  <si>
    <t>Amalgám kapslový č.2 YDM-I600</t>
  </si>
  <si>
    <t>ZD214</t>
  </si>
  <si>
    <t>Speedex komplet 620003520</t>
  </si>
  <si>
    <t>ZD140</t>
  </si>
  <si>
    <t>Pájka univerz.stříbrná - 700°C 380-604-50</t>
  </si>
  <si>
    <t>ZG518</t>
  </si>
  <si>
    <t>Návlek na senzor RVG  bal. á 500ks 582024</t>
  </si>
  <si>
    <t>ZH114</t>
  </si>
  <si>
    <t>Čep gutaperčový ProTaper F2 bal. á 60 ks 0488676</t>
  </si>
  <si>
    <t>ZG694</t>
  </si>
  <si>
    <t>Desky bazální - dolní transparentní bal.á 50 ks 90 02 526</t>
  </si>
  <si>
    <t>ZD524</t>
  </si>
  <si>
    <t>Čep vodící střední 302</t>
  </si>
  <si>
    <t>ZL045</t>
  </si>
  <si>
    <t>Implantát astra tech TX 4.0 S 24942</t>
  </si>
  <si>
    <t>ZC555</t>
  </si>
  <si>
    <t>Vosk měkký modelovací ceradent 1000 g vosku v destičkách 155 x 75 mm s tloušťkou 1,2 - 1,4 mm 4411115</t>
  </si>
  <si>
    <t>ZE576</t>
  </si>
  <si>
    <t>Glaze IPS- InLine á 3g IV602384</t>
  </si>
  <si>
    <t>ZD469</t>
  </si>
  <si>
    <t>Sádra-stone orange 0613/25</t>
  </si>
  <si>
    <t>ZG110</t>
  </si>
  <si>
    <t>Kroužky molárové dolní -6  D/LV  881-001 až 036</t>
  </si>
  <si>
    <t>ZH107</t>
  </si>
  <si>
    <t>Čep 06 gutaperčový 15-40 dentaclean á 60 ks G64011 9003571</t>
  </si>
  <si>
    <t>ZC299</t>
  </si>
  <si>
    <t>Dentiplast 20 g 4232110</t>
  </si>
  <si>
    <t>ZD335</t>
  </si>
  <si>
    <t>Dentalon plus-barva HK650410L</t>
  </si>
  <si>
    <t>ZD375</t>
  </si>
  <si>
    <t>GC Fuji Plus GC001409</t>
  </si>
  <si>
    <t>ZE685</t>
  </si>
  <si>
    <t>Nit elastická čirá 18 x 18 ECM0695</t>
  </si>
  <si>
    <t>ZG695</t>
  </si>
  <si>
    <t>Vosk modelovací - speciál letní 1,5 mm 2500 g 9001516</t>
  </si>
  <si>
    <t>ZC328</t>
  </si>
  <si>
    <t>Calxyd ve stříkačce 2 x 3,5 g 4142120</t>
  </si>
  <si>
    <t>ZG959</t>
  </si>
  <si>
    <t>Keramika ceramco 3 - přirozená tavná hmota 15g DE301322</t>
  </si>
  <si>
    <t>ZD005</t>
  </si>
  <si>
    <t>Separating fluid 500 ml 620000380</t>
  </si>
  <si>
    <t>ZC382</t>
  </si>
  <si>
    <t>Opticor flow barva A2 1008A2</t>
  </si>
  <si>
    <t>ZL411</t>
  </si>
  <si>
    <t>Cement pryskyřičný RelyX U 200 9026798</t>
  </si>
  <si>
    <t>ZF615</t>
  </si>
  <si>
    <t>Pronikač Hedstrém 053025008B</t>
  </si>
  <si>
    <t>ZL521</t>
  </si>
  <si>
    <t>Granulát spongiozní ACE Nu Oss Collagen 509-9100</t>
  </si>
  <si>
    <t>ZG860</t>
  </si>
  <si>
    <t>Gumička ligovací á 30 ks neon modrá 400-812 (400-413)</t>
  </si>
  <si>
    <t>ZJ178</t>
  </si>
  <si>
    <t>Implantát D5.1 BIO/L8 1551:3</t>
  </si>
  <si>
    <t>ZD523</t>
  </si>
  <si>
    <t>Kotouč řezací pr.40/0,5 mm, á 10 ks, 370000107</t>
  </si>
  <si>
    <t>ZB044</t>
  </si>
  <si>
    <t>Šroub ortodontický Bertoni 602-606-1</t>
  </si>
  <si>
    <t>ZC471</t>
  </si>
  <si>
    <t>Spofacryl orig. 100g O 4318200</t>
  </si>
  <si>
    <t>ZG158</t>
  </si>
  <si>
    <t>Vlákno wedjets na kofferdam 2,1 m barva žlutá 0035117</t>
  </si>
  <si>
    <t>ZF010</t>
  </si>
  <si>
    <t>Pilník L=31 397144519032</t>
  </si>
  <si>
    <t>ZC821</t>
  </si>
  <si>
    <t>Occlu spray zelený 75 ml 620000306</t>
  </si>
  <si>
    <t>ZB278</t>
  </si>
  <si>
    <t>Pronikač K-File 063025020</t>
  </si>
  <si>
    <t>ZD095</t>
  </si>
  <si>
    <t>Tekutina expanzní sheraifina 1l 1501SH</t>
  </si>
  <si>
    <t>ZD500</t>
  </si>
  <si>
    <t>IPS-InLine dentin A-D A4 20g  IV593230</t>
  </si>
  <si>
    <t>ZC517</t>
  </si>
  <si>
    <t>Nit dentální BT485</t>
  </si>
  <si>
    <t>ZJ033</t>
  </si>
  <si>
    <t>Čep gutaperčový 06 vel. 25 dentaclean 9003557</t>
  </si>
  <si>
    <t>ZE411</t>
  </si>
  <si>
    <t>Nůž modelovací 130 mm ME155520212</t>
  </si>
  <si>
    <t>ZC522</t>
  </si>
  <si>
    <t>Pasta Superpolish 1719 620000422</t>
  </si>
  <si>
    <t>ZE911</t>
  </si>
  <si>
    <t>Čep 06 papírový 30 dentaclean á 100 ks P64030 9019139</t>
  </si>
  <si>
    <t>ZK443</t>
  </si>
  <si>
    <t>Pomůcka k odtažení rtů Optragate 80 ks 590851 0091612</t>
  </si>
  <si>
    <t>ZE860</t>
  </si>
  <si>
    <t>Nástroj modelovací červený HSL033-00</t>
  </si>
  <si>
    <t>ZI516</t>
  </si>
  <si>
    <t>Čep 06 papírový 25 dentaclean á 100 ks P64025 9019138</t>
  </si>
  <si>
    <t>ZI515</t>
  </si>
  <si>
    <t>Čep 06 papírový 20 dentaclean á 100 ks 9019137</t>
  </si>
  <si>
    <t>ZI630</t>
  </si>
  <si>
    <t>Cement dent. ketac cem sada 33 g prášku 12 ml tekutiny + příslušenství 37200</t>
  </si>
  <si>
    <t>ZC386</t>
  </si>
  <si>
    <t>Kavitan pro A3 15 g prášek 10 g LIQ 4113312</t>
  </si>
  <si>
    <t>ZF279</t>
  </si>
  <si>
    <t>Kroužky molárové dolní  -7  D/LV  889-011 až 036</t>
  </si>
  <si>
    <t>ZL966</t>
  </si>
  <si>
    <t>Transpa incizal TI 2 á 20 g IV593263</t>
  </si>
  <si>
    <t>ZI685</t>
  </si>
  <si>
    <t>Pilník K-File 397144518772</t>
  </si>
  <si>
    <t>ZH124</t>
  </si>
  <si>
    <t>Pronikač K-File 063025010</t>
  </si>
  <si>
    <t>ZD368</t>
  </si>
  <si>
    <t>Matrice Hawe Neos 376</t>
  </si>
  <si>
    <t>ZL182</t>
  </si>
  <si>
    <t>Ingoty LT IPS e-max Press barva A3,5 bal. á 5 ks IV605276</t>
  </si>
  <si>
    <t>ZC387</t>
  </si>
  <si>
    <t>Kavitan plus A2 4113231</t>
  </si>
  <si>
    <t>ZF278</t>
  </si>
  <si>
    <t>Kroužky molárové dolní  7-  D/PR 888-001 až 036</t>
  </si>
  <si>
    <t>ZD006</t>
  </si>
  <si>
    <t>Duracryl plus liq. 250 g 160000041</t>
  </si>
  <si>
    <t>ZD440</t>
  </si>
  <si>
    <t>Čep světlovodný DT light vel.0-3 bal.á 6 ks</t>
  </si>
  <si>
    <t>ZC476</t>
  </si>
  <si>
    <t>Sprej Kavo 500 ml 4620402A</t>
  </si>
  <si>
    <t>ZC565</t>
  </si>
  <si>
    <t>Premacryl prášek růžový 500 g 4342405</t>
  </si>
  <si>
    <t>ZF806</t>
  </si>
  <si>
    <t>Calcimol LC stříkačka 2 x 2 ml (2 x 2 5g střík., aplikačná kanyly) 0075356</t>
  </si>
  <si>
    <t>ZK291</t>
  </si>
  <si>
    <t>Adhesor orig. 80 g N3 4111113</t>
  </si>
  <si>
    <t>ZI271</t>
  </si>
  <si>
    <t>Šroub pro fixaci konstrukce M1.6/hex 1.0 1641.3</t>
  </si>
  <si>
    <t>ZD270</t>
  </si>
  <si>
    <t>Čep papírový 170000129</t>
  </si>
  <si>
    <t>ZL707</t>
  </si>
  <si>
    <t>Tekutina pro zatmelovací hmotu IPS Vest Press Speed á 1000 ml IV595587</t>
  </si>
  <si>
    <t>ZL536</t>
  </si>
  <si>
    <t>Dyract extra A2</t>
  </si>
  <si>
    <t>ZG401</t>
  </si>
  <si>
    <t>Orthocryl Neon zelený pulvis á200g 160-010-00</t>
  </si>
  <si>
    <t>ZM836</t>
  </si>
  <si>
    <t>Čep 06 papírový 60 dentacean 9019141</t>
  </si>
  <si>
    <t>ZB256</t>
  </si>
  <si>
    <t>IPS Dentin A-D B1 20g  IV593231</t>
  </si>
  <si>
    <t>ZM837</t>
  </si>
  <si>
    <t>Drát ligaturový 0,25 501-025-00</t>
  </si>
  <si>
    <t>ZF493</t>
  </si>
  <si>
    <t>Gumička ligovací 400-437</t>
  </si>
  <si>
    <t>ZC445</t>
  </si>
  <si>
    <t>Kroužek molárový horní 7+ H/PR 886-001 až 036</t>
  </si>
  <si>
    <t>ZI514</t>
  </si>
  <si>
    <t>Čep 06 papírový 15 dentaclean 9019136</t>
  </si>
  <si>
    <t>ZD420</t>
  </si>
  <si>
    <t>Klínek dřevěný (polydentia) 9002277</t>
  </si>
  <si>
    <t>ZD235</t>
  </si>
  <si>
    <t>Signum metal bond 2 4 ml 620003528</t>
  </si>
  <si>
    <t>ZM899</t>
  </si>
  <si>
    <t>Čepy pro destičku na pálení keramiky 2 mm bal. á 12 ks SL9020</t>
  </si>
  <si>
    <t>ZM903</t>
  </si>
  <si>
    <t>Stojánek keramický C VIB013</t>
  </si>
  <si>
    <t>ZM898</t>
  </si>
  <si>
    <t>Spray pro skenování 3D bal. á 400 ml Laserscanning Anti-clare-spray 119990001</t>
  </si>
  <si>
    <t>ZD141</t>
  </si>
  <si>
    <t>Pasta ochran. pro ledování R0227-01</t>
  </si>
  <si>
    <t>ZD890</t>
  </si>
  <si>
    <t>Hmota zatmelovací Shera Cast 20 kg /8x2,5/</t>
  </si>
  <si>
    <t>ZE019</t>
  </si>
  <si>
    <t>Pasta leštící Opal 35 g 520.0000RE</t>
  </si>
  <si>
    <t>ZD874</t>
  </si>
  <si>
    <t>Fréza heatles bílá HFB 7 mon. 7HFB</t>
  </si>
  <si>
    <t>ZJ749</t>
  </si>
  <si>
    <t>Obturátor ProTaper F3 bal. á 6 ks 9026538</t>
  </si>
  <si>
    <t>ZM869</t>
  </si>
  <si>
    <t>Jehla jednorázová septoject zelená G 30 0,3 x 16 mm bal. á 100 ks 9009059</t>
  </si>
  <si>
    <t>ZM900</t>
  </si>
  <si>
    <t>Čepy pro destičku na pálení keramiky 3 mm bal. á 12 ks SL9021</t>
  </si>
  <si>
    <t>ZM902</t>
  </si>
  <si>
    <t>Stojánek keramický A  VIB011</t>
  </si>
  <si>
    <t>ZC535</t>
  </si>
  <si>
    <t>Induret gel C100700</t>
  </si>
  <si>
    <t>ZD313</t>
  </si>
  <si>
    <t>Oranwash L 140 ml IX2877</t>
  </si>
  <si>
    <t>ZM870</t>
  </si>
  <si>
    <t>Čep gutaperčový 06 vel. 15 dentaclean 9003553</t>
  </si>
  <si>
    <t>ZM871</t>
  </si>
  <si>
    <t>Čep gutaperčový 06 vel. 20 dentaclean 9003555</t>
  </si>
  <si>
    <t>ZL448</t>
  </si>
  <si>
    <t>Matrice Hawe adapt 1205581205</t>
  </si>
  <si>
    <t>ZC469</t>
  </si>
  <si>
    <t>Superpont pulvis 100g 4321751</t>
  </si>
  <si>
    <t>ZM654</t>
  </si>
  <si>
    <t>Pinzeta na lepení zámků 025-277-00</t>
  </si>
  <si>
    <t>ZM904</t>
  </si>
  <si>
    <t>Stojánek keramický G VIB009</t>
  </si>
  <si>
    <t>ZK453</t>
  </si>
  <si>
    <t>Pronikač C pilot 053031020</t>
  </si>
  <si>
    <t>ZC253</t>
  </si>
  <si>
    <t>Čep 06 papírový 35 dentaclean 9019140</t>
  </si>
  <si>
    <t>ZG865</t>
  </si>
  <si>
    <t>Pásek strippingový 106-221</t>
  </si>
  <si>
    <t>ZF929</t>
  </si>
  <si>
    <t>Pronikač 053025030</t>
  </si>
  <si>
    <t>ZI257</t>
  </si>
  <si>
    <t>Čep gutaperčový č. 015 1559241</t>
  </si>
  <si>
    <t>ZJ039</t>
  </si>
  <si>
    <t>Adhezivum Xeno V 2,5 ml 60667317</t>
  </si>
  <si>
    <t>ZG867</t>
  </si>
  <si>
    <t>Pásek strippingový 106-221D</t>
  </si>
  <si>
    <t>ZM868</t>
  </si>
  <si>
    <t>Kroužek horní premoláry 790-218-02</t>
  </si>
  <si>
    <t>ZH125</t>
  </si>
  <si>
    <t>Čep gutaperčový sada 02% 015-40 VDW525230 1552432</t>
  </si>
  <si>
    <t>ZC447</t>
  </si>
  <si>
    <t>Striproll 6 mm HW685</t>
  </si>
  <si>
    <t>ZG149</t>
  </si>
  <si>
    <t>Kazeta a stojánek na rotační nástroje 397139500740</t>
  </si>
  <si>
    <t>ZN018</t>
  </si>
  <si>
    <t>Vlákno zubní Mira floss zásobník Big 0122830</t>
  </si>
  <si>
    <t>ZM649</t>
  </si>
  <si>
    <t>Drát noninium 16 x 25D 764-029-00</t>
  </si>
  <si>
    <t>ZL706</t>
  </si>
  <si>
    <t>Hmota zatmelovací IPS Vest Press Speed á 50/100G IV595591</t>
  </si>
  <si>
    <t>ZN014</t>
  </si>
  <si>
    <t>Drát ocelový prut 018 remanium 535-045-00</t>
  </si>
  <si>
    <t>ZB393</t>
  </si>
  <si>
    <t>Hmota otiskovací silikonová speedex putty 0026292</t>
  </si>
  <si>
    <t>ZM901</t>
  </si>
  <si>
    <t>Čepy pro destičku na pálení keramiky 5 mm bal. á 12 ks SL9022</t>
  </si>
  <si>
    <t>ZC379</t>
  </si>
  <si>
    <t>Aqasil Ultra LV Regular 4 x 50 ml DT678779</t>
  </si>
  <si>
    <t>ZM647</t>
  </si>
  <si>
    <t>Drát noninium 16 x 22D 764-021-00</t>
  </si>
  <si>
    <t>ZL184</t>
  </si>
  <si>
    <t>Ingoty LT IPS e-max Press barva D3 bal. á 5 ks IV605281</t>
  </si>
  <si>
    <t>ZM646</t>
  </si>
  <si>
    <t>Rretraktor kombinovaný dětský 57</t>
  </si>
  <si>
    <t>ZC552</t>
  </si>
  <si>
    <t>Sof-lex disky ES8692SF</t>
  </si>
  <si>
    <t>ZC319</t>
  </si>
  <si>
    <t>Papír artikulační modročerv. l 12x10lis 102</t>
  </si>
  <si>
    <t>ZL944</t>
  </si>
  <si>
    <t>Vlákno zubní M + W 25 m nevosk 0000876</t>
  </si>
  <si>
    <t>ZH130</t>
  </si>
  <si>
    <t>Keramika Ceramco 3 - base paste á 2 ml DE301040</t>
  </si>
  <si>
    <t>ZJ200</t>
  </si>
  <si>
    <t>Šroub ortodontický 600-301</t>
  </si>
  <si>
    <t>ZE858</t>
  </si>
  <si>
    <t>Šroub ortodontický 600-300</t>
  </si>
  <si>
    <t>ZC533</t>
  </si>
  <si>
    <t>Relyx temp NE001</t>
  </si>
  <si>
    <t>ZL181</t>
  </si>
  <si>
    <t>Ingoty LT IPS e-max Press barva A3 bal. á 5 ks IV605275</t>
  </si>
  <si>
    <t>ZA237</t>
  </si>
  <si>
    <t>Vosk plotýn.růžový 1,5mm 500g IN02312</t>
  </si>
  <si>
    <t>ZM050</t>
  </si>
  <si>
    <t>Hmota otiskovací silikonová express XT Putty soft 9018679</t>
  </si>
  <si>
    <t>ZC529</t>
  </si>
  <si>
    <t>Kavitan LC VARNISCH 5 g 4113280</t>
  </si>
  <si>
    <t>ZC235</t>
  </si>
  <si>
    <t>Implantát D5.1 BIO/L14 4551:3</t>
  </si>
  <si>
    <t>ZL183</t>
  </si>
  <si>
    <t>Ingoty LT IPS e-max Press barva D2 bal. á 5 ks IV626311</t>
  </si>
  <si>
    <t>ZC304</t>
  </si>
  <si>
    <t>Stomaflex varnish (lak) 140 g 4817330</t>
  </si>
  <si>
    <t>ZD543</t>
  </si>
  <si>
    <t>Speedex Light Body IX4980</t>
  </si>
  <si>
    <t>ZN042</t>
  </si>
  <si>
    <t>Pečetidlo fisur Fissurit FX bal. á 2 x 2,5 g 0175196</t>
  </si>
  <si>
    <t>ZJ754</t>
  </si>
  <si>
    <t>Pilník K-File 063031015</t>
  </si>
  <si>
    <t>ZF058</t>
  </si>
  <si>
    <t>Signum Dentin 1x4g D3 4951000A</t>
  </si>
  <si>
    <t>ZE584</t>
  </si>
  <si>
    <t>Aquasil ultra XLV/regular set 678781</t>
  </si>
  <si>
    <t>ZN005</t>
  </si>
  <si>
    <t>Implantát astra tech osseoSpeed TX 3.5 9 mm a24951</t>
  </si>
  <si>
    <t>ZC178</t>
  </si>
  <si>
    <t>Implantát D2.9 SB/L14 03101:3</t>
  </si>
  <si>
    <t>ZJ753</t>
  </si>
  <si>
    <t>Pilník K-File 063031010</t>
  </si>
  <si>
    <t>ZN004</t>
  </si>
  <si>
    <t>Implantát astra tech osseoSpeed TX 3.5 S 9 mm a24931</t>
  </si>
  <si>
    <t>ZJ765</t>
  </si>
  <si>
    <t>Pasta pro vypalování v keramické peci á 12 g VIEFP12</t>
  </si>
  <si>
    <t>ZC358</t>
  </si>
  <si>
    <t>Superacryl plus  liq. 250 ml 4328902</t>
  </si>
  <si>
    <t>ZF383</t>
  </si>
  <si>
    <t>Tetric Evo ceram 3g</t>
  </si>
  <si>
    <t>ZG960</t>
  </si>
  <si>
    <t>Keramika ceramco 3 - opálová tavná hmota</t>
  </si>
  <si>
    <t>ZC332</t>
  </si>
  <si>
    <t>Matrice Hawe Kerr 399A</t>
  </si>
  <si>
    <t>ZC369</t>
  </si>
  <si>
    <t>Drát kulatý pr. 7 mm IN0307</t>
  </si>
  <si>
    <t>ZL180</t>
  </si>
  <si>
    <t>Ingoty LT IPS e-max Press barva A2 bal. á 5 ks IV605274</t>
  </si>
  <si>
    <t>ZF676</t>
  </si>
  <si>
    <t>Superpont dentin 100g 4324220</t>
  </si>
  <si>
    <t>ZJ046</t>
  </si>
  <si>
    <t>Drát v prutu 018 splétaný  545-745-00</t>
  </si>
  <si>
    <t>ZC385</t>
  </si>
  <si>
    <t>Dyract flow A3 2 x 1,8 g</t>
  </si>
  <si>
    <t>ZD115</t>
  </si>
  <si>
    <t>Signum Margin á 4 g SM4001</t>
  </si>
  <si>
    <t>ZA277</t>
  </si>
  <si>
    <t>Sádra Hinristone 25 kg 0612/25</t>
  </si>
  <si>
    <t>ZG958</t>
  </si>
  <si>
    <t>Keramika ceramco 3 - dentinová hmota D3 15g</t>
  </si>
  <si>
    <t>ZC907</t>
  </si>
  <si>
    <t>Implantát D2.9 SB/L16 04101:3</t>
  </si>
  <si>
    <t>ZN019</t>
  </si>
  <si>
    <t>Pronikač C pilot V040368025012</t>
  </si>
  <si>
    <t>ZC312</t>
  </si>
  <si>
    <t>Remanium CS 1 kg, 102-403</t>
  </si>
  <si>
    <t>ZE589</t>
  </si>
  <si>
    <t>Kavitan pro 9004 567</t>
  </si>
  <si>
    <t>ZC233</t>
  </si>
  <si>
    <t>Implantát D3.7 BIO/L14 0451:3</t>
  </si>
  <si>
    <t>ZD393</t>
  </si>
  <si>
    <t>Drát NiTi 016 upper oval form III 101-434</t>
  </si>
  <si>
    <t>ZC663</t>
  </si>
  <si>
    <t>Calcimol LC 2 x 5 g tuba 1047</t>
  </si>
  <si>
    <t>ZA422</t>
  </si>
  <si>
    <t>Prostředek - izolační Picosep á 30 ml 1552.0030</t>
  </si>
  <si>
    <t>ZC320</t>
  </si>
  <si>
    <t>Písek Cobra White 50 um 5 kg</t>
  </si>
  <si>
    <t>ZD116</t>
  </si>
  <si>
    <t>Signum Enamel á 4 g 4951013A</t>
  </si>
  <si>
    <t>ZL520</t>
  </si>
  <si>
    <t>Materiál kostní výplňový R.T.R. 0056610</t>
  </si>
  <si>
    <t>ZN016</t>
  </si>
  <si>
    <t>Zátka pro čepy BiPin bal. á 500 ks RE322000</t>
  </si>
  <si>
    <t>ZL705</t>
  </si>
  <si>
    <t>Tekutina Build-UP liquid IV593352</t>
  </si>
  <si>
    <t>ZA477</t>
  </si>
  <si>
    <t>IPS e.max Press Ingoty LT B2, á 5 ks, IV605278</t>
  </si>
  <si>
    <t>ZD798</t>
  </si>
  <si>
    <t>Light bond stříkačky á 4 ks LBPPF</t>
  </si>
  <si>
    <t>ZD357</t>
  </si>
  <si>
    <t>Papír artikulační modročerv. U 6 x 10 lis. 103</t>
  </si>
  <si>
    <t>ZI256</t>
  </si>
  <si>
    <t>Čep papírový Cell Pack 0,2/80 DC61630025</t>
  </si>
  <si>
    <t>ZC232</t>
  </si>
  <si>
    <t>Implantát D3.7 BIO/L10 0251:3</t>
  </si>
  <si>
    <t>ZL893</t>
  </si>
  <si>
    <t>Aplikátor M+W MicroTips žluté 0200508</t>
  </si>
  <si>
    <t>ZG670</t>
  </si>
  <si>
    <t>KaVo prophy pearls (80 sáčků á 15 g) 1.010.1826</t>
  </si>
  <si>
    <t>ZF484</t>
  </si>
  <si>
    <t>Drát NiTi 018 101-437</t>
  </si>
  <si>
    <t>ZJ747</t>
  </si>
  <si>
    <t>Obturátor ProTaper F2 bal. á 6 ks 9026537</t>
  </si>
  <si>
    <t>ZL965</t>
  </si>
  <si>
    <t>Transpa incizal TI 1 á 20 g IV593262</t>
  </si>
  <si>
    <t>ZC921</t>
  </si>
  <si>
    <t>Pružina open v cívce 100-751</t>
  </si>
  <si>
    <t>ZH899</t>
  </si>
  <si>
    <t>Pásky stripovací jednostranné 106-220</t>
  </si>
  <si>
    <t>ZA222</t>
  </si>
  <si>
    <t>Membrána bio-gide 30 x 40 mm DGD460308034</t>
  </si>
  <si>
    <t>ZN043</t>
  </si>
  <si>
    <t>Kanyla aplikační pro Fissurit FX typ 40 bal. á 100 ks 0175101</t>
  </si>
  <si>
    <t>ZI808</t>
  </si>
  <si>
    <t>Biodentine biokompatibilní materiál 15 x 0,7 g 530387</t>
  </si>
  <si>
    <t>ZA397</t>
  </si>
  <si>
    <t>IPS e.max Ceram Transpa incisal TI  IV596979</t>
  </si>
  <si>
    <t>ZC477</t>
  </si>
  <si>
    <t>Pemza leštící  5kg 260000013</t>
  </si>
  <si>
    <t>ZF218</t>
  </si>
  <si>
    <t>Koferdam Medium 620003904</t>
  </si>
  <si>
    <t>ZC783</t>
  </si>
  <si>
    <t>Vana dezinfekční 3 l 9800600</t>
  </si>
  <si>
    <t>ZN017</t>
  </si>
  <si>
    <t>Vlákno zubní Mira floss zelené voskované náhradní role 0122831</t>
  </si>
  <si>
    <t>ZG539</t>
  </si>
  <si>
    <t>Roztok Gingiva liquid 540213</t>
  </si>
  <si>
    <t>ZC928</t>
  </si>
  <si>
    <t>Protahováček Hedstrém 073025015</t>
  </si>
  <si>
    <t>ZD338</t>
  </si>
  <si>
    <t>Keramika IPS InLine/PoM Opaquer A-D A 3 IV593162</t>
  </si>
  <si>
    <t>ZB800</t>
  </si>
  <si>
    <t>Membrána combi-pack 16 x 22 mm DGD460309023</t>
  </si>
  <si>
    <t>ZD287</t>
  </si>
  <si>
    <t>Enhance System Kit001</t>
  </si>
  <si>
    <t>ZD497</t>
  </si>
  <si>
    <t>Váleček vhojovací D3.7/d5.2/L4 822.3</t>
  </si>
  <si>
    <t>ZE067</t>
  </si>
  <si>
    <t>Gumička ligovací červená 400-805 (400-408)</t>
  </si>
  <si>
    <t>ZE681</t>
  </si>
  <si>
    <t>Gumička ligovací čirá 400-802 (400-401)</t>
  </si>
  <si>
    <t>ZF067</t>
  </si>
  <si>
    <t>Gumička ligovací 400-406</t>
  </si>
  <si>
    <t>ZF068</t>
  </si>
  <si>
    <t>Gumička ligovací žlutá 400-808 (400-409)</t>
  </si>
  <si>
    <t>ZF134</t>
  </si>
  <si>
    <t>Pilíř standard přímý D3.7/d4.8/L1 1132.3</t>
  </si>
  <si>
    <t>ZF487</t>
  </si>
  <si>
    <t>Gumička ligovací černá 400-807 (400-406)</t>
  </si>
  <si>
    <t>ZF618</t>
  </si>
  <si>
    <t>Gumička separační modrá dentalastic 774-200-01</t>
  </si>
  <si>
    <t>ZG141</t>
  </si>
  <si>
    <t>Dosazovač zámků s kloubem 200-223</t>
  </si>
  <si>
    <t>ZG284</t>
  </si>
  <si>
    <t>Cement temposil 2 bílý intro kit 9022969</t>
  </si>
  <si>
    <t>ZG717</t>
  </si>
  <si>
    <t>Pilíř locator attachmenty D3.7/L2 01209</t>
  </si>
  <si>
    <t>ZG719</t>
  </si>
  <si>
    <t>Sada protetická locator á 2 ks 08519-2</t>
  </si>
  <si>
    <t>ZG722</t>
  </si>
  <si>
    <t>Matrice classic plus 055752</t>
  </si>
  <si>
    <t>ZI003</t>
  </si>
  <si>
    <t>Nástroj na ohýbání konců drátů oboustranný RMO-001</t>
  </si>
  <si>
    <t>ZI144</t>
  </si>
  <si>
    <t>Pilíř Attachment kulový classic D3.7/d3.7/L3 23432:3</t>
  </si>
  <si>
    <t>ZI754</t>
  </si>
  <si>
    <t>Cement výplňový skloionomerní bal. á 50 ks 0298182</t>
  </si>
  <si>
    <t>ZI823</t>
  </si>
  <si>
    <t>Signum Dentin 1x4g A4 4950996A</t>
  </si>
  <si>
    <t>ZI891</t>
  </si>
  <si>
    <t>Gumička ligovací kobalt  modrá á 30 ks 400-845 (400-445)</t>
  </si>
  <si>
    <t>ZK607</t>
  </si>
  <si>
    <t>Kanyla RMO FLI 37 A08746</t>
  </si>
  <si>
    <t>ZK610</t>
  </si>
  <si>
    <t>Kanyla RMO FLI 17 A08736</t>
  </si>
  <si>
    <t>ZL445</t>
  </si>
  <si>
    <t>Matrice Hawe adapt 1204581204</t>
  </si>
  <si>
    <t>ZL943</t>
  </si>
  <si>
    <t>Vlákno zubní super floss 0098890</t>
  </si>
  <si>
    <t>ZL957</t>
  </si>
  <si>
    <t>Deep dentin A4,0 á 20 g IV593214</t>
  </si>
  <si>
    <t>ZN175</t>
  </si>
  <si>
    <t>Háček chirurgický rovný bal. á 10 ks SURHK</t>
  </si>
  <si>
    <t>ZN176</t>
  </si>
  <si>
    <t>Ochrana měkké tkáně čirá 400-326</t>
  </si>
  <si>
    <t>ZN191</t>
  </si>
  <si>
    <t>Vlákno zubní Mira floss bílé voskované náhradní role 0122833</t>
  </si>
  <si>
    <t>ZN212</t>
  </si>
  <si>
    <t>Pilíř Locator attachmenty L5 D3.7 01212</t>
  </si>
  <si>
    <t>ZB196</t>
  </si>
  <si>
    <t>Šití prolen bl 4-0 bal. á 36 ks EH7151H</t>
  </si>
  <si>
    <t>ZB461</t>
  </si>
  <si>
    <t>Šití silkam černý 3/0 (2) bal. á 36 ks C0760307</t>
  </si>
  <si>
    <t>ZD736</t>
  </si>
  <si>
    <t>Šití silkam černý 4/0 (1.5) bal. á 36 ks C0760293</t>
  </si>
  <si>
    <t>ZB443</t>
  </si>
  <si>
    <t>Šití silkam černý 4/0 (1.5) bal. á 36 ks C0760137</t>
  </si>
  <si>
    <t>ZC151</t>
  </si>
  <si>
    <t>Šití safil quick 3/0 (2) bal. á 36 ks C1046014</t>
  </si>
  <si>
    <t>ZI407</t>
  </si>
  <si>
    <t>Šití premilene 6/0 (0.7) bal. á 36 ks C2090211</t>
  </si>
  <si>
    <t>ZB444</t>
  </si>
  <si>
    <t>Šití silkam černý 4/0 (1.5) bal. á 36 ks C0761290</t>
  </si>
  <si>
    <t>ZA360</t>
  </si>
  <si>
    <t>Jehla sterican 0,5 x 25 mm oranžová 9186158</t>
  </si>
  <si>
    <t>ZA833</t>
  </si>
  <si>
    <t>Jehla injekční 0,8 x 40 mm zelená 4657527</t>
  </si>
  <si>
    <t>ZA834</t>
  </si>
  <si>
    <t>Jehla injekční 0,7 x 40 mm černá 4660021</t>
  </si>
  <si>
    <t>ZC305</t>
  </si>
  <si>
    <t>Jehla injekční 0,4 x 20 mm šedá 4657705</t>
  </si>
  <si>
    <t>ZD515</t>
  </si>
  <si>
    <t>Jehla jednorázová septoject G30 0,3 x 25 mm á 100 ks 0038505</t>
  </si>
  <si>
    <t>ZI757</t>
  </si>
  <si>
    <t>Rukavice vinyl bez p. S á 100 ks EFEKTVR02</t>
  </si>
  <si>
    <t>ZI758</t>
  </si>
  <si>
    <t>Rukavice vinyl bez p. M á 100 ks EFEKTVR03</t>
  </si>
  <si>
    <t>ZK473</t>
  </si>
  <si>
    <t>Rukavice operační latexové s pudrem ansell medigrip plus vel. 6,0 303502EU (302762)</t>
  </si>
  <si>
    <t>ZK474</t>
  </si>
  <si>
    <t>Rukavice operační latexové s pudrem ansell medigrip plus vel. 6,5 303503</t>
  </si>
  <si>
    <t>ZK475</t>
  </si>
  <si>
    <t>Rukavice operační latexové s pudrem ansell medigrip plus vel. 7,0 303504 (303364)</t>
  </si>
  <si>
    <t>ZK476</t>
  </si>
  <si>
    <t>Rukavice operační latexové s pudrem ansell medigrip plus vel. 7,5 303505 (302925)</t>
  </si>
  <si>
    <t>ZK477</t>
  </si>
  <si>
    <t>Rukavice operační latexové s pudrem ansell medigrip plus vel. 8,0 303506(303366)</t>
  </si>
  <si>
    <t>ZL071</t>
  </si>
  <si>
    <t>Rukavice operační gammex bez pudru PF EnLite vel. 6,5 353383</t>
  </si>
  <si>
    <t>ZL073</t>
  </si>
  <si>
    <t>Rukavice operační gammex bez pudru PF EnLite vel. 7,5 353385</t>
  </si>
  <si>
    <t>ZC063</t>
  </si>
  <si>
    <t>Rukavice latex bez p. M 9421615 - povoleno pouze pro ÚČOCH a KZL</t>
  </si>
  <si>
    <t>ZK098</t>
  </si>
  <si>
    <t>Rukavice latex s p. L karton 2000 ks 8951473 - povoleno pouze pro ÚČOCH a KZL</t>
  </si>
  <si>
    <t>ZK093</t>
  </si>
  <si>
    <t>Rukavice latex s p. S karton 2000 ks 8958864 - povoleno pouze pro ÚČOCH a KZL</t>
  </si>
  <si>
    <t>ZJ594</t>
  </si>
  <si>
    <t>Rukavice nitril Sterling bez p., á 200 ks XS 13938</t>
  </si>
  <si>
    <t>ZK094</t>
  </si>
  <si>
    <t>Rukavice latex s p. M karton 2000 ks 8955565 - povoleno pouze pro ÚČOCH a KZL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</si>
  <si>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</si>
  <si>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</si>
  <si>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</si>
  <si>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</si>
  <si>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</si>
  <si>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</si>
  <si>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ZN125</t>
  </si>
  <si>
    <t>Rukavice operační  gamex ansell PF bez pudru 7,5 A351145</t>
  </si>
  <si>
    <t>ZA997</t>
  </si>
  <si>
    <t>Maska kyslíková dospělá 01.000.08.110</t>
  </si>
  <si>
    <t>50115050</t>
  </si>
  <si>
    <t>502 SZM obvazový (112 02 040)</t>
  </si>
  <si>
    <t>50115060</t>
  </si>
  <si>
    <t>503 SZM ostatní zdravotnický (112 02 100)</t>
  </si>
  <si>
    <t>50115090</t>
  </si>
  <si>
    <t>509 SZM zubolékařský (112 02 110)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</si>
  <si>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</si>
  <si>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</si>
  <si>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</si>
  <si>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</si>
  <si>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</si>
  <si>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</si>
  <si>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50115079</t>
  </si>
  <si>
    <t>542 SZM Intenzivní péče (112 02 100)</t>
  </si>
  <si>
    <t>Spotřeba zdravotnického materiálu - orientační přehled</t>
  </si>
  <si>
    <t>ON Data</t>
  </si>
  <si>
    <t>014 - Pracoviště praktického zubního lékaře</t>
  </si>
  <si>
    <t>015 - Pracoviště čelistní ortopedie</t>
  </si>
  <si>
    <t>Zdravotní výkony vykázané na pracovišti v rámci ambulantní péče *</t>
  </si>
  <si>
    <t>2422</t>
  </si>
  <si>
    <t>2423</t>
  </si>
  <si>
    <t>2424</t>
  </si>
  <si>
    <t>2425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</si>
  <si>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</si>
  <si>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</si>
  <si>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</si>
  <si>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</si>
  <si>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Zdravotní výkony vykázané na pracovišti v rámci ambulantní péče dle lékařů *</t>
  </si>
  <si>
    <t>014</t>
  </si>
  <si>
    <t>4</t>
  </si>
  <si>
    <t>0060080</t>
  </si>
  <si>
    <t>0071601</t>
  </si>
  <si>
    <t>0072001</t>
  </si>
  <si>
    <t>0072041</t>
  </si>
  <si>
    <t>0072301</t>
  </si>
  <si>
    <t>0074001</t>
  </si>
  <si>
    <t>0080001</t>
  </si>
  <si>
    <t>0080002</t>
  </si>
  <si>
    <t>0080011</t>
  </si>
  <si>
    <t>0080012</t>
  </si>
  <si>
    <t>0080021</t>
  </si>
  <si>
    <t>0080031</t>
  </si>
  <si>
    <t>0080051</t>
  </si>
  <si>
    <t>0080061</t>
  </si>
  <si>
    <t>0081042</t>
  </si>
  <si>
    <t>0081052</t>
  </si>
  <si>
    <t>0081062</t>
  </si>
  <si>
    <t>0081102</t>
  </si>
  <si>
    <t>0081112</t>
  </si>
  <si>
    <t>0081114</t>
  </si>
  <si>
    <t>0081115</t>
  </si>
  <si>
    <t>0081123</t>
  </si>
  <si>
    <t>0081124</t>
  </si>
  <si>
    <t>0081132</t>
  </si>
  <si>
    <t>0081231</t>
  </si>
  <si>
    <t>0081303</t>
  </si>
  <si>
    <t>0081311</t>
  </si>
  <si>
    <t>0081312</t>
  </si>
  <si>
    <t>0081531</t>
  </si>
  <si>
    <t>0081601</t>
  </si>
  <si>
    <t>0081611</t>
  </si>
  <si>
    <t>0081612</t>
  </si>
  <si>
    <t>0081621</t>
  </si>
  <si>
    <t>0081631</t>
  </si>
  <si>
    <t>0082001</t>
  </si>
  <si>
    <t>0082002</t>
  </si>
  <si>
    <t>0082011</t>
  </si>
  <si>
    <t>0082014</t>
  </si>
  <si>
    <t>0082021</t>
  </si>
  <si>
    <t>0082114</t>
  </si>
  <si>
    <t>0082115</t>
  </si>
  <si>
    <t>0082201</t>
  </si>
  <si>
    <t>0082211</t>
  </si>
  <si>
    <t>0082213</t>
  </si>
  <si>
    <t>0082301</t>
  </si>
  <si>
    <t>0082311</t>
  </si>
  <si>
    <t>0082320</t>
  </si>
  <si>
    <t>0082331</t>
  </si>
  <si>
    <t>0082332</t>
  </si>
  <si>
    <t>0083003</t>
  </si>
  <si>
    <t>0084021</t>
  </si>
  <si>
    <t>0181115</t>
  </si>
  <si>
    <t>0181132</t>
  </si>
  <si>
    <t>0081051</t>
  </si>
  <si>
    <t>0072311</t>
  </si>
  <si>
    <t>0082354</t>
  </si>
  <si>
    <t>0081202</t>
  </si>
  <si>
    <t>0081222</t>
  </si>
  <si>
    <t>0082105</t>
  </si>
  <si>
    <t>0181231</t>
  </si>
  <si>
    <t>0081301</t>
  </si>
  <si>
    <t>0082204</t>
  </si>
  <si>
    <t>0081033</t>
  </si>
  <si>
    <t>0082353</t>
  </si>
  <si>
    <t>0082352</t>
  </si>
  <si>
    <t>0071111</t>
  </si>
  <si>
    <t>0081203</t>
  </si>
  <si>
    <t>0082104</t>
  </si>
  <si>
    <t>0084001</t>
  </si>
  <si>
    <t>0081253</t>
  </si>
  <si>
    <t>0081521</t>
  </si>
  <si>
    <t>V</t>
  </si>
  <si>
    <t>00900</t>
  </si>
  <si>
    <t>KOMPLEXNÍ VYŠETŘENÍ STOMATOLOGEM PŘI REGISTRACI PO</t>
  </si>
  <si>
    <t>00901</t>
  </si>
  <si>
    <t>OPAKOVANÉ KOMPLEXNÍ VYŠETŘENÍ A OŠETŘENÍ REGISTROV</t>
  </si>
  <si>
    <t>00906</t>
  </si>
  <si>
    <t>STOMATOLOGICKÉ OŠETŘENÍ POJIŠTĚNCE DO 6 LET NEBO H</t>
  </si>
  <si>
    <t>00910</t>
  </si>
  <si>
    <t>ZHOTOVENÍ INTRAORÁLNÍHO RENTGENOVÉHO SNÍMKU</t>
  </si>
  <si>
    <t>00911</t>
  </si>
  <si>
    <t>ZHOTOVENÍ EXTRAORÁLNÍHO RENTGENOVÉHO SNÍMKU</t>
  </si>
  <si>
    <t>00915</t>
  </si>
  <si>
    <t>ZHOTOVENÍ TELERENTGENOVÉHO SNÍMKU LBI</t>
  </si>
  <si>
    <t>00916</t>
  </si>
  <si>
    <t>ANESTEZIE NA FORAMEN MANDIBULAE A INFRAORBITALE</t>
  </si>
  <si>
    <t>00920</t>
  </si>
  <si>
    <t>OŠETŘENÍ ZUBNÍHO KAZU - STÁLÝ ZUB - FOTOKOMPOZITNÍ</t>
  </si>
  <si>
    <t>00921</t>
  </si>
  <si>
    <t>OŠETŘENÍ ZUBNÍHO KAZU - STÁLÝ ZUB</t>
  </si>
  <si>
    <t>00925</t>
  </si>
  <si>
    <t>KONZERVATIVNÍ LÉČBA KOMPLIKACÍ ZUBNÍHO KAZU II - S</t>
  </si>
  <si>
    <t>00931</t>
  </si>
  <si>
    <t>KOMPLEXNÍ LÉČBA CHRONICKÝCH ONEMOCNĚNÍ PARODONTU</t>
  </si>
  <si>
    <t>00935</t>
  </si>
  <si>
    <t>SUBGINGIVÁLNÍ OŠETŘENÍ</t>
  </si>
  <si>
    <t>00936</t>
  </si>
  <si>
    <t>ODEBRÁNÍ A ZAJIŠTĚNÍ PŘENOSU TRANSPLANTÁTU</t>
  </si>
  <si>
    <t>00940</t>
  </si>
  <si>
    <t>KOMPLEXNÍ VYŠETŘENÍ A NÁVRH LÉČBY ONEMOCNĚNÍ ÚSTNÍ</t>
  </si>
  <si>
    <t>00941</t>
  </si>
  <si>
    <t>KONTROLNÍ VYŠETŘENÍ A LÉČBA ONEMOCNĚNÍ ÚSTNÍ SLIZN</t>
  </si>
  <si>
    <t>00945</t>
  </si>
  <si>
    <t>CÍLENÉ VYŠETŘENÍ</t>
  </si>
  <si>
    <t>00946</t>
  </si>
  <si>
    <t>00950</t>
  </si>
  <si>
    <t>EXTRAKCE STÁLÉHO ZUBU</t>
  </si>
  <si>
    <t>00951</t>
  </si>
  <si>
    <t>CHIRURGIE TVRDÝCH TKÁNÍ DUTINY ÚSTNÍ MALÉHO ROZSAH</t>
  </si>
  <si>
    <t>00955</t>
  </si>
  <si>
    <t>CHIRURGIE MĚKKÝCH TKÁNÍ DUTINY ÚSTNÍ A JEJÍHO OKOL</t>
  </si>
  <si>
    <t>00956</t>
  </si>
  <si>
    <t>00961</t>
  </si>
  <si>
    <t xml:space="preserve">OŠETŘENÍ KOMPLIKACÍ CHIRURGICKÝCH VÝKONŮ V DUTINĚ </t>
  </si>
  <si>
    <t>00970</t>
  </si>
  <si>
    <t>SEJMUTÍ FIXNÍ NÁHRADY - ZA KAŽDOU PILÍŘOVOU KONSTR</t>
  </si>
  <si>
    <t>00971</t>
  </si>
  <si>
    <t>PROVIZORNÍ OCHRANNÁ KORUNKA</t>
  </si>
  <si>
    <t>09547</t>
  </si>
  <si>
    <t>REGULAČNÍ POPLATEK -- POJIŠTĚNEC OD ÚHRADY POPLATK</t>
  </si>
  <si>
    <t>00974</t>
  </si>
  <si>
    <t>ODEVZDÁNÍ STOMATOLOGICKÉHO VÝROBKU</t>
  </si>
  <si>
    <t>00913</t>
  </si>
  <si>
    <t>ZHOTOVENÍ ORTOPANTOMOGRAMU</t>
  </si>
  <si>
    <t>09543</t>
  </si>
  <si>
    <t>SIGNÁLNÍ VÝKON KLINICKÉHO VYŠETŘENÍ / DO 31.12.201</t>
  </si>
  <si>
    <t>00909</t>
  </si>
  <si>
    <t>KLINICKÉ STOMATOLOGICKÉ VYŠETŘENÍ</t>
  </si>
  <si>
    <t>00963</t>
  </si>
  <si>
    <t>INJEKCE I.M., I.V., I.D., S.C.</t>
  </si>
  <si>
    <t>00914</t>
  </si>
  <si>
    <t>VYHODNOCENÍ ORTOPANTOMOGRAMU</t>
  </si>
  <si>
    <t>00953</t>
  </si>
  <si>
    <t>CHIRURGICKÉ OŠETŘOVÁNÍ RETENCE ZUBŮ</t>
  </si>
  <si>
    <t>00934</t>
  </si>
  <si>
    <t>CHIRURGICKÁ LÉČBA ONEMOCNĚNÍ PARODONTU VELKÉHO ROZ</t>
  </si>
  <si>
    <t>99999</t>
  </si>
  <si>
    <t>Nespecifikovany vykon</t>
  </si>
  <si>
    <t>00932</t>
  </si>
  <si>
    <t>LÉČBA CHRONICKÝCH ONEMOCNĚNÍ PARODONTU</t>
  </si>
  <si>
    <t>00917</t>
  </si>
  <si>
    <t>ANESTEZIE INFILTRAČNÍ</t>
  </si>
  <si>
    <t>00973</t>
  </si>
  <si>
    <t>OPRAVA NEBO ÚPRAVA SNÍMATELNÉ NÁHRADY V ORDINACI</t>
  </si>
  <si>
    <t>00949</t>
  </si>
  <si>
    <t>EXTRAKCE DOČASNÉHO ZUBU</t>
  </si>
  <si>
    <t>00923</t>
  </si>
  <si>
    <t>KONZERVATIVNÍ LÉČBA KOMPLIKACÍ ZUBNÍHO KAZU - STÁL</t>
  </si>
  <si>
    <t>00922</t>
  </si>
  <si>
    <t>OŠETŘENÍ ZUBNÍHO KAZU - DOČASNÝ ZUB</t>
  </si>
  <si>
    <t>00907</t>
  </si>
  <si>
    <t>STOMATOLOGICKÉ OŠETŘENÍ  POJIŠTĚNCE OD 6 DO 15 LET</t>
  </si>
  <si>
    <t>00952</t>
  </si>
  <si>
    <t>CHIRURGIE TVRDÝCH TKÁNÍ DUTINY ÚSTNÍ VELKÉHO ROZSA</t>
  </si>
  <si>
    <t>00959</t>
  </si>
  <si>
    <t>INTRAORÁLNÍ INCIZE</t>
  </si>
  <si>
    <t>00938</t>
  </si>
  <si>
    <t>PŘECHODNÉ DLAHY KE STABILIZACI ZUBŮ S OSLABENÝM PA</t>
  </si>
  <si>
    <t>00954</t>
  </si>
  <si>
    <t>KONZERVAČNĚ - CHIRURGICKÁ LÉČBA KOMPLIKACÍ ZUBNÍHO</t>
  </si>
  <si>
    <t>00908</t>
  </si>
  <si>
    <t>AKUTNÍ OŠETŘENÍ A VYŠETŘENÍ NEREGISTROVANÉHO POJIŠ</t>
  </si>
  <si>
    <t>00933</t>
  </si>
  <si>
    <t>CHIRURGICKÁ LÉČBA ONEMOCNĚNÍ PARODONTU MALÉHO ROZS</t>
  </si>
  <si>
    <t>00943</t>
  </si>
  <si>
    <t>MĚŘENÍ GALVANICKÝCH PROUDŮ</t>
  </si>
  <si>
    <t>00947</t>
  </si>
  <si>
    <t>PÉČE O REGISTROVANÉHO POJIŠTĚNCE NAD 18 LET VĚKU I</t>
  </si>
  <si>
    <t>00912</t>
  </si>
  <si>
    <t>NÁPLŇ SLINNÉ ŽLÁZY KONTRASTNÍ LÁTKOU</t>
  </si>
  <si>
    <t>00903</t>
  </si>
  <si>
    <t>VYŽÁDANÉ VYŠETŘENí ODBORNÍKEM NEBO SPECIALISTOU</t>
  </si>
  <si>
    <t>00904</t>
  </si>
  <si>
    <t>STOMATOLOGICKÉ VYŠETŘENÍ REGISTROVANÉHO POJIŠTĚNCE</t>
  </si>
  <si>
    <t>00924</t>
  </si>
  <si>
    <t>KONZERVATIVNÍ LÉČBA KOMPLIKACÍ ZUBNÍHO KAZU - DOČA</t>
  </si>
  <si>
    <t>00902</t>
  </si>
  <si>
    <t>PÉČE O REGISTROVANÉHO POJIŠTĚNCE NAD 18 LET VĚKU</t>
  </si>
  <si>
    <t>015</t>
  </si>
  <si>
    <t>0070001</t>
  </si>
  <si>
    <t>0074021</t>
  </si>
  <si>
    <t>0076001</t>
  </si>
  <si>
    <t>0076011</t>
  </si>
  <si>
    <t>0076012</t>
  </si>
  <si>
    <t>0076014</t>
  </si>
  <si>
    <t>0076017</t>
  </si>
  <si>
    <t>0076030</t>
  </si>
  <si>
    <t>0076031</t>
  </si>
  <si>
    <t>0076033</t>
  </si>
  <si>
    <t>0076034</t>
  </si>
  <si>
    <t>0076041</t>
  </si>
  <si>
    <t>0076070</t>
  </si>
  <si>
    <t>0076071</t>
  </si>
  <si>
    <t>0076080</t>
  </si>
  <si>
    <t>0076081</t>
  </si>
  <si>
    <t>0080004</t>
  </si>
  <si>
    <t>0086001</t>
  </si>
  <si>
    <t>0086031</t>
  </si>
  <si>
    <t>0086034</t>
  </si>
  <si>
    <t>0086037</t>
  </si>
  <si>
    <t>0086041</t>
  </si>
  <si>
    <t>0086071</t>
  </si>
  <si>
    <t>0086080</t>
  </si>
  <si>
    <t>0086081</t>
  </si>
  <si>
    <t>0086070</t>
  </si>
  <si>
    <t>0086030</t>
  </si>
  <si>
    <t>00981</t>
  </si>
  <si>
    <t>DIAGNOSTIKA ORTODONTICKÝCH ANOMÁLIÍ</t>
  </si>
  <si>
    <t>00984</t>
  </si>
  <si>
    <t>KONTROLA LÉČBY ORTODONTICKÝCH ANOMÁLIÍ JINÝMI POST</t>
  </si>
  <si>
    <t>00985</t>
  </si>
  <si>
    <t xml:space="preserve">UKONČENÍ LÉČBY ORTODONTICKÝCH ANOMÁLIÍ S POUŽITÍM </t>
  </si>
  <si>
    <t>00986</t>
  </si>
  <si>
    <t>KONTROLA VE FÁZI RETENCE NEBO AKTIVNÍ SLEDOVÁNÍ VE</t>
  </si>
  <si>
    <t>00990</t>
  </si>
  <si>
    <t>DIAGNOSTICKÁ PŘESTAVBA ORTODONTICKÉHO MODELU</t>
  </si>
  <si>
    <t>00994</t>
  </si>
  <si>
    <t>ZAHÁJENÍ LÉČBY ORTODONTICKÝCH ANOMÁLIÍ MALÝM FIXNÍ</t>
  </si>
  <si>
    <t>00982</t>
  </si>
  <si>
    <t>ZAHÁJENÍ LÉČBY ORTODONTICKÝCH ANOMÁLIÍ FIXNÍM ORTO</t>
  </si>
  <si>
    <t>00989</t>
  </si>
  <si>
    <t>ANALÝZA ORTODONTICKÝCH MODELŮ</t>
  </si>
  <si>
    <t>00987</t>
  </si>
  <si>
    <t>STANOVENÍ FÁZE RŮSTU</t>
  </si>
  <si>
    <t>00988</t>
  </si>
  <si>
    <t>ANALÝZA TELERENTGENOVÉHO SNÍMKU LBI</t>
  </si>
  <si>
    <t>00983</t>
  </si>
  <si>
    <t xml:space="preserve">KONTROLA LÉČBY ORTODONTICKÝCH ANOMÁLIÍ S POUŽITÍM </t>
  </si>
  <si>
    <t>00993</t>
  </si>
  <si>
    <t>NAVÁZÁNÍ PARCIÁLNÍHO OBLOUKU</t>
  </si>
  <si>
    <t>Zdravotní výkony + ZUM + ZULP vykázané na pracovišti v rámci ambulantní péče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</si>
</sst>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28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3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2" xfId="78" applyNumberFormat="1" applyFont="1" applyFill="1" applyBorder="1"/>
    <xf numFmtId="0" fontId="3" fillId="2" borderId="56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2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51" xfId="1" applyFont="1" applyFill="1" applyBorder="1"/>
    <xf numFmtId="0" fontId="45" fillId="2" borderId="4" xfId="1" applyFont="1" applyFill="1" applyBorder="1"/>
    <xf numFmtId="0" fontId="45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7" xfId="0" applyNumberFormat="1" applyFont="1" applyFill="1" applyBorder="1"/>
    <xf numFmtId="9" fontId="39" fillId="2" borderId="52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45" fillId="2" borderId="34" xfId="1" applyFont="1" applyFill="1" applyBorder="1" applyAlignment="1">
      <alignment horizontal="left" indent="4"/>
    </xf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9" fillId="4" borderId="49" xfId="1" applyFont="1" applyFill="1" applyBorder="1" applyAlignment="1">
      <alignment horizontal="left"/>
    </xf>
    <xf numFmtId="0" fontId="45" fillId="4" borderId="34" xfId="1" applyFont="1" applyFill="1" applyBorder="1" applyAlignment="1">
      <alignment horizontal="left" indent="2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/>
    <xf numFmtId="16" fontId="40" fillId="0" borderId="0" xfId="0" quotePrefix="1" applyNumberFormat="1" applyFont="1" applyFill="1"/>
    <xf numFmtId="0" fontId="40" fillId="0" borderId="0" xfId="0" quotePrefix="1" applyFont="1" applyFill="1"/>
    <xf numFmtId="171" fontId="40" fillId="0" borderId="0" xfId="0" applyNumberFormat="1" applyFont="1" applyFill="1"/>
    <xf numFmtId="172" fontId="40" fillId="0" borderId="0" xfId="0" applyNumberFormat="1" applyFont="1" applyFill="1"/>
    <xf numFmtId="3" fontId="40" fillId="0" borderId="0" xfId="0" applyNumberFormat="1" applyFont="1" applyFill="1"/>
    <xf numFmtId="0" fontId="7" fillId="0" borderId="0" xfId="81" applyFont="1" applyFill="1"/>
    <xf numFmtId="0" fontId="50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62" xfId="0" applyNumberFormat="1" applyFont="1" applyFill="1" applyBorder="1"/>
    <xf numFmtId="3" fontId="52" fillId="8" borderId="63" xfId="0" applyNumberFormat="1" applyFont="1" applyFill="1" applyBorder="1"/>
    <xf numFmtId="3" fontId="52" fillId="8" borderId="62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3" fontId="39" fillId="2" borderId="66" xfId="0" applyNumberFormat="1" applyFont="1" applyFill="1" applyBorder="1" applyAlignment="1">
      <alignment horizontal="center" vertical="center"/>
    </xf>
    <xf numFmtId="0" fontId="39" fillId="2" borderId="67" xfId="0" applyFont="1" applyFill="1" applyBorder="1" applyAlignment="1">
      <alignment horizontal="center" vertical="center"/>
    </xf>
    <xf numFmtId="3" fontId="54" fillId="2" borderId="69" xfId="0" applyNumberFormat="1" applyFont="1" applyFill="1" applyBorder="1" applyAlignment="1">
      <alignment horizontal="center" vertical="center" wrapText="1"/>
    </xf>
    <xf numFmtId="0" fontId="54" fillId="2" borderId="70" xfId="0" applyFont="1" applyFill="1" applyBorder="1" applyAlignment="1">
      <alignment horizontal="center" vertical="center" wrapText="1"/>
    </xf>
    <xf numFmtId="0" fontId="39" fillId="2" borderId="72" xfId="0" applyFont="1" applyFill="1" applyBorder="1" applyAlignment="1"/>
    <xf numFmtId="0" fontId="39" fillId="2" borderId="74" xfId="0" applyFont="1" applyFill="1" applyBorder="1" applyAlignment="1">
      <alignment horizontal="left" indent="1"/>
    </xf>
    <xf numFmtId="0" fontId="39" fillId="2" borderId="80" xfId="0" applyFont="1" applyFill="1" applyBorder="1" applyAlignment="1">
      <alignment horizontal="left" indent="1"/>
    </xf>
    <xf numFmtId="0" fontId="39" fillId="4" borderId="72" xfId="0" applyFont="1" applyFill="1" applyBorder="1" applyAlignment="1"/>
    <xf numFmtId="0" fontId="39" fillId="4" borderId="74" xfId="0" applyFont="1" applyFill="1" applyBorder="1" applyAlignment="1">
      <alignment horizontal="left" indent="1"/>
    </xf>
    <xf numFmtId="0" fontId="39" fillId="4" borderId="85" xfId="0" applyFont="1" applyFill="1" applyBorder="1" applyAlignment="1">
      <alignment horizontal="left" indent="1"/>
    </xf>
    <xf numFmtId="0" fontId="32" fillId="2" borderId="74" xfId="0" quotePrefix="1" applyFont="1" applyFill="1" applyBorder="1" applyAlignment="1">
      <alignment horizontal="left" indent="2"/>
    </xf>
    <xf numFmtId="0" fontId="32" fillId="2" borderId="80" xfId="0" quotePrefix="1" applyFont="1" applyFill="1" applyBorder="1" applyAlignment="1">
      <alignment horizontal="left" indent="2"/>
    </xf>
    <xf numFmtId="0" fontId="39" fillId="2" borderId="72" xfId="0" applyFont="1" applyFill="1" applyBorder="1" applyAlignment="1">
      <alignment horizontal="left" indent="1"/>
    </xf>
    <xf numFmtId="0" fontId="39" fillId="2" borderId="85" xfId="0" applyFont="1" applyFill="1" applyBorder="1" applyAlignment="1">
      <alignment horizontal="left" indent="1"/>
    </xf>
    <xf numFmtId="0" fontId="39" fillId="4" borderId="80" xfId="0" applyFont="1" applyFill="1" applyBorder="1" applyAlignment="1">
      <alignment horizontal="left" indent="1"/>
    </xf>
    <xf numFmtId="0" fontId="32" fillId="0" borderId="90" xfId="0" applyFont="1" applyBorder="1"/>
    <xf numFmtId="3" fontId="32" fillId="0" borderId="90" xfId="0" applyNumberFormat="1" applyFont="1" applyBorder="1"/>
    <xf numFmtId="0" fontId="39" fillId="4" borderId="64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9" xfId="0" applyNumberFormat="1" applyFont="1" applyFill="1" applyBorder="1" applyAlignment="1">
      <alignment horizontal="center" vertical="center"/>
    </xf>
    <xf numFmtId="3" fontId="54" fillId="2" borderId="87" xfId="0" applyNumberFormat="1" applyFont="1" applyFill="1" applyBorder="1" applyAlignment="1">
      <alignment horizontal="center" vertical="center" wrapText="1"/>
    </xf>
    <xf numFmtId="173" fontId="39" fillId="4" borderId="73" xfId="0" applyNumberFormat="1" applyFont="1" applyFill="1" applyBorder="1" applyAlignment="1"/>
    <xf numFmtId="173" fontId="39" fillId="4" borderId="66" xfId="0" applyNumberFormat="1" applyFont="1" applyFill="1" applyBorder="1" applyAlignment="1"/>
    <xf numFmtId="173" fontId="39" fillId="4" borderId="67" xfId="0" applyNumberFormat="1" applyFont="1" applyFill="1" applyBorder="1" applyAlignment="1"/>
    <xf numFmtId="173" fontId="39" fillId="0" borderId="75" xfId="0" applyNumberFormat="1" applyFont="1" applyBorder="1"/>
    <xf numFmtId="173" fontId="32" fillId="0" borderId="79" xfId="0" applyNumberFormat="1" applyFont="1" applyBorder="1"/>
    <xf numFmtId="173" fontId="32" fillId="0" borderId="77" xfId="0" applyNumberFormat="1" applyFont="1" applyBorder="1"/>
    <xf numFmtId="173" fontId="39" fillId="0" borderId="86" xfId="0" applyNumberFormat="1" applyFont="1" applyBorder="1"/>
    <xf numFmtId="173" fontId="32" fillId="0" borderId="87" xfId="0" applyNumberFormat="1" applyFont="1" applyBorder="1"/>
    <xf numFmtId="173" fontId="32" fillId="0" borderId="70" xfId="0" applyNumberFormat="1" applyFont="1" applyBorder="1"/>
    <xf numFmtId="173" fontId="39" fillId="2" borderId="88" xfId="0" applyNumberFormat="1" applyFont="1" applyFill="1" applyBorder="1" applyAlignment="1"/>
    <xf numFmtId="173" fontId="39" fillId="2" borderId="66" xfId="0" applyNumberFormat="1" applyFont="1" applyFill="1" applyBorder="1" applyAlignment="1"/>
    <xf numFmtId="173" fontId="39" fillId="2" borderId="67" xfId="0" applyNumberFormat="1" applyFont="1" applyFill="1" applyBorder="1" applyAlignment="1"/>
    <xf numFmtId="173" fontId="39" fillId="0" borderId="81" xfId="0" applyNumberFormat="1" applyFont="1" applyBorder="1"/>
    <xf numFmtId="173" fontId="32" fillId="0" borderId="82" xfId="0" applyNumberFormat="1" applyFont="1" applyBorder="1"/>
    <xf numFmtId="173" fontId="32" fillId="0" borderId="83" xfId="0" applyNumberFormat="1" applyFont="1" applyBorder="1"/>
    <xf numFmtId="173" fontId="39" fillId="0" borderId="73" xfId="0" applyNumberFormat="1" applyFont="1" applyBorder="1"/>
    <xf numFmtId="173" fontId="32" fillId="0" borderId="89" xfId="0" applyNumberFormat="1" applyFont="1" applyBorder="1"/>
    <xf numFmtId="173" fontId="32" fillId="0" borderId="67" xfId="0" applyNumberFormat="1" applyFont="1" applyBorder="1"/>
    <xf numFmtId="174" fontId="39" fillId="2" borderId="73" xfId="0" applyNumberFormat="1" applyFont="1" applyFill="1" applyBorder="1" applyAlignment="1"/>
    <xf numFmtId="174" fontId="32" fillId="2" borderId="66" xfId="0" applyNumberFormat="1" applyFont="1" applyFill="1" applyBorder="1" applyAlignment="1"/>
    <xf numFmtId="174" fontId="32" fillId="2" borderId="67" xfId="0" applyNumberFormat="1" applyFont="1" applyFill="1" applyBorder="1" applyAlignment="1"/>
    <xf numFmtId="174" fontId="39" fillId="0" borderId="75" xfId="0" applyNumberFormat="1" applyFont="1" applyBorder="1"/>
    <xf numFmtId="174" fontId="32" fillId="0" borderId="76" xfId="0" applyNumberFormat="1" applyFont="1" applyBorder="1"/>
    <xf numFmtId="174" fontId="32" fillId="0" borderId="77" xfId="0" applyNumberFormat="1" applyFont="1" applyBorder="1"/>
    <xf numFmtId="174" fontId="32" fillId="0" borderId="79" xfId="0" applyNumberFormat="1" applyFont="1" applyBorder="1"/>
    <xf numFmtId="174" fontId="39" fillId="0" borderId="81" xfId="0" applyNumberFormat="1" applyFont="1" applyBorder="1"/>
    <xf numFmtId="174" fontId="32" fillId="0" borderId="82" xfId="0" applyNumberFormat="1" applyFont="1" applyBorder="1"/>
    <xf numFmtId="174" fontId="32" fillId="0" borderId="83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3" fontId="39" fillId="4" borderId="73" xfId="0" applyNumberFormat="1" applyFont="1" applyFill="1" applyBorder="1" applyAlignment="1">
      <alignment horizontal="center"/>
    </xf>
    <xf numFmtId="175" fontId="39" fillId="0" borderId="81" xfId="0" applyNumberFormat="1" applyFont="1" applyBorder="1"/>
    <xf numFmtId="0" fontId="31" fillId="2" borderId="96" xfId="74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8" xfId="0" applyFont="1" applyFill="1" applyBorder="1"/>
    <xf numFmtId="0" fontId="32" fillId="0" borderId="79" xfId="0" applyFont="1" applyBorder="1" applyAlignment="1"/>
    <xf numFmtId="9" fontId="32" fillId="0" borderId="7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90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5" xfId="0" applyNumberFormat="1" applyFont="1" applyBorder="1"/>
    <xf numFmtId="9" fontId="32" fillId="0" borderId="79" xfId="0" applyNumberFormat="1" applyFont="1" applyBorder="1"/>
    <xf numFmtId="9" fontId="32" fillId="0" borderId="77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6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31" fillId="2" borderId="9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4" xfId="78" applyNumberFormat="1" applyFont="1" applyFill="1" applyBorder="1" applyAlignment="1">
      <alignment horizontal="left"/>
    </xf>
    <xf numFmtId="0" fontId="32" fillId="2" borderId="46" xfId="0" applyFont="1" applyFill="1" applyBorder="1" applyAlignment="1"/>
    <xf numFmtId="3" fontId="28" fillId="2" borderId="48" xfId="78" applyNumberFormat="1" applyFont="1" applyFill="1" applyBorder="1" applyAlignment="1"/>
    <xf numFmtId="0" fontId="39" fillId="2" borderId="54" xfId="0" applyFont="1" applyFill="1" applyBorder="1" applyAlignment="1">
      <alignment horizontal="left"/>
    </xf>
    <xf numFmtId="0" fontId="32" fillId="2" borderId="42" xfId="0" applyFont="1" applyFill="1" applyBorder="1" applyAlignment="1">
      <alignment horizontal="left"/>
    </xf>
    <xf numFmtId="0" fontId="32" fillId="2" borderId="46" xfId="0" applyFont="1" applyFill="1" applyBorder="1" applyAlignment="1">
      <alignment horizontal="left"/>
    </xf>
    <xf numFmtId="0" fontId="39" fillId="2" borderId="48" xfId="0" applyFont="1" applyFill="1" applyBorder="1" applyAlignment="1">
      <alignment horizontal="left"/>
    </xf>
    <xf numFmtId="3" fontId="39" fillId="2" borderId="48" xfId="0" applyNumberFormat="1" applyFont="1" applyFill="1" applyBorder="1" applyAlignment="1">
      <alignment horizontal="left"/>
    </xf>
    <xf numFmtId="3" fontId="32" fillId="2" borderId="43" xfId="0" applyNumberFormat="1" applyFont="1" applyFill="1" applyBorder="1" applyAlignment="1">
      <alignment horizontal="left"/>
    </xf>
    <xf numFmtId="9" fontId="3" fillId="2" borderId="99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3" fontId="3" fillId="2" borderId="88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6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7" xfId="26" applyNumberFormat="1" applyFont="1" applyFill="1" applyBorder="1" applyAlignment="1">
      <alignment horizontal="center"/>
    </xf>
    <xf numFmtId="3" fontId="31" fillId="2" borderId="90" xfId="26" applyNumberFormat="1" applyFont="1" applyFill="1" applyBorder="1" applyAlignment="1">
      <alignment horizontal="center"/>
    </xf>
    <xf numFmtId="3" fontId="31" fillId="2" borderId="65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3" fillId="2" borderId="43" xfId="0" applyNumberFormat="1" applyFont="1" applyFill="1" applyBorder="1" applyAlignment="1">
      <alignment horizontal="center" vertical="top"/>
    </xf>
    <xf numFmtId="0" fontId="31" fillId="2" borderId="64" xfId="0" applyNumberFormat="1" applyFont="1" applyFill="1" applyBorder="1" applyAlignment="1">
      <alignment horizontal="center" vertical="top"/>
    </xf>
    <xf numFmtId="3" fontId="33" fillId="9" borderId="101" xfId="0" applyNumberFormat="1" applyFont="1" applyFill="1" applyBorder="1" applyAlignment="1">
      <alignment horizontal="right" vertical="top"/>
    </xf>
    <xf numFmtId="3" fontId="33" fillId="9" borderId="102" xfId="0" applyNumberFormat="1" applyFont="1" applyFill="1" applyBorder="1" applyAlignment="1">
      <alignment horizontal="right" vertical="top"/>
    </xf>
    <xf numFmtId="176" fontId="33" fillId="9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6" fontId="33" fillId="9" borderId="104" xfId="0" applyNumberFormat="1" applyFont="1" applyFill="1" applyBorder="1" applyAlignment="1">
      <alignment horizontal="right" vertical="top"/>
    </xf>
    <xf numFmtId="3" fontId="35" fillId="9" borderId="106" xfId="0" applyNumberFormat="1" applyFont="1" applyFill="1" applyBorder="1" applyAlignment="1">
      <alignment horizontal="right" vertical="top"/>
    </xf>
    <xf numFmtId="3" fontId="35" fillId="9" borderId="107" xfId="0" applyNumberFormat="1" applyFont="1" applyFill="1" applyBorder="1" applyAlignment="1">
      <alignment horizontal="right" vertical="top"/>
    </xf>
    <xf numFmtId="0" fontId="35" fillId="9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9" borderId="109" xfId="0" applyFont="1" applyFill="1" applyBorder="1" applyAlignment="1">
      <alignment horizontal="right" vertical="top"/>
    </xf>
    <xf numFmtId="0" fontId="33" fillId="9" borderId="103" xfId="0" applyFont="1" applyFill="1" applyBorder="1" applyAlignment="1">
      <alignment horizontal="right" vertical="top"/>
    </xf>
    <xf numFmtId="0" fontId="33" fillId="9" borderId="104" xfId="0" applyFont="1" applyFill="1" applyBorder="1" applyAlignment="1">
      <alignment horizontal="right" vertical="top"/>
    </xf>
    <xf numFmtId="176" fontId="35" fillId="9" borderId="108" xfId="0" applyNumberFormat="1" applyFont="1" applyFill="1" applyBorder="1" applyAlignment="1">
      <alignment horizontal="right" vertical="top"/>
    </xf>
    <xf numFmtId="176" fontId="35" fillId="9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176" fontId="35" fillId="9" borderId="113" xfId="0" applyNumberFormat="1" applyFont="1" applyFill="1" applyBorder="1" applyAlignment="1">
      <alignment horizontal="right" vertical="top"/>
    </xf>
    <xf numFmtId="0" fontId="37" fillId="10" borderId="100" xfId="0" applyFont="1" applyFill="1" applyBorder="1" applyAlignment="1">
      <alignment vertical="top"/>
    </xf>
    <xf numFmtId="0" fontId="37" fillId="10" borderId="100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 indent="6"/>
    </xf>
    <xf numFmtId="0" fontId="37" fillId="10" borderId="100" xfId="0" applyFont="1" applyFill="1" applyBorder="1" applyAlignment="1">
      <alignment vertical="top" indent="8"/>
    </xf>
    <xf numFmtId="0" fontId="38" fillId="10" borderId="105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6"/>
    </xf>
    <xf numFmtId="0" fontId="38" fillId="10" borderId="105" xfId="0" applyFont="1" applyFill="1" applyBorder="1" applyAlignment="1">
      <alignment vertical="top" indent="4"/>
    </xf>
    <xf numFmtId="0" fontId="32" fillId="10" borderId="100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4" xfId="53" applyNumberFormat="1" applyFont="1" applyFill="1" applyBorder="1" applyAlignment="1">
      <alignment horizontal="left"/>
    </xf>
    <xf numFmtId="164" fontId="31" fillId="2" borderId="115" xfId="53" applyNumberFormat="1" applyFont="1" applyFill="1" applyBorder="1" applyAlignment="1">
      <alignment horizontal="left"/>
    </xf>
    <xf numFmtId="164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3" fontId="32" fillId="0" borderId="115" xfId="0" applyNumberFormat="1" applyFont="1" applyFill="1" applyBorder="1"/>
    <xf numFmtId="3" fontId="32" fillId="0" borderId="117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76" xfId="0" applyFont="1" applyFill="1" applyBorder="1"/>
    <xf numFmtId="0" fontId="32" fillId="0" borderId="77" xfId="0" applyFont="1" applyFill="1" applyBorder="1"/>
    <xf numFmtId="164" fontId="32" fillId="0" borderId="77" xfId="0" applyNumberFormat="1" applyFont="1" applyFill="1" applyBorder="1"/>
    <xf numFmtId="164" fontId="32" fillId="0" borderId="77" xfId="0" applyNumberFormat="1" applyFont="1" applyFill="1" applyBorder="1" applyAlignment="1">
      <alignment horizontal="right"/>
    </xf>
    <xf numFmtId="3" fontId="32" fillId="0" borderId="77" xfId="0" applyNumberFormat="1" applyFont="1" applyFill="1" applyBorder="1"/>
    <xf numFmtId="3" fontId="32" fillId="0" borderId="78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9" fillId="2" borderId="114" xfId="0" applyFont="1" applyFill="1" applyBorder="1"/>
    <xf numFmtId="3" fontId="39" fillId="2" borderId="116" xfId="0" applyNumberFormat="1" applyFont="1" applyFill="1" applyBorder="1"/>
    <xf numFmtId="9" fontId="39" fillId="2" borderId="61" xfId="0" applyNumberFormat="1" applyFont="1" applyFill="1" applyBorder="1"/>
    <xf numFmtId="3" fontId="39" fillId="2" borderId="55" xfId="0" applyNumberFormat="1" applyFont="1" applyFill="1" applyBorder="1"/>
    <xf numFmtId="9" fontId="32" fillId="0" borderId="115" xfId="0" applyNumberFormat="1" applyFont="1" applyFill="1" applyBorder="1"/>
    <xf numFmtId="9" fontId="32" fillId="0" borderId="67" xfId="0" applyNumberFormat="1" applyFont="1" applyFill="1" applyBorder="1"/>
    <xf numFmtId="9" fontId="32" fillId="0" borderId="70" xfId="0" applyNumberFormat="1" applyFont="1" applyFill="1" applyBorder="1"/>
    <xf numFmtId="3" fontId="32" fillId="0" borderId="27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14" xfId="0" applyFont="1" applyFill="1" applyBorder="1"/>
    <xf numFmtId="0" fontId="32" fillId="5" borderId="10" xfId="0" applyFont="1" applyFill="1" applyBorder="1" applyAlignment="1">
      <alignment wrapText="1"/>
    </xf>
    <xf numFmtId="9" fontId="32" fillId="0" borderId="77" xfId="0" applyNumberFormat="1" applyFont="1" applyFill="1" applyBorder="1"/>
    <xf numFmtId="3" fontId="32" fillId="0" borderId="83" xfId="0" applyNumberFormat="1" applyFont="1" applyFill="1" applyBorder="1"/>
    <xf numFmtId="9" fontId="32" fillId="0" borderId="83" xfId="0" applyNumberFormat="1" applyFont="1" applyFill="1" applyBorder="1"/>
    <xf numFmtId="3" fontId="32" fillId="0" borderId="84" xfId="0" applyNumberFormat="1" applyFont="1" applyFill="1" applyBorder="1"/>
    <xf numFmtId="0" fontId="39" fillId="0" borderId="66" xfId="0" applyFont="1" applyFill="1" applyBorder="1"/>
    <xf numFmtId="0" fontId="39" fillId="0" borderId="118" xfId="0" applyFont="1" applyFill="1" applyBorder="1"/>
    <xf numFmtId="0" fontId="39" fillId="2" borderId="115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" fillId="2" borderId="114" xfId="79" applyFont="1" applyFill="1" applyBorder="1" applyAlignment="1">
      <alignment horizontal="left"/>
    </xf>
    <xf numFmtId="3" fontId="3" fillId="2" borderId="83" xfId="80" applyNumberFormat="1" applyFont="1" applyFill="1" applyBorder="1"/>
    <xf numFmtId="3" fontId="3" fillId="2" borderId="84" xfId="80" applyNumberFormat="1" applyFont="1" applyFill="1" applyBorder="1"/>
    <xf numFmtId="9" fontId="3" fillId="2" borderId="82" xfId="80" applyNumberFormat="1" applyFont="1" applyFill="1" applyBorder="1"/>
    <xf numFmtId="9" fontId="3" fillId="2" borderId="83" xfId="80" applyNumberFormat="1" applyFont="1" applyFill="1" applyBorder="1"/>
    <xf numFmtId="9" fontId="3" fillId="2" borderId="84" xfId="8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9" fillId="0" borderId="96" xfId="0" applyFont="1" applyFill="1" applyBorder="1"/>
    <xf numFmtId="0" fontId="39" fillId="0" borderId="95" xfId="0" applyFont="1" applyFill="1" applyBorder="1" applyAlignment="1">
      <alignment horizontal="left" indent="1"/>
    </xf>
    <xf numFmtId="9" fontId="32" fillId="0" borderId="89" xfId="0" applyNumberFormat="1" applyFont="1" applyFill="1" applyBorder="1"/>
    <xf numFmtId="9" fontId="32" fillId="0" borderId="87" xfId="0" applyNumberFormat="1" applyFont="1" applyFill="1" applyBorder="1"/>
    <xf numFmtId="3" fontId="32" fillId="0" borderId="66" xfId="0" applyNumberFormat="1" applyFont="1" applyFill="1" applyBorder="1"/>
    <xf numFmtId="3" fontId="32" fillId="0" borderId="69" xfId="0" applyNumberFormat="1" applyFont="1" applyFill="1" applyBorder="1"/>
    <xf numFmtId="9" fontId="32" fillId="0" borderId="93" xfId="0" applyNumberFormat="1" applyFont="1" applyFill="1" applyBorder="1"/>
    <xf numFmtId="9" fontId="32" fillId="0" borderId="92" xfId="0" applyNumberFormat="1" applyFont="1" applyFill="1" applyBorder="1"/>
    <xf numFmtId="173" fontId="39" fillId="4" borderId="119" xfId="0" applyNumberFormat="1" applyFont="1" applyFill="1" applyBorder="1" applyAlignment="1">
      <alignment horizontal="center"/>
    </xf>
    <xf numFmtId="173" fontId="39" fillId="4" borderId="120" xfId="0" applyNumberFormat="1" applyFont="1" applyFill="1" applyBorder="1" applyAlignment="1">
      <alignment horizontal="center"/>
    </xf>
    <xf numFmtId="173" fontId="32" fillId="0" borderId="121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 wrapText="1"/>
    </xf>
    <xf numFmtId="175" fontId="32" fillId="0" borderId="121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173" fontId="32" fillId="0" borderId="124" xfId="0" applyNumberFormat="1" applyFont="1" applyBorder="1" applyAlignment="1">
      <alignment horizontal="right"/>
    </xf>
    <xf numFmtId="0" fontId="39" fillId="2" borderId="93" xfId="0" applyFont="1" applyFill="1" applyBorder="1" applyAlignment="1">
      <alignment horizontal="center" vertical="center"/>
    </xf>
    <xf numFmtId="0" fontId="54" fillId="2" borderId="92" xfId="0" applyFont="1" applyFill="1" applyBorder="1" applyAlignment="1">
      <alignment horizontal="center" vertical="center" wrapText="1"/>
    </xf>
    <xf numFmtId="174" fontId="32" fillId="2" borderId="93" xfId="0" applyNumberFormat="1" applyFont="1" applyFill="1" applyBorder="1" applyAlignment="1"/>
    <xf numFmtId="174" fontId="32" fillId="0" borderId="91" xfId="0" applyNumberFormat="1" applyFont="1" applyBorder="1"/>
    <xf numFmtId="174" fontId="32" fillId="0" borderId="126" xfId="0" applyNumberFormat="1" applyFont="1" applyBorder="1"/>
    <xf numFmtId="173" fontId="39" fillId="4" borderId="93" xfId="0" applyNumberFormat="1" applyFont="1" applyFill="1" applyBorder="1" applyAlignment="1"/>
    <xf numFmtId="173" fontId="32" fillId="0" borderId="91" xfId="0" applyNumberFormat="1" applyFont="1" applyBorder="1"/>
    <xf numFmtId="173" fontId="32" fillId="0" borderId="92" xfId="0" applyNumberFormat="1" applyFont="1" applyBorder="1"/>
    <xf numFmtId="173" fontId="39" fillId="2" borderId="93" xfId="0" applyNumberFormat="1" applyFont="1" applyFill="1" applyBorder="1" applyAlignment="1"/>
    <xf numFmtId="173" fontId="32" fillId="0" borderId="126" xfId="0" applyNumberFormat="1" applyFont="1" applyBorder="1"/>
    <xf numFmtId="173" fontId="32" fillId="0" borderId="93" xfId="0" applyNumberFormat="1" applyFont="1" applyBorder="1"/>
    <xf numFmtId="9" fontId="32" fillId="0" borderId="91" xfId="0" applyNumberFormat="1" applyFont="1" applyBorder="1"/>
    <xf numFmtId="173" fontId="39" fillId="4" borderId="127" xfId="0" applyNumberFormat="1" applyFont="1" applyFill="1" applyBorder="1" applyAlignment="1">
      <alignment horizontal="center"/>
    </xf>
    <xf numFmtId="0" fontId="0" fillId="0" borderId="128" xfId="0" applyBorder="1" applyAlignment="1">
      <alignment horizontal="right"/>
    </xf>
    <xf numFmtId="173" fontId="32" fillId="0" borderId="128" xfId="0" applyNumberFormat="1" applyFont="1" applyBorder="1" applyAlignment="1">
      <alignment horizontal="right"/>
    </xf>
    <xf numFmtId="175" fontId="32" fillId="0" borderId="128" xfId="0" applyNumberFormat="1" applyFont="1" applyBorder="1" applyAlignment="1">
      <alignment horizontal="right"/>
    </xf>
    <xf numFmtId="173" fontId="32" fillId="0" borderId="129" xfId="0" applyNumberFormat="1" applyFont="1" applyBorder="1" applyAlignment="1">
      <alignment horizontal="right"/>
    </xf>
    <xf numFmtId="0" fontId="0" fillId="0" borderId="125" xfId="0" applyBorder="1"/>
    <xf numFmtId="173" fontId="39" fillId="4" borderId="72" xfId="0" applyNumberFormat="1" applyFont="1" applyFill="1" applyBorder="1" applyAlignment="1">
      <alignment horizontal="center"/>
    </xf>
    <xf numFmtId="173" fontId="32" fillId="0" borderId="74" xfId="0" applyNumberFormat="1" applyFont="1" applyBorder="1" applyAlignment="1">
      <alignment horizontal="right"/>
    </xf>
    <xf numFmtId="175" fontId="32" fillId="0" borderId="74" xfId="0" applyNumberFormat="1" applyFont="1" applyBorder="1" applyAlignment="1">
      <alignment horizontal="right"/>
    </xf>
    <xf numFmtId="173" fontId="32" fillId="0" borderId="85" xfId="0" applyNumberFormat="1" applyFont="1" applyBorder="1" applyAlignment="1">
      <alignment horizontal="right"/>
    </xf>
    <xf numFmtId="0" fontId="32" fillId="2" borderId="55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67" xfId="0" applyNumberFormat="1" applyFont="1" applyFill="1" applyBorder="1"/>
    <xf numFmtId="169" fontId="32" fillId="0" borderId="70" xfId="0" applyNumberFormat="1" applyFont="1" applyFill="1" applyBorder="1"/>
    <xf numFmtId="0" fontId="39" fillId="0" borderId="69" xfId="0" applyFont="1" applyFill="1" applyBorder="1"/>
    <xf numFmtId="169" fontId="32" fillId="0" borderId="77" xfId="0" applyNumberFormat="1" applyFont="1" applyFill="1" applyBorder="1"/>
    <xf numFmtId="9" fontId="32" fillId="0" borderId="78" xfId="0" applyNumberFormat="1" applyFont="1" applyFill="1" applyBorder="1"/>
    <xf numFmtId="0" fontId="39" fillId="0" borderId="76" xfId="0" applyFont="1" applyFill="1" applyBorder="1"/>
    <xf numFmtId="0" fontId="58" fillId="0" borderId="0" xfId="0" applyFont="1" applyFill="1"/>
    <xf numFmtId="0" fontId="59" fillId="0" borderId="0" xfId="0" applyFont="1" applyFill="1"/>
    <xf numFmtId="0" fontId="31" fillId="2" borderId="16" xfId="26" applyNumberFormat="1" applyFont="1" applyFill="1" applyBorder="1"/>
    <xf numFmtId="169" fontId="32" fillId="0" borderId="27" xfId="0" applyNumberFormat="1" applyFont="1" applyFill="1" applyBorder="1"/>
    <xf numFmtId="169" fontId="32" fillId="0" borderId="20" xfId="0" applyNumberFormat="1" applyFont="1" applyFill="1" applyBorder="1"/>
    <xf numFmtId="0" fontId="39" fillId="0" borderId="19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3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0.58769306080482286</c:v>
                </c:pt>
                <c:pt idx="1">
                  <c:v>0.62258025623064783</c:v>
                </c:pt>
                <c:pt idx="2">
                  <c:v>0.61636259921877179</c:v>
                </c:pt>
                <c:pt idx="3">
                  <c:v>0.65161849464012334</c:v>
                </c:pt>
                <c:pt idx="4">
                  <c:v>0.61279475469216227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3586968"/>
        <c:axId val="126358736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0.54830659107562663</c:v>
                </c:pt>
                <c:pt idx="1">
                  <c:v>0.54830659107562663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3589712"/>
        <c:axId val="1263590104"/>
      </c:scatterChart>
      <c:catAx>
        <c:axId val="1263586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63587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35873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263586968"/>
        <c:crosses val="autoZero"/>
        <c:crossBetween val="between"/>
      </c:valAx>
      <c:valAx>
        <c:axId val="126358971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63590104"/>
        <c:crosses val="max"/>
        <c:crossBetween val="midCat"/>
      </c:valAx>
      <c:valAx>
        <c:axId val="126359010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26358971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5" bestFit="1" customWidth="1"/>
    <col min="2" max="2" width="102.21875" style="115" bestFit="1" customWidth="1"/>
    <col min="3" max="3" width="16.109375" style="47" hidden="1" customWidth="1"/>
    <col min="4" max="16384" width="8.88671875" style="115"/>
  </cols>
  <sheetData>
    <row r="1" spans="1:3" ht="18.600000000000001" customHeight="1" thickBot="1" x14ac:dyDescent="0.4">
      <c r="A1" s="302" t="s">
        <v>93</v>
      </c>
      <c r="B1" s="302"/>
    </row>
    <row r="2" spans="1:3" ht="14.4" customHeight="1" thickBot="1" x14ac:dyDescent="0.35">
      <c r="A2" s="212" t="s">
        <v>255</v>
      </c>
      <c r="B2" s="46"/>
    </row>
    <row r="3" spans="1:3" ht="14.4" customHeight="1" thickBot="1" x14ac:dyDescent="0.35">
      <c r="A3" s="298" t="s">
        <v>120</v>
      </c>
      <c r="B3" s="299"/>
    </row>
    <row r="4" spans="1:3" ht="14.4" customHeight="1" x14ac:dyDescent="0.3">
      <c r="A4" s="128" t="str">
        <f t="shared" ref="A4:A8" si="0">HYPERLINK("#'"&amp;C4&amp;"'!A1",C4)</f>
        <v>Motivace</v>
      </c>
      <c r="B4" s="74" t="s">
        <v>104</v>
      </c>
      <c r="C4" s="47" t="s">
        <v>105</v>
      </c>
    </row>
    <row r="5" spans="1:3" ht="14.4" customHeight="1" x14ac:dyDescent="0.3">
      <c r="A5" s="129" t="str">
        <f t="shared" si="0"/>
        <v>HI</v>
      </c>
      <c r="B5" s="75" t="s">
        <v>117</v>
      </c>
      <c r="C5" s="47" t="s">
        <v>96</v>
      </c>
    </row>
    <row r="6" spans="1:3" ht="14.4" customHeight="1" x14ac:dyDescent="0.3">
      <c r="A6" s="130" t="str">
        <f t="shared" si="0"/>
        <v>HI Graf</v>
      </c>
      <c r="B6" s="76" t="s">
        <v>90</v>
      </c>
      <c r="C6" s="47" t="s">
        <v>97</v>
      </c>
    </row>
    <row r="7" spans="1:3" ht="14.4" customHeight="1" x14ac:dyDescent="0.3">
      <c r="A7" s="130" t="str">
        <f t="shared" si="0"/>
        <v>Man Tab</v>
      </c>
      <c r="B7" s="76" t="s">
        <v>257</v>
      </c>
      <c r="C7" s="47" t="s">
        <v>98</v>
      </c>
    </row>
    <row r="8" spans="1:3" ht="14.4" customHeight="1" thickBot="1" x14ac:dyDescent="0.35">
      <c r="A8" s="131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0" t="s">
        <v>94</v>
      </c>
      <c r="B10" s="299"/>
    </row>
    <row r="11" spans="1:3" ht="14.4" customHeight="1" x14ac:dyDescent="0.3">
      <c r="A11" s="132" t="str">
        <f t="shared" ref="A11" si="1">HYPERLINK("#'"&amp;C11&amp;"'!A1",C11)</f>
        <v>Léky Žádanky</v>
      </c>
      <c r="B11" s="75" t="s">
        <v>118</v>
      </c>
      <c r="C11" s="47" t="s">
        <v>99</v>
      </c>
    </row>
    <row r="12" spans="1:3" ht="14.4" customHeight="1" x14ac:dyDescent="0.3">
      <c r="A12" s="130" t="str">
        <f t="shared" ref="A12:A18" si="2">HYPERLINK("#'"&amp;C12&amp;"'!A1",C12)</f>
        <v>LŽ Detail</v>
      </c>
      <c r="B12" s="76" t="s">
        <v>138</v>
      </c>
      <c r="C12" s="47" t="s">
        <v>100</v>
      </c>
    </row>
    <row r="13" spans="1:3" ht="28.8" customHeight="1" x14ac:dyDescent="0.3">
      <c r="A13" s="130" t="str">
        <f t="shared" si="2"/>
        <v>LŽ PL</v>
      </c>
      <c r="B13" s="446" t="s">
        <v>139</v>
      </c>
      <c r="C13" s="47" t="s">
        <v>124</v>
      </c>
    </row>
    <row r="14" spans="1:3" ht="14.4" customHeight="1" x14ac:dyDescent="0.3">
      <c r="A14" s="130" t="str">
        <f t="shared" si="2"/>
        <v>LŽ PL Detail</v>
      </c>
      <c r="B14" s="76" t="s">
        <v>660</v>
      </c>
      <c r="C14" s="47" t="s">
        <v>125</v>
      </c>
    </row>
    <row r="15" spans="1:3" ht="14.4" customHeight="1" x14ac:dyDescent="0.3">
      <c r="A15" s="130" t="str">
        <f t="shared" si="2"/>
        <v>LŽ Statim</v>
      </c>
      <c r="B15" s="286" t="s">
        <v>218</v>
      </c>
      <c r="C15" s="47" t="s">
        <v>228</v>
      </c>
    </row>
    <row r="16" spans="1:3" ht="14.4" customHeight="1" x14ac:dyDescent="0.3">
      <c r="A16" s="132" t="str">
        <f t="shared" ref="A16" si="3">HYPERLINK("#'"&amp;C16&amp;"'!A1",C16)</f>
        <v>Materiál Žádanky</v>
      </c>
      <c r="B16" s="76" t="s">
        <v>119</v>
      </c>
      <c r="C16" s="47" t="s">
        <v>101</v>
      </c>
    </row>
    <row r="17" spans="1:3" ht="14.4" customHeight="1" x14ac:dyDescent="0.3">
      <c r="A17" s="130" t="str">
        <f t="shared" si="2"/>
        <v>MŽ Detail</v>
      </c>
      <c r="B17" s="76" t="s">
        <v>1443</v>
      </c>
      <c r="C17" s="47" t="s">
        <v>102</v>
      </c>
    </row>
    <row r="18" spans="1:3" ht="14.4" customHeight="1" thickBot="1" x14ac:dyDescent="0.35">
      <c r="A18" s="132" t="str">
        <f t="shared" si="2"/>
        <v>Osobní náklady</v>
      </c>
      <c r="B18" s="76" t="s">
        <v>91</v>
      </c>
      <c r="C18" s="47" t="s">
        <v>103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1" t="s">
        <v>95</v>
      </c>
      <c r="B20" s="299"/>
    </row>
    <row r="21" spans="1:3" ht="14.4" customHeight="1" x14ac:dyDescent="0.3">
      <c r="A21" s="133" t="str">
        <f t="shared" ref="A21:A23" si="4">HYPERLINK("#'"&amp;C21&amp;"'!A1",C21)</f>
        <v>ZV Vykáz.-A</v>
      </c>
      <c r="B21" s="75" t="s">
        <v>1447</v>
      </c>
      <c r="C21" s="47" t="s">
        <v>106</v>
      </c>
    </row>
    <row r="22" spans="1:3" ht="14.4" customHeight="1" x14ac:dyDescent="0.3">
      <c r="A22" s="130" t="str">
        <f t="shared" ref="A22" si="5">HYPERLINK("#'"&amp;C22&amp;"'!A1",C22)</f>
        <v>ZV Vykáz.-A Lékaři</v>
      </c>
      <c r="B22" s="76" t="s">
        <v>1456</v>
      </c>
      <c r="C22" s="47" t="s">
        <v>231</v>
      </c>
    </row>
    <row r="23" spans="1:3" ht="14.4" customHeight="1" x14ac:dyDescent="0.3">
      <c r="A23" s="130" t="str">
        <f t="shared" si="4"/>
        <v>ZV Vykáz.-A Detail</v>
      </c>
      <c r="B23" s="76" t="s">
        <v>1689</v>
      </c>
      <c r="C23" s="47" t="s">
        <v>107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5" bestFit="1" customWidth="1"/>
    <col min="2" max="2" width="8.88671875" style="115" bestFit="1" customWidth="1"/>
    <col min="3" max="3" width="7" style="115" bestFit="1" customWidth="1"/>
    <col min="4" max="4" width="53.44140625" style="115" bestFit="1" customWidth="1"/>
    <col min="5" max="5" width="28.44140625" style="115" bestFit="1" customWidth="1"/>
    <col min="6" max="6" width="6.6640625" style="191" customWidth="1"/>
    <col min="7" max="7" width="10" style="191" customWidth="1"/>
    <col min="8" max="8" width="6.77734375" style="194" bestFit="1" customWidth="1"/>
    <col min="9" max="9" width="6.6640625" style="191" customWidth="1"/>
    <col min="10" max="10" width="10" style="191" customWidth="1"/>
    <col min="11" max="11" width="6.77734375" style="194" bestFit="1" customWidth="1"/>
    <col min="12" max="12" width="6.6640625" style="191" customWidth="1"/>
    <col min="13" max="13" width="10" style="191" customWidth="1"/>
    <col min="14" max="16384" width="8.88671875" style="115"/>
  </cols>
  <sheetData>
    <row r="1" spans="1:13" ht="18.600000000000001" customHeight="1" thickBot="1" x14ac:dyDescent="0.4">
      <c r="A1" s="340" t="s">
        <v>660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02"/>
      <c r="M1" s="302"/>
    </row>
    <row r="2" spans="1:13" ht="14.4" customHeight="1" thickBot="1" x14ac:dyDescent="0.35">
      <c r="A2" s="212" t="s">
        <v>255</v>
      </c>
      <c r="B2" s="190"/>
      <c r="C2" s="190"/>
      <c r="D2" s="190"/>
      <c r="E2" s="190"/>
      <c r="F2" s="198"/>
      <c r="G2" s="198"/>
      <c r="H2" s="199"/>
      <c r="I2" s="198"/>
      <c r="J2" s="198"/>
      <c r="K2" s="199"/>
      <c r="L2" s="198"/>
    </row>
    <row r="3" spans="1:13" ht="14.4" customHeight="1" thickBot="1" x14ac:dyDescent="0.35">
      <c r="E3" s="71" t="s">
        <v>108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8</v>
      </c>
      <c r="J3" s="43">
        <f>SUBTOTAL(9,J6:J1048576)</f>
        <v>904.95798795644953</v>
      </c>
      <c r="K3" s="44">
        <f>IF(M3=0,0,J3/M3)</f>
        <v>1</v>
      </c>
      <c r="L3" s="43">
        <f>SUBTOTAL(9,L6:L1048576)</f>
        <v>8</v>
      </c>
      <c r="M3" s="45">
        <f>SUBTOTAL(9,M6:M1048576)</f>
        <v>904.95798795644953</v>
      </c>
    </row>
    <row r="4" spans="1:13" ht="14.4" customHeight="1" thickBot="1" x14ac:dyDescent="0.35">
      <c r="A4" s="41"/>
      <c r="B4" s="41"/>
      <c r="C4" s="41"/>
      <c r="D4" s="41"/>
      <c r="E4" s="42"/>
      <c r="F4" s="344" t="s">
        <v>110</v>
      </c>
      <c r="G4" s="345"/>
      <c r="H4" s="346"/>
      <c r="I4" s="347" t="s">
        <v>109</v>
      </c>
      <c r="J4" s="345"/>
      <c r="K4" s="346"/>
      <c r="L4" s="348" t="s">
        <v>3</v>
      </c>
      <c r="M4" s="349"/>
    </row>
    <row r="5" spans="1:13" ht="14.4" customHeight="1" thickBot="1" x14ac:dyDescent="0.35">
      <c r="A5" s="433" t="s">
        <v>111</v>
      </c>
      <c r="B5" s="453" t="s">
        <v>112</v>
      </c>
      <c r="C5" s="453" t="s">
        <v>58</v>
      </c>
      <c r="D5" s="453" t="s">
        <v>113</v>
      </c>
      <c r="E5" s="453" t="s">
        <v>114</v>
      </c>
      <c r="F5" s="454" t="s">
        <v>15</v>
      </c>
      <c r="G5" s="454" t="s">
        <v>14</v>
      </c>
      <c r="H5" s="435" t="s">
        <v>115</v>
      </c>
      <c r="I5" s="434" t="s">
        <v>15</v>
      </c>
      <c r="J5" s="454" t="s">
        <v>14</v>
      </c>
      <c r="K5" s="435" t="s">
        <v>115</v>
      </c>
      <c r="L5" s="434" t="s">
        <v>15</v>
      </c>
      <c r="M5" s="455" t="s">
        <v>14</v>
      </c>
    </row>
    <row r="6" spans="1:13" ht="14.4" customHeight="1" x14ac:dyDescent="0.3">
      <c r="A6" s="415" t="s">
        <v>445</v>
      </c>
      <c r="B6" s="416" t="s">
        <v>656</v>
      </c>
      <c r="C6" s="416" t="s">
        <v>641</v>
      </c>
      <c r="D6" s="416" t="s">
        <v>657</v>
      </c>
      <c r="E6" s="416" t="s">
        <v>658</v>
      </c>
      <c r="F6" s="419"/>
      <c r="G6" s="419"/>
      <c r="H6" s="438">
        <v>0</v>
      </c>
      <c r="I6" s="419">
        <v>7</v>
      </c>
      <c r="J6" s="419">
        <v>800.53798795644957</v>
      </c>
      <c r="K6" s="438">
        <v>1</v>
      </c>
      <c r="L6" s="419">
        <v>7</v>
      </c>
      <c r="M6" s="420">
        <v>800.53798795644957</v>
      </c>
    </row>
    <row r="7" spans="1:13" ht="14.4" customHeight="1" thickBot="1" x14ac:dyDescent="0.35">
      <c r="A7" s="427" t="s">
        <v>445</v>
      </c>
      <c r="B7" s="428" t="s">
        <v>659</v>
      </c>
      <c r="C7" s="428" t="s">
        <v>636</v>
      </c>
      <c r="D7" s="428" t="s">
        <v>637</v>
      </c>
      <c r="E7" s="428" t="s">
        <v>638</v>
      </c>
      <c r="F7" s="431"/>
      <c r="G7" s="431"/>
      <c r="H7" s="439">
        <v>0</v>
      </c>
      <c r="I7" s="431">
        <v>1</v>
      </c>
      <c r="J7" s="431">
        <v>104.42</v>
      </c>
      <c r="K7" s="439">
        <v>1</v>
      </c>
      <c r="L7" s="431">
        <v>1</v>
      </c>
      <c r="M7" s="432">
        <v>104.42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90" customWidth="1"/>
    <col min="2" max="2" width="5.44140625" style="191" bestFit="1" customWidth="1"/>
    <col min="3" max="3" width="6.109375" style="191" bestFit="1" customWidth="1"/>
    <col min="4" max="4" width="7.44140625" style="191" bestFit="1" customWidth="1"/>
    <col min="5" max="5" width="6.21875" style="191" bestFit="1" customWidth="1"/>
    <col min="6" max="6" width="6.33203125" style="194" bestFit="1" customWidth="1"/>
    <col min="7" max="7" width="6.109375" style="194" bestFit="1" customWidth="1"/>
    <col min="8" max="8" width="7.44140625" style="194" bestFit="1" customWidth="1"/>
    <col min="9" max="9" width="6.21875" style="194" bestFit="1" customWidth="1"/>
    <col min="10" max="10" width="5.44140625" style="191" bestFit="1" customWidth="1"/>
    <col min="11" max="11" width="6.109375" style="191" bestFit="1" customWidth="1"/>
    <col min="12" max="12" width="7.44140625" style="191" bestFit="1" customWidth="1"/>
    <col min="13" max="13" width="6.21875" style="191" bestFit="1" customWidth="1"/>
    <col min="14" max="14" width="5.33203125" style="194" bestFit="1" customWidth="1"/>
    <col min="15" max="15" width="6.109375" style="194" bestFit="1" customWidth="1"/>
    <col min="16" max="16" width="7.44140625" style="194" bestFit="1" customWidth="1"/>
    <col min="17" max="17" width="6.21875" style="194" bestFit="1" customWidth="1"/>
    <col min="18" max="16384" width="8.88671875" style="115"/>
  </cols>
  <sheetData>
    <row r="1" spans="1:17" ht="18.600000000000001" customHeight="1" thickBot="1" x14ac:dyDescent="0.4">
      <c r="A1" s="340" t="s">
        <v>218</v>
      </c>
      <c r="B1" s="340"/>
      <c r="C1" s="340"/>
      <c r="D1" s="340"/>
      <c r="E1" s="340"/>
      <c r="F1" s="303"/>
      <c r="G1" s="303"/>
      <c r="H1" s="303"/>
      <c r="I1" s="303"/>
      <c r="J1" s="333"/>
      <c r="K1" s="333"/>
      <c r="L1" s="333"/>
      <c r="M1" s="333"/>
      <c r="N1" s="333"/>
      <c r="O1" s="333"/>
      <c r="P1" s="333"/>
      <c r="Q1" s="333"/>
    </row>
    <row r="2" spans="1:17" ht="14.4" customHeight="1" thickBot="1" x14ac:dyDescent="0.35">
      <c r="A2" s="212" t="s">
        <v>255</v>
      </c>
      <c r="B2" s="198"/>
      <c r="C2" s="198"/>
      <c r="D2" s="198"/>
      <c r="E2" s="198"/>
    </row>
    <row r="3" spans="1:17" ht="14.4" customHeight="1" thickBot="1" x14ac:dyDescent="0.35">
      <c r="A3" s="279" t="s">
        <v>3</v>
      </c>
      <c r="B3" s="283">
        <f>SUM(B6:B1048576)</f>
        <v>492</v>
      </c>
      <c r="C3" s="284">
        <f>SUM(C6:C1048576)</f>
        <v>0</v>
      </c>
      <c r="D3" s="284">
        <f>SUM(D6:D1048576)</f>
        <v>0</v>
      </c>
      <c r="E3" s="285">
        <f>SUM(E6:E1048576)</f>
        <v>0</v>
      </c>
      <c r="F3" s="282">
        <f>IF(SUM($B3:$E3)=0,"",B3/SUM($B3:$E3))</f>
        <v>1</v>
      </c>
      <c r="G3" s="280">
        <f t="shared" ref="G3:I3" si="0">IF(SUM($B3:$E3)=0,"",C3/SUM($B3:$E3))</f>
        <v>0</v>
      </c>
      <c r="H3" s="280">
        <f t="shared" si="0"/>
        <v>0</v>
      </c>
      <c r="I3" s="281">
        <f t="shared" si="0"/>
        <v>0</v>
      </c>
      <c r="J3" s="284">
        <f>SUM(J6:J1048576)</f>
        <v>81</v>
      </c>
      <c r="K3" s="284">
        <f>SUM(K6:K1048576)</f>
        <v>0</v>
      </c>
      <c r="L3" s="284">
        <f>SUM(L6:L1048576)</f>
        <v>0</v>
      </c>
      <c r="M3" s="285">
        <f>SUM(M6:M1048576)</f>
        <v>0</v>
      </c>
      <c r="N3" s="282">
        <f>IF(SUM($J3:$M3)=0,"",J3/SUM($J3:$M3))</f>
        <v>1</v>
      </c>
      <c r="O3" s="280">
        <f t="shared" ref="O3:Q3" si="1">IF(SUM($J3:$M3)=0,"",K3/SUM($J3:$M3))</f>
        <v>0</v>
      </c>
      <c r="P3" s="280">
        <f t="shared" si="1"/>
        <v>0</v>
      </c>
      <c r="Q3" s="281">
        <f t="shared" si="1"/>
        <v>0</v>
      </c>
    </row>
    <row r="4" spans="1:17" ht="14.4" customHeight="1" thickBot="1" x14ac:dyDescent="0.35">
      <c r="A4" s="278"/>
      <c r="B4" s="353" t="s">
        <v>220</v>
      </c>
      <c r="C4" s="354"/>
      <c r="D4" s="354"/>
      <c r="E4" s="355"/>
      <c r="F4" s="350" t="s">
        <v>225</v>
      </c>
      <c r="G4" s="351"/>
      <c r="H4" s="351"/>
      <c r="I4" s="352"/>
      <c r="J4" s="353" t="s">
        <v>226</v>
      </c>
      <c r="K4" s="354"/>
      <c r="L4" s="354"/>
      <c r="M4" s="355"/>
      <c r="N4" s="350" t="s">
        <v>227</v>
      </c>
      <c r="O4" s="351"/>
      <c r="P4" s="351"/>
      <c r="Q4" s="352"/>
    </row>
    <row r="5" spans="1:17" ht="14.4" customHeight="1" thickBot="1" x14ac:dyDescent="0.35">
      <c r="A5" s="456" t="s">
        <v>219</v>
      </c>
      <c r="B5" s="457" t="s">
        <v>221</v>
      </c>
      <c r="C5" s="457" t="s">
        <v>222</v>
      </c>
      <c r="D5" s="457" t="s">
        <v>223</v>
      </c>
      <c r="E5" s="458" t="s">
        <v>224</v>
      </c>
      <c r="F5" s="459" t="s">
        <v>221</v>
      </c>
      <c r="G5" s="460" t="s">
        <v>222</v>
      </c>
      <c r="H5" s="460" t="s">
        <v>223</v>
      </c>
      <c r="I5" s="461" t="s">
        <v>224</v>
      </c>
      <c r="J5" s="457" t="s">
        <v>221</v>
      </c>
      <c r="K5" s="457" t="s">
        <v>222</v>
      </c>
      <c r="L5" s="457" t="s">
        <v>223</v>
      </c>
      <c r="M5" s="458" t="s">
        <v>224</v>
      </c>
      <c r="N5" s="459" t="s">
        <v>221</v>
      </c>
      <c r="O5" s="460" t="s">
        <v>222</v>
      </c>
      <c r="P5" s="460" t="s">
        <v>223</v>
      </c>
      <c r="Q5" s="461" t="s">
        <v>224</v>
      </c>
    </row>
    <row r="6" spans="1:17" ht="14.4" customHeight="1" x14ac:dyDescent="0.3">
      <c r="A6" s="464" t="s">
        <v>661</v>
      </c>
      <c r="B6" s="468"/>
      <c r="C6" s="419"/>
      <c r="D6" s="419"/>
      <c r="E6" s="420"/>
      <c r="F6" s="466"/>
      <c r="G6" s="438"/>
      <c r="H6" s="438"/>
      <c r="I6" s="470"/>
      <c r="J6" s="468"/>
      <c r="K6" s="419"/>
      <c r="L6" s="419"/>
      <c r="M6" s="420"/>
      <c r="N6" s="466"/>
      <c r="O6" s="438"/>
      <c r="P6" s="438"/>
      <c r="Q6" s="462"/>
    </row>
    <row r="7" spans="1:17" ht="14.4" customHeight="1" thickBot="1" x14ac:dyDescent="0.35">
      <c r="A7" s="465" t="s">
        <v>662</v>
      </c>
      <c r="B7" s="469">
        <v>492</v>
      </c>
      <c r="C7" s="431"/>
      <c r="D7" s="431"/>
      <c r="E7" s="432"/>
      <c r="F7" s="467">
        <v>1</v>
      </c>
      <c r="G7" s="439">
        <v>0</v>
      </c>
      <c r="H7" s="439">
        <v>0</v>
      </c>
      <c r="I7" s="471">
        <v>0</v>
      </c>
      <c r="J7" s="469">
        <v>81</v>
      </c>
      <c r="K7" s="431"/>
      <c r="L7" s="431"/>
      <c r="M7" s="432"/>
      <c r="N7" s="467">
        <v>1</v>
      </c>
      <c r="O7" s="439">
        <v>0</v>
      </c>
      <c r="P7" s="439">
        <v>0</v>
      </c>
      <c r="Q7" s="46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2" customWidth="1"/>
    <col min="2" max="2" width="61.109375" style="192" customWidth="1"/>
    <col min="3" max="3" width="9.5546875" style="115" customWidth="1"/>
    <col min="4" max="4" width="9.5546875" style="193" customWidth="1"/>
    <col min="5" max="5" width="2.21875" style="193" customWidth="1"/>
    <col min="6" max="6" width="9.5546875" style="194" customWidth="1"/>
    <col min="7" max="7" width="9.5546875" style="191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1" t="s">
        <v>119</v>
      </c>
      <c r="B1" s="332"/>
      <c r="C1" s="332"/>
      <c r="D1" s="332"/>
      <c r="E1" s="332"/>
      <c r="F1" s="332"/>
      <c r="G1" s="303"/>
      <c r="H1" s="333"/>
      <c r="I1" s="333"/>
    </row>
    <row r="2" spans="1:10" ht="14.4" customHeight="1" thickBot="1" x14ac:dyDescent="0.35">
      <c r="A2" s="212" t="s">
        <v>255</v>
      </c>
      <c r="B2" s="190"/>
      <c r="C2" s="190"/>
      <c r="D2" s="190"/>
      <c r="E2" s="190"/>
      <c r="F2" s="190"/>
    </row>
    <row r="3" spans="1:10" ht="14.4" customHeight="1" thickBot="1" x14ac:dyDescent="0.35">
      <c r="A3" s="212"/>
      <c r="B3" s="190"/>
      <c r="C3" s="270">
        <v>2013</v>
      </c>
      <c r="D3" s="271">
        <v>2014</v>
      </c>
      <c r="E3" s="7"/>
      <c r="F3" s="326">
        <v>2015</v>
      </c>
      <c r="G3" s="327"/>
      <c r="H3" s="327"/>
      <c r="I3" s="328"/>
    </row>
    <row r="4" spans="1:10" ht="14.4" customHeight="1" thickBot="1" x14ac:dyDescent="0.35">
      <c r="A4" s="275" t="s">
        <v>0</v>
      </c>
      <c r="B4" s="276" t="s">
        <v>217</v>
      </c>
      <c r="C4" s="329" t="s">
        <v>60</v>
      </c>
      <c r="D4" s="330"/>
      <c r="E4" s="277"/>
      <c r="F4" s="272" t="s">
        <v>60</v>
      </c>
      <c r="G4" s="273" t="s">
        <v>61</v>
      </c>
      <c r="H4" s="273" t="s">
        <v>55</v>
      </c>
      <c r="I4" s="274" t="s">
        <v>62</v>
      </c>
    </row>
    <row r="5" spans="1:10" ht="14.4" customHeight="1" x14ac:dyDescent="0.3">
      <c r="A5" s="403" t="s">
        <v>440</v>
      </c>
      <c r="B5" s="404" t="s">
        <v>441</v>
      </c>
      <c r="C5" s="405" t="s">
        <v>442</v>
      </c>
      <c r="D5" s="405" t="s">
        <v>442</v>
      </c>
      <c r="E5" s="405"/>
      <c r="F5" s="405" t="s">
        <v>442</v>
      </c>
      <c r="G5" s="405" t="s">
        <v>442</v>
      </c>
      <c r="H5" s="405" t="s">
        <v>442</v>
      </c>
      <c r="I5" s="406" t="s">
        <v>442</v>
      </c>
      <c r="J5" s="407" t="s">
        <v>56</v>
      </c>
    </row>
    <row r="6" spans="1:10" ht="14.4" customHeight="1" x14ac:dyDescent="0.3">
      <c r="A6" s="403" t="s">
        <v>440</v>
      </c>
      <c r="B6" s="404" t="s">
        <v>270</v>
      </c>
      <c r="C6" s="405">
        <v>0.81585999999999981</v>
      </c>
      <c r="D6" s="405">
        <v>0</v>
      </c>
      <c r="E6" s="405"/>
      <c r="F6" s="405" t="s">
        <v>442</v>
      </c>
      <c r="G6" s="405" t="s">
        <v>442</v>
      </c>
      <c r="H6" s="405" t="s">
        <v>442</v>
      </c>
      <c r="I6" s="406" t="s">
        <v>442</v>
      </c>
      <c r="J6" s="407" t="s">
        <v>1</v>
      </c>
    </row>
    <row r="7" spans="1:10" ht="14.4" customHeight="1" x14ac:dyDescent="0.3">
      <c r="A7" s="403" t="s">
        <v>440</v>
      </c>
      <c r="B7" s="404" t="s">
        <v>271</v>
      </c>
      <c r="C7" s="405">
        <v>8.7120000000000003E-2</v>
      </c>
      <c r="D7" s="405">
        <v>0</v>
      </c>
      <c r="E7" s="405"/>
      <c r="F7" s="405" t="s">
        <v>442</v>
      </c>
      <c r="G7" s="405" t="s">
        <v>442</v>
      </c>
      <c r="H7" s="405" t="s">
        <v>442</v>
      </c>
      <c r="I7" s="406" t="s">
        <v>442</v>
      </c>
      <c r="J7" s="407" t="s">
        <v>1</v>
      </c>
    </row>
    <row r="8" spans="1:10" ht="14.4" customHeight="1" x14ac:dyDescent="0.3">
      <c r="A8" s="403" t="s">
        <v>440</v>
      </c>
      <c r="B8" s="404" t="s">
        <v>272</v>
      </c>
      <c r="C8" s="405">
        <v>8.2299999999999998E-2</v>
      </c>
      <c r="D8" s="405">
        <v>0.77522999999999997</v>
      </c>
      <c r="E8" s="405"/>
      <c r="F8" s="405">
        <v>0</v>
      </c>
      <c r="G8" s="405">
        <v>0.3230124898258333</v>
      </c>
      <c r="H8" s="405">
        <v>-0.3230124898258333</v>
      </c>
      <c r="I8" s="406">
        <v>0</v>
      </c>
      <c r="J8" s="407" t="s">
        <v>1</v>
      </c>
    </row>
    <row r="9" spans="1:10" ht="14.4" customHeight="1" x14ac:dyDescent="0.3">
      <c r="A9" s="403" t="s">
        <v>440</v>
      </c>
      <c r="B9" s="404" t="s">
        <v>273</v>
      </c>
      <c r="C9" s="405">
        <v>19.896800000000002</v>
      </c>
      <c r="D9" s="405">
        <v>21.237189999999998</v>
      </c>
      <c r="E9" s="405"/>
      <c r="F9" s="405">
        <v>30.676239999998998</v>
      </c>
      <c r="G9" s="405">
        <v>25.416665866102917</v>
      </c>
      <c r="H9" s="405">
        <v>5.2595741338960806</v>
      </c>
      <c r="I9" s="406">
        <v>1.2069340708023606</v>
      </c>
      <c r="J9" s="407" t="s">
        <v>1</v>
      </c>
    </row>
    <row r="10" spans="1:10" ht="14.4" customHeight="1" x14ac:dyDescent="0.3">
      <c r="A10" s="403" t="s">
        <v>440</v>
      </c>
      <c r="B10" s="404" t="s">
        <v>274</v>
      </c>
      <c r="C10" s="405">
        <v>33.048299999999998</v>
      </c>
      <c r="D10" s="405">
        <v>33.33831</v>
      </c>
      <c r="E10" s="405"/>
      <c r="F10" s="405">
        <v>27.831029999999998</v>
      </c>
      <c r="G10" s="405">
        <v>36.666665511755419</v>
      </c>
      <c r="H10" s="405">
        <v>-8.8356355117554202</v>
      </c>
      <c r="I10" s="406">
        <v>0.75902811481663923</v>
      </c>
      <c r="J10" s="407" t="s">
        <v>1</v>
      </c>
    </row>
    <row r="11" spans="1:10" ht="14.4" customHeight="1" x14ac:dyDescent="0.3">
      <c r="A11" s="403" t="s">
        <v>440</v>
      </c>
      <c r="B11" s="404" t="s">
        <v>275</v>
      </c>
      <c r="C11" s="405">
        <v>38.011359999999996</v>
      </c>
      <c r="D11" s="405">
        <v>25.429250000000003</v>
      </c>
      <c r="E11" s="405"/>
      <c r="F11" s="405">
        <v>32.707009999999997</v>
      </c>
      <c r="G11" s="405">
        <v>31.249999015700421</v>
      </c>
      <c r="H11" s="405">
        <v>1.4570109842995755</v>
      </c>
      <c r="I11" s="406">
        <v>1.046624352966141</v>
      </c>
      <c r="J11" s="407" t="s">
        <v>1</v>
      </c>
    </row>
    <row r="12" spans="1:10" ht="14.4" customHeight="1" x14ac:dyDescent="0.3">
      <c r="A12" s="403" t="s">
        <v>440</v>
      </c>
      <c r="B12" s="404" t="s">
        <v>276</v>
      </c>
      <c r="C12" s="405">
        <v>2.2229999999989998</v>
      </c>
      <c r="D12" s="405">
        <v>1.8488</v>
      </c>
      <c r="E12" s="405"/>
      <c r="F12" s="405">
        <v>2.7123500000000003</v>
      </c>
      <c r="G12" s="405">
        <v>2.4999999212558333</v>
      </c>
      <c r="H12" s="405">
        <v>0.212350078744167</v>
      </c>
      <c r="I12" s="406">
        <v>1.0849400341730797</v>
      </c>
      <c r="J12" s="407" t="s">
        <v>1</v>
      </c>
    </row>
    <row r="13" spans="1:10" ht="14.4" customHeight="1" x14ac:dyDescent="0.3">
      <c r="A13" s="403" t="s">
        <v>440</v>
      </c>
      <c r="B13" s="404" t="s">
        <v>277</v>
      </c>
      <c r="C13" s="405">
        <v>63.679000000000002</v>
      </c>
      <c r="D13" s="405">
        <v>75.083070000000006</v>
      </c>
      <c r="E13" s="405"/>
      <c r="F13" s="405">
        <v>87.14358</v>
      </c>
      <c r="G13" s="405">
        <v>74.583330984139167</v>
      </c>
      <c r="H13" s="405">
        <v>12.560249015860833</v>
      </c>
      <c r="I13" s="406">
        <v>1.1684055787013843</v>
      </c>
      <c r="J13" s="407" t="s">
        <v>1</v>
      </c>
    </row>
    <row r="14" spans="1:10" ht="14.4" customHeight="1" x14ac:dyDescent="0.3">
      <c r="A14" s="403" t="s">
        <v>440</v>
      </c>
      <c r="B14" s="404" t="s">
        <v>663</v>
      </c>
      <c r="C14" s="405">
        <v>0</v>
      </c>
      <c r="D14" s="405" t="s">
        <v>442</v>
      </c>
      <c r="E14" s="405"/>
      <c r="F14" s="405" t="s">
        <v>442</v>
      </c>
      <c r="G14" s="405" t="s">
        <v>442</v>
      </c>
      <c r="H14" s="405" t="s">
        <v>442</v>
      </c>
      <c r="I14" s="406" t="s">
        <v>442</v>
      </c>
      <c r="J14" s="407" t="s">
        <v>1</v>
      </c>
    </row>
    <row r="15" spans="1:10" ht="14.4" customHeight="1" x14ac:dyDescent="0.3">
      <c r="A15" s="403" t="s">
        <v>440</v>
      </c>
      <c r="B15" s="404" t="s">
        <v>278</v>
      </c>
      <c r="C15" s="405" t="s">
        <v>442</v>
      </c>
      <c r="D15" s="405" t="s">
        <v>442</v>
      </c>
      <c r="E15" s="405"/>
      <c r="F15" s="405">
        <v>7.4749999999999997E-2</v>
      </c>
      <c r="G15" s="405">
        <v>0</v>
      </c>
      <c r="H15" s="405">
        <v>7.4749999999999997E-2</v>
      </c>
      <c r="I15" s="406" t="s">
        <v>442</v>
      </c>
      <c r="J15" s="407" t="s">
        <v>1</v>
      </c>
    </row>
    <row r="16" spans="1:10" ht="14.4" customHeight="1" x14ac:dyDescent="0.3">
      <c r="A16" s="403" t="s">
        <v>440</v>
      </c>
      <c r="B16" s="404" t="s">
        <v>279</v>
      </c>
      <c r="C16" s="405">
        <v>1434.4136100000001</v>
      </c>
      <c r="D16" s="405">
        <v>1439.671810000001</v>
      </c>
      <c r="E16" s="405"/>
      <c r="F16" s="405">
        <v>1345.10547</v>
      </c>
      <c r="G16" s="405">
        <v>1449.1666210214291</v>
      </c>
      <c r="H16" s="405">
        <v>-104.06115102142917</v>
      </c>
      <c r="I16" s="406">
        <v>0.9281924179649661</v>
      </c>
      <c r="J16" s="407" t="s">
        <v>1</v>
      </c>
    </row>
    <row r="17" spans="1:10" ht="14.4" customHeight="1" x14ac:dyDescent="0.3">
      <c r="A17" s="403" t="s">
        <v>440</v>
      </c>
      <c r="B17" s="404" t="s">
        <v>443</v>
      </c>
      <c r="C17" s="405">
        <v>1592.257349999999</v>
      </c>
      <c r="D17" s="405">
        <v>1597.3836600000009</v>
      </c>
      <c r="E17" s="405"/>
      <c r="F17" s="405">
        <v>1526.2504299999989</v>
      </c>
      <c r="G17" s="405">
        <v>1619.9062948102087</v>
      </c>
      <c r="H17" s="405">
        <v>-93.655864810209778</v>
      </c>
      <c r="I17" s="406">
        <v>0.94218439356013328</v>
      </c>
      <c r="J17" s="407" t="s">
        <v>444</v>
      </c>
    </row>
    <row r="19" spans="1:10" ht="14.4" customHeight="1" x14ac:dyDescent="0.3">
      <c r="A19" s="403" t="s">
        <v>440</v>
      </c>
      <c r="B19" s="404" t="s">
        <v>441</v>
      </c>
      <c r="C19" s="405" t="s">
        <v>442</v>
      </c>
      <c r="D19" s="405" t="s">
        <v>442</v>
      </c>
      <c r="E19" s="405"/>
      <c r="F19" s="405" t="s">
        <v>442</v>
      </c>
      <c r="G19" s="405" t="s">
        <v>442</v>
      </c>
      <c r="H19" s="405" t="s">
        <v>442</v>
      </c>
      <c r="I19" s="406" t="s">
        <v>442</v>
      </c>
      <c r="J19" s="407" t="s">
        <v>56</v>
      </c>
    </row>
    <row r="20" spans="1:10" ht="14.4" customHeight="1" x14ac:dyDescent="0.3">
      <c r="A20" s="403" t="s">
        <v>445</v>
      </c>
      <c r="B20" s="404" t="s">
        <v>446</v>
      </c>
      <c r="C20" s="405" t="s">
        <v>442</v>
      </c>
      <c r="D20" s="405" t="s">
        <v>442</v>
      </c>
      <c r="E20" s="405"/>
      <c r="F20" s="405" t="s">
        <v>442</v>
      </c>
      <c r="G20" s="405" t="s">
        <v>442</v>
      </c>
      <c r="H20" s="405" t="s">
        <v>442</v>
      </c>
      <c r="I20" s="406" t="s">
        <v>442</v>
      </c>
      <c r="J20" s="407" t="s">
        <v>0</v>
      </c>
    </row>
    <row r="21" spans="1:10" ht="14.4" customHeight="1" x14ac:dyDescent="0.3">
      <c r="A21" s="403" t="s">
        <v>445</v>
      </c>
      <c r="B21" s="404" t="s">
        <v>270</v>
      </c>
      <c r="C21" s="405">
        <v>0.81585999999999981</v>
      </c>
      <c r="D21" s="405">
        <v>0</v>
      </c>
      <c r="E21" s="405"/>
      <c r="F21" s="405" t="s">
        <v>442</v>
      </c>
      <c r="G21" s="405" t="s">
        <v>442</v>
      </c>
      <c r="H21" s="405" t="s">
        <v>442</v>
      </c>
      <c r="I21" s="406" t="s">
        <v>442</v>
      </c>
      <c r="J21" s="407" t="s">
        <v>1</v>
      </c>
    </row>
    <row r="22" spans="1:10" ht="14.4" customHeight="1" x14ac:dyDescent="0.3">
      <c r="A22" s="403" t="s">
        <v>445</v>
      </c>
      <c r="B22" s="404" t="s">
        <v>271</v>
      </c>
      <c r="C22" s="405">
        <v>8.7120000000000003E-2</v>
      </c>
      <c r="D22" s="405">
        <v>0</v>
      </c>
      <c r="E22" s="405"/>
      <c r="F22" s="405" t="s">
        <v>442</v>
      </c>
      <c r="G22" s="405" t="s">
        <v>442</v>
      </c>
      <c r="H22" s="405" t="s">
        <v>442</v>
      </c>
      <c r="I22" s="406" t="s">
        <v>442</v>
      </c>
      <c r="J22" s="407" t="s">
        <v>1</v>
      </c>
    </row>
    <row r="23" spans="1:10" ht="14.4" customHeight="1" x14ac:dyDescent="0.3">
      <c r="A23" s="403" t="s">
        <v>445</v>
      </c>
      <c r="B23" s="404" t="s">
        <v>272</v>
      </c>
      <c r="C23" s="405">
        <v>8.2299999999999998E-2</v>
      </c>
      <c r="D23" s="405">
        <v>0.77522999999999997</v>
      </c>
      <c r="E23" s="405"/>
      <c r="F23" s="405">
        <v>0</v>
      </c>
      <c r="G23" s="405">
        <v>0.3230124898258333</v>
      </c>
      <c r="H23" s="405">
        <v>-0.3230124898258333</v>
      </c>
      <c r="I23" s="406">
        <v>0</v>
      </c>
      <c r="J23" s="407" t="s">
        <v>1</v>
      </c>
    </row>
    <row r="24" spans="1:10" ht="14.4" customHeight="1" x14ac:dyDescent="0.3">
      <c r="A24" s="403" t="s">
        <v>445</v>
      </c>
      <c r="B24" s="404" t="s">
        <v>273</v>
      </c>
      <c r="C24" s="405">
        <v>19.896800000000002</v>
      </c>
      <c r="D24" s="405">
        <v>21.237189999999998</v>
      </c>
      <c r="E24" s="405"/>
      <c r="F24" s="405">
        <v>30.676239999998998</v>
      </c>
      <c r="G24" s="405">
        <v>25.416665866102917</v>
      </c>
      <c r="H24" s="405">
        <v>5.2595741338960806</v>
      </c>
      <c r="I24" s="406">
        <v>1.2069340708023606</v>
      </c>
      <c r="J24" s="407" t="s">
        <v>1</v>
      </c>
    </row>
    <row r="25" spans="1:10" ht="14.4" customHeight="1" x14ac:dyDescent="0.3">
      <c r="A25" s="403" t="s">
        <v>445</v>
      </c>
      <c r="B25" s="404" t="s">
        <v>274</v>
      </c>
      <c r="C25" s="405">
        <v>33.048299999999998</v>
      </c>
      <c r="D25" s="405">
        <v>33.33831</v>
      </c>
      <c r="E25" s="405"/>
      <c r="F25" s="405">
        <v>27.831029999999998</v>
      </c>
      <c r="G25" s="405">
        <v>36.666665511755419</v>
      </c>
      <c r="H25" s="405">
        <v>-8.8356355117554202</v>
      </c>
      <c r="I25" s="406">
        <v>0.75902811481663923</v>
      </c>
      <c r="J25" s="407" t="s">
        <v>1</v>
      </c>
    </row>
    <row r="26" spans="1:10" ht="14.4" customHeight="1" x14ac:dyDescent="0.3">
      <c r="A26" s="403" t="s">
        <v>445</v>
      </c>
      <c r="B26" s="404" t="s">
        <v>275</v>
      </c>
      <c r="C26" s="405">
        <v>38.011359999999996</v>
      </c>
      <c r="D26" s="405">
        <v>25.429250000000003</v>
      </c>
      <c r="E26" s="405"/>
      <c r="F26" s="405">
        <v>32.707009999999997</v>
      </c>
      <c r="G26" s="405">
        <v>31.249999015700421</v>
      </c>
      <c r="H26" s="405">
        <v>1.4570109842995755</v>
      </c>
      <c r="I26" s="406">
        <v>1.046624352966141</v>
      </c>
      <c r="J26" s="407" t="s">
        <v>1</v>
      </c>
    </row>
    <row r="27" spans="1:10" ht="14.4" customHeight="1" x14ac:dyDescent="0.3">
      <c r="A27" s="403" t="s">
        <v>445</v>
      </c>
      <c r="B27" s="404" t="s">
        <v>276</v>
      </c>
      <c r="C27" s="405">
        <v>2.2229999999989998</v>
      </c>
      <c r="D27" s="405">
        <v>1.8488</v>
      </c>
      <c r="E27" s="405"/>
      <c r="F27" s="405">
        <v>2.7123500000000003</v>
      </c>
      <c r="G27" s="405">
        <v>2.4999999212558333</v>
      </c>
      <c r="H27" s="405">
        <v>0.212350078744167</v>
      </c>
      <c r="I27" s="406">
        <v>1.0849400341730797</v>
      </c>
      <c r="J27" s="407" t="s">
        <v>1</v>
      </c>
    </row>
    <row r="28" spans="1:10" ht="14.4" customHeight="1" x14ac:dyDescent="0.3">
      <c r="A28" s="403" t="s">
        <v>445</v>
      </c>
      <c r="B28" s="404" t="s">
        <v>277</v>
      </c>
      <c r="C28" s="405">
        <v>63.679000000000002</v>
      </c>
      <c r="D28" s="405">
        <v>75.083070000000006</v>
      </c>
      <c r="E28" s="405"/>
      <c r="F28" s="405">
        <v>87.14358</v>
      </c>
      <c r="G28" s="405">
        <v>74.583330984139167</v>
      </c>
      <c r="H28" s="405">
        <v>12.560249015860833</v>
      </c>
      <c r="I28" s="406">
        <v>1.1684055787013843</v>
      </c>
      <c r="J28" s="407" t="s">
        <v>1</v>
      </c>
    </row>
    <row r="29" spans="1:10" ht="14.4" customHeight="1" x14ac:dyDescent="0.3">
      <c r="A29" s="403" t="s">
        <v>445</v>
      </c>
      <c r="B29" s="404" t="s">
        <v>663</v>
      </c>
      <c r="C29" s="405">
        <v>0</v>
      </c>
      <c r="D29" s="405" t="s">
        <v>442</v>
      </c>
      <c r="E29" s="405"/>
      <c r="F29" s="405" t="s">
        <v>442</v>
      </c>
      <c r="G29" s="405" t="s">
        <v>442</v>
      </c>
      <c r="H29" s="405" t="s">
        <v>442</v>
      </c>
      <c r="I29" s="406" t="s">
        <v>442</v>
      </c>
      <c r="J29" s="407" t="s">
        <v>1</v>
      </c>
    </row>
    <row r="30" spans="1:10" ht="14.4" customHeight="1" x14ac:dyDescent="0.3">
      <c r="A30" s="403" t="s">
        <v>445</v>
      </c>
      <c r="B30" s="404" t="s">
        <v>278</v>
      </c>
      <c r="C30" s="405" t="s">
        <v>442</v>
      </c>
      <c r="D30" s="405" t="s">
        <v>442</v>
      </c>
      <c r="E30" s="405"/>
      <c r="F30" s="405">
        <v>7.4749999999999997E-2</v>
      </c>
      <c r="G30" s="405">
        <v>0</v>
      </c>
      <c r="H30" s="405">
        <v>7.4749999999999997E-2</v>
      </c>
      <c r="I30" s="406" t="s">
        <v>442</v>
      </c>
      <c r="J30" s="407" t="s">
        <v>1</v>
      </c>
    </row>
    <row r="31" spans="1:10" ht="14.4" customHeight="1" x14ac:dyDescent="0.3">
      <c r="A31" s="403" t="s">
        <v>445</v>
      </c>
      <c r="B31" s="404" t="s">
        <v>279</v>
      </c>
      <c r="C31" s="405">
        <v>1434.4136100000001</v>
      </c>
      <c r="D31" s="405">
        <v>1439.671810000001</v>
      </c>
      <c r="E31" s="405"/>
      <c r="F31" s="405">
        <v>1345.10547</v>
      </c>
      <c r="G31" s="405">
        <v>1449.1666210214291</v>
      </c>
      <c r="H31" s="405">
        <v>-104.06115102142917</v>
      </c>
      <c r="I31" s="406">
        <v>0.9281924179649661</v>
      </c>
      <c r="J31" s="407" t="s">
        <v>1</v>
      </c>
    </row>
    <row r="32" spans="1:10" ht="14.4" customHeight="1" x14ac:dyDescent="0.3">
      <c r="A32" s="403" t="s">
        <v>445</v>
      </c>
      <c r="B32" s="404" t="s">
        <v>447</v>
      </c>
      <c r="C32" s="405">
        <v>1592.257349999999</v>
      </c>
      <c r="D32" s="405">
        <v>1597.3836600000009</v>
      </c>
      <c r="E32" s="405"/>
      <c r="F32" s="405">
        <v>1526.2504299999989</v>
      </c>
      <c r="G32" s="405">
        <v>1619.9062948102087</v>
      </c>
      <c r="H32" s="405">
        <v>-93.655864810209778</v>
      </c>
      <c r="I32" s="406">
        <v>0.94218439356013328</v>
      </c>
      <c r="J32" s="407" t="s">
        <v>448</v>
      </c>
    </row>
    <row r="33" spans="1:10" ht="14.4" customHeight="1" x14ac:dyDescent="0.3">
      <c r="A33" s="403" t="s">
        <v>442</v>
      </c>
      <c r="B33" s="404" t="s">
        <v>442</v>
      </c>
      <c r="C33" s="405" t="s">
        <v>442</v>
      </c>
      <c r="D33" s="405" t="s">
        <v>442</v>
      </c>
      <c r="E33" s="405"/>
      <c r="F33" s="405" t="s">
        <v>442</v>
      </c>
      <c r="G33" s="405" t="s">
        <v>442</v>
      </c>
      <c r="H33" s="405" t="s">
        <v>442</v>
      </c>
      <c r="I33" s="406" t="s">
        <v>442</v>
      </c>
      <c r="J33" s="407" t="s">
        <v>449</v>
      </c>
    </row>
    <row r="34" spans="1:10" ht="14.4" customHeight="1" x14ac:dyDescent="0.3">
      <c r="A34" s="403" t="s">
        <v>664</v>
      </c>
      <c r="B34" s="404" t="s">
        <v>665</v>
      </c>
      <c r="C34" s="405" t="s">
        <v>442</v>
      </c>
      <c r="D34" s="405" t="s">
        <v>442</v>
      </c>
      <c r="E34" s="405"/>
      <c r="F34" s="405" t="s">
        <v>442</v>
      </c>
      <c r="G34" s="405" t="s">
        <v>442</v>
      </c>
      <c r="H34" s="405" t="s">
        <v>442</v>
      </c>
      <c r="I34" s="406" t="s">
        <v>442</v>
      </c>
      <c r="J34" s="407" t="s">
        <v>0</v>
      </c>
    </row>
    <row r="35" spans="1:10" ht="14.4" customHeight="1" x14ac:dyDescent="0.3">
      <c r="A35" s="403" t="s">
        <v>664</v>
      </c>
      <c r="B35" s="404" t="s">
        <v>277</v>
      </c>
      <c r="C35" s="405">
        <v>0</v>
      </c>
      <c r="D35" s="405" t="s">
        <v>442</v>
      </c>
      <c r="E35" s="405"/>
      <c r="F35" s="405" t="s">
        <v>442</v>
      </c>
      <c r="G35" s="405" t="s">
        <v>442</v>
      </c>
      <c r="H35" s="405" t="s">
        <v>442</v>
      </c>
      <c r="I35" s="406" t="s">
        <v>442</v>
      </c>
      <c r="J35" s="407" t="s">
        <v>1</v>
      </c>
    </row>
    <row r="36" spans="1:10" ht="14.4" customHeight="1" x14ac:dyDescent="0.3">
      <c r="A36" s="403" t="s">
        <v>664</v>
      </c>
      <c r="B36" s="404" t="s">
        <v>666</v>
      </c>
      <c r="C36" s="405">
        <v>0</v>
      </c>
      <c r="D36" s="405" t="s">
        <v>442</v>
      </c>
      <c r="E36" s="405"/>
      <c r="F36" s="405" t="s">
        <v>442</v>
      </c>
      <c r="G36" s="405" t="s">
        <v>442</v>
      </c>
      <c r="H36" s="405" t="s">
        <v>442</v>
      </c>
      <c r="I36" s="406" t="s">
        <v>442</v>
      </c>
      <c r="J36" s="407" t="s">
        <v>448</v>
      </c>
    </row>
    <row r="37" spans="1:10" ht="14.4" customHeight="1" x14ac:dyDescent="0.3">
      <c r="A37" s="403" t="s">
        <v>442</v>
      </c>
      <c r="B37" s="404" t="s">
        <v>442</v>
      </c>
      <c r="C37" s="405" t="s">
        <v>442</v>
      </c>
      <c r="D37" s="405" t="s">
        <v>442</v>
      </c>
      <c r="E37" s="405"/>
      <c r="F37" s="405" t="s">
        <v>442</v>
      </c>
      <c r="G37" s="405" t="s">
        <v>442</v>
      </c>
      <c r="H37" s="405" t="s">
        <v>442</v>
      </c>
      <c r="I37" s="406" t="s">
        <v>442</v>
      </c>
      <c r="J37" s="407" t="s">
        <v>449</v>
      </c>
    </row>
    <row r="38" spans="1:10" ht="14.4" customHeight="1" x14ac:dyDescent="0.3">
      <c r="A38" s="403" t="s">
        <v>440</v>
      </c>
      <c r="B38" s="404" t="s">
        <v>443</v>
      </c>
      <c r="C38" s="405">
        <v>1592.257349999999</v>
      </c>
      <c r="D38" s="405">
        <v>1597.3836600000009</v>
      </c>
      <c r="E38" s="405"/>
      <c r="F38" s="405">
        <v>1526.2504299999989</v>
      </c>
      <c r="G38" s="405">
        <v>1619.9062948102087</v>
      </c>
      <c r="H38" s="405">
        <v>-93.655864810209778</v>
      </c>
      <c r="I38" s="406">
        <v>0.94218439356013328</v>
      </c>
      <c r="J38" s="407" t="s">
        <v>444</v>
      </c>
    </row>
  </sheetData>
  <mergeCells count="3">
    <mergeCell ref="A1:I1"/>
    <mergeCell ref="F3:I3"/>
    <mergeCell ref="C4:D4"/>
  </mergeCells>
  <conditionalFormatting sqref="F18 F39:F65537">
    <cfRule type="cellIs" dxfId="20" priority="18" stopIfTrue="1" operator="greaterThan">
      <formula>1</formula>
    </cfRule>
  </conditionalFormatting>
  <conditionalFormatting sqref="H5:H17">
    <cfRule type="expression" dxfId="19" priority="14">
      <formula>$H5&gt;0</formula>
    </cfRule>
  </conditionalFormatting>
  <conditionalFormatting sqref="I5:I17">
    <cfRule type="expression" dxfId="18" priority="15">
      <formula>$I5&gt;1</formula>
    </cfRule>
  </conditionalFormatting>
  <conditionalFormatting sqref="B5:B17">
    <cfRule type="expression" dxfId="17" priority="11">
      <formula>OR($J5="NS",$J5="SumaNS",$J5="Účet")</formula>
    </cfRule>
  </conditionalFormatting>
  <conditionalFormatting sqref="F5:I17 B5:D17">
    <cfRule type="expression" dxfId="16" priority="17">
      <formula>AND($J5&lt;&gt;"",$J5&lt;&gt;"mezeraKL")</formula>
    </cfRule>
  </conditionalFormatting>
  <conditionalFormatting sqref="B5:D17 F5:I17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7 F5:I17">
    <cfRule type="expression" dxfId="14" priority="13">
      <formula>OR($J5="SumaNS",$J5="NS")</formula>
    </cfRule>
  </conditionalFormatting>
  <conditionalFormatting sqref="A5:A17">
    <cfRule type="expression" dxfId="13" priority="9">
      <formula>AND($J5&lt;&gt;"mezeraKL",$J5&lt;&gt;"")</formula>
    </cfRule>
  </conditionalFormatting>
  <conditionalFormatting sqref="A5:A17">
    <cfRule type="expression" dxfId="12" priority="10">
      <formula>AND($J5&lt;&gt;"",$J5&lt;&gt;"mezeraKL")</formula>
    </cfRule>
  </conditionalFormatting>
  <conditionalFormatting sqref="H19:H38">
    <cfRule type="expression" dxfId="11" priority="5">
      <formula>$H19&gt;0</formula>
    </cfRule>
  </conditionalFormatting>
  <conditionalFormatting sqref="A19:A38">
    <cfRule type="expression" dxfId="10" priority="2">
      <formula>AND($J19&lt;&gt;"mezeraKL",$J19&lt;&gt;"")</formula>
    </cfRule>
  </conditionalFormatting>
  <conditionalFormatting sqref="I19:I38">
    <cfRule type="expression" dxfId="9" priority="6">
      <formula>$I19&gt;1</formula>
    </cfRule>
  </conditionalFormatting>
  <conditionalFormatting sqref="B19:B38">
    <cfRule type="expression" dxfId="8" priority="1">
      <formula>OR($J19="NS",$J19="SumaNS",$J19="Účet")</formula>
    </cfRule>
  </conditionalFormatting>
  <conditionalFormatting sqref="A19:D38 F19:I38">
    <cfRule type="expression" dxfId="7" priority="8">
      <formula>AND($J19&lt;&gt;"",$J19&lt;&gt;"mezeraKL")</formula>
    </cfRule>
  </conditionalFormatting>
  <conditionalFormatting sqref="B19:D38 F19:I38">
    <cfRule type="expression" dxfId="6" priority="3">
      <formula>OR($J19="KL",$J19="SumaKL")</formula>
    </cfRule>
    <cfRule type="expression" priority="7" stopIfTrue="1">
      <formula>OR($J19="mezeraNS",$J19="mezeraKL")</formula>
    </cfRule>
  </conditionalFormatting>
  <conditionalFormatting sqref="B19:D38 F19:I38">
    <cfRule type="expression" dxfId="5" priority="4">
      <formula>OR($J19="SumaNS",$J19="NS")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8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12.44140625" style="193" hidden="1" customWidth="1" outlineLevel="1"/>
    <col min="8" max="8" width="25.77734375" style="193" customWidth="1" collapsed="1"/>
    <col min="9" max="9" width="7.77734375" style="191" customWidth="1"/>
    <col min="10" max="10" width="10" style="191" customWidth="1"/>
    <col min="11" max="11" width="11.109375" style="191" customWidth="1"/>
    <col min="12" max="16384" width="8.88671875" style="115"/>
  </cols>
  <sheetData>
    <row r="1" spans="1:11" ht="18.600000000000001" customHeight="1" thickBot="1" x14ac:dyDescent="0.4">
      <c r="A1" s="338" t="s">
        <v>1443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</row>
    <row r="2" spans="1:11" ht="14.4" customHeight="1" thickBot="1" x14ac:dyDescent="0.35">
      <c r="A2" s="212" t="s">
        <v>255</v>
      </c>
      <c r="B2" s="62"/>
      <c r="C2" s="195"/>
      <c r="D2" s="195"/>
      <c r="E2" s="195"/>
      <c r="F2" s="195"/>
      <c r="G2" s="195"/>
      <c r="H2" s="195"/>
      <c r="I2" s="196"/>
      <c r="J2" s="196"/>
      <c r="K2" s="196"/>
    </row>
    <row r="3" spans="1:11" ht="14.4" customHeight="1" thickBot="1" x14ac:dyDescent="0.35">
      <c r="A3" s="62"/>
      <c r="B3" s="62"/>
      <c r="C3" s="334"/>
      <c r="D3" s="335"/>
      <c r="E3" s="335"/>
      <c r="F3" s="335"/>
      <c r="G3" s="335"/>
      <c r="H3" s="127" t="s">
        <v>108</v>
      </c>
      <c r="I3" s="84">
        <f>IF(J3&lt;&gt;0,K3/J3,0)</f>
        <v>8.7366061416921443</v>
      </c>
      <c r="J3" s="84">
        <f>SUBTOTAL(9,J5:J1048576)</f>
        <v>172656</v>
      </c>
      <c r="K3" s="85">
        <f>SUBTOTAL(9,K5:K1048576)</f>
        <v>1508427.4699999988</v>
      </c>
    </row>
    <row r="4" spans="1:11" s="192" customFormat="1" ht="14.4" customHeight="1" thickBot="1" x14ac:dyDescent="0.35">
      <c r="A4" s="408" t="s">
        <v>4</v>
      </c>
      <c r="B4" s="409" t="s">
        <v>5</v>
      </c>
      <c r="C4" s="409" t="s">
        <v>0</v>
      </c>
      <c r="D4" s="409" t="s">
        <v>6</v>
      </c>
      <c r="E4" s="409" t="s">
        <v>7</v>
      </c>
      <c r="F4" s="409" t="s">
        <v>1</v>
      </c>
      <c r="G4" s="409" t="s">
        <v>58</v>
      </c>
      <c r="H4" s="410" t="s">
        <v>11</v>
      </c>
      <c r="I4" s="411" t="s">
        <v>122</v>
      </c>
      <c r="J4" s="411" t="s">
        <v>13</v>
      </c>
      <c r="K4" s="412" t="s">
        <v>133</v>
      </c>
    </row>
    <row r="5" spans="1:11" ht="14.4" customHeight="1" x14ac:dyDescent="0.3">
      <c r="A5" s="415" t="s">
        <v>440</v>
      </c>
      <c r="B5" s="416" t="s">
        <v>441</v>
      </c>
      <c r="C5" s="417" t="s">
        <v>445</v>
      </c>
      <c r="D5" s="418" t="s">
        <v>649</v>
      </c>
      <c r="E5" s="417" t="s">
        <v>1429</v>
      </c>
      <c r="F5" s="418" t="s">
        <v>1430</v>
      </c>
      <c r="G5" s="417" t="s">
        <v>667</v>
      </c>
      <c r="H5" s="417" t="s">
        <v>668</v>
      </c>
      <c r="I5" s="419">
        <v>260.3</v>
      </c>
      <c r="J5" s="419">
        <v>1</v>
      </c>
      <c r="K5" s="420">
        <v>260.3</v>
      </c>
    </row>
    <row r="6" spans="1:11" ht="14.4" customHeight="1" x14ac:dyDescent="0.3">
      <c r="A6" s="421" t="s">
        <v>440</v>
      </c>
      <c r="B6" s="422" t="s">
        <v>441</v>
      </c>
      <c r="C6" s="423" t="s">
        <v>445</v>
      </c>
      <c r="D6" s="424" t="s">
        <v>649</v>
      </c>
      <c r="E6" s="423" t="s">
        <v>1429</v>
      </c>
      <c r="F6" s="424" t="s">
        <v>1430</v>
      </c>
      <c r="G6" s="423" t="s">
        <v>669</v>
      </c>
      <c r="H6" s="423" t="s">
        <v>670</v>
      </c>
      <c r="I6" s="425">
        <v>0.32500000000000001</v>
      </c>
      <c r="J6" s="425">
        <v>7500</v>
      </c>
      <c r="K6" s="426">
        <v>2425</v>
      </c>
    </row>
    <row r="7" spans="1:11" ht="14.4" customHeight="1" x14ac:dyDescent="0.3">
      <c r="A7" s="421" t="s">
        <v>440</v>
      </c>
      <c r="B7" s="422" t="s">
        <v>441</v>
      </c>
      <c r="C7" s="423" t="s">
        <v>445</v>
      </c>
      <c r="D7" s="424" t="s">
        <v>649</v>
      </c>
      <c r="E7" s="423" t="s">
        <v>1429</v>
      </c>
      <c r="F7" s="424" t="s">
        <v>1430</v>
      </c>
      <c r="G7" s="423" t="s">
        <v>671</v>
      </c>
      <c r="H7" s="423" t="s">
        <v>672</v>
      </c>
      <c r="I7" s="425">
        <v>8.19</v>
      </c>
      <c r="J7" s="425">
        <v>4</v>
      </c>
      <c r="K7" s="426">
        <v>32.76</v>
      </c>
    </row>
    <row r="8" spans="1:11" ht="14.4" customHeight="1" x14ac:dyDescent="0.3">
      <c r="A8" s="421" t="s">
        <v>440</v>
      </c>
      <c r="B8" s="422" t="s">
        <v>441</v>
      </c>
      <c r="C8" s="423" t="s">
        <v>445</v>
      </c>
      <c r="D8" s="424" t="s">
        <v>649</v>
      </c>
      <c r="E8" s="423" t="s">
        <v>1429</v>
      </c>
      <c r="F8" s="424" t="s">
        <v>1430</v>
      </c>
      <c r="G8" s="423" t="s">
        <v>673</v>
      </c>
      <c r="H8" s="423" t="s">
        <v>674</v>
      </c>
      <c r="I8" s="425">
        <v>27.365000000000002</v>
      </c>
      <c r="J8" s="425">
        <v>11</v>
      </c>
      <c r="K8" s="426">
        <v>301.01</v>
      </c>
    </row>
    <row r="9" spans="1:11" ht="14.4" customHeight="1" x14ac:dyDescent="0.3">
      <c r="A9" s="421" t="s">
        <v>440</v>
      </c>
      <c r="B9" s="422" t="s">
        <v>441</v>
      </c>
      <c r="C9" s="423" t="s">
        <v>445</v>
      </c>
      <c r="D9" s="424" t="s">
        <v>649</v>
      </c>
      <c r="E9" s="423" t="s">
        <v>1429</v>
      </c>
      <c r="F9" s="424" t="s">
        <v>1430</v>
      </c>
      <c r="G9" s="423" t="s">
        <v>675</v>
      </c>
      <c r="H9" s="423" t="s">
        <v>676</v>
      </c>
      <c r="I9" s="425">
        <v>39.659999999999997</v>
      </c>
      <c r="J9" s="425">
        <v>6</v>
      </c>
      <c r="K9" s="426">
        <v>237.96</v>
      </c>
    </row>
    <row r="10" spans="1:11" ht="14.4" customHeight="1" x14ac:dyDescent="0.3">
      <c r="A10" s="421" t="s">
        <v>440</v>
      </c>
      <c r="B10" s="422" t="s">
        <v>441</v>
      </c>
      <c r="C10" s="423" t="s">
        <v>445</v>
      </c>
      <c r="D10" s="424" t="s">
        <v>649</v>
      </c>
      <c r="E10" s="423" t="s">
        <v>1429</v>
      </c>
      <c r="F10" s="424" t="s">
        <v>1430</v>
      </c>
      <c r="G10" s="423" t="s">
        <v>677</v>
      </c>
      <c r="H10" s="423" t="s">
        <v>678</v>
      </c>
      <c r="I10" s="425">
        <v>16.100000000000001</v>
      </c>
      <c r="J10" s="425">
        <v>90</v>
      </c>
      <c r="K10" s="426">
        <v>1449</v>
      </c>
    </row>
    <row r="11" spans="1:11" ht="14.4" customHeight="1" x14ac:dyDescent="0.3">
      <c r="A11" s="421" t="s">
        <v>440</v>
      </c>
      <c r="B11" s="422" t="s">
        <v>441</v>
      </c>
      <c r="C11" s="423" t="s">
        <v>445</v>
      </c>
      <c r="D11" s="424" t="s">
        <v>649</v>
      </c>
      <c r="E11" s="423" t="s">
        <v>1429</v>
      </c>
      <c r="F11" s="424" t="s">
        <v>1430</v>
      </c>
      <c r="G11" s="423" t="s">
        <v>679</v>
      </c>
      <c r="H11" s="423" t="s">
        <v>680</v>
      </c>
      <c r="I11" s="425">
        <v>1.93</v>
      </c>
      <c r="J11" s="425">
        <v>100</v>
      </c>
      <c r="K11" s="426">
        <v>193.2</v>
      </c>
    </row>
    <row r="12" spans="1:11" ht="14.4" customHeight="1" x14ac:dyDescent="0.3">
      <c r="A12" s="421" t="s">
        <v>440</v>
      </c>
      <c r="B12" s="422" t="s">
        <v>441</v>
      </c>
      <c r="C12" s="423" t="s">
        <v>445</v>
      </c>
      <c r="D12" s="424" t="s">
        <v>649</v>
      </c>
      <c r="E12" s="423" t="s">
        <v>1429</v>
      </c>
      <c r="F12" s="424" t="s">
        <v>1430</v>
      </c>
      <c r="G12" s="423" t="s">
        <v>681</v>
      </c>
      <c r="H12" s="423" t="s">
        <v>682</v>
      </c>
      <c r="I12" s="425">
        <v>0.62</v>
      </c>
      <c r="J12" s="425">
        <v>3000</v>
      </c>
      <c r="K12" s="426">
        <v>1845.85</v>
      </c>
    </row>
    <row r="13" spans="1:11" ht="14.4" customHeight="1" x14ac:dyDescent="0.3">
      <c r="A13" s="421" t="s">
        <v>440</v>
      </c>
      <c r="B13" s="422" t="s">
        <v>441</v>
      </c>
      <c r="C13" s="423" t="s">
        <v>445</v>
      </c>
      <c r="D13" s="424" t="s">
        <v>649</v>
      </c>
      <c r="E13" s="423" t="s">
        <v>1429</v>
      </c>
      <c r="F13" s="424" t="s">
        <v>1430</v>
      </c>
      <c r="G13" s="423" t="s">
        <v>683</v>
      </c>
      <c r="H13" s="423" t="s">
        <v>684</v>
      </c>
      <c r="I13" s="425">
        <v>1.21</v>
      </c>
      <c r="J13" s="425">
        <v>2000</v>
      </c>
      <c r="K13" s="426">
        <v>2420</v>
      </c>
    </row>
    <row r="14" spans="1:11" ht="14.4" customHeight="1" x14ac:dyDescent="0.3">
      <c r="A14" s="421" t="s">
        <v>440</v>
      </c>
      <c r="B14" s="422" t="s">
        <v>441</v>
      </c>
      <c r="C14" s="423" t="s">
        <v>445</v>
      </c>
      <c r="D14" s="424" t="s">
        <v>649</v>
      </c>
      <c r="E14" s="423" t="s">
        <v>1429</v>
      </c>
      <c r="F14" s="424" t="s">
        <v>1430</v>
      </c>
      <c r="G14" s="423" t="s">
        <v>685</v>
      </c>
      <c r="H14" s="423" t="s">
        <v>686</v>
      </c>
      <c r="I14" s="425">
        <v>13.02</v>
      </c>
      <c r="J14" s="425">
        <v>1</v>
      </c>
      <c r="K14" s="426">
        <v>13.02</v>
      </c>
    </row>
    <row r="15" spans="1:11" ht="14.4" customHeight="1" x14ac:dyDescent="0.3">
      <c r="A15" s="421" t="s">
        <v>440</v>
      </c>
      <c r="B15" s="422" t="s">
        <v>441</v>
      </c>
      <c r="C15" s="423" t="s">
        <v>445</v>
      </c>
      <c r="D15" s="424" t="s">
        <v>649</v>
      </c>
      <c r="E15" s="423" t="s">
        <v>1429</v>
      </c>
      <c r="F15" s="424" t="s">
        <v>1430</v>
      </c>
      <c r="G15" s="423" t="s">
        <v>687</v>
      </c>
      <c r="H15" s="423" t="s">
        <v>688</v>
      </c>
      <c r="I15" s="425">
        <v>28.866666666666664</v>
      </c>
      <c r="J15" s="425">
        <v>60</v>
      </c>
      <c r="K15" s="426">
        <v>1726.4399999999998</v>
      </c>
    </row>
    <row r="16" spans="1:11" ht="14.4" customHeight="1" x14ac:dyDescent="0.3">
      <c r="A16" s="421" t="s">
        <v>440</v>
      </c>
      <c r="B16" s="422" t="s">
        <v>441</v>
      </c>
      <c r="C16" s="423" t="s">
        <v>445</v>
      </c>
      <c r="D16" s="424" t="s">
        <v>649</v>
      </c>
      <c r="E16" s="423" t="s">
        <v>1429</v>
      </c>
      <c r="F16" s="424" t="s">
        <v>1430</v>
      </c>
      <c r="G16" s="423" t="s">
        <v>689</v>
      </c>
      <c r="H16" s="423" t="s">
        <v>690</v>
      </c>
      <c r="I16" s="425">
        <v>19.8</v>
      </c>
      <c r="J16" s="425">
        <v>2</v>
      </c>
      <c r="K16" s="426">
        <v>39.6</v>
      </c>
    </row>
    <row r="17" spans="1:11" ht="14.4" customHeight="1" x14ac:dyDescent="0.3">
      <c r="A17" s="421" t="s">
        <v>440</v>
      </c>
      <c r="B17" s="422" t="s">
        <v>441</v>
      </c>
      <c r="C17" s="423" t="s">
        <v>445</v>
      </c>
      <c r="D17" s="424" t="s">
        <v>649</v>
      </c>
      <c r="E17" s="423" t="s">
        <v>1429</v>
      </c>
      <c r="F17" s="424" t="s">
        <v>1430</v>
      </c>
      <c r="G17" s="423" t="s">
        <v>691</v>
      </c>
      <c r="H17" s="423" t="s">
        <v>692</v>
      </c>
      <c r="I17" s="425">
        <v>0.56666666666666676</v>
      </c>
      <c r="J17" s="425">
        <v>7500</v>
      </c>
      <c r="K17" s="426">
        <v>4220</v>
      </c>
    </row>
    <row r="18" spans="1:11" ht="14.4" customHeight="1" x14ac:dyDescent="0.3">
      <c r="A18" s="421" t="s">
        <v>440</v>
      </c>
      <c r="B18" s="422" t="s">
        <v>441</v>
      </c>
      <c r="C18" s="423" t="s">
        <v>445</v>
      </c>
      <c r="D18" s="424" t="s">
        <v>649</v>
      </c>
      <c r="E18" s="423" t="s">
        <v>1429</v>
      </c>
      <c r="F18" s="424" t="s">
        <v>1430</v>
      </c>
      <c r="G18" s="423" t="s">
        <v>693</v>
      </c>
      <c r="H18" s="423" t="s">
        <v>694</v>
      </c>
      <c r="I18" s="425">
        <v>10.84</v>
      </c>
      <c r="J18" s="425">
        <v>100</v>
      </c>
      <c r="K18" s="426">
        <v>1084</v>
      </c>
    </row>
    <row r="19" spans="1:11" ht="14.4" customHeight="1" x14ac:dyDescent="0.3">
      <c r="A19" s="421" t="s">
        <v>440</v>
      </c>
      <c r="B19" s="422" t="s">
        <v>441</v>
      </c>
      <c r="C19" s="423" t="s">
        <v>445</v>
      </c>
      <c r="D19" s="424" t="s">
        <v>649</v>
      </c>
      <c r="E19" s="423" t="s">
        <v>1429</v>
      </c>
      <c r="F19" s="424" t="s">
        <v>1430</v>
      </c>
      <c r="G19" s="423" t="s">
        <v>695</v>
      </c>
      <c r="H19" s="423" t="s">
        <v>696</v>
      </c>
      <c r="I19" s="425">
        <v>1320.75</v>
      </c>
      <c r="J19" s="425">
        <v>4</v>
      </c>
      <c r="K19" s="426">
        <v>5283</v>
      </c>
    </row>
    <row r="20" spans="1:11" ht="14.4" customHeight="1" x14ac:dyDescent="0.3">
      <c r="A20" s="421" t="s">
        <v>440</v>
      </c>
      <c r="B20" s="422" t="s">
        <v>441</v>
      </c>
      <c r="C20" s="423" t="s">
        <v>445</v>
      </c>
      <c r="D20" s="424" t="s">
        <v>649</v>
      </c>
      <c r="E20" s="423" t="s">
        <v>1429</v>
      </c>
      <c r="F20" s="424" t="s">
        <v>1430</v>
      </c>
      <c r="G20" s="423" t="s">
        <v>697</v>
      </c>
      <c r="H20" s="423" t="s">
        <v>698</v>
      </c>
      <c r="I20" s="425">
        <v>5.09</v>
      </c>
      <c r="J20" s="425">
        <v>50</v>
      </c>
      <c r="K20" s="426">
        <v>254.73000000000002</v>
      </c>
    </row>
    <row r="21" spans="1:11" ht="14.4" customHeight="1" x14ac:dyDescent="0.3">
      <c r="A21" s="421" t="s">
        <v>440</v>
      </c>
      <c r="B21" s="422" t="s">
        <v>441</v>
      </c>
      <c r="C21" s="423" t="s">
        <v>445</v>
      </c>
      <c r="D21" s="424" t="s">
        <v>649</v>
      </c>
      <c r="E21" s="423" t="s">
        <v>1429</v>
      </c>
      <c r="F21" s="424" t="s">
        <v>1430</v>
      </c>
      <c r="G21" s="423" t="s">
        <v>699</v>
      </c>
      <c r="H21" s="423" t="s">
        <v>700</v>
      </c>
      <c r="I21" s="425">
        <v>5.09</v>
      </c>
      <c r="J21" s="425">
        <v>50</v>
      </c>
      <c r="K21" s="426">
        <v>254.73</v>
      </c>
    </row>
    <row r="22" spans="1:11" ht="14.4" customHeight="1" x14ac:dyDescent="0.3">
      <c r="A22" s="421" t="s">
        <v>440</v>
      </c>
      <c r="B22" s="422" t="s">
        <v>441</v>
      </c>
      <c r="C22" s="423" t="s">
        <v>445</v>
      </c>
      <c r="D22" s="424" t="s">
        <v>649</v>
      </c>
      <c r="E22" s="423" t="s">
        <v>1429</v>
      </c>
      <c r="F22" s="424" t="s">
        <v>1430</v>
      </c>
      <c r="G22" s="423" t="s">
        <v>701</v>
      </c>
      <c r="H22" s="423" t="s">
        <v>702</v>
      </c>
      <c r="I22" s="425">
        <v>1311</v>
      </c>
      <c r="J22" s="425">
        <v>4</v>
      </c>
      <c r="K22" s="426">
        <v>5244</v>
      </c>
    </row>
    <row r="23" spans="1:11" ht="14.4" customHeight="1" x14ac:dyDescent="0.3">
      <c r="A23" s="421" t="s">
        <v>440</v>
      </c>
      <c r="B23" s="422" t="s">
        <v>441</v>
      </c>
      <c r="C23" s="423" t="s">
        <v>445</v>
      </c>
      <c r="D23" s="424" t="s">
        <v>649</v>
      </c>
      <c r="E23" s="423" t="s">
        <v>1429</v>
      </c>
      <c r="F23" s="424" t="s">
        <v>1430</v>
      </c>
      <c r="G23" s="423" t="s">
        <v>703</v>
      </c>
      <c r="H23" s="423" t="s">
        <v>704</v>
      </c>
      <c r="I23" s="425">
        <v>11.74</v>
      </c>
      <c r="J23" s="425">
        <v>4</v>
      </c>
      <c r="K23" s="426">
        <v>46.97</v>
      </c>
    </row>
    <row r="24" spans="1:11" ht="14.4" customHeight="1" x14ac:dyDescent="0.3">
      <c r="A24" s="421" t="s">
        <v>440</v>
      </c>
      <c r="B24" s="422" t="s">
        <v>441</v>
      </c>
      <c r="C24" s="423" t="s">
        <v>445</v>
      </c>
      <c r="D24" s="424" t="s">
        <v>649</v>
      </c>
      <c r="E24" s="423" t="s">
        <v>1429</v>
      </c>
      <c r="F24" s="424" t="s">
        <v>1430</v>
      </c>
      <c r="G24" s="423" t="s">
        <v>705</v>
      </c>
      <c r="H24" s="423" t="s">
        <v>706</v>
      </c>
      <c r="I24" s="425">
        <v>14.09</v>
      </c>
      <c r="J24" s="425">
        <v>4</v>
      </c>
      <c r="K24" s="426">
        <v>56.36</v>
      </c>
    </row>
    <row r="25" spans="1:11" ht="14.4" customHeight="1" x14ac:dyDescent="0.3">
      <c r="A25" s="421" t="s">
        <v>440</v>
      </c>
      <c r="B25" s="422" t="s">
        <v>441</v>
      </c>
      <c r="C25" s="423" t="s">
        <v>445</v>
      </c>
      <c r="D25" s="424" t="s">
        <v>649</v>
      </c>
      <c r="E25" s="423" t="s">
        <v>1429</v>
      </c>
      <c r="F25" s="424" t="s">
        <v>1430</v>
      </c>
      <c r="G25" s="423" t="s">
        <v>707</v>
      </c>
      <c r="H25" s="423" t="s">
        <v>708</v>
      </c>
      <c r="I25" s="425">
        <v>12.91</v>
      </c>
      <c r="J25" s="425">
        <v>4</v>
      </c>
      <c r="K25" s="426">
        <v>51.64</v>
      </c>
    </row>
    <row r="26" spans="1:11" ht="14.4" customHeight="1" x14ac:dyDescent="0.3">
      <c r="A26" s="421" t="s">
        <v>440</v>
      </c>
      <c r="B26" s="422" t="s">
        <v>441</v>
      </c>
      <c r="C26" s="423" t="s">
        <v>445</v>
      </c>
      <c r="D26" s="424" t="s">
        <v>649</v>
      </c>
      <c r="E26" s="423" t="s">
        <v>1429</v>
      </c>
      <c r="F26" s="424" t="s">
        <v>1430</v>
      </c>
      <c r="G26" s="423" t="s">
        <v>709</v>
      </c>
      <c r="H26" s="423" t="s">
        <v>710</v>
      </c>
      <c r="I26" s="425">
        <v>9.41</v>
      </c>
      <c r="J26" s="425">
        <v>2</v>
      </c>
      <c r="K26" s="426">
        <v>18.82</v>
      </c>
    </row>
    <row r="27" spans="1:11" ht="14.4" customHeight="1" x14ac:dyDescent="0.3">
      <c r="A27" s="421" t="s">
        <v>440</v>
      </c>
      <c r="B27" s="422" t="s">
        <v>441</v>
      </c>
      <c r="C27" s="423" t="s">
        <v>445</v>
      </c>
      <c r="D27" s="424" t="s">
        <v>649</v>
      </c>
      <c r="E27" s="423" t="s">
        <v>1429</v>
      </c>
      <c r="F27" s="424" t="s">
        <v>1430</v>
      </c>
      <c r="G27" s="423" t="s">
        <v>711</v>
      </c>
      <c r="H27" s="423" t="s">
        <v>712</v>
      </c>
      <c r="I27" s="425">
        <v>0.19000000000000003</v>
      </c>
      <c r="J27" s="425">
        <v>7800</v>
      </c>
      <c r="K27" s="426">
        <v>1454.21</v>
      </c>
    </row>
    <row r="28" spans="1:11" ht="14.4" customHeight="1" x14ac:dyDescent="0.3">
      <c r="A28" s="421" t="s">
        <v>440</v>
      </c>
      <c r="B28" s="422" t="s">
        <v>441</v>
      </c>
      <c r="C28" s="423" t="s">
        <v>445</v>
      </c>
      <c r="D28" s="424" t="s">
        <v>649</v>
      </c>
      <c r="E28" s="423" t="s">
        <v>1429</v>
      </c>
      <c r="F28" s="424" t="s">
        <v>1430</v>
      </c>
      <c r="G28" s="423" t="s">
        <v>713</v>
      </c>
      <c r="H28" s="423" t="s">
        <v>714</v>
      </c>
      <c r="I28" s="425">
        <v>16.100000000000001</v>
      </c>
      <c r="J28" s="425">
        <v>50</v>
      </c>
      <c r="K28" s="426">
        <v>805</v>
      </c>
    </row>
    <row r="29" spans="1:11" ht="14.4" customHeight="1" x14ac:dyDescent="0.3">
      <c r="A29" s="421" t="s">
        <v>440</v>
      </c>
      <c r="B29" s="422" t="s">
        <v>441</v>
      </c>
      <c r="C29" s="423" t="s">
        <v>445</v>
      </c>
      <c r="D29" s="424" t="s">
        <v>649</v>
      </c>
      <c r="E29" s="423" t="s">
        <v>1429</v>
      </c>
      <c r="F29" s="424" t="s">
        <v>1430</v>
      </c>
      <c r="G29" s="423" t="s">
        <v>715</v>
      </c>
      <c r="H29" s="423" t="s">
        <v>716</v>
      </c>
      <c r="I29" s="425">
        <v>19.170000000000002</v>
      </c>
      <c r="J29" s="425">
        <v>50</v>
      </c>
      <c r="K29" s="426">
        <v>958.64</v>
      </c>
    </row>
    <row r="30" spans="1:11" ht="14.4" customHeight="1" x14ac:dyDescent="0.3">
      <c r="A30" s="421" t="s">
        <v>440</v>
      </c>
      <c r="B30" s="422" t="s">
        <v>441</v>
      </c>
      <c r="C30" s="423" t="s">
        <v>445</v>
      </c>
      <c r="D30" s="424" t="s">
        <v>649</v>
      </c>
      <c r="E30" s="423" t="s">
        <v>1431</v>
      </c>
      <c r="F30" s="424" t="s">
        <v>1432</v>
      </c>
      <c r="G30" s="423" t="s">
        <v>717</v>
      </c>
      <c r="H30" s="423" t="s">
        <v>718</v>
      </c>
      <c r="I30" s="425">
        <v>3.03</v>
      </c>
      <c r="J30" s="425">
        <v>50</v>
      </c>
      <c r="K30" s="426">
        <v>151.5</v>
      </c>
    </row>
    <row r="31" spans="1:11" ht="14.4" customHeight="1" x14ac:dyDescent="0.3">
      <c r="A31" s="421" t="s">
        <v>440</v>
      </c>
      <c r="B31" s="422" t="s">
        <v>441</v>
      </c>
      <c r="C31" s="423" t="s">
        <v>445</v>
      </c>
      <c r="D31" s="424" t="s">
        <v>649</v>
      </c>
      <c r="E31" s="423" t="s">
        <v>1431</v>
      </c>
      <c r="F31" s="424" t="s">
        <v>1432</v>
      </c>
      <c r="G31" s="423" t="s">
        <v>719</v>
      </c>
      <c r="H31" s="423" t="s">
        <v>720</v>
      </c>
      <c r="I31" s="425">
        <v>0.25</v>
      </c>
      <c r="J31" s="425">
        <v>100</v>
      </c>
      <c r="K31" s="426">
        <v>25</v>
      </c>
    </row>
    <row r="32" spans="1:11" ht="14.4" customHeight="1" x14ac:dyDescent="0.3">
      <c r="A32" s="421" t="s">
        <v>440</v>
      </c>
      <c r="B32" s="422" t="s">
        <v>441</v>
      </c>
      <c r="C32" s="423" t="s">
        <v>445</v>
      </c>
      <c r="D32" s="424" t="s">
        <v>649</v>
      </c>
      <c r="E32" s="423" t="s">
        <v>1431</v>
      </c>
      <c r="F32" s="424" t="s">
        <v>1432</v>
      </c>
      <c r="G32" s="423" t="s">
        <v>721</v>
      </c>
      <c r="H32" s="423" t="s">
        <v>722</v>
      </c>
      <c r="I32" s="425">
        <v>0.47749999999999998</v>
      </c>
      <c r="J32" s="425">
        <v>2100</v>
      </c>
      <c r="K32" s="426">
        <v>1005</v>
      </c>
    </row>
    <row r="33" spans="1:11" ht="14.4" customHeight="1" x14ac:dyDescent="0.3">
      <c r="A33" s="421" t="s">
        <v>440</v>
      </c>
      <c r="B33" s="422" t="s">
        <v>441</v>
      </c>
      <c r="C33" s="423" t="s">
        <v>445</v>
      </c>
      <c r="D33" s="424" t="s">
        <v>649</v>
      </c>
      <c r="E33" s="423" t="s">
        <v>1431</v>
      </c>
      <c r="F33" s="424" t="s">
        <v>1432</v>
      </c>
      <c r="G33" s="423" t="s">
        <v>723</v>
      </c>
      <c r="H33" s="423" t="s">
        <v>724</v>
      </c>
      <c r="I33" s="425">
        <v>0.67</v>
      </c>
      <c r="J33" s="425">
        <v>5500</v>
      </c>
      <c r="K33" s="426">
        <v>3685</v>
      </c>
    </row>
    <row r="34" spans="1:11" ht="14.4" customHeight="1" x14ac:dyDescent="0.3">
      <c r="A34" s="421" t="s">
        <v>440</v>
      </c>
      <c r="B34" s="422" t="s">
        <v>441</v>
      </c>
      <c r="C34" s="423" t="s">
        <v>445</v>
      </c>
      <c r="D34" s="424" t="s">
        <v>649</v>
      </c>
      <c r="E34" s="423" t="s">
        <v>1431</v>
      </c>
      <c r="F34" s="424" t="s">
        <v>1432</v>
      </c>
      <c r="G34" s="423" t="s">
        <v>725</v>
      </c>
      <c r="H34" s="423" t="s">
        <v>726</v>
      </c>
      <c r="I34" s="425">
        <v>68.540000000000006</v>
      </c>
      <c r="J34" s="425">
        <v>1</v>
      </c>
      <c r="K34" s="426">
        <v>68.540000000000006</v>
      </c>
    </row>
    <row r="35" spans="1:11" ht="14.4" customHeight="1" x14ac:dyDescent="0.3">
      <c r="A35" s="421" t="s">
        <v>440</v>
      </c>
      <c r="B35" s="422" t="s">
        <v>441</v>
      </c>
      <c r="C35" s="423" t="s">
        <v>445</v>
      </c>
      <c r="D35" s="424" t="s">
        <v>649</v>
      </c>
      <c r="E35" s="423" t="s">
        <v>1431</v>
      </c>
      <c r="F35" s="424" t="s">
        <v>1432</v>
      </c>
      <c r="G35" s="423" t="s">
        <v>727</v>
      </c>
      <c r="H35" s="423" t="s">
        <v>728</v>
      </c>
      <c r="I35" s="425">
        <v>38.72</v>
      </c>
      <c r="J35" s="425">
        <v>60</v>
      </c>
      <c r="K35" s="426">
        <v>2323.1999999999998</v>
      </c>
    </row>
    <row r="36" spans="1:11" ht="14.4" customHeight="1" x14ac:dyDescent="0.3">
      <c r="A36" s="421" t="s">
        <v>440</v>
      </c>
      <c r="B36" s="422" t="s">
        <v>441</v>
      </c>
      <c r="C36" s="423" t="s">
        <v>445</v>
      </c>
      <c r="D36" s="424" t="s">
        <v>649</v>
      </c>
      <c r="E36" s="423" t="s">
        <v>1431</v>
      </c>
      <c r="F36" s="424" t="s">
        <v>1432</v>
      </c>
      <c r="G36" s="423" t="s">
        <v>729</v>
      </c>
      <c r="H36" s="423" t="s">
        <v>730</v>
      </c>
      <c r="I36" s="425">
        <v>33.880000000000003</v>
      </c>
      <c r="J36" s="425">
        <v>3</v>
      </c>
      <c r="K36" s="426">
        <v>101.64</v>
      </c>
    </row>
    <row r="37" spans="1:11" ht="14.4" customHeight="1" x14ac:dyDescent="0.3">
      <c r="A37" s="421" t="s">
        <v>440</v>
      </c>
      <c r="B37" s="422" t="s">
        <v>441</v>
      </c>
      <c r="C37" s="423" t="s">
        <v>445</v>
      </c>
      <c r="D37" s="424" t="s">
        <v>649</v>
      </c>
      <c r="E37" s="423" t="s">
        <v>1431</v>
      </c>
      <c r="F37" s="424" t="s">
        <v>1432</v>
      </c>
      <c r="G37" s="423" t="s">
        <v>731</v>
      </c>
      <c r="H37" s="423" t="s">
        <v>732</v>
      </c>
      <c r="I37" s="425">
        <v>2.85</v>
      </c>
      <c r="J37" s="425">
        <v>1</v>
      </c>
      <c r="K37" s="426">
        <v>2.85</v>
      </c>
    </row>
    <row r="38" spans="1:11" ht="14.4" customHeight="1" x14ac:dyDescent="0.3">
      <c r="A38" s="421" t="s">
        <v>440</v>
      </c>
      <c r="B38" s="422" t="s">
        <v>441</v>
      </c>
      <c r="C38" s="423" t="s">
        <v>445</v>
      </c>
      <c r="D38" s="424" t="s">
        <v>649</v>
      </c>
      <c r="E38" s="423" t="s">
        <v>1431</v>
      </c>
      <c r="F38" s="424" t="s">
        <v>1432</v>
      </c>
      <c r="G38" s="423" t="s">
        <v>733</v>
      </c>
      <c r="H38" s="423" t="s">
        <v>734</v>
      </c>
      <c r="I38" s="425">
        <v>2.9033333333333338</v>
      </c>
      <c r="J38" s="425">
        <v>400</v>
      </c>
      <c r="K38" s="426">
        <v>1162</v>
      </c>
    </row>
    <row r="39" spans="1:11" ht="14.4" customHeight="1" x14ac:dyDescent="0.3">
      <c r="A39" s="421" t="s">
        <v>440</v>
      </c>
      <c r="B39" s="422" t="s">
        <v>441</v>
      </c>
      <c r="C39" s="423" t="s">
        <v>445</v>
      </c>
      <c r="D39" s="424" t="s">
        <v>649</v>
      </c>
      <c r="E39" s="423" t="s">
        <v>1431</v>
      </c>
      <c r="F39" s="424" t="s">
        <v>1432</v>
      </c>
      <c r="G39" s="423" t="s">
        <v>735</v>
      </c>
      <c r="H39" s="423" t="s">
        <v>736</v>
      </c>
      <c r="I39" s="425">
        <v>15.01</v>
      </c>
      <c r="J39" s="425">
        <v>2</v>
      </c>
      <c r="K39" s="426">
        <v>30.02</v>
      </c>
    </row>
    <row r="40" spans="1:11" ht="14.4" customHeight="1" x14ac:dyDescent="0.3">
      <c r="A40" s="421" t="s">
        <v>440</v>
      </c>
      <c r="B40" s="422" t="s">
        <v>441</v>
      </c>
      <c r="C40" s="423" t="s">
        <v>445</v>
      </c>
      <c r="D40" s="424" t="s">
        <v>649</v>
      </c>
      <c r="E40" s="423" t="s">
        <v>1431</v>
      </c>
      <c r="F40" s="424" t="s">
        <v>1432</v>
      </c>
      <c r="G40" s="423" t="s">
        <v>737</v>
      </c>
      <c r="H40" s="423" t="s">
        <v>738</v>
      </c>
      <c r="I40" s="425">
        <v>12.106666666666667</v>
      </c>
      <c r="J40" s="425">
        <v>31</v>
      </c>
      <c r="K40" s="426">
        <v>375.35</v>
      </c>
    </row>
    <row r="41" spans="1:11" ht="14.4" customHeight="1" x14ac:dyDescent="0.3">
      <c r="A41" s="421" t="s">
        <v>440</v>
      </c>
      <c r="B41" s="422" t="s">
        <v>441</v>
      </c>
      <c r="C41" s="423" t="s">
        <v>445</v>
      </c>
      <c r="D41" s="424" t="s">
        <v>649</v>
      </c>
      <c r="E41" s="423" t="s">
        <v>1431</v>
      </c>
      <c r="F41" s="424" t="s">
        <v>1432</v>
      </c>
      <c r="G41" s="423" t="s">
        <v>739</v>
      </c>
      <c r="H41" s="423" t="s">
        <v>740</v>
      </c>
      <c r="I41" s="425">
        <v>21.236666666666665</v>
      </c>
      <c r="J41" s="425">
        <v>200</v>
      </c>
      <c r="K41" s="426">
        <v>4247.5</v>
      </c>
    </row>
    <row r="42" spans="1:11" ht="14.4" customHeight="1" x14ac:dyDescent="0.3">
      <c r="A42" s="421" t="s">
        <v>440</v>
      </c>
      <c r="B42" s="422" t="s">
        <v>441</v>
      </c>
      <c r="C42" s="423" t="s">
        <v>445</v>
      </c>
      <c r="D42" s="424" t="s">
        <v>649</v>
      </c>
      <c r="E42" s="423" t="s">
        <v>1431</v>
      </c>
      <c r="F42" s="424" t="s">
        <v>1432</v>
      </c>
      <c r="G42" s="423" t="s">
        <v>741</v>
      </c>
      <c r="H42" s="423" t="s">
        <v>742</v>
      </c>
      <c r="I42" s="425">
        <v>2.9</v>
      </c>
      <c r="J42" s="425">
        <v>100</v>
      </c>
      <c r="K42" s="426">
        <v>290.39999999999998</v>
      </c>
    </row>
    <row r="43" spans="1:11" ht="14.4" customHeight="1" x14ac:dyDescent="0.3">
      <c r="A43" s="421" t="s">
        <v>440</v>
      </c>
      <c r="B43" s="422" t="s">
        <v>441</v>
      </c>
      <c r="C43" s="423" t="s">
        <v>445</v>
      </c>
      <c r="D43" s="424" t="s">
        <v>649</v>
      </c>
      <c r="E43" s="423" t="s">
        <v>1431</v>
      </c>
      <c r="F43" s="424" t="s">
        <v>1432</v>
      </c>
      <c r="G43" s="423" t="s">
        <v>743</v>
      </c>
      <c r="H43" s="423" t="s">
        <v>744</v>
      </c>
      <c r="I43" s="425">
        <v>63.721428571428575</v>
      </c>
      <c r="J43" s="425">
        <v>95</v>
      </c>
      <c r="K43" s="426">
        <v>6028.55</v>
      </c>
    </row>
    <row r="44" spans="1:11" ht="14.4" customHeight="1" x14ac:dyDescent="0.3">
      <c r="A44" s="421" t="s">
        <v>440</v>
      </c>
      <c r="B44" s="422" t="s">
        <v>441</v>
      </c>
      <c r="C44" s="423" t="s">
        <v>445</v>
      </c>
      <c r="D44" s="424" t="s">
        <v>649</v>
      </c>
      <c r="E44" s="423" t="s">
        <v>1431</v>
      </c>
      <c r="F44" s="424" t="s">
        <v>1432</v>
      </c>
      <c r="G44" s="423" t="s">
        <v>745</v>
      </c>
      <c r="H44" s="423" t="s">
        <v>746</v>
      </c>
      <c r="I44" s="425">
        <v>75.02</v>
      </c>
      <c r="J44" s="425">
        <v>5</v>
      </c>
      <c r="K44" s="426">
        <v>375.1</v>
      </c>
    </row>
    <row r="45" spans="1:11" ht="14.4" customHeight="1" x14ac:dyDescent="0.3">
      <c r="A45" s="421" t="s">
        <v>440</v>
      </c>
      <c r="B45" s="422" t="s">
        <v>441</v>
      </c>
      <c r="C45" s="423" t="s">
        <v>445</v>
      </c>
      <c r="D45" s="424" t="s">
        <v>649</v>
      </c>
      <c r="E45" s="423" t="s">
        <v>1431</v>
      </c>
      <c r="F45" s="424" t="s">
        <v>1432</v>
      </c>
      <c r="G45" s="423" t="s">
        <v>747</v>
      </c>
      <c r="H45" s="423" t="s">
        <v>748</v>
      </c>
      <c r="I45" s="425">
        <v>141.57</v>
      </c>
      <c r="J45" s="425">
        <v>10</v>
      </c>
      <c r="K45" s="426">
        <v>1415.7</v>
      </c>
    </row>
    <row r="46" spans="1:11" ht="14.4" customHeight="1" x14ac:dyDescent="0.3">
      <c r="A46" s="421" t="s">
        <v>440</v>
      </c>
      <c r="B46" s="422" t="s">
        <v>441</v>
      </c>
      <c r="C46" s="423" t="s">
        <v>445</v>
      </c>
      <c r="D46" s="424" t="s">
        <v>649</v>
      </c>
      <c r="E46" s="423" t="s">
        <v>1431</v>
      </c>
      <c r="F46" s="424" t="s">
        <v>1432</v>
      </c>
      <c r="G46" s="423" t="s">
        <v>749</v>
      </c>
      <c r="H46" s="423" t="s">
        <v>750</v>
      </c>
      <c r="I46" s="425">
        <v>7.93</v>
      </c>
      <c r="J46" s="425">
        <v>100</v>
      </c>
      <c r="K46" s="426">
        <v>792.65</v>
      </c>
    </row>
    <row r="47" spans="1:11" ht="14.4" customHeight="1" x14ac:dyDescent="0.3">
      <c r="A47" s="421" t="s">
        <v>440</v>
      </c>
      <c r="B47" s="422" t="s">
        <v>441</v>
      </c>
      <c r="C47" s="423" t="s">
        <v>445</v>
      </c>
      <c r="D47" s="424" t="s">
        <v>649</v>
      </c>
      <c r="E47" s="423" t="s">
        <v>1431</v>
      </c>
      <c r="F47" s="424" t="s">
        <v>1432</v>
      </c>
      <c r="G47" s="423" t="s">
        <v>751</v>
      </c>
      <c r="H47" s="423" t="s">
        <v>752</v>
      </c>
      <c r="I47" s="425">
        <v>141.55000000000001</v>
      </c>
      <c r="J47" s="425">
        <v>10</v>
      </c>
      <c r="K47" s="426">
        <v>1415.54</v>
      </c>
    </row>
    <row r="48" spans="1:11" ht="14.4" customHeight="1" x14ac:dyDescent="0.3">
      <c r="A48" s="421" t="s">
        <v>440</v>
      </c>
      <c r="B48" s="422" t="s">
        <v>441</v>
      </c>
      <c r="C48" s="423" t="s">
        <v>445</v>
      </c>
      <c r="D48" s="424" t="s">
        <v>649</v>
      </c>
      <c r="E48" s="423" t="s">
        <v>1431</v>
      </c>
      <c r="F48" s="424" t="s">
        <v>1432</v>
      </c>
      <c r="G48" s="423" t="s">
        <v>753</v>
      </c>
      <c r="H48" s="423" t="s">
        <v>754</v>
      </c>
      <c r="I48" s="425">
        <v>4.24</v>
      </c>
      <c r="J48" s="425">
        <v>200</v>
      </c>
      <c r="K48" s="426">
        <v>847</v>
      </c>
    </row>
    <row r="49" spans="1:11" ht="14.4" customHeight="1" x14ac:dyDescent="0.3">
      <c r="A49" s="421" t="s">
        <v>440</v>
      </c>
      <c r="B49" s="422" t="s">
        <v>441</v>
      </c>
      <c r="C49" s="423" t="s">
        <v>445</v>
      </c>
      <c r="D49" s="424" t="s">
        <v>649</v>
      </c>
      <c r="E49" s="423" t="s">
        <v>1431</v>
      </c>
      <c r="F49" s="424" t="s">
        <v>1432</v>
      </c>
      <c r="G49" s="423" t="s">
        <v>755</v>
      </c>
      <c r="H49" s="423" t="s">
        <v>756</v>
      </c>
      <c r="I49" s="425">
        <v>141.57</v>
      </c>
      <c r="J49" s="425">
        <v>5</v>
      </c>
      <c r="K49" s="426">
        <v>707.85</v>
      </c>
    </row>
    <row r="50" spans="1:11" ht="14.4" customHeight="1" x14ac:dyDescent="0.3">
      <c r="A50" s="421" t="s">
        <v>440</v>
      </c>
      <c r="B50" s="422" t="s">
        <v>441</v>
      </c>
      <c r="C50" s="423" t="s">
        <v>445</v>
      </c>
      <c r="D50" s="424" t="s">
        <v>649</v>
      </c>
      <c r="E50" s="423" t="s">
        <v>1431</v>
      </c>
      <c r="F50" s="424" t="s">
        <v>1432</v>
      </c>
      <c r="G50" s="423" t="s">
        <v>757</v>
      </c>
      <c r="H50" s="423" t="s">
        <v>758</v>
      </c>
      <c r="I50" s="425">
        <v>827.64</v>
      </c>
      <c r="J50" s="425">
        <v>1</v>
      </c>
      <c r="K50" s="426">
        <v>827.64</v>
      </c>
    </row>
    <row r="51" spans="1:11" ht="14.4" customHeight="1" x14ac:dyDescent="0.3">
      <c r="A51" s="421" t="s">
        <v>440</v>
      </c>
      <c r="B51" s="422" t="s">
        <v>441</v>
      </c>
      <c r="C51" s="423" t="s">
        <v>445</v>
      </c>
      <c r="D51" s="424" t="s">
        <v>649</v>
      </c>
      <c r="E51" s="423" t="s">
        <v>1431</v>
      </c>
      <c r="F51" s="424" t="s">
        <v>1432</v>
      </c>
      <c r="G51" s="423" t="s">
        <v>759</v>
      </c>
      <c r="H51" s="423" t="s">
        <v>760</v>
      </c>
      <c r="I51" s="425">
        <v>390.6</v>
      </c>
      <c r="J51" s="425">
        <v>5</v>
      </c>
      <c r="K51" s="426">
        <v>1953</v>
      </c>
    </row>
    <row r="52" spans="1:11" ht="14.4" customHeight="1" x14ac:dyDescent="0.3">
      <c r="A52" s="421" t="s">
        <v>440</v>
      </c>
      <c r="B52" s="422" t="s">
        <v>441</v>
      </c>
      <c r="C52" s="423" t="s">
        <v>445</v>
      </c>
      <c r="D52" s="424" t="s">
        <v>649</v>
      </c>
      <c r="E52" s="423" t="s">
        <v>1433</v>
      </c>
      <c r="F52" s="424" t="s">
        <v>1434</v>
      </c>
      <c r="G52" s="423" t="s">
        <v>761</v>
      </c>
      <c r="H52" s="423" t="s">
        <v>762</v>
      </c>
      <c r="I52" s="425">
        <v>2.57</v>
      </c>
      <c r="J52" s="425">
        <v>2400</v>
      </c>
      <c r="K52" s="426">
        <v>6170.6400000000012</v>
      </c>
    </row>
    <row r="53" spans="1:11" ht="14.4" customHeight="1" x14ac:dyDescent="0.3">
      <c r="A53" s="421" t="s">
        <v>440</v>
      </c>
      <c r="B53" s="422" t="s">
        <v>441</v>
      </c>
      <c r="C53" s="423" t="s">
        <v>445</v>
      </c>
      <c r="D53" s="424" t="s">
        <v>649</v>
      </c>
      <c r="E53" s="423" t="s">
        <v>1433</v>
      </c>
      <c r="F53" s="424" t="s">
        <v>1434</v>
      </c>
      <c r="G53" s="423" t="s">
        <v>763</v>
      </c>
      <c r="H53" s="423" t="s">
        <v>764</v>
      </c>
      <c r="I53" s="425">
        <v>3943.35</v>
      </c>
      <c r="J53" s="425">
        <v>8</v>
      </c>
      <c r="K53" s="426">
        <v>31546.799999999999</v>
      </c>
    </row>
    <row r="54" spans="1:11" ht="14.4" customHeight="1" x14ac:dyDescent="0.3">
      <c r="A54" s="421" t="s">
        <v>440</v>
      </c>
      <c r="B54" s="422" t="s">
        <v>441</v>
      </c>
      <c r="C54" s="423" t="s">
        <v>445</v>
      </c>
      <c r="D54" s="424" t="s">
        <v>649</v>
      </c>
      <c r="E54" s="423" t="s">
        <v>1433</v>
      </c>
      <c r="F54" s="424" t="s">
        <v>1434</v>
      </c>
      <c r="G54" s="423" t="s">
        <v>765</v>
      </c>
      <c r="H54" s="423" t="s">
        <v>766</v>
      </c>
      <c r="I54" s="425">
        <v>3943.36</v>
      </c>
      <c r="J54" s="425">
        <v>13</v>
      </c>
      <c r="K54" s="426">
        <v>51263.7</v>
      </c>
    </row>
    <row r="55" spans="1:11" ht="14.4" customHeight="1" x14ac:dyDescent="0.3">
      <c r="A55" s="421" t="s">
        <v>440</v>
      </c>
      <c r="B55" s="422" t="s">
        <v>441</v>
      </c>
      <c r="C55" s="423" t="s">
        <v>445</v>
      </c>
      <c r="D55" s="424" t="s">
        <v>649</v>
      </c>
      <c r="E55" s="423" t="s">
        <v>1433</v>
      </c>
      <c r="F55" s="424" t="s">
        <v>1434</v>
      </c>
      <c r="G55" s="423" t="s">
        <v>767</v>
      </c>
      <c r="H55" s="423" t="s">
        <v>768</v>
      </c>
      <c r="I55" s="425">
        <v>3943.3599999999997</v>
      </c>
      <c r="J55" s="425">
        <v>13</v>
      </c>
      <c r="K55" s="426">
        <v>51263.7</v>
      </c>
    </row>
    <row r="56" spans="1:11" ht="14.4" customHeight="1" x14ac:dyDescent="0.3">
      <c r="A56" s="421" t="s">
        <v>440</v>
      </c>
      <c r="B56" s="422" t="s">
        <v>441</v>
      </c>
      <c r="C56" s="423" t="s">
        <v>445</v>
      </c>
      <c r="D56" s="424" t="s">
        <v>649</v>
      </c>
      <c r="E56" s="423" t="s">
        <v>1433</v>
      </c>
      <c r="F56" s="424" t="s">
        <v>1434</v>
      </c>
      <c r="G56" s="423" t="s">
        <v>769</v>
      </c>
      <c r="H56" s="423" t="s">
        <v>770</v>
      </c>
      <c r="I56" s="425">
        <v>126.44333333333333</v>
      </c>
      <c r="J56" s="425">
        <v>22</v>
      </c>
      <c r="K56" s="426">
        <v>2781.79</v>
      </c>
    </row>
    <row r="57" spans="1:11" ht="14.4" customHeight="1" x14ac:dyDescent="0.3">
      <c r="A57" s="421" t="s">
        <v>440</v>
      </c>
      <c r="B57" s="422" t="s">
        <v>441</v>
      </c>
      <c r="C57" s="423" t="s">
        <v>445</v>
      </c>
      <c r="D57" s="424" t="s">
        <v>649</v>
      </c>
      <c r="E57" s="423" t="s">
        <v>1433</v>
      </c>
      <c r="F57" s="424" t="s">
        <v>1434</v>
      </c>
      <c r="G57" s="423" t="s">
        <v>771</v>
      </c>
      <c r="H57" s="423" t="s">
        <v>772</v>
      </c>
      <c r="I57" s="425">
        <v>280.28000000000003</v>
      </c>
      <c r="J57" s="425">
        <v>15</v>
      </c>
      <c r="K57" s="426">
        <v>4161.3</v>
      </c>
    </row>
    <row r="58" spans="1:11" ht="14.4" customHeight="1" x14ac:dyDescent="0.3">
      <c r="A58" s="421" t="s">
        <v>440</v>
      </c>
      <c r="B58" s="422" t="s">
        <v>441</v>
      </c>
      <c r="C58" s="423" t="s">
        <v>445</v>
      </c>
      <c r="D58" s="424" t="s">
        <v>649</v>
      </c>
      <c r="E58" s="423" t="s">
        <v>1433</v>
      </c>
      <c r="F58" s="424" t="s">
        <v>1434</v>
      </c>
      <c r="G58" s="423" t="s">
        <v>773</v>
      </c>
      <c r="H58" s="423" t="s">
        <v>774</v>
      </c>
      <c r="I58" s="425">
        <v>261.11</v>
      </c>
      <c r="J58" s="425">
        <v>6</v>
      </c>
      <c r="K58" s="426">
        <v>1566.65</v>
      </c>
    </row>
    <row r="59" spans="1:11" ht="14.4" customHeight="1" x14ac:dyDescent="0.3">
      <c r="A59" s="421" t="s">
        <v>440</v>
      </c>
      <c r="B59" s="422" t="s">
        <v>441</v>
      </c>
      <c r="C59" s="423" t="s">
        <v>445</v>
      </c>
      <c r="D59" s="424" t="s">
        <v>649</v>
      </c>
      <c r="E59" s="423" t="s">
        <v>1433</v>
      </c>
      <c r="F59" s="424" t="s">
        <v>1434</v>
      </c>
      <c r="G59" s="423" t="s">
        <v>775</v>
      </c>
      <c r="H59" s="423" t="s">
        <v>776</v>
      </c>
      <c r="I59" s="425">
        <v>350.59800000000007</v>
      </c>
      <c r="J59" s="425">
        <v>13</v>
      </c>
      <c r="K59" s="426">
        <v>4557.7699999999995</v>
      </c>
    </row>
    <row r="60" spans="1:11" ht="14.4" customHeight="1" x14ac:dyDescent="0.3">
      <c r="A60" s="421" t="s">
        <v>440</v>
      </c>
      <c r="B60" s="422" t="s">
        <v>441</v>
      </c>
      <c r="C60" s="423" t="s">
        <v>445</v>
      </c>
      <c r="D60" s="424" t="s">
        <v>649</v>
      </c>
      <c r="E60" s="423" t="s">
        <v>1433</v>
      </c>
      <c r="F60" s="424" t="s">
        <v>1434</v>
      </c>
      <c r="G60" s="423" t="s">
        <v>777</v>
      </c>
      <c r="H60" s="423" t="s">
        <v>778</v>
      </c>
      <c r="I60" s="425">
        <v>286.2263636363636</v>
      </c>
      <c r="J60" s="425">
        <v>75</v>
      </c>
      <c r="K60" s="426">
        <v>21466.920000000002</v>
      </c>
    </row>
    <row r="61" spans="1:11" ht="14.4" customHeight="1" x14ac:dyDescent="0.3">
      <c r="A61" s="421" t="s">
        <v>440</v>
      </c>
      <c r="B61" s="422" t="s">
        <v>441</v>
      </c>
      <c r="C61" s="423" t="s">
        <v>445</v>
      </c>
      <c r="D61" s="424" t="s">
        <v>649</v>
      </c>
      <c r="E61" s="423" t="s">
        <v>1433</v>
      </c>
      <c r="F61" s="424" t="s">
        <v>1434</v>
      </c>
      <c r="G61" s="423" t="s">
        <v>779</v>
      </c>
      <c r="H61" s="423" t="s">
        <v>780</v>
      </c>
      <c r="I61" s="425">
        <v>546.01</v>
      </c>
      <c r="J61" s="425">
        <v>8</v>
      </c>
      <c r="K61" s="426">
        <v>4368.1099999999997</v>
      </c>
    </row>
    <row r="62" spans="1:11" ht="14.4" customHeight="1" x14ac:dyDescent="0.3">
      <c r="A62" s="421" t="s">
        <v>440</v>
      </c>
      <c r="B62" s="422" t="s">
        <v>441</v>
      </c>
      <c r="C62" s="423" t="s">
        <v>445</v>
      </c>
      <c r="D62" s="424" t="s">
        <v>649</v>
      </c>
      <c r="E62" s="423" t="s">
        <v>1433</v>
      </c>
      <c r="F62" s="424" t="s">
        <v>1434</v>
      </c>
      <c r="G62" s="423" t="s">
        <v>781</v>
      </c>
      <c r="H62" s="423" t="s">
        <v>782</v>
      </c>
      <c r="I62" s="425">
        <v>193.10999999999999</v>
      </c>
      <c r="J62" s="425">
        <v>8</v>
      </c>
      <c r="K62" s="426">
        <v>1551.7900000000002</v>
      </c>
    </row>
    <row r="63" spans="1:11" ht="14.4" customHeight="1" x14ac:dyDescent="0.3">
      <c r="A63" s="421" t="s">
        <v>440</v>
      </c>
      <c r="B63" s="422" t="s">
        <v>441</v>
      </c>
      <c r="C63" s="423" t="s">
        <v>445</v>
      </c>
      <c r="D63" s="424" t="s">
        <v>649</v>
      </c>
      <c r="E63" s="423" t="s">
        <v>1433</v>
      </c>
      <c r="F63" s="424" t="s">
        <v>1434</v>
      </c>
      <c r="G63" s="423" t="s">
        <v>783</v>
      </c>
      <c r="H63" s="423" t="s">
        <v>784</v>
      </c>
      <c r="I63" s="425">
        <v>175.45000000000002</v>
      </c>
      <c r="J63" s="425">
        <v>71</v>
      </c>
      <c r="K63" s="426">
        <v>12456.95</v>
      </c>
    </row>
    <row r="64" spans="1:11" ht="14.4" customHeight="1" x14ac:dyDescent="0.3">
      <c r="A64" s="421" t="s">
        <v>440</v>
      </c>
      <c r="B64" s="422" t="s">
        <v>441</v>
      </c>
      <c r="C64" s="423" t="s">
        <v>445</v>
      </c>
      <c r="D64" s="424" t="s">
        <v>649</v>
      </c>
      <c r="E64" s="423" t="s">
        <v>1433</v>
      </c>
      <c r="F64" s="424" t="s">
        <v>1434</v>
      </c>
      <c r="G64" s="423" t="s">
        <v>785</v>
      </c>
      <c r="H64" s="423" t="s">
        <v>786</v>
      </c>
      <c r="I64" s="425">
        <v>1474.5</v>
      </c>
      <c r="J64" s="425">
        <v>1</v>
      </c>
      <c r="K64" s="426">
        <v>1474.5</v>
      </c>
    </row>
    <row r="65" spans="1:11" ht="14.4" customHeight="1" x14ac:dyDescent="0.3">
      <c r="A65" s="421" t="s">
        <v>440</v>
      </c>
      <c r="B65" s="422" t="s">
        <v>441</v>
      </c>
      <c r="C65" s="423" t="s">
        <v>445</v>
      </c>
      <c r="D65" s="424" t="s">
        <v>649</v>
      </c>
      <c r="E65" s="423" t="s">
        <v>1433</v>
      </c>
      <c r="F65" s="424" t="s">
        <v>1434</v>
      </c>
      <c r="G65" s="423" t="s">
        <v>787</v>
      </c>
      <c r="H65" s="423" t="s">
        <v>788</v>
      </c>
      <c r="I65" s="425">
        <v>31.66</v>
      </c>
      <c r="J65" s="425">
        <v>350</v>
      </c>
      <c r="K65" s="426">
        <v>11080.03</v>
      </c>
    </row>
    <row r="66" spans="1:11" ht="14.4" customHeight="1" x14ac:dyDescent="0.3">
      <c r="A66" s="421" t="s">
        <v>440</v>
      </c>
      <c r="B66" s="422" t="s">
        <v>441</v>
      </c>
      <c r="C66" s="423" t="s">
        <v>445</v>
      </c>
      <c r="D66" s="424" t="s">
        <v>649</v>
      </c>
      <c r="E66" s="423" t="s">
        <v>1433</v>
      </c>
      <c r="F66" s="424" t="s">
        <v>1434</v>
      </c>
      <c r="G66" s="423" t="s">
        <v>789</v>
      </c>
      <c r="H66" s="423" t="s">
        <v>790</v>
      </c>
      <c r="I66" s="425">
        <v>33.699999999999996</v>
      </c>
      <c r="J66" s="425">
        <v>175</v>
      </c>
      <c r="K66" s="426">
        <v>5898.07</v>
      </c>
    </row>
    <row r="67" spans="1:11" ht="14.4" customHeight="1" x14ac:dyDescent="0.3">
      <c r="A67" s="421" t="s">
        <v>440</v>
      </c>
      <c r="B67" s="422" t="s">
        <v>441</v>
      </c>
      <c r="C67" s="423" t="s">
        <v>445</v>
      </c>
      <c r="D67" s="424" t="s">
        <v>649</v>
      </c>
      <c r="E67" s="423" t="s">
        <v>1433</v>
      </c>
      <c r="F67" s="424" t="s">
        <v>1434</v>
      </c>
      <c r="G67" s="423" t="s">
        <v>791</v>
      </c>
      <c r="H67" s="423" t="s">
        <v>792</v>
      </c>
      <c r="I67" s="425">
        <v>5232.5</v>
      </c>
      <c r="J67" s="425">
        <v>10</v>
      </c>
      <c r="K67" s="426">
        <v>52325</v>
      </c>
    </row>
    <row r="68" spans="1:11" ht="14.4" customHeight="1" x14ac:dyDescent="0.3">
      <c r="A68" s="421" t="s">
        <v>440</v>
      </c>
      <c r="B68" s="422" t="s">
        <v>441</v>
      </c>
      <c r="C68" s="423" t="s">
        <v>445</v>
      </c>
      <c r="D68" s="424" t="s">
        <v>649</v>
      </c>
      <c r="E68" s="423" t="s">
        <v>1433</v>
      </c>
      <c r="F68" s="424" t="s">
        <v>1434</v>
      </c>
      <c r="G68" s="423" t="s">
        <v>793</v>
      </c>
      <c r="H68" s="423" t="s">
        <v>794</v>
      </c>
      <c r="I68" s="425">
        <v>26.013333333333335</v>
      </c>
      <c r="J68" s="425">
        <v>35</v>
      </c>
      <c r="K68" s="426">
        <v>910.53</v>
      </c>
    </row>
    <row r="69" spans="1:11" ht="14.4" customHeight="1" x14ac:dyDescent="0.3">
      <c r="A69" s="421" t="s">
        <v>440</v>
      </c>
      <c r="B69" s="422" t="s">
        <v>441</v>
      </c>
      <c r="C69" s="423" t="s">
        <v>445</v>
      </c>
      <c r="D69" s="424" t="s">
        <v>649</v>
      </c>
      <c r="E69" s="423" t="s">
        <v>1433</v>
      </c>
      <c r="F69" s="424" t="s">
        <v>1434</v>
      </c>
      <c r="G69" s="423" t="s">
        <v>795</v>
      </c>
      <c r="H69" s="423" t="s">
        <v>796</v>
      </c>
      <c r="I69" s="425">
        <v>1.1899999999999997</v>
      </c>
      <c r="J69" s="425">
        <v>10500</v>
      </c>
      <c r="K69" s="426">
        <v>12449.770000000002</v>
      </c>
    </row>
    <row r="70" spans="1:11" ht="14.4" customHeight="1" x14ac:dyDescent="0.3">
      <c r="A70" s="421" t="s">
        <v>440</v>
      </c>
      <c r="B70" s="422" t="s">
        <v>441</v>
      </c>
      <c r="C70" s="423" t="s">
        <v>445</v>
      </c>
      <c r="D70" s="424" t="s">
        <v>649</v>
      </c>
      <c r="E70" s="423" t="s">
        <v>1433</v>
      </c>
      <c r="F70" s="424" t="s">
        <v>1434</v>
      </c>
      <c r="G70" s="423" t="s">
        <v>797</v>
      </c>
      <c r="H70" s="423" t="s">
        <v>798</v>
      </c>
      <c r="I70" s="425">
        <v>107.16</v>
      </c>
      <c r="J70" s="425">
        <v>49</v>
      </c>
      <c r="K70" s="426">
        <v>5251.01</v>
      </c>
    </row>
    <row r="71" spans="1:11" ht="14.4" customHeight="1" x14ac:dyDescent="0.3">
      <c r="A71" s="421" t="s">
        <v>440</v>
      </c>
      <c r="B71" s="422" t="s">
        <v>441</v>
      </c>
      <c r="C71" s="423" t="s">
        <v>445</v>
      </c>
      <c r="D71" s="424" t="s">
        <v>649</v>
      </c>
      <c r="E71" s="423" t="s">
        <v>1433</v>
      </c>
      <c r="F71" s="424" t="s">
        <v>1434</v>
      </c>
      <c r="G71" s="423" t="s">
        <v>799</v>
      </c>
      <c r="H71" s="423" t="s">
        <v>800</v>
      </c>
      <c r="I71" s="425">
        <v>270.13</v>
      </c>
      <c r="J71" s="425">
        <v>4</v>
      </c>
      <c r="K71" s="426">
        <v>1080.53</v>
      </c>
    </row>
    <row r="72" spans="1:11" ht="14.4" customHeight="1" x14ac:dyDescent="0.3">
      <c r="A72" s="421" t="s">
        <v>440</v>
      </c>
      <c r="B72" s="422" t="s">
        <v>441</v>
      </c>
      <c r="C72" s="423" t="s">
        <v>445</v>
      </c>
      <c r="D72" s="424" t="s">
        <v>649</v>
      </c>
      <c r="E72" s="423" t="s">
        <v>1433</v>
      </c>
      <c r="F72" s="424" t="s">
        <v>1434</v>
      </c>
      <c r="G72" s="423" t="s">
        <v>801</v>
      </c>
      <c r="H72" s="423" t="s">
        <v>802</v>
      </c>
      <c r="I72" s="425">
        <v>174.23</v>
      </c>
      <c r="J72" s="425">
        <v>52</v>
      </c>
      <c r="K72" s="426">
        <v>9059.91</v>
      </c>
    </row>
    <row r="73" spans="1:11" ht="14.4" customHeight="1" x14ac:dyDescent="0.3">
      <c r="A73" s="421" t="s">
        <v>440</v>
      </c>
      <c r="B73" s="422" t="s">
        <v>441</v>
      </c>
      <c r="C73" s="423" t="s">
        <v>445</v>
      </c>
      <c r="D73" s="424" t="s">
        <v>649</v>
      </c>
      <c r="E73" s="423" t="s">
        <v>1433</v>
      </c>
      <c r="F73" s="424" t="s">
        <v>1434</v>
      </c>
      <c r="G73" s="423" t="s">
        <v>803</v>
      </c>
      <c r="H73" s="423" t="s">
        <v>804</v>
      </c>
      <c r="I73" s="425">
        <v>117.23999999999998</v>
      </c>
      <c r="J73" s="425">
        <v>24</v>
      </c>
      <c r="K73" s="426">
        <v>2813.7200000000003</v>
      </c>
    </row>
    <row r="74" spans="1:11" ht="14.4" customHeight="1" x14ac:dyDescent="0.3">
      <c r="A74" s="421" t="s">
        <v>440</v>
      </c>
      <c r="B74" s="422" t="s">
        <v>441</v>
      </c>
      <c r="C74" s="423" t="s">
        <v>445</v>
      </c>
      <c r="D74" s="424" t="s">
        <v>649</v>
      </c>
      <c r="E74" s="423" t="s">
        <v>1433</v>
      </c>
      <c r="F74" s="424" t="s">
        <v>1434</v>
      </c>
      <c r="G74" s="423" t="s">
        <v>805</v>
      </c>
      <c r="H74" s="423" t="s">
        <v>806</v>
      </c>
      <c r="I74" s="425">
        <v>21.01</v>
      </c>
      <c r="J74" s="425">
        <v>275</v>
      </c>
      <c r="K74" s="426">
        <v>5778.5100000000011</v>
      </c>
    </row>
    <row r="75" spans="1:11" ht="14.4" customHeight="1" x14ac:dyDescent="0.3">
      <c r="A75" s="421" t="s">
        <v>440</v>
      </c>
      <c r="B75" s="422" t="s">
        <v>441</v>
      </c>
      <c r="C75" s="423" t="s">
        <v>445</v>
      </c>
      <c r="D75" s="424" t="s">
        <v>649</v>
      </c>
      <c r="E75" s="423" t="s">
        <v>1433</v>
      </c>
      <c r="F75" s="424" t="s">
        <v>1434</v>
      </c>
      <c r="G75" s="423" t="s">
        <v>807</v>
      </c>
      <c r="H75" s="423" t="s">
        <v>808</v>
      </c>
      <c r="I75" s="425">
        <v>1080.19</v>
      </c>
      <c r="J75" s="425">
        <v>7</v>
      </c>
      <c r="K75" s="426">
        <v>7547.2</v>
      </c>
    </row>
    <row r="76" spans="1:11" ht="14.4" customHeight="1" x14ac:dyDescent="0.3">
      <c r="A76" s="421" t="s">
        <v>440</v>
      </c>
      <c r="B76" s="422" t="s">
        <v>441</v>
      </c>
      <c r="C76" s="423" t="s">
        <v>445</v>
      </c>
      <c r="D76" s="424" t="s">
        <v>649</v>
      </c>
      <c r="E76" s="423" t="s">
        <v>1433</v>
      </c>
      <c r="F76" s="424" t="s">
        <v>1434</v>
      </c>
      <c r="G76" s="423" t="s">
        <v>809</v>
      </c>
      <c r="H76" s="423" t="s">
        <v>810</v>
      </c>
      <c r="I76" s="425">
        <v>776.82</v>
      </c>
      <c r="J76" s="425">
        <v>4</v>
      </c>
      <c r="K76" s="426">
        <v>3107.28</v>
      </c>
    </row>
    <row r="77" spans="1:11" ht="14.4" customHeight="1" x14ac:dyDescent="0.3">
      <c r="A77" s="421" t="s">
        <v>440</v>
      </c>
      <c r="B77" s="422" t="s">
        <v>441</v>
      </c>
      <c r="C77" s="423" t="s">
        <v>445</v>
      </c>
      <c r="D77" s="424" t="s">
        <v>649</v>
      </c>
      <c r="E77" s="423" t="s">
        <v>1433</v>
      </c>
      <c r="F77" s="424" t="s">
        <v>1434</v>
      </c>
      <c r="G77" s="423" t="s">
        <v>811</v>
      </c>
      <c r="H77" s="423" t="s">
        <v>812</v>
      </c>
      <c r="I77" s="425">
        <v>20.7</v>
      </c>
      <c r="J77" s="425">
        <v>90</v>
      </c>
      <c r="K77" s="426">
        <v>1863</v>
      </c>
    </row>
    <row r="78" spans="1:11" ht="14.4" customHeight="1" x14ac:dyDescent="0.3">
      <c r="A78" s="421" t="s">
        <v>440</v>
      </c>
      <c r="B78" s="422" t="s">
        <v>441</v>
      </c>
      <c r="C78" s="423" t="s">
        <v>445</v>
      </c>
      <c r="D78" s="424" t="s">
        <v>649</v>
      </c>
      <c r="E78" s="423" t="s">
        <v>1433</v>
      </c>
      <c r="F78" s="424" t="s">
        <v>1434</v>
      </c>
      <c r="G78" s="423" t="s">
        <v>813</v>
      </c>
      <c r="H78" s="423" t="s">
        <v>814</v>
      </c>
      <c r="I78" s="425">
        <v>22.32</v>
      </c>
      <c r="J78" s="425">
        <v>10</v>
      </c>
      <c r="K78" s="426">
        <v>223.2</v>
      </c>
    </row>
    <row r="79" spans="1:11" ht="14.4" customHeight="1" x14ac:dyDescent="0.3">
      <c r="A79" s="421" t="s">
        <v>440</v>
      </c>
      <c r="B79" s="422" t="s">
        <v>441</v>
      </c>
      <c r="C79" s="423" t="s">
        <v>445</v>
      </c>
      <c r="D79" s="424" t="s">
        <v>649</v>
      </c>
      <c r="E79" s="423" t="s">
        <v>1433</v>
      </c>
      <c r="F79" s="424" t="s">
        <v>1434</v>
      </c>
      <c r="G79" s="423" t="s">
        <v>815</v>
      </c>
      <c r="H79" s="423" t="s">
        <v>816</v>
      </c>
      <c r="I79" s="425">
        <v>138</v>
      </c>
      <c r="J79" s="425">
        <v>135</v>
      </c>
      <c r="K79" s="426">
        <v>18630</v>
      </c>
    </row>
    <row r="80" spans="1:11" ht="14.4" customHeight="1" x14ac:dyDescent="0.3">
      <c r="A80" s="421" t="s">
        <v>440</v>
      </c>
      <c r="B80" s="422" t="s">
        <v>441</v>
      </c>
      <c r="C80" s="423" t="s">
        <v>445</v>
      </c>
      <c r="D80" s="424" t="s">
        <v>649</v>
      </c>
      <c r="E80" s="423" t="s">
        <v>1433</v>
      </c>
      <c r="F80" s="424" t="s">
        <v>1434</v>
      </c>
      <c r="G80" s="423" t="s">
        <v>817</v>
      </c>
      <c r="H80" s="423" t="s">
        <v>818</v>
      </c>
      <c r="I80" s="425">
        <v>2288.5</v>
      </c>
      <c r="J80" s="425">
        <v>8</v>
      </c>
      <c r="K80" s="426">
        <v>18308</v>
      </c>
    </row>
    <row r="81" spans="1:11" ht="14.4" customHeight="1" x14ac:dyDescent="0.3">
      <c r="A81" s="421" t="s">
        <v>440</v>
      </c>
      <c r="B81" s="422" t="s">
        <v>441</v>
      </c>
      <c r="C81" s="423" t="s">
        <v>445</v>
      </c>
      <c r="D81" s="424" t="s">
        <v>649</v>
      </c>
      <c r="E81" s="423" t="s">
        <v>1433</v>
      </c>
      <c r="F81" s="424" t="s">
        <v>1434</v>
      </c>
      <c r="G81" s="423" t="s">
        <v>819</v>
      </c>
      <c r="H81" s="423" t="s">
        <v>820</v>
      </c>
      <c r="I81" s="425">
        <v>4146.2666666666664</v>
      </c>
      <c r="J81" s="425">
        <v>5</v>
      </c>
      <c r="K81" s="426">
        <v>20860.400000000001</v>
      </c>
    </row>
    <row r="82" spans="1:11" ht="14.4" customHeight="1" x14ac:dyDescent="0.3">
      <c r="A82" s="421" t="s">
        <v>440</v>
      </c>
      <c r="B82" s="422" t="s">
        <v>441</v>
      </c>
      <c r="C82" s="423" t="s">
        <v>445</v>
      </c>
      <c r="D82" s="424" t="s">
        <v>649</v>
      </c>
      <c r="E82" s="423" t="s">
        <v>1433</v>
      </c>
      <c r="F82" s="424" t="s">
        <v>1434</v>
      </c>
      <c r="G82" s="423" t="s">
        <v>821</v>
      </c>
      <c r="H82" s="423" t="s">
        <v>822</v>
      </c>
      <c r="I82" s="425">
        <v>1474.375</v>
      </c>
      <c r="J82" s="425">
        <v>3</v>
      </c>
      <c r="K82" s="426">
        <v>4380.5</v>
      </c>
    </row>
    <row r="83" spans="1:11" ht="14.4" customHeight="1" x14ac:dyDescent="0.3">
      <c r="A83" s="421" t="s">
        <v>440</v>
      </c>
      <c r="B83" s="422" t="s">
        <v>441</v>
      </c>
      <c r="C83" s="423" t="s">
        <v>445</v>
      </c>
      <c r="D83" s="424" t="s">
        <v>649</v>
      </c>
      <c r="E83" s="423" t="s">
        <v>1433</v>
      </c>
      <c r="F83" s="424" t="s">
        <v>1434</v>
      </c>
      <c r="G83" s="423" t="s">
        <v>823</v>
      </c>
      <c r="H83" s="423" t="s">
        <v>824</v>
      </c>
      <c r="I83" s="425">
        <v>138</v>
      </c>
      <c r="J83" s="425">
        <v>110</v>
      </c>
      <c r="K83" s="426">
        <v>15180</v>
      </c>
    </row>
    <row r="84" spans="1:11" ht="14.4" customHeight="1" x14ac:dyDescent="0.3">
      <c r="A84" s="421" t="s">
        <v>440</v>
      </c>
      <c r="B84" s="422" t="s">
        <v>441</v>
      </c>
      <c r="C84" s="423" t="s">
        <v>445</v>
      </c>
      <c r="D84" s="424" t="s">
        <v>649</v>
      </c>
      <c r="E84" s="423" t="s">
        <v>1433</v>
      </c>
      <c r="F84" s="424" t="s">
        <v>1434</v>
      </c>
      <c r="G84" s="423" t="s">
        <v>825</v>
      </c>
      <c r="H84" s="423" t="s">
        <v>826</v>
      </c>
      <c r="I84" s="425">
        <v>53.94</v>
      </c>
      <c r="J84" s="425">
        <v>10</v>
      </c>
      <c r="K84" s="426">
        <v>539.39</v>
      </c>
    </row>
    <row r="85" spans="1:11" ht="14.4" customHeight="1" x14ac:dyDescent="0.3">
      <c r="A85" s="421" t="s">
        <v>440</v>
      </c>
      <c r="B85" s="422" t="s">
        <v>441</v>
      </c>
      <c r="C85" s="423" t="s">
        <v>445</v>
      </c>
      <c r="D85" s="424" t="s">
        <v>649</v>
      </c>
      <c r="E85" s="423" t="s">
        <v>1433</v>
      </c>
      <c r="F85" s="424" t="s">
        <v>1434</v>
      </c>
      <c r="G85" s="423" t="s">
        <v>827</v>
      </c>
      <c r="H85" s="423" t="s">
        <v>828</v>
      </c>
      <c r="I85" s="425">
        <v>19.649999999999999</v>
      </c>
      <c r="J85" s="425">
        <v>120</v>
      </c>
      <c r="K85" s="426">
        <v>2421</v>
      </c>
    </row>
    <row r="86" spans="1:11" ht="14.4" customHeight="1" x14ac:dyDescent="0.3">
      <c r="A86" s="421" t="s">
        <v>440</v>
      </c>
      <c r="B86" s="422" t="s">
        <v>441</v>
      </c>
      <c r="C86" s="423" t="s">
        <v>445</v>
      </c>
      <c r="D86" s="424" t="s">
        <v>649</v>
      </c>
      <c r="E86" s="423" t="s">
        <v>1433</v>
      </c>
      <c r="F86" s="424" t="s">
        <v>1434</v>
      </c>
      <c r="G86" s="423" t="s">
        <v>829</v>
      </c>
      <c r="H86" s="423" t="s">
        <v>830</v>
      </c>
      <c r="I86" s="425">
        <v>4207.836666666667</v>
      </c>
      <c r="J86" s="425">
        <v>7</v>
      </c>
      <c r="K86" s="426">
        <v>29454.95</v>
      </c>
    </row>
    <row r="87" spans="1:11" ht="14.4" customHeight="1" x14ac:dyDescent="0.3">
      <c r="A87" s="421" t="s">
        <v>440</v>
      </c>
      <c r="B87" s="422" t="s">
        <v>441</v>
      </c>
      <c r="C87" s="423" t="s">
        <v>445</v>
      </c>
      <c r="D87" s="424" t="s">
        <v>649</v>
      </c>
      <c r="E87" s="423" t="s">
        <v>1433</v>
      </c>
      <c r="F87" s="424" t="s">
        <v>1434</v>
      </c>
      <c r="G87" s="423" t="s">
        <v>831</v>
      </c>
      <c r="H87" s="423" t="s">
        <v>832</v>
      </c>
      <c r="I87" s="425">
        <v>232.5</v>
      </c>
      <c r="J87" s="425">
        <v>12</v>
      </c>
      <c r="K87" s="426">
        <v>2790</v>
      </c>
    </row>
    <row r="88" spans="1:11" ht="14.4" customHeight="1" x14ac:dyDescent="0.3">
      <c r="A88" s="421" t="s">
        <v>440</v>
      </c>
      <c r="B88" s="422" t="s">
        <v>441</v>
      </c>
      <c r="C88" s="423" t="s">
        <v>445</v>
      </c>
      <c r="D88" s="424" t="s">
        <v>649</v>
      </c>
      <c r="E88" s="423" t="s">
        <v>1433</v>
      </c>
      <c r="F88" s="424" t="s">
        <v>1434</v>
      </c>
      <c r="G88" s="423" t="s">
        <v>833</v>
      </c>
      <c r="H88" s="423" t="s">
        <v>834</v>
      </c>
      <c r="I88" s="425">
        <v>1499.62</v>
      </c>
      <c r="J88" s="425">
        <v>2</v>
      </c>
      <c r="K88" s="426">
        <v>2999.24</v>
      </c>
    </row>
    <row r="89" spans="1:11" ht="14.4" customHeight="1" x14ac:dyDescent="0.3">
      <c r="A89" s="421" t="s">
        <v>440</v>
      </c>
      <c r="B89" s="422" t="s">
        <v>441</v>
      </c>
      <c r="C89" s="423" t="s">
        <v>445</v>
      </c>
      <c r="D89" s="424" t="s">
        <v>649</v>
      </c>
      <c r="E89" s="423" t="s">
        <v>1433</v>
      </c>
      <c r="F89" s="424" t="s">
        <v>1434</v>
      </c>
      <c r="G89" s="423" t="s">
        <v>835</v>
      </c>
      <c r="H89" s="423" t="s">
        <v>836</v>
      </c>
      <c r="I89" s="425">
        <v>20.982500000000002</v>
      </c>
      <c r="J89" s="425">
        <v>200</v>
      </c>
      <c r="K89" s="426">
        <v>4196.3099999999995</v>
      </c>
    </row>
    <row r="90" spans="1:11" ht="14.4" customHeight="1" x14ac:dyDescent="0.3">
      <c r="A90" s="421" t="s">
        <v>440</v>
      </c>
      <c r="B90" s="422" t="s">
        <v>441</v>
      </c>
      <c r="C90" s="423" t="s">
        <v>445</v>
      </c>
      <c r="D90" s="424" t="s">
        <v>649</v>
      </c>
      <c r="E90" s="423" t="s">
        <v>1433</v>
      </c>
      <c r="F90" s="424" t="s">
        <v>1434</v>
      </c>
      <c r="G90" s="423" t="s">
        <v>837</v>
      </c>
      <c r="H90" s="423" t="s">
        <v>838</v>
      </c>
      <c r="I90" s="425">
        <v>53.024999999999999</v>
      </c>
      <c r="J90" s="425">
        <v>220</v>
      </c>
      <c r="K90" s="426">
        <v>11677.369999999999</v>
      </c>
    </row>
    <row r="91" spans="1:11" ht="14.4" customHeight="1" x14ac:dyDescent="0.3">
      <c r="A91" s="421" t="s">
        <v>440</v>
      </c>
      <c r="B91" s="422" t="s">
        <v>441</v>
      </c>
      <c r="C91" s="423" t="s">
        <v>445</v>
      </c>
      <c r="D91" s="424" t="s">
        <v>649</v>
      </c>
      <c r="E91" s="423" t="s">
        <v>1433</v>
      </c>
      <c r="F91" s="424" t="s">
        <v>1434</v>
      </c>
      <c r="G91" s="423" t="s">
        <v>839</v>
      </c>
      <c r="H91" s="423" t="s">
        <v>840</v>
      </c>
      <c r="I91" s="425">
        <v>11.5</v>
      </c>
      <c r="J91" s="425">
        <v>90</v>
      </c>
      <c r="K91" s="426">
        <v>1035</v>
      </c>
    </row>
    <row r="92" spans="1:11" ht="14.4" customHeight="1" x14ac:dyDescent="0.3">
      <c r="A92" s="421" t="s">
        <v>440</v>
      </c>
      <c r="B92" s="422" t="s">
        <v>441</v>
      </c>
      <c r="C92" s="423" t="s">
        <v>445</v>
      </c>
      <c r="D92" s="424" t="s">
        <v>649</v>
      </c>
      <c r="E92" s="423" t="s">
        <v>1433</v>
      </c>
      <c r="F92" s="424" t="s">
        <v>1434</v>
      </c>
      <c r="G92" s="423" t="s">
        <v>841</v>
      </c>
      <c r="H92" s="423" t="s">
        <v>842</v>
      </c>
      <c r="I92" s="425">
        <v>4207.8539999999994</v>
      </c>
      <c r="J92" s="425">
        <v>12</v>
      </c>
      <c r="K92" s="426">
        <v>50494.299999999996</v>
      </c>
    </row>
    <row r="93" spans="1:11" ht="14.4" customHeight="1" x14ac:dyDescent="0.3">
      <c r="A93" s="421" t="s">
        <v>440</v>
      </c>
      <c r="B93" s="422" t="s">
        <v>441</v>
      </c>
      <c r="C93" s="423" t="s">
        <v>445</v>
      </c>
      <c r="D93" s="424" t="s">
        <v>649</v>
      </c>
      <c r="E93" s="423" t="s">
        <v>1433</v>
      </c>
      <c r="F93" s="424" t="s">
        <v>1434</v>
      </c>
      <c r="G93" s="423" t="s">
        <v>843</v>
      </c>
      <c r="H93" s="423" t="s">
        <v>844</v>
      </c>
      <c r="I93" s="425">
        <v>562.65</v>
      </c>
      <c r="J93" s="425">
        <v>1</v>
      </c>
      <c r="K93" s="426">
        <v>562.65</v>
      </c>
    </row>
    <row r="94" spans="1:11" ht="14.4" customHeight="1" x14ac:dyDescent="0.3">
      <c r="A94" s="421" t="s">
        <v>440</v>
      </c>
      <c r="B94" s="422" t="s">
        <v>441</v>
      </c>
      <c r="C94" s="423" t="s">
        <v>445</v>
      </c>
      <c r="D94" s="424" t="s">
        <v>649</v>
      </c>
      <c r="E94" s="423" t="s">
        <v>1433</v>
      </c>
      <c r="F94" s="424" t="s">
        <v>1434</v>
      </c>
      <c r="G94" s="423" t="s">
        <v>845</v>
      </c>
      <c r="H94" s="423" t="s">
        <v>846</v>
      </c>
      <c r="I94" s="425">
        <v>5.58</v>
      </c>
      <c r="J94" s="425">
        <v>100</v>
      </c>
      <c r="K94" s="426">
        <v>558</v>
      </c>
    </row>
    <row r="95" spans="1:11" ht="14.4" customHeight="1" x14ac:dyDescent="0.3">
      <c r="A95" s="421" t="s">
        <v>440</v>
      </c>
      <c r="B95" s="422" t="s">
        <v>441</v>
      </c>
      <c r="C95" s="423" t="s">
        <v>445</v>
      </c>
      <c r="D95" s="424" t="s">
        <v>649</v>
      </c>
      <c r="E95" s="423" t="s">
        <v>1433</v>
      </c>
      <c r="F95" s="424" t="s">
        <v>1434</v>
      </c>
      <c r="G95" s="423" t="s">
        <v>847</v>
      </c>
      <c r="H95" s="423" t="s">
        <v>848</v>
      </c>
      <c r="I95" s="425">
        <v>826</v>
      </c>
      <c r="J95" s="425">
        <v>2</v>
      </c>
      <c r="K95" s="426">
        <v>1652</v>
      </c>
    </row>
    <row r="96" spans="1:11" ht="14.4" customHeight="1" x14ac:dyDescent="0.3">
      <c r="A96" s="421" t="s">
        <v>440</v>
      </c>
      <c r="B96" s="422" t="s">
        <v>441</v>
      </c>
      <c r="C96" s="423" t="s">
        <v>445</v>
      </c>
      <c r="D96" s="424" t="s">
        <v>649</v>
      </c>
      <c r="E96" s="423" t="s">
        <v>1433</v>
      </c>
      <c r="F96" s="424" t="s">
        <v>1434</v>
      </c>
      <c r="G96" s="423" t="s">
        <v>849</v>
      </c>
      <c r="H96" s="423" t="s">
        <v>850</v>
      </c>
      <c r="I96" s="425">
        <v>1122.8699999999999</v>
      </c>
      <c r="J96" s="425">
        <v>1</v>
      </c>
      <c r="K96" s="426">
        <v>1122.8699999999999</v>
      </c>
    </row>
    <row r="97" spans="1:11" ht="14.4" customHeight="1" x14ac:dyDescent="0.3">
      <c r="A97" s="421" t="s">
        <v>440</v>
      </c>
      <c r="B97" s="422" t="s">
        <v>441</v>
      </c>
      <c r="C97" s="423" t="s">
        <v>445</v>
      </c>
      <c r="D97" s="424" t="s">
        <v>649</v>
      </c>
      <c r="E97" s="423" t="s">
        <v>1433</v>
      </c>
      <c r="F97" s="424" t="s">
        <v>1434</v>
      </c>
      <c r="G97" s="423" t="s">
        <v>851</v>
      </c>
      <c r="H97" s="423" t="s">
        <v>852</v>
      </c>
      <c r="I97" s="425">
        <v>1003.09</v>
      </c>
      <c r="J97" s="425">
        <v>1</v>
      </c>
      <c r="K97" s="426">
        <v>1003.09</v>
      </c>
    </row>
    <row r="98" spans="1:11" ht="14.4" customHeight="1" x14ac:dyDescent="0.3">
      <c r="A98" s="421" t="s">
        <v>440</v>
      </c>
      <c r="B98" s="422" t="s">
        <v>441</v>
      </c>
      <c r="C98" s="423" t="s">
        <v>445</v>
      </c>
      <c r="D98" s="424" t="s">
        <v>649</v>
      </c>
      <c r="E98" s="423" t="s">
        <v>1433</v>
      </c>
      <c r="F98" s="424" t="s">
        <v>1434</v>
      </c>
      <c r="G98" s="423" t="s">
        <v>853</v>
      </c>
      <c r="H98" s="423" t="s">
        <v>854</v>
      </c>
      <c r="I98" s="425">
        <v>3156.75</v>
      </c>
      <c r="J98" s="425">
        <v>2</v>
      </c>
      <c r="K98" s="426">
        <v>6313.5</v>
      </c>
    </row>
    <row r="99" spans="1:11" ht="14.4" customHeight="1" x14ac:dyDescent="0.3">
      <c r="A99" s="421" t="s">
        <v>440</v>
      </c>
      <c r="B99" s="422" t="s">
        <v>441</v>
      </c>
      <c r="C99" s="423" t="s">
        <v>445</v>
      </c>
      <c r="D99" s="424" t="s">
        <v>649</v>
      </c>
      <c r="E99" s="423" t="s">
        <v>1433</v>
      </c>
      <c r="F99" s="424" t="s">
        <v>1434</v>
      </c>
      <c r="G99" s="423" t="s">
        <v>855</v>
      </c>
      <c r="H99" s="423" t="s">
        <v>856</v>
      </c>
      <c r="I99" s="425">
        <v>457.5</v>
      </c>
      <c r="J99" s="425">
        <v>3</v>
      </c>
      <c r="K99" s="426">
        <v>1372.5</v>
      </c>
    </row>
    <row r="100" spans="1:11" ht="14.4" customHeight="1" x14ac:dyDescent="0.3">
      <c r="A100" s="421" t="s">
        <v>440</v>
      </c>
      <c r="B100" s="422" t="s">
        <v>441</v>
      </c>
      <c r="C100" s="423" t="s">
        <v>445</v>
      </c>
      <c r="D100" s="424" t="s">
        <v>649</v>
      </c>
      <c r="E100" s="423" t="s">
        <v>1433</v>
      </c>
      <c r="F100" s="424" t="s">
        <v>1434</v>
      </c>
      <c r="G100" s="423" t="s">
        <v>857</v>
      </c>
      <c r="H100" s="423" t="s">
        <v>858</v>
      </c>
      <c r="I100" s="425">
        <v>159.69999999999999</v>
      </c>
      <c r="J100" s="425">
        <v>10</v>
      </c>
      <c r="K100" s="426">
        <v>1597</v>
      </c>
    </row>
    <row r="101" spans="1:11" ht="14.4" customHeight="1" x14ac:dyDescent="0.3">
      <c r="A101" s="421" t="s">
        <v>440</v>
      </c>
      <c r="B101" s="422" t="s">
        <v>441</v>
      </c>
      <c r="C101" s="423" t="s">
        <v>445</v>
      </c>
      <c r="D101" s="424" t="s">
        <v>649</v>
      </c>
      <c r="E101" s="423" t="s">
        <v>1433</v>
      </c>
      <c r="F101" s="424" t="s">
        <v>1434</v>
      </c>
      <c r="G101" s="423" t="s">
        <v>859</v>
      </c>
      <c r="H101" s="423" t="s">
        <v>860</v>
      </c>
      <c r="I101" s="425">
        <v>1380.92</v>
      </c>
      <c r="J101" s="425">
        <v>20</v>
      </c>
      <c r="K101" s="426">
        <v>27618.39</v>
      </c>
    </row>
    <row r="102" spans="1:11" ht="14.4" customHeight="1" x14ac:dyDescent="0.3">
      <c r="A102" s="421" t="s">
        <v>440</v>
      </c>
      <c r="B102" s="422" t="s">
        <v>441</v>
      </c>
      <c r="C102" s="423" t="s">
        <v>445</v>
      </c>
      <c r="D102" s="424" t="s">
        <v>649</v>
      </c>
      <c r="E102" s="423" t="s">
        <v>1433</v>
      </c>
      <c r="F102" s="424" t="s">
        <v>1434</v>
      </c>
      <c r="G102" s="423" t="s">
        <v>861</v>
      </c>
      <c r="H102" s="423" t="s">
        <v>862</v>
      </c>
      <c r="I102" s="425">
        <v>1061.5</v>
      </c>
      <c r="J102" s="425">
        <v>31</v>
      </c>
      <c r="K102" s="426">
        <v>33021.919999999998</v>
      </c>
    </row>
    <row r="103" spans="1:11" ht="14.4" customHeight="1" x14ac:dyDescent="0.3">
      <c r="A103" s="421" t="s">
        <v>440</v>
      </c>
      <c r="B103" s="422" t="s">
        <v>441</v>
      </c>
      <c r="C103" s="423" t="s">
        <v>445</v>
      </c>
      <c r="D103" s="424" t="s">
        <v>649</v>
      </c>
      <c r="E103" s="423" t="s">
        <v>1433</v>
      </c>
      <c r="F103" s="424" t="s">
        <v>1434</v>
      </c>
      <c r="G103" s="423" t="s">
        <v>863</v>
      </c>
      <c r="H103" s="423" t="s">
        <v>864</v>
      </c>
      <c r="I103" s="425">
        <v>435.6</v>
      </c>
      <c r="J103" s="425">
        <v>4</v>
      </c>
      <c r="K103" s="426">
        <v>1742.4</v>
      </c>
    </row>
    <row r="104" spans="1:11" ht="14.4" customHeight="1" x14ac:dyDescent="0.3">
      <c r="A104" s="421" t="s">
        <v>440</v>
      </c>
      <c r="B104" s="422" t="s">
        <v>441</v>
      </c>
      <c r="C104" s="423" t="s">
        <v>445</v>
      </c>
      <c r="D104" s="424" t="s">
        <v>649</v>
      </c>
      <c r="E104" s="423" t="s">
        <v>1433</v>
      </c>
      <c r="F104" s="424" t="s">
        <v>1434</v>
      </c>
      <c r="G104" s="423" t="s">
        <v>865</v>
      </c>
      <c r="H104" s="423" t="s">
        <v>866</v>
      </c>
      <c r="I104" s="425">
        <v>1145.6750000000002</v>
      </c>
      <c r="J104" s="425">
        <v>14</v>
      </c>
      <c r="K104" s="426">
        <v>16110.050000000001</v>
      </c>
    </row>
    <row r="105" spans="1:11" ht="14.4" customHeight="1" x14ac:dyDescent="0.3">
      <c r="A105" s="421" t="s">
        <v>440</v>
      </c>
      <c r="B105" s="422" t="s">
        <v>441</v>
      </c>
      <c r="C105" s="423" t="s">
        <v>445</v>
      </c>
      <c r="D105" s="424" t="s">
        <v>649</v>
      </c>
      <c r="E105" s="423" t="s">
        <v>1433</v>
      </c>
      <c r="F105" s="424" t="s">
        <v>1434</v>
      </c>
      <c r="G105" s="423" t="s">
        <v>867</v>
      </c>
      <c r="H105" s="423" t="s">
        <v>868</v>
      </c>
      <c r="I105" s="425">
        <v>1011.92</v>
      </c>
      <c r="J105" s="425">
        <v>2</v>
      </c>
      <c r="K105" s="426">
        <v>2023.85</v>
      </c>
    </row>
    <row r="106" spans="1:11" ht="14.4" customHeight="1" x14ac:dyDescent="0.3">
      <c r="A106" s="421" t="s">
        <v>440</v>
      </c>
      <c r="B106" s="422" t="s">
        <v>441</v>
      </c>
      <c r="C106" s="423" t="s">
        <v>445</v>
      </c>
      <c r="D106" s="424" t="s">
        <v>649</v>
      </c>
      <c r="E106" s="423" t="s">
        <v>1433</v>
      </c>
      <c r="F106" s="424" t="s">
        <v>1434</v>
      </c>
      <c r="G106" s="423" t="s">
        <v>869</v>
      </c>
      <c r="H106" s="423" t="s">
        <v>870</v>
      </c>
      <c r="I106" s="425">
        <v>1840</v>
      </c>
      <c r="J106" s="425">
        <v>1</v>
      </c>
      <c r="K106" s="426">
        <v>1840</v>
      </c>
    </row>
    <row r="107" spans="1:11" ht="14.4" customHeight="1" x14ac:dyDescent="0.3">
      <c r="A107" s="421" t="s">
        <v>440</v>
      </c>
      <c r="B107" s="422" t="s">
        <v>441</v>
      </c>
      <c r="C107" s="423" t="s">
        <v>445</v>
      </c>
      <c r="D107" s="424" t="s">
        <v>649</v>
      </c>
      <c r="E107" s="423" t="s">
        <v>1433</v>
      </c>
      <c r="F107" s="424" t="s">
        <v>1434</v>
      </c>
      <c r="G107" s="423" t="s">
        <v>871</v>
      </c>
      <c r="H107" s="423" t="s">
        <v>872</v>
      </c>
      <c r="I107" s="425">
        <v>548.30999999999995</v>
      </c>
      <c r="J107" s="425">
        <v>1</v>
      </c>
      <c r="K107" s="426">
        <v>548.30999999999995</v>
      </c>
    </row>
    <row r="108" spans="1:11" ht="14.4" customHeight="1" x14ac:dyDescent="0.3">
      <c r="A108" s="421" t="s">
        <v>440</v>
      </c>
      <c r="B108" s="422" t="s">
        <v>441</v>
      </c>
      <c r="C108" s="423" t="s">
        <v>445</v>
      </c>
      <c r="D108" s="424" t="s">
        <v>649</v>
      </c>
      <c r="E108" s="423" t="s">
        <v>1433</v>
      </c>
      <c r="F108" s="424" t="s">
        <v>1434</v>
      </c>
      <c r="G108" s="423" t="s">
        <v>873</v>
      </c>
      <c r="H108" s="423" t="s">
        <v>874</v>
      </c>
      <c r="I108" s="425">
        <v>1137.8</v>
      </c>
      <c r="J108" s="425">
        <v>4</v>
      </c>
      <c r="K108" s="426">
        <v>4586.3999999999996</v>
      </c>
    </row>
    <row r="109" spans="1:11" ht="14.4" customHeight="1" x14ac:dyDescent="0.3">
      <c r="A109" s="421" t="s">
        <v>440</v>
      </c>
      <c r="B109" s="422" t="s">
        <v>441</v>
      </c>
      <c r="C109" s="423" t="s">
        <v>445</v>
      </c>
      <c r="D109" s="424" t="s">
        <v>649</v>
      </c>
      <c r="E109" s="423" t="s">
        <v>1433</v>
      </c>
      <c r="F109" s="424" t="s">
        <v>1434</v>
      </c>
      <c r="G109" s="423" t="s">
        <v>875</v>
      </c>
      <c r="H109" s="423" t="s">
        <v>876</v>
      </c>
      <c r="I109" s="425">
        <v>565.91666666666663</v>
      </c>
      <c r="J109" s="425">
        <v>12</v>
      </c>
      <c r="K109" s="426">
        <v>6790.99</v>
      </c>
    </row>
    <row r="110" spans="1:11" ht="14.4" customHeight="1" x14ac:dyDescent="0.3">
      <c r="A110" s="421" t="s">
        <v>440</v>
      </c>
      <c r="B110" s="422" t="s">
        <v>441</v>
      </c>
      <c r="C110" s="423" t="s">
        <v>445</v>
      </c>
      <c r="D110" s="424" t="s">
        <v>649</v>
      </c>
      <c r="E110" s="423" t="s">
        <v>1433</v>
      </c>
      <c r="F110" s="424" t="s">
        <v>1434</v>
      </c>
      <c r="G110" s="423" t="s">
        <v>877</v>
      </c>
      <c r="H110" s="423" t="s">
        <v>878</v>
      </c>
      <c r="I110" s="425">
        <v>53.94</v>
      </c>
      <c r="J110" s="425">
        <v>10</v>
      </c>
      <c r="K110" s="426">
        <v>539.4</v>
      </c>
    </row>
    <row r="111" spans="1:11" ht="14.4" customHeight="1" x14ac:dyDescent="0.3">
      <c r="A111" s="421" t="s">
        <v>440</v>
      </c>
      <c r="B111" s="422" t="s">
        <v>441</v>
      </c>
      <c r="C111" s="423" t="s">
        <v>445</v>
      </c>
      <c r="D111" s="424" t="s">
        <v>649</v>
      </c>
      <c r="E111" s="423" t="s">
        <v>1433</v>
      </c>
      <c r="F111" s="424" t="s">
        <v>1434</v>
      </c>
      <c r="G111" s="423" t="s">
        <v>879</v>
      </c>
      <c r="H111" s="423" t="s">
        <v>880</v>
      </c>
      <c r="I111" s="425">
        <v>83.7</v>
      </c>
      <c r="J111" s="425">
        <v>10</v>
      </c>
      <c r="K111" s="426">
        <v>837</v>
      </c>
    </row>
    <row r="112" spans="1:11" ht="14.4" customHeight="1" x14ac:dyDescent="0.3">
      <c r="A112" s="421" t="s">
        <v>440</v>
      </c>
      <c r="B112" s="422" t="s">
        <v>441</v>
      </c>
      <c r="C112" s="423" t="s">
        <v>445</v>
      </c>
      <c r="D112" s="424" t="s">
        <v>649</v>
      </c>
      <c r="E112" s="423" t="s">
        <v>1433</v>
      </c>
      <c r="F112" s="424" t="s">
        <v>1434</v>
      </c>
      <c r="G112" s="423" t="s">
        <v>881</v>
      </c>
      <c r="H112" s="423" t="s">
        <v>882</v>
      </c>
      <c r="I112" s="425">
        <v>1349.39</v>
      </c>
      <c r="J112" s="425">
        <v>2</v>
      </c>
      <c r="K112" s="426">
        <v>2698.78</v>
      </c>
    </row>
    <row r="113" spans="1:11" ht="14.4" customHeight="1" x14ac:dyDescent="0.3">
      <c r="A113" s="421" t="s">
        <v>440</v>
      </c>
      <c r="B113" s="422" t="s">
        <v>441</v>
      </c>
      <c r="C113" s="423" t="s">
        <v>445</v>
      </c>
      <c r="D113" s="424" t="s">
        <v>649</v>
      </c>
      <c r="E113" s="423" t="s">
        <v>1433</v>
      </c>
      <c r="F113" s="424" t="s">
        <v>1434</v>
      </c>
      <c r="G113" s="423" t="s">
        <v>883</v>
      </c>
      <c r="H113" s="423" t="s">
        <v>884</v>
      </c>
      <c r="I113" s="425">
        <v>2577.3000000000002</v>
      </c>
      <c r="J113" s="425">
        <v>1</v>
      </c>
      <c r="K113" s="426">
        <v>2577.3000000000002</v>
      </c>
    </row>
    <row r="114" spans="1:11" ht="14.4" customHeight="1" x14ac:dyDescent="0.3">
      <c r="A114" s="421" t="s">
        <v>440</v>
      </c>
      <c r="B114" s="422" t="s">
        <v>441</v>
      </c>
      <c r="C114" s="423" t="s">
        <v>445</v>
      </c>
      <c r="D114" s="424" t="s">
        <v>649</v>
      </c>
      <c r="E114" s="423" t="s">
        <v>1433</v>
      </c>
      <c r="F114" s="424" t="s">
        <v>1434</v>
      </c>
      <c r="G114" s="423" t="s">
        <v>885</v>
      </c>
      <c r="H114" s="423" t="s">
        <v>886</v>
      </c>
      <c r="I114" s="425">
        <v>68.413333333333341</v>
      </c>
      <c r="J114" s="425">
        <v>150</v>
      </c>
      <c r="K114" s="426">
        <v>10261.9</v>
      </c>
    </row>
    <row r="115" spans="1:11" ht="14.4" customHeight="1" x14ac:dyDescent="0.3">
      <c r="A115" s="421" t="s">
        <v>440</v>
      </c>
      <c r="B115" s="422" t="s">
        <v>441</v>
      </c>
      <c r="C115" s="423" t="s">
        <v>445</v>
      </c>
      <c r="D115" s="424" t="s">
        <v>649</v>
      </c>
      <c r="E115" s="423" t="s">
        <v>1433</v>
      </c>
      <c r="F115" s="424" t="s">
        <v>1434</v>
      </c>
      <c r="G115" s="423" t="s">
        <v>887</v>
      </c>
      <c r="H115" s="423" t="s">
        <v>888</v>
      </c>
      <c r="I115" s="425">
        <v>345</v>
      </c>
      <c r="J115" s="425">
        <v>2</v>
      </c>
      <c r="K115" s="426">
        <v>690</v>
      </c>
    </row>
    <row r="116" spans="1:11" ht="14.4" customHeight="1" x14ac:dyDescent="0.3">
      <c r="A116" s="421" t="s">
        <v>440</v>
      </c>
      <c r="B116" s="422" t="s">
        <v>441</v>
      </c>
      <c r="C116" s="423" t="s">
        <v>445</v>
      </c>
      <c r="D116" s="424" t="s">
        <v>649</v>
      </c>
      <c r="E116" s="423" t="s">
        <v>1433</v>
      </c>
      <c r="F116" s="424" t="s">
        <v>1434</v>
      </c>
      <c r="G116" s="423" t="s">
        <v>889</v>
      </c>
      <c r="H116" s="423" t="s">
        <v>890</v>
      </c>
      <c r="I116" s="425">
        <v>897.41499999999996</v>
      </c>
      <c r="J116" s="425">
        <v>12</v>
      </c>
      <c r="K116" s="426">
        <v>10769</v>
      </c>
    </row>
    <row r="117" spans="1:11" ht="14.4" customHeight="1" x14ac:dyDescent="0.3">
      <c r="A117" s="421" t="s">
        <v>440</v>
      </c>
      <c r="B117" s="422" t="s">
        <v>441</v>
      </c>
      <c r="C117" s="423" t="s">
        <v>445</v>
      </c>
      <c r="D117" s="424" t="s">
        <v>649</v>
      </c>
      <c r="E117" s="423" t="s">
        <v>1433</v>
      </c>
      <c r="F117" s="424" t="s">
        <v>1434</v>
      </c>
      <c r="G117" s="423" t="s">
        <v>891</v>
      </c>
      <c r="H117" s="423" t="s">
        <v>892</v>
      </c>
      <c r="I117" s="425">
        <v>3943.35</v>
      </c>
      <c r="J117" s="425">
        <v>1</v>
      </c>
      <c r="K117" s="426">
        <v>3943.35</v>
      </c>
    </row>
    <row r="118" spans="1:11" ht="14.4" customHeight="1" x14ac:dyDescent="0.3">
      <c r="A118" s="421" t="s">
        <v>440</v>
      </c>
      <c r="B118" s="422" t="s">
        <v>441</v>
      </c>
      <c r="C118" s="423" t="s">
        <v>445</v>
      </c>
      <c r="D118" s="424" t="s">
        <v>649</v>
      </c>
      <c r="E118" s="423" t="s">
        <v>1433</v>
      </c>
      <c r="F118" s="424" t="s">
        <v>1434</v>
      </c>
      <c r="G118" s="423" t="s">
        <v>893</v>
      </c>
      <c r="H118" s="423" t="s">
        <v>894</v>
      </c>
      <c r="I118" s="425">
        <v>146.93</v>
      </c>
      <c r="J118" s="425">
        <v>12</v>
      </c>
      <c r="K118" s="426">
        <v>1763.2</v>
      </c>
    </row>
    <row r="119" spans="1:11" ht="14.4" customHeight="1" x14ac:dyDescent="0.3">
      <c r="A119" s="421" t="s">
        <v>440</v>
      </c>
      <c r="B119" s="422" t="s">
        <v>441</v>
      </c>
      <c r="C119" s="423" t="s">
        <v>445</v>
      </c>
      <c r="D119" s="424" t="s">
        <v>649</v>
      </c>
      <c r="E119" s="423" t="s">
        <v>1433</v>
      </c>
      <c r="F119" s="424" t="s">
        <v>1434</v>
      </c>
      <c r="G119" s="423" t="s">
        <v>895</v>
      </c>
      <c r="H119" s="423" t="s">
        <v>896</v>
      </c>
      <c r="I119" s="425">
        <v>5.43</v>
      </c>
      <c r="J119" s="425">
        <v>240</v>
      </c>
      <c r="K119" s="426">
        <v>1310.96</v>
      </c>
    </row>
    <row r="120" spans="1:11" ht="14.4" customHeight="1" x14ac:dyDescent="0.3">
      <c r="A120" s="421" t="s">
        <v>440</v>
      </c>
      <c r="B120" s="422" t="s">
        <v>441</v>
      </c>
      <c r="C120" s="423" t="s">
        <v>445</v>
      </c>
      <c r="D120" s="424" t="s">
        <v>649</v>
      </c>
      <c r="E120" s="423" t="s">
        <v>1433</v>
      </c>
      <c r="F120" s="424" t="s">
        <v>1434</v>
      </c>
      <c r="G120" s="423" t="s">
        <v>897</v>
      </c>
      <c r="H120" s="423" t="s">
        <v>898</v>
      </c>
      <c r="I120" s="425">
        <v>423.5</v>
      </c>
      <c r="J120" s="425">
        <v>12</v>
      </c>
      <c r="K120" s="426">
        <v>4888.3999999999996</v>
      </c>
    </row>
    <row r="121" spans="1:11" ht="14.4" customHeight="1" x14ac:dyDescent="0.3">
      <c r="A121" s="421" t="s">
        <v>440</v>
      </c>
      <c r="B121" s="422" t="s">
        <v>441</v>
      </c>
      <c r="C121" s="423" t="s">
        <v>445</v>
      </c>
      <c r="D121" s="424" t="s">
        <v>649</v>
      </c>
      <c r="E121" s="423" t="s">
        <v>1433</v>
      </c>
      <c r="F121" s="424" t="s">
        <v>1434</v>
      </c>
      <c r="G121" s="423" t="s">
        <v>899</v>
      </c>
      <c r="H121" s="423" t="s">
        <v>900</v>
      </c>
      <c r="I121" s="425">
        <v>3.31</v>
      </c>
      <c r="J121" s="425">
        <v>50</v>
      </c>
      <c r="K121" s="426">
        <v>165.39</v>
      </c>
    </row>
    <row r="122" spans="1:11" ht="14.4" customHeight="1" x14ac:dyDescent="0.3">
      <c r="A122" s="421" t="s">
        <v>440</v>
      </c>
      <c r="B122" s="422" t="s">
        <v>441</v>
      </c>
      <c r="C122" s="423" t="s">
        <v>445</v>
      </c>
      <c r="D122" s="424" t="s">
        <v>649</v>
      </c>
      <c r="E122" s="423" t="s">
        <v>1433</v>
      </c>
      <c r="F122" s="424" t="s">
        <v>1434</v>
      </c>
      <c r="G122" s="423" t="s">
        <v>901</v>
      </c>
      <c r="H122" s="423" t="s">
        <v>902</v>
      </c>
      <c r="I122" s="425">
        <v>59.293333333333329</v>
      </c>
      <c r="J122" s="425">
        <v>90</v>
      </c>
      <c r="K122" s="426">
        <v>5336.4</v>
      </c>
    </row>
    <row r="123" spans="1:11" ht="14.4" customHeight="1" x14ac:dyDescent="0.3">
      <c r="A123" s="421" t="s">
        <v>440</v>
      </c>
      <c r="B123" s="422" t="s">
        <v>441</v>
      </c>
      <c r="C123" s="423" t="s">
        <v>445</v>
      </c>
      <c r="D123" s="424" t="s">
        <v>649</v>
      </c>
      <c r="E123" s="423" t="s">
        <v>1433</v>
      </c>
      <c r="F123" s="424" t="s">
        <v>1434</v>
      </c>
      <c r="G123" s="423" t="s">
        <v>903</v>
      </c>
      <c r="H123" s="423" t="s">
        <v>904</v>
      </c>
      <c r="I123" s="425">
        <v>114.38</v>
      </c>
      <c r="J123" s="425">
        <v>8</v>
      </c>
      <c r="K123" s="426">
        <v>902.91</v>
      </c>
    </row>
    <row r="124" spans="1:11" ht="14.4" customHeight="1" x14ac:dyDescent="0.3">
      <c r="A124" s="421" t="s">
        <v>440</v>
      </c>
      <c r="B124" s="422" t="s">
        <v>441</v>
      </c>
      <c r="C124" s="423" t="s">
        <v>445</v>
      </c>
      <c r="D124" s="424" t="s">
        <v>649</v>
      </c>
      <c r="E124" s="423" t="s">
        <v>1433</v>
      </c>
      <c r="F124" s="424" t="s">
        <v>1434</v>
      </c>
      <c r="G124" s="423" t="s">
        <v>905</v>
      </c>
      <c r="H124" s="423" t="s">
        <v>906</v>
      </c>
      <c r="I124" s="425">
        <v>4207.87</v>
      </c>
      <c r="J124" s="425">
        <v>5</v>
      </c>
      <c r="K124" s="426">
        <v>21039.35</v>
      </c>
    </row>
    <row r="125" spans="1:11" ht="14.4" customHeight="1" x14ac:dyDescent="0.3">
      <c r="A125" s="421" t="s">
        <v>440</v>
      </c>
      <c r="B125" s="422" t="s">
        <v>441</v>
      </c>
      <c r="C125" s="423" t="s">
        <v>445</v>
      </c>
      <c r="D125" s="424" t="s">
        <v>649</v>
      </c>
      <c r="E125" s="423" t="s">
        <v>1433</v>
      </c>
      <c r="F125" s="424" t="s">
        <v>1434</v>
      </c>
      <c r="G125" s="423" t="s">
        <v>907</v>
      </c>
      <c r="H125" s="423" t="s">
        <v>908</v>
      </c>
      <c r="I125" s="425">
        <v>213.54000000000002</v>
      </c>
      <c r="J125" s="425">
        <v>5</v>
      </c>
      <c r="K125" s="426">
        <v>1086.2</v>
      </c>
    </row>
    <row r="126" spans="1:11" ht="14.4" customHeight="1" x14ac:dyDescent="0.3">
      <c r="A126" s="421" t="s">
        <v>440</v>
      </c>
      <c r="B126" s="422" t="s">
        <v>441</v>
      </c>
      <c r="C126" s="423" t="s">
        <v>445</v>
      </c>
      <c r="D126" s="424" t="s">
        <v>649</v>
      </c>
      <c r="E126" s="423" t="s">
        <v>1433</v>
      </c>
      <c r="F126" s="424" t="s">
        <v>1434</v>
      </c>
      <c r="G126" s="423" t="s">
        <v>909</v>
      </c>
      <c r="H126" s="423" t="s">
        <v>910</v>
      </c>
      <c r="I126" s="425">
        <v>145.6</v>
      </c>
      <c r="J126" s="425">
        <v>24</v>
      </c>
      <c r="K126" s="426">
        <v>3494.39</v>
      </c>
    </row>
    <row r="127" spans="1:11" ht="14.4" customHeight="1" x14ac:dyDescent="0.3">
      <c r="A127" s="421" t="s">
        <v>440</v>
      </c>
      <c r="B127" s="422" t="s">
        <v>441</v>
      </c>
      <c r="C127" s="423" t="s">
        <v>445</v>
      </c>
      <c r="D127" s="424" t="s">
        <v>649</v>
      </c>
      <c r="E127" s="423" t="s">
        <v>1433</v>
      </c>
      <c r="F127" s="424" t="s">
        <v>1434</v>
      </c>
      <c r="G127" s="423" t="s">
        <v>911</v>
      </c>
      <c r="H127" s="423" t="s">
        <v>912</v>
      </c>
      <c r="I127" s="425">
        <v>164.8</v>
      </c>
      <c r="J127" s="425">
        <v>2</v>
      </c>
      <c r="K127" s="426">
        <v>329.6</v>
      </c>
    </row>
    <row r="128" spans="1:11" ht="14.4" customHeight="1" x14ac:dyDescent="0.3">
      <c r="A128" s="421" t="s">
        <v>440</v>
      </c>
      <c r="B128" s="422" t="s">
        <v>441</v>
      </c>
      <c r="C128" s="423" t="s">
        <v>445</v>
      </c>
      <c r="D128" s="424" t="s">
        <v>649</v>
      </c>
      <c r="E128" s="423" t="s">
        <v>1433</v>
      </c>
      <c r="F128" s="424" t="s">
        <v>1434</v>
      </c>
      <c r="G128" s="423" t="s">
        <v>913</v>
      </c>
      <c r="H128" s="423" t="s">
        <v>914</v>
      </c>
      <c r="I128" s="425">
        <v>994.62</v>
      </c>
      <c r="J128" s="425">
        <v>2</v>
      </c>
      <c r="K128" s="426">
        <v>1989.24</v>
      </c>
    </row>
    <row r="129" spans="1:11" ht="14.4" customHeight="1" x14ac:dyDescent="0.3">
      <c r="A129" s="421" t="s">
        <v>440</v>
      </c>
      <c r="B129" s="422" t="s">
        <v>441</v>
      </c>
      <c r="C129" s="423" t="s">
        <v>445</v>
      </c>
      <c r="D129" s="424" t="s">
        <v>649</v>
      </c>
      <c r="E129" s="423" t="s">
        <v>1433</v>
      </c>
      <c r="F129" s="424" t="s">
        <v>1434</v>
      </c>
      <c r="G129" s="423" t="s">
        <v>915</v>
      </c>
      <c r="H129" s="423" t="s">
        <v>916</v>
      </c>
      <c r="I129" s="425">
        <v>865.15</v>
      </c>
      <c r="J129" s="425">
        <v>1</v>
      </c>
      <c r="K129" s="426">
        <v>865.15</v>
      </c>
    </row>
    <row r="130" spans="1:11" ht="14.4" customHeight="1" x14ac:dyDescent="0.3">
      <c r="A130" s="421" t="s">
        <v>440</v>
      </c>
      <c r="B130" s="422" t="s">
        <v>441</v>
      </c>
      <c r="C130" s="423" t="s">
        <v>445</v>
      </c>
      <c r="D130" s="424" t="s">
        <v>649</v>
      </c>
      <c r="E130" s="423" t="s">
        <v>1433</v>
      </c>
      <c r="F130" s="424" t="s">
        <v>1434</v>
      </c>
      <c r="G130" s="423" t="s">
        <v>917</v>
      </c>
      <c r="H130" s="423" t="s">
        <v>918</v>
      </c>
      <c r="I130" s="425">
        <v>865.15</v>
      </c>
      <c r="J130" s="425">
        <v>1</v>
      </c>
      <c r="K130" s="426">
        <v>865.15</v>
      </c>
    </row>
    <row r="131" spans="1:11" ht="14.4" customHeight="1" x14ac:dyDescent="0.3">
      <c r="A131" s="421" t="s">
        <v>440</v>
      </c>
      <c r="B131" s="422" t="s">
        <v>441</v>
      </c>
      <c r="C131" s="423" t="s">
        <v>445</v>
      </c>
      <c r="D131" s="424" t="s">
        <v>649</v>
      </c>
      <c r="E131" s="423" t="s">
        <v>1433</v>
      </c>
      <c r="F131" s="424" t="s">
        <v>1434</v>
      </c>
      <c r="G131" s="423" t="s">
        <v>919</v>
      </c>
      <c r="H131" s="423" t="s">
        <v>920</v>
      </c>
      <c r="I131" s="425">
        <v>1288</v>
      </c>
      <c r="J131" s="425">
        <v>1</v>
      </c>
      <c r="K131" s="426">
        <v>1288</v>
      </c>
    </row>
    <row r="132" spans="1:11" ht="14.4" customHeight="1" x14ac:dyDescent="0.3">
      <c r="A132" s="421" t="s">
        <v>440</v>
      </c>
      <c r="B132" s="422" t="s">
        <v>441</v>
      </c>
      <c r="C132" s="423" t="s">
        <v>445</v>
      </c>
      <c r="D132" s="424" t="s">
        <v>649</v>
      </c>
      <c r="E132" s="423" t="s">
        <v>1433</v>
      </c>
      <c r="F132" s="424" t="s">
        <v>1434</v>
      </c>
      <c r="G132" s="423" t="s">
        <v>921</v>
      </c>
      <c r="H132" s="423" t="s">
        <v>922</v>
      </c>
      <c r="I132" s="425">
        <v>41.74</v>
      </c>
      <c r="J132" s="425">
        <v>20</v>
      </c>
      <c r="K132" s="426">
        <v>834.9</v>
      </c>
    </row>
    <row r="133" spans="1:11" ht="14.4" customHeight="1" x14ac:dyDescent="0.3">
      <c r="A133" s="421" t="s">
        <v>440</v>
      </c>
      <c r="B133" s="422" t="s">
        <v>441</v>
      </c>
      <c r="C133" s="423" t="s">
        <v>445</v>
      </c>
      <c r="D133" s="424" t="s">
        <v>649</v>
      </c>
      <c r="E133" s="423" t="s">
        <v>1433</v>
      </c>
      <c r="F133" s="424" t="s">
        <v>1434</v>
      </c>
      <c r="G133" s="423" t="s">
        <v>923</v>
      </c>
      <c r="H133" s="423" t="s">
        <v>924</v>
      </c>
      <c r="I133" s="425">
        <v>158.62</v>
      </c>
      <c r="J133" s="425">
        <v>2</v>
      </c>
      <c r="K133" s="426">
        <v>317.24</v>
      </c>
    </row>
    <row r="134" spans="1:11" ht="14.4" customHeight="1" x14ac:dyDescent="0.3">
      <c r="A134" s="421" t="s">
        <v>440</v>
      </c>
      <c r="B134" s="422" t="s">
        <v>441</v>
      </c>
      <c r="C134" s="423" t="s">
        <v>445</v>
      </c>
      <c r="D134" s="424" t="s">
        <v>649</v>
      </c>
      <c r="E134" s="423" t="s">
        <v>1433</v>
      </c>
      <c r="F134" s="424" t="s">
        <v>1434</v>
      </c>
      <c r="G134" s="423" t="s">
        <v>925</v>
      </c>
      <c r="H134" s="423" t="s">
        <v>926</v>
      </c>
      <c r="I134" s="425">
        <v>1.75</v>
      </c>
      <c r="J134" s="425">
        <v>200</v>
      </c>
      <c r="K134" s="426">
        <v>349.4</v>
      </c>
    </row>
    <row r="135" spans="1:11" ht="14.4" customHeight="1" x14ac:dyDescent="0.3">
      <c r="A135" s="421" t="s">
        <v>440</v>
      </c>
      <c r="B135" s="422" t="s">
        <v>441</v>
      </c>
      <c r="C135" s="423" t="s">
        <v>445</v>
      </c>
      <c r="D135" s="424" t="s">
        <v>649</v>
      </c>
      <c r="E135" s="423" t="s">
        <v>1433</v>
      </c>
      <c r="F135" s="424" t="s">
        <v>1434</v>
      </c>
      <c r="G135" s="423" t="s">
        <v>927</v>
      </c>
      <c r="H135" s="423" t="s">
        <v>928</v>
      </c>
      <c r="I135" s="425">
        <v>360.58</v>
      </c>
      <c r="J135" s="425">
        <v>3</v>
      </c>
      <c r="K135" s="426">
        <v>1081.74</v>
      </c>
    </row>
    <row r="136" spans="1:11" ht="14.4" customHeight="1" x14ac:dyDescent="0.3">
      <c r="A136" s="421" t="s">
        <v>440</v>
      </c>
      <c r="B136" s="422" t="s">
        <v>441</v>
      </c>
      <c r="C136" s="423" t="s">
        <v>445</v>
      </c>
      <c r="D136" s="424" t="s">
        <v>649</v>
      </c>
      <c r="E136" s="423" t="s">
        <v>1433</v>
      </c>
      <c r="F136" s="424" t="s">
        <v>1434</v>
      </c>
      <c r="G136" s="423" t="s">
        <v>929</v>
      </c>
      <c r="H136" s="423" t="s">
        <v>930</v>
      </c>
      <c r="I136" s="425">
        <v>37.51</v>
      </c>
      <c r="J136" s="425">
        <v>36</v>
      </c>
      <c r="K136" s="426">
        <v>1350.36</v>
      </c>
    </row>
    <row r="137" spans="1:11" ht="14.4" customHeight="1" x14ac:dyDescent="0.3">
      <c r="A137" s="421" t="s">
        <v>440</v>
      </c>
      <c r="B137" s="422" t="s">
        <v>441</v>
      </c>
      <c r="C137" s="423" t="s">
        <v>445</v>
      </c>
      <c r="D137" s="424" t="s">
        <v>649</v>
      </c>
      <c r="E137" s="423" t="s">
        <v>1433</v>
      </c>
      <c r="F137" s="424" t="s">
        <v>1434</v>
      </c>
      <c r="G137" s="423" t="s">
        <v>931</v>
      </c>
      <c r="H137" s="423" t="s">
        <v>932</v>
      </c>
      <c r="I137" s="425">
        <v>1010.3925</v>
      </c>
      <c r="J137" s="425">
        <v>17</v>
      </c>
      <c r="K137" s="426">
        <v>17171.400000000001</v>
      </c>
    </row>
    <row r="138" spans="1:11" ht="14.4" customHeight="1" x14ac:dyDescent="0.3">
      <c r="A138" s="421" t="s">
        <v>440</v>
      </c>
      <c r="B138" s="422" t="s">
        <v>441</v>
      </c>
      <c r="C138" s="423" t="s">
        <v>445</v>
      </c>
      <c r="D138" s="424" t="s">
        <v>649</v>
      </c>
      <c r="E138" s="423" t="s">
        <v>1433</v>
      </c>
      <c r="F138" s="424" t="s">
        <v>1434</v>
      </c>
      <c r="G138" s="423" t="s">
        <v>933</v>
      </c>
      <c r="H138" s="423" t="s">
        <v>934</v>
      </c>
      <c r="I138" s="425">
        <v>690.91</v>
      </c>
      <c r="J138" s="425">
        <v>1</v>
      </c>
      <c r="K138" s="426">
        <v>690.91</v>
      </c>
    </row>
    <row r="139" spans="1:11" ht="14.4" customHeight="1" x14ac:dyDescent="0.3">
      <c r="A139" s="421" t="s">
        <v>440</v>
      </c>
      <c r="B139" s="422" t="s">
        <v>441</v>
      </c>
      <c r="C139" s="423" t="s">
        <v>445</v>
      </c>
      <c r="D139" s="424" t="s">
        <v>649</v>
      </c>
      <c r="E139" s="423" t="s">
        <v>1433</v>
      </c>
      <c r="F139" s="424" t="s">
        <v>1434</v>
      </c>
      <c r="G139" s="423" t="s">
        <v>935</v>
      </c>
      <c r="H139" s="423" t="s">
        <v>936</v>
      </c>
      <c r="I139" s="425">
        <v>808.1</v>
      </c>
      <c r="J139" s="425">
        <v>3</v>
      </c>
      <c r="K139" s="426">
        <v>2424.3000000000002</v>
      </c>
    </row>
    <row r="140" spans="1:11" ht="14.4" customHeight="1" x14ac:dyDescent="0.3">
      <c r="A140" s="421" t="s">
        <v>440</v>
      </c>
      <c r="B140" s="422" t="s">
        <v>441</v>
      </c>
      <c r="C140" s="423" t="s">
        <v>445</v>
      </c>
      <c r="D140" s="424" t="s">
        <v>649</v>
      </c>
      <c r="E140" s="423" t="s">
        <v>1433</v>
      </c>
      <c r="F140" s="424" t="s">
        <v>1434</v>
      </c>
      <c r="G140" s="423" t="s">
        <v>937</v>
      </c>
      <c r="H140" s="423" t="s">
        <v>938</v>
      </c>
      <c r="I140" s="425">
        <v>1128</v>
      </c>
      <c r="J140" s="425">
        <v>2</v>
      </c>
      <c r="K140" s="426">
        <v>2256</v>
      </c>
    </row>
    <row r="141" spans="1:11" ht="14.4" customHeight="1" x14ac:dyDescent="0.3">
      <c r="A141" s="421" t="s">
        <v>440</v>
      </c>
      <c r="B141" s="422" t="s">
        <v>441</v>
      </c>
      <c r="C141" s="423" t="s">
        <v>445</v>
      </c>
      <c r="D141" s="424" t="s">
        <v>649</v>
      </c>
      <c r="E141" s="423" t="s">
        <v>1433</v>
      </c>
      <c r="F141" s="424" t="s">
        <v>1434</v>
      </c>
      <c r="G141" s="423" t="s">
        <v>939</v>
      </c>
      <c r="H141" s="423" t="s">
        <v>940</v>
      </c>
      <c r="I141" s="425">
        <v>2194.9</v>
      </c>
      <c r="J141" s="425">
        <v>1</v>
      </c>
      <c r="K141" s="426">
        <v>2194.9</v>
      </c>
    </row>
    <row r="142" spans="1:11" ht="14.4" customHeight="1" x14ac:dyDescent="0.3">
      <c r="A142" s="421" t="s">
        <v>440</v>
      </c>
      <c r="B142" s="422" t="s">
        <v>441</v>
      </c>
      <c r="C142" s="423" t="s">
        <v>445</v>
      </c>
      <c r="D142" s="424" t="s">
        <v>649</v>
      </c>
      <c r="E142" s="423" t="s">
        <v>1433</v>
      </c>
      <c r="F142" s="424" t="s">
        <v>1434</v>
      </c>
      <c r="G142" s="423" t="s">
        <v>941</v>
      </c>
      <c r="H142" s="423" t="s">
        <v>942</v>
      </c>
      <c r="I142" s="425">
        <v>399.3</v>
      </c>
      <c r="J142" s="425">
        <v>1</v>
      </c>
      <c r="K142" s="426">
        <v>399.3</v>
      </c>
    </row>
    <row r="143" spans="1:11" ht="14.4" customHeight="1" x14ac:dyDescent="0.3">
      <c r="A143" s="421" t="s">
        <v>440</v>
      </c>
      <c r="B143" s="422" t="s">
        <v>441</v>
      </c>
      <c r="C143" s="423" t="s">
        <v>445</v>
      </c>
      <c r="D143" s="424" t="s">
        <v>649</v>
      </c>
      <c r="E143" s="423" t="s">
        <v>1433</v>
      </c>
      <c r="F143" s="424" t="s">
        <v>1434</v>
      </c>
      <c r="G143" s="423" t="s">
        <v>943</v>
      </c>
      <c r="H143" s="423" t="s">
        <v>944</v>
      </c>
      <c r="I143" s="425">
        <v>1.39</v>
      </c>
      <c r="J143" s="425">
        <v>1000</v>
      </c>
      <c r="K143" s="426">
        <v>1385.99</v>
      </c>
    </row>
    <row r="144" spans="1:11" ht="14.4" customHeight="1" x14ac:dyDescent="0.3">
      <c r="A144" s="421" t="s">
        <v>440</v>
      </c>
      <c r="B144" s="422" t="s">
        <v>441</v>
      </c>
      <c r="C144" s="423" t="s">
        <v>445</v>
      </c>
      <c r="D144" s="424" t="s">
        <v>649</v>
      </c>
      <c r="E144" s="423" t="s">
        <v>1433</v>
      </c>
      <c r="F144" s="424" t="s">
        <v>1434</v>
      </c>
      <c r="G144" s="423" t="s">
        <v>945</v>
      </c>
      <c r="H144" s="423" t="s">
        <v>946</v>
      </c>
      <c r="I144" s="425">
        <v>7.01</v>
      </c>
      <c r="J144" s="425">
        <v>120</v>
      </c>
      <c r="K144" s="426">
        <v>840.8</v>
      </c>
    </row>
    <row r="145" spans="1:11" ht="14.4" customHeight="1" x14ac:dyDescent="0.3">
      <c r="A145" s="421" t="s">
        <v>440</v>
      </c>
      <c r="B145" s="422" t="s">
        <v>441</v>
      </c>
      <c r="C145" s="423" t="s">
        <v>445</v>
      </c>
      <c r="D145" s="424" t="s">
        <v>649</v>
      </c>
      <c r="E145" s="423" t="s">
        <v>1433</v>
      </c>
      <c r="F145" s="424" t="s">
        <v>1434</v>
      </c>
      <c r="G145" s="423" t="s">
        <v>947</v>
      </c>
      <c r="H145" s="423" t="s">
        <v>948</v>
      </c>
      <c r="I145" s="425">
        <v>20.99</v>
      </c>
      <c r="J145" s="425">
        <v>150</v>
      </c>
      <c r="K145" s="426">
        <v>3147.93</v>
      </c>
    </row>
    <row r="146" spans="1:11" ht="14.4" customHeight="1" x14ac:dyDescent="0.3">
      <c r="A146" s="421" t="s">
        <v>440</v>
      </c>
      <c r="B146" s="422" t="s">
        <v>441</v>
      </c>
      <c r="C146" s="423" t="s">
        <v>445</v>
      </c>
      <c r="D146" s="424" t="s">
        <v>649</v>
      </c>
      <c r="E146" s="423" t="s">
        <v>1433</v>
      </c>
      <c r="F146" s="424" t="s">
        <v>1434</v>
      </c>
      <c r="G146" s="423" t="s">
        <v>949</v>
      </c>
      <c r="H146" s="423" t="s">
        <v>950</v>
      </c>
      <c r="I146" s="425">
        <v>2.38</v>
      </c>
      <c r="J146" s="425">
        <v>100</v>
      </c>
      <c r="K146" s="426">
        <v>238.37</v>
      </c>
    </row>
    <row r="147" spans="1:11" ht="14.4" customHeight="1" x14ac:dyDescent="0.3">
      <c r="A147" s="421" t="s">
        <v>440</v>
      </c>
      <c r="B147" s="422" t="s">
        <v>441</v>
      </c>
      <c r="C147" s="423" t="s">
        <v>445</v>
      </c>
      <c r="D147" s="424" t="s">
        <v>649</v>
      </c>
      <c r="E147" s="423" t="s">
        <v>1433</v>
      </c>
      <c r="F147" s="424" t="s">
        <v>1434</v>
      </c>
      <c r="G147" s="423" t="s">
        <v>951</v>
      </c>
      <c r="H147" s="423" t="s">
        <v>952</v>
      </c>
      <c r="I147" s="425">
        <v>6785</v>
      </c>
      <c r="J147" s="425">
        <v>1</v>
      </c>
      <c r="K147" s="426">
        <v>6785</v>
      </c>
    </row>
    <row r="148" spans="1:11" ht="14.4" customHeight="1" x14ac:dyDescent="0.3">
      <c r="A148" s="421" t="s">
        <v>440</v>
      </c>
      <c r="B148" s="422" t="s">
        <v>441</v>
      </c>
      <c r="C148" s="423" t="s">
        <v>445</v>
      </c>
      <c r="D148" s="424" t="s">
        <v>649</v>
      </c>
      <c r="E148" s="423" t="s">
        <v>1433</v>
      </c>
      <c r="F148" s="424" t="s">
        <v>1434</v>
      </c>
      <c r="G148" s="423" t="s">
        <v>953</v>
      </c>
      <c r="H148" s="423" t="s">
        <v>954</v>
      </c>
      <c r="I148" s="425">
        <v>452.54</v>
      </c>
      <c r="J148" s="425">
        <v>6</v>
      </c>
      <c r="K148" s="426">
        <v>2654.7400000000002</v>
      </c>
    </row>
    <row r="149" spans="1:11" ht="14.4" customHeight="1" x14ac:dyDescent="0.3">
      <c r="A149" s="421" t="s">
        <v>440</v>
      </c>
      <c r="B149" s="422" t="s">
        <v>441</v>
      </c>
      <c r="C149" s="423" t="s">
        <v>445</v>
      </c>
      <c r="D149" s="424" t="s">
        <v>649</v>
      </c>
      <c r="E149" s="423" t="s">
        <v>1433</v>
      </c>
      <c r="F149" s="424" t="s">
        <v>1434</v>
      </c>
      <c r="G149" s="423" t="s">
        <v>955</v>
      </c>
      <c r="H149" s="423" t="s">
        <v>956</v>
      </c>
      <c r="I149" s="425">
        <v>1340.6799999999998</v>
      </c>
      <c r="J149" s="425">
        <v>2</v>
      </c>
      <c r="K149" s="426">
        <v>2681.3599999999997</v>
      </c>
    </row>
    <row r="150" spans="1:11" ht="14.4" customHeight="1" x14ac:dyDescent="0.3">
      <c r="A150" s="421" t="s">
        <v>440</v>
      </c>
      <c r="B150" s="422" t="s">
        <v>441</v>
      </c>
      <c r="C150" s="423" t="s">
        <v>445</v>
      </c>
      <c r="D150" s="424" t="s">
        <v>649</v>
      </c>
      <c r="E150" s="423" t="s">
        <v>1433</v>
      </c>
      <c r="F150" s="424" t="s">
        <v>1434</v>
      </c>
      <c r="G150" s="423" t="s">
        <v>957</v>
      </c>
      <c r="H150" s="423" t="s">
        <v>958</v>
      </c>
      <c r="I150" s="425">
        <v>83.13</v>
      </c>
      <c r="J150" s="425">
        <v>150</v>
      </c>
      <c r="K150" s="426">
        <v>12469.79</v>
      </c>
    </row>
    <row r="151" spans="1:11" ht="14.4" customHeight="1" x14ac:dyDescent="0.3">
      <c r="A151" s="421" t="s">
        <v>440</v>
      </c>
      <c r="B151" s="422" t="s">
        <v>441</v>
      </c>
      <c r="C151" s="423" t="s">
        <v>445</v>
      </c>
      <c r="D151" s="424" t="s">
        <v>649</v>
      </c>
      <c r="E151" s="423" t="s">
        <v>1433</v>
      </c>
      <c r="F151" s="424" t="s">
        <v>1434</v>
      </c>
      <c r="G151" s="423" t="s">
        <v>959</v>
      </c>
      <c r="H151" s="423" t="s">
        <v>960</v>
      </c>
      <c r="I151" s="425">
        <v>164.8</v>
      </c>
      <c r="J151" s="425">
        <v>1</v>
      </c>
      <c r="K151" s="426">
        <v>164.8</v>
      </c>
    </row>
    <row r="152" spans="1:11" ht="14.4" customHeight="1" x14ac:dyDescent="0.3">
      <c r="A152" s="421" t="s">
        <v>440</v>
      </c>
      <c r="B152" s="422" t="s">
        <v>441</v>
      </c>
      <c r="C152" s="423" t="s">
        <v>445</v>
      </c>
      <c r="D152" s="424" t="s">
        <v>649</v>
      </c>
      <c r="E152" s="423" t="s">
        <v>1433</v>
      </c>
      <c r="F152" s="424" t="s">
        <v>1434</v>
      </c>
      <c r="G152" s="423" t="s">
        <v>961</v>
      </c>
      <c r="H152" s="423" t="s">
        <v>962</v>
      </c>
      <c r="I152" s="425">
        <v>232.75</v>
      </c>
      <c r="J152" s="425">
        <v>4</v>
      </c>
      <c r="K152" s="426">
        <v>931</v>
      </c>
    </row>
    <row r="153" spans="1:11" ht="14.4" customHeight="1" x14ac:dyDescent="0.3">
      <c r="A153" s="421" t="s">
        <v>440</v>
      </c>
      <c r="B153" s="422" t="s">
        <v>441</v>
      </c>
      <c r="C153" s="423" t="s">
        <v>445</v>
      </c>
      <c r="D153" s="424" t="s">
        <v>649</v>
      </c>
      <c r="E153" s="423" t="s">
        <v>1433</v>
      </c>
      <c r="F153" s="424" t="s">
        <v>1434</v>
      </c>
      <c r="G153" s="423" t="s">
        <v>963</v>
      </c>
      <c r="H153" s="423" t="s">
        <v>964</v>
      </c>
      <c r="I153" s="425">
        <v>88.51</v>
      </c>
      <c r="J153" s="425">
        <v>55</v>
      </c>
      <c r="K153" s="426">
        <v>4868.22</v>
      </c>
    </row>
    <row r="154" spans="1:11" ht="14.4" customHeight="1" x14ac:dyDescent="0.3">
      <c r="A154" s="421" t="s">
        <v>440</v>
      </c>
      <c r="B154" s="422" t="s">
        <v>441</v>
      </c>
      <c r="C154" s="423" t="s">
        <v>445</v>
      </c>
      <c r="D154" s="424" t="s">
        <v>649</v>
      </c>
      <c r="E154" s="423" t="s">
        <v>1433</v>
      </c>
      <c r="F154" s="424" t="s">
        <v>1434</v>
      </c>
      <c r="G154" s="423" t="s">
        <v>965</v>
      </c>
      <c r="H154" s="423" t="s">
        <v>966</v>
      </c>
      <c r="I154" s="425">
        <v>1633</v>
      </c>
      <c r="J154" s="425">
        <v>1</v>
      </c>
      <c r="K154" s="426">
        <v>1633</v>
      </c>
    </row>
    <row r="155" spans="1:11" ht="14.4" customHeight="1" x14ac:dyDescent="0.3">
      <c r="A155" s="421" t="s">
        <v>440</v>
      </c>
      <c r="B155" s="422" t="s">
        <v>441</v>
      </c>
      <c r="C155" s="423" t="s">
        <v>445</v>
      </c>
      <c r="D155" s="424" t="s">
        <v>649</v>
      </c>
      <c r="E155" s="423" t="s">
        <v>1433</v>
      </c>
      <c r="F155" s="424" t="s">
        <v>1434</v>
      </c>
      <c r="G155" s="423" t="s">
        <v>967</v>
      </c>
      <c r="H155" s="423" t="s">
        <v>968</v>
      </c>
      <c r="I155" s="425">
        <v>3122.25</v>
      </c>
      <c r="J155" s="425">
        <v>1</v>
      </c>
      <c r="K155" s="426">
        <v>3122.25</v>
      </c>
    </row>
    <row r="156" spans="1:11" ht="14.4" customHeight="1" x14ac:dyDescent="0.3">
      <c r="A156" s="421" t="s">
        <v>440</v>
      </c>
      <c r="B156" s="422" t="s">
        <v>441</v>
      </c>
      <c r="C156" s="423" t="s">
        <v>445</v>
      </c>
      <c r="D156" s="424" t="s">
        <v>649</v>
      </c>
      <c r="E156" s="423" t="s">
        <v>1433</v>
      </c>
      <c r="F156" s="424" t="s">
        <v>1434</v>
      </c>
      <c r="G156" s="423" t="s">
        <v>969</v>
      </c>
      <c r="H156" s="423" t="s">
        <v>970</v>
      </c>
      <c r="I156" s="425">
        <v>711.45</v>
      </c>
      <c r="J156" s="425">
        <v>2</v>
      </c>
      <c r="K156" s="426">
        <v>1422.9</v>
      </c>
    </row>
    <row r="157" spans="1:11" ht="14.4" customHeight="1" x14ac:dyDescent="0.3">
      <c r="A157" s="421" t="s">
        <v>440</v>
      </c>
      <c r="B157" s="422" t="s">
        <v>441</v>
      </c>
      <c r="C157" s="423" t="s">
        <v>445</v>
      </c>
      <c r="D157" s="424" t="s">
        <v>649</v>
      </c>
      <c r="E157" s="423" t="s">
        <v>1433</v>
      </c>
      <c r="F157" s="424" t="s">
        <v>1434</v>
      </c>
      <c r="G157" s="423" t="s">
        <v>971</v>
      </c>
      <c r="H157" s="423" t="s">
        <v>972</v>
      </c>
      <c r="I157" s="425">
        <v>907.5</v>
      </c>
      <c r="J157" s="425">
        <v>4</v>
      </c>
      <c r="K157" s="426">
        <v>3630</v>
      </c>
    </row>
    <row r="158" spans="1:11" ht="14.4" customHeight="1" x14ac:dyDescent="0.3">
      <c r="A158" s="421" t="s">
        <v>440</v>
      </c>
      <c r="B158" s="422" t="s">
        <v>441</v>
      </c>
      <c r="C158" s="423" t="s">
        <v>445</v>
      </c>
      <c r="D158" s="424" t="s">
        <v>649</v>
      </c>
      <c r="E158" s="423" t="s">
        <v>1433</v>
      </c>
      <c r="F158" s="424" t="s">
        <v>1434</v>
      </c>
      <c r="G158" s="423" t="s">
        <v>973</v>
      </c>
      <c r="H158" s="423" t="s">
        <v>974</v>
      </c>
      <c r="I158" s="425">
        <v>155.13285714285712</v>
      </c>
      <c r="J158" s="425">
        <v>18</v>
      </c>
      <c r="K158" s="426">
        <v>2792.4399999999996</v>
      </c>
    </row>
    <row r="159" spans="1:11" ht="14.4" customHeight="1" x14ac:dyDescent="0.3">
      <c r="A159" s="421" t="s">
        <v>440</v>
      </c>
      <c r="B159" s="422" t="s">
        <v>441</v>
      </c>
      <c r="C159" s="423" t="s">
        <v>445</v>
      </c>
      <c r="D159" s="424" t="s">
        <v>649</v>
      </c>
      <c r="E159" s="423" t="s">
        <v>1433</v>
      </c>
      <c r="F159" s="424" t="s">
        <v>1434</v>
      </c>
      <c r="G159" s="423" t="s">
        <v>975</v>
      </c>
      <c r="H159" s="423" t="s">
        <v>976</v>
      </c>
      <c r="I159" s="425">
        <v>516.02499999999998</v>
      </c>
      <c r="J159" s="425">
        <v>6</v>
      </c>
      <c r="K159" s="426">
        <v>3096.0600000000004</v>
      </c>
    </row>
    <row r="160" spans="1:11" ht="14.4" customHeight="1" x14ac:dyDescent="0.3">
      <c r="A160" s="421" t="s">
        <v>440</v>
      </c>
      <c r="B160" s="422" t="s">
        <v>441</v>
      </c>
      <c r="C160" s="423" t="s">
        <v>445</v>
      </c>
      <c r="D160" s="424" t="s">
        <v>649</v>
      </c>
      <c r="E160" s="423" t="s">
        <v>1433</v>
      </c>
      <c r="F160" s="424" t="s">
        <v>1434</v>
      </c>
      <c r="G160" s="423" t="s">
        <v>977</v>
      </c>
      <c r="H160" s="423" t="s">
        <v>978</v>
      </c>
      <c r="I160" s="425">
        <v>798.5</v>
      </c>
      <c r="J160" s="425">
        <v>2</v>
      </c>
      <c r="K160" s="426">
        <v>1596.99</v>
      </c>
    </row>
    <row r="161" spans="1:11" ht="14.4" customHeight="1" x14ac:dyDescent="0.3">
      <c r="A161" s="421" t="s">
        <v>440</v>
      </c>
      <c r="B161" s="422" t="s">
        <v>441</v>
      </c>
      <c r="C161" s="423" t="s">
        <v>445</v>
      </c>
      <c r="D161" s="424" t="s">
        <v>649</v>
      </c>
      <c r="E161" s="423" t="s">
        <v>1433</v>
      </c>
      <c r="F161" s="424" t="s">
        <v>1434</v>
      </c>
      <c r="G161" s="423" t="s">
        <v>979</v>
      </c>
      <c r="H161" s="423" t="s">
        <v>980</v>
      </c>
      <c r="I161" s="425">
        <v>589</v>
      </c>
      <c r="J161" s="425">
        <v>8</v>
      </c>
      <c r="K161" s="426">
        <v>4712</v>
      </c>
    </row>
    <row r="162" spans="1:11" ht="14.4" customHeight="1" x14ac:dyDescent="0.3">
      <c r="A162" s="421" t="s">
        <v>440</v>
      </c>
      <c r="B162" s="422" t="s">
        <v>441</v>
      </c>
      <c r="C162" s="423" t="s">
        <v>445</v>
      </c>
      <c r="D162" s="424" t="s">
        <v>649</v>
      </c>
      <c r="E162" s="423" t="s">
        <v>1433</v>
      </c>
      <c r="F162" s="424" t="s">
        <v>1434</v>
      </c>
      <c r="G162" s="423" t="s">
        <v>981</v>
      </c>
      <c r="H162" s="423" t="s">
        <v>982</v>
      </c>
      <c r="I162" s="425">
        <v>3402</v>
      </c>
      <c r="J162" s="425">
        <v>1</v>
      </c>
      <c r="K162" s="426">
        <v>3402</v>
      </c>
    </row>
    <row r="163" spans="1:11" ht="14.4" customHeight="1" x14ac:dyDescent="0.3">
      <c r="A163" s="421" t="s">
        <v>440</v>
      </c>
      <c r="B163" s="422" t="s">
        <v>441</v>
      </c>
      <c r="C163" s="423" t="s">
        <v>445</v>
      </c>
      <c r="D163" s="424" t="s">
        <v>649</v>
      </c>
      <c r="E163" s="423" t="s">
        <v>1433</v>
      </c>
      <c r="F163" s="424" t="s">
        <v>1434</v>
      </c>
      <c r="G163" s="423" t="s">
        <v>983</v>
      </c>
      <c r="H163" s="423" t="s">
        <v>984</v>
      </c>
      <c r="I163" s="425">
        <v>71.39</v>
      </c>
      <c r="J163" s="425">
        <v>30</v>
      </c>
      <c r="K163" s="426">
        <v>2141.6999999999998</v>
      </c>
    </row>
    <row r="164" spans="1:11" ht="14.4" customHeight="1" x14ac:dyDescent="0.3">
      <c r="A164" s="421" t="s">
        <v>440</v>
      </c>
      <c r="B164" s="422" t="s">
        <v>441</v>
      </c>
      <c r="C164" s="423" t="s">
        <v>445</v>
      </c>
      <c r="D164" s="424" t="s">
        <v>649</v>
      </c>
      <c r="E164" s="423" t="s">
        <v>1433</v>
      </c>
      <c r="F164" s="424" t="s">
        <v>1434</v>
      </c>
      <c r="G164" s="423" t="s">
        <v>985</v>
      </c>
      <c r="H164" s="423" t="s">
        <v>986</v>
      </c>
      <c r="I164" s="425">
        <v>1723</v>
      </c>
      <c r="J164" s="425">
        <v>2</v>
      </c>
      <c r="K164" s="426">
        <v>3446</v>
      </c>
    </row>
    <row r="165" spans="1:11" ht="14.4" customHeight="1" x14ac:dyDescent="0.3">
      <c r="A165" s="421" t="s">
        <v>440</v>
      </c>
      <c r="B165" s="422" t="s">
        <v>441</v>
      </c>
      <c r="C165" s="423" t="s">
        <v>445</v>
      </c>
      <c r="D165" s="424" t="s">
        <v>649</v>
      </c>
      <c r="E165" s="423" t="s">
        <v>1433</v>
      </c>
      <c r="F165" s="424" t="s">
        <v>1434</v>
      </c>
      <c r="G165" s="423" t="s">
        <v>987</v>
      </c>
      <c r="H165" s="423" t="s">
        <v>988</v>
      </c>
      <c r="I165" s="425">
        <v>589.5</v>
      </c>
      <c r="J165" s="425">
        <v>3</v>
      </c>
      <c r="K165" s="426">
        <v>1800</v>
      </c>
    </row>
    <row r="166" spans="1:11" ht="14.4" customHeight="1" x14ac:dyDescent="0.3">
      <c r="A166" s="421" t="s">
        <v>440</v>
      </c>
      <c r="B166" s="422" t="s">
        <v>441</v>
      </c>
      <c r="C166" s="423" t="s">
        <v>445</v>
      </c>
      <c r="D166" s="424" t="s">
        <v>649</v>
      </c>
      <c r="E166" s="423" t="s">
        <v>1433</v>
      </c>
      <c r="F166" s="424" t="s">
        <v>1434</v>
      </c>
      <c r="G166" s="423" t="s">
        <v>989</v>
      </c>
      <c r="H166" s="423" t="s">
        <v>990</v>
      </c>
      <c r="I166" s="425">
        <v>3943.35</v>
      </c>
      <c r="J166" s="425">
        <v>6</v>
      </c>
      <c r="K166" s="426">
        <v>23660.1</v>
      </c>
    </row>
    <row r="167" spans="1:11" ht="14.4" customHeight="1" x14ac:dyDescent="0.3">
      <c r="A167" s="421" t="s">
        <v>440</v>
      </c>
      <c r="B167" s="422" t="s">
        <v>441</v>
      </c>
      <c r="C167" s="423" t="s">
        <v>445</v>
      </c>
      <c r="D167" s="424" t="s">
        <v>649</v>
      </c>
      <c r="E167" s="423" t="s">
        <v>1433</v>
      </c>
      <c r="F167" s="424" t="s">
        <v>1434</v>
      </c>
      <c r="G167" s="423" t="s">
        <v>991</v>
      </c>
      <c r="H167" s="423" t="s">
        <v>992</v>
      </c>
      <c r="I167" s="425">
        <v>45.98</v>
      </c>
      <c r="J167" s="425">
        <v>20</v>
      </c>
      <c r="K167" s="426">
        <v>919.61</v>
      </c>
    </row>
    <row r="168" spans="1:11" ht="14.4" customHeight="1" x14ac:dyDescent="0.3">
      <c r="A168" s="421" t="s">
        <v>440</v>
      </c>
      <c r="B168" s="422" t="s">
        <v>441</v>
      </c>
      <c r="C168" s="423" t="s">
        <v>445</v>
      </c>
      <c r="D168" s="424" t="s">
        <v>649</v>
      </c>
      <c r="E168" s="423" t="s">
        <v>1433</v>
      </c>
      <c r="F168" s="424" t="s">
        <v>1434</v>
      </c>
      <c r="G168" s="423" t="s">
        <v>993</v>
      </c>
      <c r="H168" s="423" t="s">
        <v>994</v>
      </c>
      <c r="I168" s="425">
        <v>580.79999999999995</v>
      </c>
      <c r="J168" s="425">
        <v>8</v>
      </c>
      <c r="K168" s="426">
        <v>4646.3999999999996</v>
      </c>
    </row>
    <row r="169" spans="1:11" ht="14.4" customHeight="1" x14ac:dyDescent="0.3">
      <c r="A169" s="421" t="s">
        <v>440</v>
      </c>
      <c r="B169" s="422" t="s">
        <v>441</v>
      </c>
      <c r="C169" s="423" t="s">
        <v>445</v>
      </c>
      <c r="D169" s="424" t="s">
        <v>649</v>
      </c>
      <c r="E169" s="423" t="s">
        <v>1433</v>
      </c>
      <c r="F169" s="424" t="s">
        <v>1434</v>
      </c>
      <c r="G169" s="423" t="s">
        <v>995</v>
      </c>
      <c r="H169" s="423" t="s">
        <v>996</v>
      </c>
      <c r="I169" s="425">
        <v>471.3</v>
      </c>
      <c r="J169" s="425">
        <v>2</v>
      </c>
      <c r="K169" s="426">
        <v>942.6</v>
      </c>
    </row>
    <row r="170" spans="1:11" ht="14.4" customHeight="1" x14ac:dyDescent="0.3">
      <c r="A170" s="421" t="s">
        <v>440</v>
      </c>
      <c r="B170" s="422" t="s">
        <v>441</v>
      </c>
      <c r="C170" s="423" t="s">
        <v>445</v>
      </c>
      <c r="D170" s="424" t="s">
        <v>649</v>
      </c>
      <c r="E170" s="423" t="s">
        <v>1433</v>
      </c>
      <c r="F170" s="424" t="s">
        <v>1434</v>
      </c>
      <c r="G170" s="423" t="s">
        <v>997</v>
      </c>
      <c r="H170" s="423" t="s">
        <v>998</v>
      </c>
      <c r="I170" s="425">
        <v>800.75333333333344</v>
      </c>
      <c r="J170" s="425">
        <v>4</v>
      </c>
      <c r="K170" s="426">
        <v>3210.26</v>
      </c>
    </row>
    <row r="171" spans="1:11" ht="14.4" customHeight="1" x14ac:dyDescent="0.3">
      <c r="A171" s="421" t="s">
        <v>440</v>
      </c>
      <c r="B171" s="422" t="s">
        <v>441</v>
      </c>
      <c r="C171" s="423" t="s">
        <v>445</v>
      </c>
      <c r="D171" s="424" t="s">
        <v>649</v>
      </c>
      <c r="E171" s="423" t="s">
        <v>1433</v>
      </c>
      <c r="F171" s="424" t="s">
        <v>1434</v>
      </c>
      <c r="G171" s="423" t="s">
        <v>999</v>
      </c>
      <c r="H171" s="423" t="s">
        <v>1000</v>
      </c>
      <c r="I171" s="425">
        <v>37.51</v>
      </c>
      <c r="J171" s="425">
        <v>12</v>
      </c>
      <c r="K171" s="426">
        <v>450.12</v>
      </c>
    </row>
    <row r="172" spans="1:11" ht="14.4" customHeight="1" x14ac:dyDescent="0.3">
      <c r="A172" s="421" t="s">
        <v>440</v>
      </c>
      <c r="B172" s="422" t="s">
        <v>441</v>
      </c>
      <c r="C172" s="423" t="s">
        <v>445</v>
      </c>
      <c r="D172" s="424" t="s">
        <v>649</v>
      </c>
      <c r="E172" s="423" t="s">
        <v>1433</v>
      </c>
      <c r="F172" s="424" t="s">
        <v>1434</v>
      </c>
      <c r="G172" s="423" t="s">
        <v>1001</v>
      </c>
      <c r="H172" s="423" t="s">
        <v>1002</v>
      </c>
      <c r="I172" s="425">
        <v>387.2</v>
      </c>
      <c r="J172" s="425">
        <v>9</v>
      </c>
      <c r="K172" s="426">
        <v>3484.8</v>
      </c>
    </row>
    <row r="173" spans="1:11" ht="14.4" customHeight="1" x14ac:dyDescent="0.3">
      <c r="A173" s="421" t="s">
        <v>440</v>
      </c>
      <c r="B173" s="422" t="s">
        <v>441</v>
      </c>
      <c r="C173" s="423" t="s">
        <v>445</v>
      </c>
      <c r="D173" s="424" t="s">
        <v>649</v>
      </c>
      <c r="E173" s="423" t="s">
        <v>1433</v>
      </c>
      <c r="F173" s="424" t="s">
        <v>1434</v>
      </c>
      <c r="G173" s="423" t="s">
        <v>1003</v>
      </c>
      <c r="H173" s="423" t="s">
        <v>1004</v>
      </c>
      <c r="I173" s="425">
        <v>59.29</v>
      </c>
      <c r="J173" s="425">
        <v>30</v>
      </c>
      <c r="K173" s="426">
        <v>1778.7</v>
      </c>
    </row>
    <row r="174" spans="1:11" ht="14.4" customHeight="1" x14ac:dyDescent="0.3">
      <c r="A174" s="421" t="s">
        <v>440</v>
      </c>
      <c r="B174" s="422" t="s">
        <v>441</v>
      </c>
      <c r="C174" s="423" t="s">
        <v>445</v>
      </c>
      <c r="D174" s="424" t="s">
        <v>649</v>
      </c>
      <c r="E174" s="423" t="s">
        <v>1433</v>
      </c>
      <c r="F174" s="424" t="s">
        <v>1434</v>
      </c>
      <c r="G174" s="423" t="s">
        <v>1005</v>
      </c>
      <c r="H174" s="423" t="s">
        <v>1006</v>
      </c>
      <c r="I174" s="425">
        <v>591.64</v>
      </c>
      <c r="J174" s="425">
        <v>2</v>
      </c>
      <c r="K174" s="426">
        <v>1183.28</v>
      </c>
    </row>
    <row r="175" spans="1:11" ht="14.4" customHeight="1" x14ac:dyDescent="0.3">
      <c r="A175" s="421" t="s">
        <v>440</v>
      </c>
      <c r="B175" s="422" t="s">
        <v>441</v>
      </c>
      <c r="C175" s="423" t="s">
        <v>445</v>
      </c>
      <c r="D175" s="424" t="s">
        <v>649</v>
      </c>
      <c r="E175" s="423" t="s">
        <v>1433</v>
      </c>
      <c r="F175" s="424" t="s">
        <v>1434</v>
      </c>
      <c r="G175" s="423" t="s">
        <v>1007</v>
      </c>
      <c r="H175" s="423" t="s">
        <v>1008</v>
      </c>
      <c r="I175" s="425">
        <v>865.15</v>
      </c>
      <c r="J175" s="425">
        <v>1</v>
      </c>
      <c r="K175" s="426">
        <v>865.15</v>
      </c>
    </row>
    <row r="176" spans="1:11" ht="14.4" customHeight="1" x14ac:dyDescent="0.3">
      <c r="A176" s="421" t="s">
        <v>440</v>
      </c>
      <c r="B176" s="422" t="s">
        <v>441</v>
      </c>
      <c r="C176" s="423" t="s">
        <v>445</v>
      </c>
      <c r="D176" s="424" t="s">
        <v>649</v>
      </c>
      <c r="E176" s="423" t="s">
        <v>1433</v>
      </c>
      <c r="F176" s="424" t="s">
        <v>1434</v>
      </c>
      <c r="G176" s="423" t="s">
        <v>1009</v>
      </c>
      <c r="H176" s="423" t="s">
        <v>1010</v>
      </c>
      <c r="I176" s="425">
        <v>385.99</v>
      </c>
      <c r="J176" s="425">
        <v>18</v>
      </c>
      <c r="K176" s="426">
        <v>6947.82</v>
      </c>
    </row>
    <row r="177" spans="1:11" ht="14.4" customHeight="1" x14ac:dyDescent="0.3">
      <c r="A177" s="421" t="s">
        <v>440</v>
      </c>
      <c r="B177" s="422" t="s">
        <v>441</v>
      </c>
      <c r="C177" s="423" t="s">
        <v>445</v>
      </c>
      <c r="D177" s="424" t="s">
        <v>649</v>
      </c>
      <c r="E177" s="423" t="s">
        <v>1433</v>
      </c>
      <c r="F177" s="424" t="s">
        <v>1434</v>
      </c>
      <c r="G177" s="423" t="s">
        <v>1011</v>
      </c>
      <c r="H177" s="423" t="s">
        <v>1012</v>
      </c>
      <c r="I177" s="425">
        <v>3.72</v>
      </c>
      <c r="J177" s="425">
        <v>180</v>
      </c>
      <c r="K177" s="426">
        <v>668.85</v>
      </c>
    </row>
    <row r="178" spans="1:11" ht="14.4" customHeight="1" x14ac:dyDescent="0.3">
      <c r="A178" s="421" t="s">
        <v>440</v>
      </c>
      <c r="B178" s="422" t="s">
        <v>441</v>
      </c>
      <c r="C178" s="423" t="s">
        <v>445</v>
      </c>
      <c r="D178" s="424" t="s">
        <v>649</v>
      </c>
      <c r="E178" s="423" t="s">
        <v>1433</v>
      </c>
      <c r="F178" s="424" t="s">
        <v>1434</v>
      </c>
      <c r="G178" s="423" t="s">
        <v>1013</v>
      </c>
      <c r="H178" s="423" t="s">
        <v>1014</v>
      </c>
      <c r="I178" s="425">
        <v>126.44</v>
      </c>
      <c r="J178" s="425">
        <v>2</v>
      </c>
      <c r="K178" s="426">
        <v>252.89</v>
      </c>
    </row>
    <row r="179" spans="1:11" ht="14.4" customHeight="1" x14ac:dyDescent="0.3">
      <c r="A179" s="421" t="s">
        <v>440</v>
      </c>
      <c r="B179" s="422" t="s">
        <v>441</v>
      </c>
      <c r="C179" s="423" t="s">
        <v>445</v>
      </c>
      <c r="D179" s="424" t="s">
        <v>649</v>
      </c>
      <c r="E179" s="423" t="s">
        <v>1433</v>
      </c>
      <c r="F179" s="424" t="s">
        <v>1434</v>
      </c>
      <c r="G179" s="423" t="s">
        <v>1015</v>
      </c>
      <c r="H179" s="423" t="s">
        <v>1016</v>
      </c>
      <c r="I179" s="425">
        <v>323.06</v>
      </c>
      <c r="J179" s="425">
        <v>7</v>
      </c>
      <c r="K179" s="426">
        <v>2261.42</v>
      </c>
    </row>
    <row r="180" spans="1:11" ht="14.4" customHeight="1" x14ac:dyDescent="0.3">
      <c r="A180" s="421" t="s">
        <v>440</v>
      </c>
      <c r="B180" s="422" t="s">
        <v>441</v>
      </c>
      <c r="C180" s="423" t="s">
        <v>445</v>
      </c>
      <c r="D180" s="424" t="s">
        <v>649</v>
      </c>
      <c r="E180" s="423" t="s">
        <v>1433</v>
      </c>
      <c r="F180" s="424" t="s">
        <v>1434</v>
      </c>
      <c r="G180" s="423" t="s">
        <v>1017</v>
      </c>
      <c r="H180" s="423" t="s">
        <v>1018</v>
      </c>
      <c r="I180" s="425">
        <v>1.8766666666666667</v>
      </c>
      <c r="J180" s="425">
        <v>600</v>
      </c>
      <c r="K180" s="426">
        <v>1096.44</v>
      </c>
    </row>
    <row r="181" spans="1:11" ht="14.4" customHeight="1" x14ac:dyDescent="0.3">
      <c r="A181" s="421" t="s">
        <v>440</v>
      </c>
      <c r="B181" s="422" t="s">
        <v>441</v>
      </c>
      <c r="C181" s="423" t="s">
        <v>445</v>
      </c>
      <c r="D181" s="424" t="s">
        <v>649</v>
      </c>
      <c r="E181" s="423" t="s">
        <v>1433</v>
      </c>
      <c r="F181" s="424" t="s">
        <v>1434</v>
      </c>
      <c r="G181" s="423" t="s">
        <v>1019</v>
      </c>
      <c r="H181" s="423" t="s">
        <v>1020</v>
      </c>
      <c r="I181" s="425">
        <v>3430.7000000000003</v>
      </c>
      <c r="J181" s="425">
        <v>3</v>
      </c>
      <c r="K181" s="426">
        <v>10292.1</v>
      </c>
    </row>
    <row r="182" spans="1:11" ht="14.4" customHeight="1" x14ac:dyDescent="0.3">
      <c r="A182" s="421" t="s">
        <v>440</v>
      </c>
      <c r="B182" s="422" t="s">
        <v>441</v>
      </c>
      <c r="C182" s="423" t="s">
        <v>445</v>
      </c>
      <c r="D182" s="424" t="s">
        <v>649</v>
      </c>
      <c r="E182" s="423" t="s">
        <v>1433</v>
      </c>
      <c r="F182" s="424" t="s">
        <v>1434</v>
      </c>
      <c r="G182" s="423" t="s">
        <v>1021</v>
      </c>
      <c r="H182" s="423" t="s">
        <v>1022</v>
      </c>
      <c r="I182" s="425">
        <v>514.25</v>
      </c>
      <c r="J182" s="425">
        <v>3</v>
      </c>
      <c r="K182" s="426">
        <v>1542.75</v>
      </c>
    </row>
    <row r="183" spans="1:11" ht="14.4" customHeight="1" x14ac:dyDescent="0.3">
      <c r="A183" s="421" t="s">
        <v>440</v>
      </c>
      <c r="B183" s="422" t="s">
        <v>441</v>
      </c>
      <c r="C183" s="423" t="s">
        <v>445</v>
      </c>
      <c r="D183" s="424" t="s">
        <v>649</v>
      </c>
      <c r="E183" s="423" t="s">
        <v>1433</v>
      </c>
      <c r="F183" s="424" t="s">
        <v>1434</v>
      </c>
      <c r="G183" s="423" t="s">
        <v>1023</v>
      </c>
      <c r="H183" s="423" t="s">
        <v>1024</v>
      </c>
      <c r="I183" s="425">
        <v>1.94</v>
      </c>
      <c r="J183" s="425">
        <v>400</v>
      </c>
      <c r="K183" s="426">
        <v>776</v>
      </c>
    </row>
    <row r="184" spans="1:11" ht="14.4" customHeight="1" x14ac:dyDescent="0.3">
      <c r="A184" s="421" t="s">
        <v>440</v>
      </c>
      <c r="B184" s="422" t="s">
        <v>441</v>
      </c>
      <c r="C184" s="423" t="s">
        <v>445</v>
      </c>
      <c r="D184" s="424" t="s">
        <v>649</v>
      </c>
      <c r="E184" s="423" t="s">
        <v>1433</v>
      </c>
      <c r="F184" s="424" t="s">
        <v>1434</v>
      </c>
      <c r="G184" s="423" t="s">
        <v>1025</v>
      </c>
      <c r="H184" s="423" t="s">
        <v>1026</v>
      </c>
      <c r="I184" s="425">
        <v>1.7949999999999999</v>
      </c>
      <c r="J184" s="425">
        <v>400</v>
      </c>
      <c r="K184" s="426">
        <v>718.09</v>
      </c>
    </row>
    <row r="185" spans="1:11" ht="14.4" customHeight="1" x14ac:dyDescent="0.3">
      <c r="A185" s="421" t="s">
        <v>440</v>
      </c>
      <c r="B185" s="422" t="s">
        <v>441</v>
      </c>
      <c r="C185" s="423" t="s">
        <v>445</v>
      </c>
      <c r="D185" s="424" t="s">
        <v>649</v>
      </c>
      <c r="E185" s="423" t="s">
        <v>1433</v>
      </c>
      <c r="F185" s="424" t="s">
        <v>1434</v>
      </c>
      <c r="G185" s="423" t="s">
        <v>1027</v>
      </c>
      <c r="H185" s="423" t="s">
        <v>1028</v>
      </c>
      <c r="I185" s="425">
        <v>2466</v>
      </c>
      <c r="J185" s="425">
        <v>1</v>
      </c>
      <c r="K185" s="426">
        <v>2466</v>
      </c>
    </row>
    <row r="186" spans="1:11" ht="14.4" customHeight="1" x14ac:dyDescent="0.3">
      <c r="A186" s="421" t="s">
        <v>440</v>
      </c>
      <c r="B186" s="422" t="s">
        <v>441</v>
      </c>
      <c r="C186" s="423" t="s">
        <v>445</v>
      </c>
      <c r="D186" s="424" t="s">
        <v>649</v>
      </c>
      <c r="E186" s="423" t="s">
        <v>1433</v>
      </c>
      <c r="F186" s="424" t="s">
        <v>1434</v>
      </c>
      <c r="G186" s="423" t="s">
        <v>1029</v>
      </c>
      <c r="H186" s="423" t="s">
        <v>1030</v>
      </c>
      <c r="I186" s="425">
        <v>964.89499999999998</v>
      </c>
      <c r="J186" s="425">
        <v>6</v>
      </c>
      <c r="K186" s="426">
        <v>5774.49</v>
      </c>
    </row>
    <row r="187" spans="1:11" ht="14.4" customHeight="1" x14ac:dyDescent="0.3">
      <c r="A187" s="421" t="s">
        <v>440</v>
      </c>
      <c r="B187" s="422" t="s">
        <v>441</v>
      </c>
      <c r="C187" s="423" t="s">
        <v>445</v>
      </c>
      <c r="D187" s="424" t="s">
        <v>649</v>
      </c>
      <c r="E187" s="423" t="s">
        <v>1433</v>
      </c>
      <c r="F187" s="424" t="s">
        <v>1434</v>
      </c>
      <c r="G187" s="423" t="s">
        <v>1031</v>
      </c>
      <c r="H187" s="423" t="s">
        <v>1032</v>
      </c>
      <c r="I187" s="425">
        <v>145.61000000000001</v>
      </c>
      <c r="J187" s="425">
        <v>26</v>
      </c>
      <c r="K187" s="426">
        <v>3785.96</v>
      </c>
    </row>
    <row r="188" spans="1:11" ht="14.4" customHeight="1" x14ac:dyDescent="0.3">
      <c r="A188" s="421" t="s">
        <v>440</v>
      </c>
      <c r="B188" s="422" t="s">
        <v>441</v>
      </c>
      <c r="C188" s="423" t="s">
        <v>445</v>
      </c>
      <c r="D188" s="424" t="s">
        <v>649</v>
      </c>
      <c r="E188" s="423" t="s">
        <v>1433</v>
      </c>
      <c r="F188" s="424" t="s">
        <v>1434</v>
      </c>
      <c r="G188" s="423" t="s">
        <v>1033</v>
      </c>
      <c r="H188" s="423" t="s">
        <v>1034</v>
      </c>
      <c r="I188" s="425">
        <v>865.15</v>
      </c>
      <c r="J188" s="425">
        <v>1</v>
      </c>
      <c r="K188" s="426">
        <v>865.15</v>
      </c>
    </row>
    <row r="189" spans="1:11" ht="14.4" customHeight="1" x14ac:dyDescent="0.3">
      <c r="A189" s="421" t="s">
        <v>440</v>
      </c>
      <c r="B189" s="422" t="s">
        <v>441</v>
      </c>
      <c r="C189" s="423" t="s">
        <v>445</v>
      </c>
      <c r="D189" s="424" t="s">
        <v>649</v>
      </c>
      <c r="E189" s="423" t="s">
        <v>1433</v>
      </c>
      <c r="F189" s="424" t="s">
        <v>1434</v>
      </c>
      <c r="G189" s="423" t="s">
        <v>1035</v>
      </c>
      <c r="H189" s="423" t="s">
        <v>1036</v>
      </c>
      <c r="I189" s="425">
        <v>37.51</v>
      </c>
      <c r="J189" s="425">
        <v>18</v>
      </c>
      <c r="K189" s="426">
        <v>675.18</v>
      </c>
    </row>
    <row r="190" spans="1:11" ht="14.4" customHeight="1" x14ac:dyDescent="0.3">
      <c r="A190" s="421" t="s">
        <v>440</v>
      </c>
      <c r="B190" s="422" t="s">
        <v>441</v>
      </c>
      <c r="C190" s="423" t="s">
        <v>445</v>
      </c>
      <c r="D190" s="424" t="s">
        <v>649</v>
      </c>
      <c r="E190" s="423" t="s">
        <v>1433</v>
      </c>
      <c r="F190" s="424" t="s">
        <v>1434</v>
      </c>
      <c r="G190" s="423" t="s">
        <v>1037</v>
      </c>
      <c r="H190" s="423" t="s">
        <v>1038</v>
      </c>
      <c r="I190" s="425">
        <v>71.39</v>
      </c>
      <c r="J190" s="425">
        <v>30</v>
      </c>
      <c r="K190" s="426">
        <v>2141.6999999999998</v>
      </c>
    </row>
    <row r="191" spans="1:11" ht="14.4" customHeight="1" x14ac:dyDescent="0.3">
      <c r="A191" s="421" t="s">
        <v>440</v>
      </c>
      <c r="B191" s="422" t="s">
        <v>441</v>
      </c>
      <c r="C191" s="423" t="s">
        <v>445</v>
      </c>
      <c r="D191" s="424" t="s">
        <v>649</v>
      </c>
      <c r="E191" s="423" t="s">
        <v>1433</v>
      </c>
      <c r="F191" s="424" t="s">
        <v>1434</v>
      </c>
      <c r="G191" s="423" t="s">
        <v>1039</v>
      </c>
      <c r="H191" s="423" t="s">
        <v>1040</v>
      </c>
      <c r="I191" s="425">
        <v>383.57</v>
      </c>
      <c r="J191" s="425">
        <v>2</v>
      </c>
      <c r="K191" s="426">
        <v>767.14</v>
      </c>
    </row>
    <row r="192" spans="1:11" ht="14.4" customHeight="1" x14ac:dyDescent="0.3">
      <c r="A192" s="421" t="s">
        <v>440</v>
      </c>
      <c r="B192" s="422" t="s">
        <v>441</v>
      </c>
      <c r="C192" s="423" t="s">
        <v>445</v>
      </c>
      <c r="D192" s="424" t="s">
        <v>649</v>
      </c>
      <c r="E192" s="423" t="s">
        <v>1433</v>
      </c>
      <c r="F192" s="424" t="s">
        <v>1434</v>
      </c>
      <c r="G192" s="423" t="s">
        <v>1041</v>
      </c>
      <c r="H192" s="423" t="s">
        <v>1042</v>
      </c>
      <c r="I192" s="425">
        <v>2928.2</v>
      </c>
      <c r="J192" s="425">
        <v>1</v>
      </c>
      <c r="K192" s="426">
        <v>2928.2</v>
      </c>
    </row>
    <row r="193" spans="1:11" ht="14.4" customHeight="1" x14ac:dyDescent="0.3">
      <c r="A193" s="421" t="s">
        <v>440</v>
      </c>
      <c r="B193" s="422" t="s">
        <v>441</v>
      </c>
      <c r="C193" s="423" t="s">
        <v>445</v>
      </c>
      <c r="D193" s="424" t="s">
        <v>649</v>
      </c>
      <c r="E193" s="423" t="s">
        <v>1433</v>
      </c>
      <c r="F193" s="424" t="s">
        <v>1434</v>
      </c>
      <c r="G193" s="423" t="s">
        <v>1043</v>
      </c>
      <c r="H193" s="423" t="s">
        <v>1044</v>
      </c>
      <c r="I193" s="425">
        <v>1004.01</v>
      </c>
      <c r="J193" s="425">
        <v>2</v>
      </c>
      <c r="K193" s="426">
        <v>2008.02</v>
      </c>
    </row>
    <row r="194" spans="1:11" ht="14.4" customHeight="1" x14ac:dyDescent="0.3">
      <c r="A194" s="421" t="s">
        <v>440</v>
      </c>
      <c r="B194" s="422" t="s">
        <v>441</v>
      </c>
      <c r="C194" s="423" t="s">
        <v>445</v>
      </c>
      <c r="D194" s="424" t="s">
        <v>649</v>
      </c>
      <c r="E194" s="423" t="s">
        <v>1433</v>
      </c>
      <c r="F194" s="424" t="s">
        <v>1434</v>
      </c>
      <c r="G194" s="423" t="s">
        <v>1045</v>
      </c>
      <c r="H194" s="423" t="s">
        <v>1046</v>
      </c>
      <c r="I194" s="425">
        <v>145.59</v>
      </c>
      <c r="J194" s="425">
        <v>41</v>
      </c>
      <c r="K194" s="426">
        <v>5969.19</v>
      </c>
    </row>
    <row r="195" spans="1:11" ht="14.4" customHeight="1" x14ac:dyDescent="0.3">
      <c r="A195" s="421" t="s">
        <v>440</v>
      </c>
      <c r="B195" s="422" t="s">
        <v>441</v>
      </c>
      <c r="C195" s="423" t="s">
        <v>445</v>
      </c>
      <c r="D195" s="424" t="s">
        <v>649</v>
      </c>
      <c r="E195" s="423" t="s">
        <v>1433</v>
      </c>
      <c r="F195" s="424" t="s">
        <v>1434</v>
      </c>
      <c r="G195" s="423" t="s">
        <v>1047</v>
      </c>
      <c r="H195" s="423" t="s">
        <v>1048</v>
      </c>
      <c r="I195" s="425">
        <v>172.99</v>
      </c>
      <c r="J195" s="425">
        <v>1</v>
      </c>
      <c r="K195" s="426">
        <v>172.99</v>
      </c>
    </row>
    <row r="196" spans="1:11" ht="14.4" customHeight="1" x14ac:dyDescent="0.3">
      <c r="A196" s="421" t="s">
        <v>440</v>
      </c>
      <c r="B196" s="422" t="s">
        <v>441</v>
      </c>
      <c r="C196" s="423" t="s">
        <v>445</v>
      </c>
      <c r="D196" s="424" t="s">
        <v>649</v>
      </c>
      <c r="E196" s="423" t="s">
        <v>1433</v>
      </c>
      <c r="F196" s="424" t="s">
        <v>1434</v>
      </c>
      <c r="G196" s="423" t="s">
        <v>1049</v>
      </c>
      <c r="H196" s="423" t="s">
        <v>1050</v>
      </c>
      <c r="I196" s="425">
        <v>320.85000000000002</v>
      </c>
      <c r="J196" s="425">
        <v>24</v>
      </c>
      <c r="K196" s="426">
        <v>7700.4</v>
      </c>
    </row>
    <row r="197" spans="1:11" ht="14.4" customHeight="1" x14ac:dyDescent="0.3">
      <c r="A197" s="421" t="s">
        <v>440</v>
      </c>
      <c r="B197" s="422" t="s">
        <v>441</v>
      </c>
      <c r="C197" s="423" t="s">
        <v>445</v>
      </c>
      <c r="D197" s="424" t="s">
        <v>649</v>
      </c>
      <c r="E197" s="423" t="s">
        <v>1433</v>
      </c>
      <c r="F197" s="424" t="s">
        <v>1434</v>
      </c>
      <c r="G197" s="423" t="s">
        <v>1051</v>
      </c>
      <c r="H197" s="423" t="s">
        <v>1052</v>
      </c>
      <c r="I197" s="425">
        <v>1122.8800000000001</v>
      </c>
      <c r="J197" s="425">
        <v>2</v>
      </c>
      <c r="K197" s="426">
        <v>2245.75</v>
      </c>
    </row>
    <row r="198" spans="1:11" ht="14.4" customHeight="1" x14ac:dyDescent="0.3">
      <c r="A198" s="421" t="s">
        <v>440</v>
      </c>
      <c r="B198" s="422" t="s">
        <v>441</v>
      </c>
      <c r="C198" s="423" t="s">
        <v>445</v>
      </c>
      <c r="D198" s="424" t="s">
        <v>649</v>
      </c>
      <c r="E198" s="423" t="s">
        <v>1433</v>
      </c>
      <c r="F198" s="424" t="s">
        <v>1434</v>
      </c>
      <c r="G198" s="423" t="s">
        <v>1053</v>
      </c>
      <c r="H198" s="423" t="s">
        <v>1054</v>
      </c>
      <c r="I198" s="425">
        <v>700.05</v>
      </c>
      <c r="J198" s="425">
        <v>3</v>
      </c>
      <c r="K198" s="426">
        <v>2100.14</v>
      </c>
    </row>
    <row r="199" spans="1:11" ht="14.4" customHeight="1" x14ac:dyDescent="0.3">
      <c r="A199" s="421" t="s">
        <v>440</v>
      </c>
      <c r="B199" s="422" t="s">
        <v>441</v>
      </c>
      <c r="C199" s="423" t="s">
        <v>445</v>
      </c>
      <c r="D199" s="424" t="s">
        <v>649</v>
      </c>
      <c r="E199" s="423" t="s">
        <v>1433</v>
      </c>
      <c r="F199" s="424" t="s">
        <v>1434</v>
      </c>
      <c r="G199" s="423" t="s">
        <v>1055</v>
      </c>
      <c r="H199" s="423" t="s">
        <v>1056</v>
      </c>
      <c r="I199" s="425">
        <v>1057.42</v>
      </c>
      <c r="J199" s="425">
        <v>2</v>
      </c>
      <c r="K199" s="426">
        <v>2114.84</v>
      </c>
    </row>
    <row r="200" spans="1:11" ht="14.4" customHeight="1" x14ac:dyDescent="0.3">
      <c r="A200" s="421" t="s">
        <v>440</v>
      </c>
      <c r="B200" s="422" t="s">
        <v>441</v>
      </c>
      <c r="C200" s="423" t="s">
        <v>445</v>
      </c>
      <c r="D200" s="424" t="s">
        <v>649</v>
      </c>
      <c r="E200" s="423" t="s">
        <v>1433</v>
      </c>
      <c r="F200" s="424" t="s">
        <v>1434</v>
      </c>
      <c r="G200" s="423" t="s">
        <v>1057</v>
      </c>
      <c r="H200" s="423" t="s">
        <v>1058</v>
      </c>
      <c r="I200" s="425">
        <v>261.11</v>
      </c>
      <c r="J200" s="425">
        <v>1</v>
      </c>
      <c r="K200" s="426">
        <v>261.11</v>
      </c>
    </row>
    <row r="201" spans="1:11" ht="14.4" customHeight="1" x14ac:dyDescent="0.3">
      <c r="A201" s="421" t="s">
        <v>440</v>
      </c>
      <c r="B201" s="422" t="s">
        <v>441</v>
      </c>
      <c r="C201" s="423" t="s">
        <v>445</v>
      </c>
      <c r="D201" s="424" t="s">
        <v>649</v>
      </c>
      <c r="E201" s="423" t="s">
        <v>1433</v>
      </c>
      <c r="F201" s="424" t="s">
        <v>1434</v>
      </c>
      <c r="G201" s="423" t="s">
        <v>1059</v>
      </c>
      <c r="H201" s="423" t="s">
        <v>1060</v>
      </c>
      <c r="I201" s="425">
        <v>370</v>
      </c>
      <c r="J201" s="425">
        <v>3</v>
      </c>
      <c r="K201" s="426">
        <v>1110</v>
      </c>
    </row>
    <row r="202" spans="1:11" ht="14.4" customHeight="1" x14ac:dyDescent="0.3">
      <c r="A202" s="421" t="s">
        <v>440</v>
      </c>
      <c r="B202" s="422" t="s">
        <v>441</v>
      </c>
      <c r="C202" s="423" t="s">
        <v>445</v>
      </c>
      <c r="D202" s="424" t="s">
        <v>649</v>
      </c>
      <c r="E202" s="423" t="s">
        <v>1433</v>
      </c>
      <c r="F202" s="424" t="s">
        <v>1434</v>
      </c>
      <c r="G202" s="423" t="s">
        <v>1061</v>
      </c>
      <c r="H202" s="423" t="s">
        <v>1062</v>
      </c>
      <c r="I202" s="425">
        <v>100.01</v>
      </c>
      <c r="J202" s="425">
        <v>4</v>
      </c>
      <c r="K202" s="426">
        <v>400.03</v>
      </c>
    </row>
    <row r="203" spans="1:11" ht="14.4" customHeight="1" x14ac:dyDescent="0.3">
      <c r="A203" s="421" t="s">
        <v>440</v>
      </c>
      <c r="B203" s="422" t="s">
        <v>441</v>
      </c>
      <c r="C203" s="423" t="s">
        <v>445</v>
      </c>
      <c r="D203" s="424" t="s">
        <v>649</v>
      </c>
      <c r="E203" s="423" t="s">
        <v>1433</v>
      </c>
      <c r="F203" s="424" t="s">
        <v>1434</v>
      </c>
      <c r="G203" s="423" t="s">
        <v>1063</v>
      </c>
      <c r="H203" s="423" t="s">
        <v>1064</v>
      </c>
      <c r="I203" s="425">
        <v>1300.75</v>
      </c>
      <c r="J203" s="425">
        <v>1</v>
      </c>
      <c r="K203" s="426">
        <v>1300.75</v>
      </c>
    </row>
    <row r="204" spans="1:11" ht="14.4" customHeight="1" x14ac:dyDescent="0.3">
      <c r="A204" s="421" t="s">
        <v>440</v>
      </c>
      <c r="B204" s="422" t="s">
        <v>441</v>
      </c>
      <c r="C204" s="423" t="s">
        <v>445</v>
      </c>
      <c r="D204" s="424" t="s">
        <v>649</v>
      </c>
      <c r="E204" s="423" t="s">
        <v>1433</v>
      </c>
      <c r="F204" s="424" t="s">
        <v>1434</v>
      </c>
      <c r="G204" s="423" t="s">
        <v>1065</v>
      </c>
      <c r="H204" s="423" t="s">
        <v>1066</v>
      </c>
      <c r="I204" s="425">
        <v>2036.77</v>
      </c>
      <c r="J204" s="425">
        <v>1</v>
      </c>
      <c r="K204" s="426">
        <v>2036.77</v>
      </c>
    </row>
    <row r="205" spans="1:11" ht="14.4" customHeight="1" x14ac:dyDescent="0.3">
      <c r="A205" s="421" t="s">
        <v>440</v>
      </c>
      <c r="B205" s="422" t="s">
        <v>441</v>
      </c>
      <c r="C205" s="423" t="s">
        <v>445</v>
      </c>
      <c r="D205" s="424" t="s">
        <v>649</v>
      </c>
      <c r="E205" s="423" t="s">
        <v>1433</v>
      </c>
      <c r="F205" s="424" t="s">
        <v>1434</v>
      </c>
      <c r="G205" s="423" t="s">
        <v>1067</v>
      </c>
      <c r="H205" s="423" t="s">
        <v>1068</v>
      </c>
      <c r="I205" s="425">
        <v>3.83</v>
      </c>
      <c r="J205" s="425">
        <v>400</v>
      </c>
      <c r="K205" s="426">
        <v>1533.0700000000002</v>
      </c>
    </row>
    <row r="206" spans="1:11" ht="14.4" customHeight="1" x14ac:dyDescent="0.3">
      <c r="A206" s="421" t="s">
        <v>440</v>
      </c>
      <c r="B206" s="422" t="s">
        <v>441</v>
      </c>
      <c r="C206" s="423" t="s">
        <v>445</v>
      </c>
      <c r="D206" s="424" t="s">
        <v>649</v>
      </c>
      <c r="E206" s="423" t="s">
        <v>1433</v>
      </c>
      <c r="F206" s="424" t="s">
        <v>1434</v>
      </c>
      <c r="G206" s="423" t="s">
        <v>1069</v>
      </c>
      <c r="H206" s="423" t="s">
        <v>1070</v>
      </c>
      <c r="I206" s="425">
        <v>1.84</v>
      </c>
      <c r="J206" s="425">
        <v>200</v>
      </c>
      <c r="K206" s="426">
        <v>368.66</v>
      </c>
    </row>
    <row r="207" spans="1:11" ht="14.4" customHeight="1" x14ac:dyDescent="0.3">
      <c r="A207" s="421" t="s">
        <v>440</v>
      </c>
      <c r="B207" s="422" t="s">
        <v>441</v>
      </c>
      <c r="C207" s="423" t="s">
        <v>445</v>
      </c>
      <c r="D207" s="424" t="s">
        <v>649</v>
      </c>
      <c r="E207" s="423" t="s">
        <v>1433</v>
      </c>
      <c r="F207" s="424" t="s">
        <v>1434</v>
      </c>
      <c r="G207" s="423" t="s">
        <v>1071</v>
      </c>
      <c r="H207" s="423" t="s">
        <v>1072</v>
      </c>
      <c r="I207" s="425">
        <v>865.15</v>
      </c>
      <c r="J207" s="425">
        <v>2</v>
      </c>
      <c r="K207" s="426">
        <v>1730.3</v>
      </c>
    </row>
    <row r="208" spans="1:11" ht="14.4" customHeight="1" x14ac:dyDescent="0.3">
      <c r="A208" s="421" t="s">
        <v>440</v>
      </c>
      <c r="B208" s="422" t="s">
        <v>441</v>
      </c>
      <c r="C208" s="423" t="s">
        <v>445</v>
      </c>
      <c r="D208" s="424" t="s">
        <v>649</v>
      </c>
      <c r="E208" s="423" t="s">
        <v>1433</v>
      </c>
      <c r="F208" s="424" t="s">
        <v>1434</v>
      </c>
      <c r="G208" s="423" t="s">
        <v>1073</v>
      </c>
      <c r="H208" s="423" t="s">
        <v>1074</v>
      </c>
      <c r="I208" s="425">
        <v>2535.5</v>
      </c>
      <c r="J208" s="425">
        <v>5</v>
      </c>
      <c r="K208" s="426">
        <v>13263.99</v>
      </c>
    </row>
    <row r="209" spans="1:11" ht="14.4" customHeight="1" x14ac:dyDescent="0.3">
      <c r="A209" s="421" t="s">
        <v>440</v>
      </c>
      <c r="B209" s="422" t="s">
        <v>441</v>
      </c>
      <c r="C209" s="423" t="s">
        <v>445</v>
      </c>
      <c r="D209" s="424" t="s">
        <v>649</v>
      </c>
      <c r="E209" s="423" t="s">
        <v>1433</v>
      </c>
      <c r="F209" s="424" t="s">
        <v>1434</v>
      </c>
      <c r="G209" s="423" t="s">
        <v>1075</v>
      </c>
      <c r="H209" s="423" t="s">
        <v>1076</v>
      </c>
      <c r="I209" s="425">
        <v>11.5</v>
      </c>
      <c r="J209" s="425">
        <v>90</v>
      </c>
      <c r="K209" s="426">
        <v>1035</v>
      </c>
    </row>
    <row r="210" spans="1:11" ht="14.4" customHeight="1" x14ac:dyDescent="0.3">
      <c r="A210" s="421" t="s">
        <v>440</v>
      </c>
      <c r="B210" s="422" t="s">
        <v>441</v>
      </c>
      <c r="C210" s="423" t="s">
        <v>445</v>
      </c>
      <c r="D210" s="424" t="s">
        <v>649</v>
      </c>
      <c r="E210" s="423" t="s">
        <v>1433</v>
      </c>
      <c r="F210" s="424" t="s">
        <v>1434</v>
      </c>
      <c r="G210" s="423" t="s">
        <v>1077</v>
      </c>
      <c r="H210" s="423" t="s">
        <v>1078</v>
      </c>
      <c r="I210" s="425">
        <v>145.6</v>
      </c>
      <c r="J210" s="425">
        <v>29</v>
      </c>
      <c r="K210" s="426">
        <v>4222.3599999999997</v>
      </c>
    </row>
    <row r="211" spans="1:11" ht="14.4" customHeight="1" x14ac:dyDescent="0.3">
      <c r="A211" s="421" t="s">
        <v>440</v>
      </c>
      <c r="B211" s="422" t="s">
        <v>441</v>
      </c>
      <c r="C211" s="423" t="s">
        <v>445</v>
      </c>
      <c r="D211" s="424" t="s">
        <v>649</v>
      </c>
      <c r="E211" s="423" t="s">
        <v>1433</v>
      </c>
      <c r="F211" s="424" t="s">
        <v>1434</v>
      </c>
      <c r="G211" s="423" t="s">
        <v>1079</v>
      </c>
      <c r="H211" s="423" t="s">
        <v>1080</v>
      </c>
      <c r="I211" s="425">
        <v>1.8766666666666667</v>
      </c>
      <c r="J211" s="425">
        <v>600</v>
      </c>
      <c r="K211" s="426">
        <v>1125.4100000000001</v>
      </c>
    </row>
    <row r="212" spans="1:11" ht="14.4" customHeight="1" x14ac:dyDescent="0.3">
      <c r="A212" s="421" t="s">
        <v>440</v>
      </c>
      <c r="B212" s="422" t="s">
        <v>441</v>
      </c>
      <c r="C212" s="423" t="s">
        <v>445</v>
      </c>
      <c r="D212" s="424" t="s">
        <v>649</v>
      </c>
      <c r="E212" s="423" t="s">
        <v>1433</v>
      </c>
      <c r="F212" s="424" t="s">
        <v>1434</v>
      </c>
      <c r="G212" s="423" t="s">
        <v>1081</v>
      </c>
      <c r="H212" s="423" t="s">
        <v>1082</v>
      </c>
      <c r="I212" s="425">
        <v>473.11</v>
      </c>
      <c r="J212" s="425">
        <v>2</v>
      </c>
      <c r="K212" s="426">
        <v>946.22</v>
      </c>
    </row>
    <row r="213" spans="1:11" ht="14.4" customHeight="1" x14ac:dyDescent="0.3">
      <c r="A213" s="421" t="s">
        <v>440</v>
      </c>
      <c r="B213" s="422" t="s">
        <v>441</v>
      </c>
      <c r="C213" s="423" t="s">
        <v>445</v>
      </c>
      <c r="D213" s="424" t="s">
        <v>649</v>
      </c>
      <c r="E213" s="423" t="s">
        <v>1433</v>
      </c>
      <c r="F213" s="424" t="s">
        <v>1434</v>
      </c>
      <c r="G213" s="423" t="s">
        <v>1083</v>
      </c>
      <c r="H213" s="423" t="s">
        <v>1084</v>
      </c>
      <c r="I213" s="425">
        <v>2432.1</v>
      </c>
      <c r="J213" s="425">
        <v>1</v>
      </c>
      <c r="K213" s="426">
        <v>2432.1</v>
      </c>
    </row>
    <row r="214" spans="1:11" ht="14.4" customHeight="1" x14ac:dyDescent="0.3">
      <c r="A214" s="421" t="s">
        <v>440</v>
      </c>
      <c r="B214" s="422" t="s">
        <v>441</v>
      </c>
      <c r="C214" s="423" t="s">
        <v>445</v>
      </c>
      <c r="D214" s="424" t="s">
        <v>649</v>
      </c>
      <c r="E214" s="423" t="s">
        <v>1433</v>
      </c>
      <c r="F214" s="424" t="s">
        <v>1434</v>
      </c>
      <c r="G214" s="423" t="s">
        <v>1085</v>
      </c>
      <c r="H214" s="423" t="s">
        <v>1086</v>
      </c>
      <c r="I214" s="425">
        <v>98.31</v>
      </c>
      <c r="J214" s="425">
        <v>12</v>
      </c>
      <c r="K214" s="426">
        <v>1179.75</v>
      </c>
    </row>
    <row r="215" spans="1:11" ht="14.4" customHeight="1" x14ac:dyDescent="0.3">
      <c r="A215" s="421" t="s">
        <v>440</v>
      </c>
      <c r="B215" s="422" t="s">
        <v>441</v>
      </c>
      <c r="C215" s="423" t="s">
        <v>445</v>
      </c>
      <c r="D215" s="424" t="s">
        <v>649</v>
      </c>
      <c r="E215" s="423" t="s">
        <v>1433</v>
      </c>
      <c r="F215" s="424" t="s">
        <v>1434</v>
      </c>
      <c r="G215" s="423" t="s">
        <v>1087</v>
      </c>
      <c r="H215" s="423" t="s">
        <v>1088</v>
      </c>
      <c r="I215" s="425">
        <v>73.81</v>
      </c>
      <c r="J215" s="425">
        <v>6</v>
      </c>
      <c r="K215" s="426">
        <v>442.86</v>
      </c>
    </row>
    <row r="216" spans="1:11" ht="14.4" customHeight="1" x14ac:dyDescent="0.3">
      <c r="A216" s="421" t="s">
        <v>440</v>
      </c>
      <c r="B216" s="422" t="s">
        <v>441</v>
      </c>
      <c r="C216" s="423" t="s">
        <v>445</v>
      </c>
      <c r="D216" s="424" t="s">
        <v>649</v>
      </c>
      <c r="E216" s="423" t="s">
        <v>1433</v>
      </c>
      <c r="F216" s="424" t="s">
        <v>1434</v>
      </c>
      <c r="G216" s="423" t="s">
        <v>1089</v>
      </c>
      <c r="H216" s="423" t="s">
        <v>1090</v>
      </c>
      <c r="I216" s="425">
        <v>1115</v>
      </c>
      <c r="J216" s="425">
        <v>1</v>
      </c>
      <c r="K216" s="426">
        <v>1115</v>
      </c>
    </row>
    <row r="217" spans="1:11" ht="14.4" customHeight="1" x14ac:dyDescent="0.3">
      <c r="A217" s="421" t="s">
        <v>440</v>
      </c>
      <c r="B217" s="422" t="s">
        <v>441</v>
      </c>
      <c r="C217" s="423" t="s">
        <v>445</v>
      </c>
      <c r="D217" s="424" t="s">
        <v>649</v>
      </c>
      <c r="E217" s="423" t="s">
        <v>1433</v>
      </c>
      <c r="F217" s="424" t="s">
        <v>1434</v>
      </c>
      <c r="G217" s="423" t="s">
        <v>1091</v>
      </c>
      <c r="H217" s="423" t="s">
        <v>1092</v>
      </c>
      <c r="I217" s="425">
        <v>913.49</v>
      </c>
      <c r="J217" s="425">
        <v>1</v>
      </c>
      <c r="K217" s="426">
        <v>913.49</v>
      </c>
    </row>
    <row r="218" spans="1:11" ht="14.4" customHeight="1" x14ac:dyDescent="0.3">
      <c r="A218" s="421" t="s">
        <v>440</v>
      </c>
      <c r="B218" s="422" t="s">
        <v>441</v>
      </c>
      <c r="C218" s="423" t="s">
        <v>445</v>
      </c>
      <c r="D218" s="424" t="s">
        <v>649</v>
      </c>
      <c r="E218" s="423" t="s">
        <v>1433</v>
      </c>
      <c r="F218" s="424" t="s">
        <v>1434</v>
      </c>
      <c r="G218" s="423" t="s">
        <v>1093</v>
      </c>
      <c r="H218" s="423" t="s">
        <v>1094</v>
      </c>
      <c r="I218" s="425">
        <v>124.63</v>
      </c>
      <c r="J218" s="425">
        <v>20</v>
      </c>
      <c r="K218" s="426">
        <v>2492.6</v>
      </c>
    </row>
    <row r="219" spans="1:11" ht="14.4" customHeight="1" x14ac:dyDescent="0.3">
      <c r="A219" s="421" t="s">
        <v>440</v>
      </c>
      <c r="B219" s="422" t="s">
        <v>441</v>
      </c>
      <c r="C219" s="423" t="s">
        <v>445</v>
      </c>
      <c r="D219" s="424" t="s">
        <v>649</v>
      </c>
      <c r="E219" s="423" t="s">
        <v>1433</v>
      </c>
      <c r="F219" s="424" t="s">
        <v>1434</v>
      </c>
      <c r="G219" s="423" t="s">
        <v>1095</v>
      </c>
      <c r="H219" s="423" t="s">
        <v>1096</v>
      </c>
      <c r="I219" s="425">
        <v>379.94</v>
      </c>
      <c r="J219" s="425">
        <v>2</v>
      </c>
      <c r="K219" s="426">
        <v>759.88</v>
      </c>
    </row>
    <row r="220" spans="1:11" ht="14.4" customHeight="1" x14ac:dyDescent="0.3">
      <c r="A220" s="421" t="s">
        <v>440</v>
      </c>
      <c r="B220" s="422" t="s">
        <v>441</v>
      </c>
      <c r="C220" s="423" t="s">
        <v>445</v>
      </c>
      <c r="D220" s="424" t="s">
        <v>649</v>
      </c>
      <c r="E220" s="423" t="s">
        <v>1433</v>
      </c>
      <c r="F220" s="424" t="s">
        <v>1434</v>
      </c>
      <c r="G220" s="423" t="s">
        <v>1097</v>
      </c>
      <c r="H220" s="423" t="s">
        <v>1098</v>
      </c>
      <c r="I220" s="425">
        <v>19.96</v>
      </c>
      <c r="J220" s="425">
        <v>10</v>
      </c>
      <c r="K220" s="426">
        <v>199.65</v>
      </c>
    </row>
    <row r="221" spans="1:11" ht="14.4" customHeight="1" x14ac:dyDescent="0.3">
      <c r="A221" s="421" t="s">
        <v>440</v>
      </c>
      <c r="B221" s="422" t="s">
        <v>441</v>
      </c>
      <c r="C221" s="423" t="s">
        <v>445</v>
      </c>
      <c r="D221" s="424" t="s">
        <v>649</v>
      </c>
      <c r="E221" s="423" t="s">
        <v>1433</v>
      </c>
      <c r="F221" s="424" t="s">
        <v>1434</v>
      </c>
      <c r="G221" s="423" t="s">
        <v>1099</v>
      </c>
      <c r="H221" s="423" t="s">
        <v>1100</v>
      </c>
      <c r="I221" s="425">
        <v>140.33333333333334</v>
      </c>
      <c r="J221" s="425">
        <v>18</v>
      </c>
      <c r="K221" s="426">
        <v>2525.9899999999998</v>
      </c>
    </row>
    <row r="222" spans="1:11" ht="14.4" customHeight="1" x14ac:dyDescent="0.3">
      <c r="A222" s="421" t="s">
        <v>440</v>
      </c>
      <c r="B222" s="422" t="s">
        <v>441</v>
      </c>
      <c r="C222" s="423" t="s">
        <v>445</v>
      </c>
      <c r="D222" s="424" t="s">
        <v>649</v>
      </c>
      <c r="E222" s="423" t="s">
        <v>1433</v>
      </c>
      <c r="F222" s="424" t="s">
        <v>1434</v>
      </c>
      <c r="G222" s="423" t="s">
        <v>1101</v>
      </c>
      <c r="H222" s="423" t="s">
        <v>1102</v>
      </c>
      <c r="I222" s="425">
        <v>3.19</v>
      </c>
      <c r="J222" s="425">
        <v>400</v>
      </c>
      <c r="K222" s="426">
        <v>1256.78</v>
      </c>
    </row>
    <row r="223" spans="1:11" ht="14.4" customHeight="1" x14ac:dyDescent="0.3">
      <c r="A223" s="421" t="s">
        <v>440</v>
      </c>
      <c r="B223" s="422" t="s">
        <v>441</v>
      </c>
      <c r="C223" s="423" t="s">
        <v>445</v>
      </c>
      <c r="D223" s="424" t="s">
        <v>649</v>
      </c>
      <c r="E223" s="423" t="s">
        <v>1433</v>
      </c>
      <c r="F223" s="424" t="s">
        <v>1434</v>
      </c>
      <c r="G223" s="423" t="s">
        <v>1103</v>
      </c>
      <c r="H223" s="423" t="s">
        <v>1104</v>
      </c>
      <c r="I223" s="425">
        <v>98.82</v>
      </c>
      <c r="J223" s="425">
        <v>12</v>
      </c>
      <c r="K223" s="426">
        <v>1185.8</v>
      </c>
    </row>
    <row r="224" spans="1:11" ht="14.4" customHeight="1" x14ac:dyDescent="0.3">
      <c r="A224" s="421" t="s">
        <v>440</v>
      </c>
      <c r="B224" s="422" t="s">
        <v>441</v>
      </c>
      <c r="C224" s="423" t="s">
        <v>445</v>
      </c>
      <c r="D224" s="424" t="s">
        <v>649</v>
      </c>
      <c r="E224" s="423" t="s">
        <v>1433</v>
      </c>
      <c r="F224" s="424" t="s">
        <v>1434</v>
      </c>
      <c r="G224" s="423" t="s">
        <v>1105</v>
      </c>
      <c r="H224" s="423" t="s">
        <v>1106</v>
      </c>
      <c r="I224" s="425">
        <v>69.37</v>
      </c>
      <c r="J224" s="425">
        <v>12</v>
      </c>
      <c r="K224" s="426">
        <v>832.48</v>
      </c>
    </row>
    <row r="225" spans="1:11" ht="14.4" customHeight="1" x14ac:dyDescent="0.3">
      <c r="A225" s="421" t="s">
        <v>440</v>
      </c>
      <c r="B225" s="422" t="s">
        <v>441</v>
      </c>
      <c r="C225" s="423" t="s">
        <v>445</v>
      </c>
      <c r="D225" s="424" t="s">
        <v>649</v>
      </c>
      <c r="E225" s="423" t="s">
        <v>1433</v>
      </c>
      <c r="F225" s="424" t="s">
        <v>1434</v>
      </c>
      <c r="G225" s="423" t="s">
        <v>1107</v>
      </c>
      <c r="H225" s="423" t="s">
        <v>1108</v>
      </c>
      <c r="I225" s="425">
        <v>363</v>
      </c>
      <c r="J225" s="425">
        <v>1</v>
      </c>
      <c r="K225" s="426">
        <v>363</v>
      </c>
    </row>
    <row r="226" spans="1:11" ht="14.4" customHeight="1" x14ac:dyDescent="0.3">
      <c r="A226" s="421" t="s">
        <v>440</v>
      </c>
      <c r="B226" s="422" t="s">
        <v>441</v>
      </c>
      <c r="C226" s="423" t="s">
        <v>445</v>
      </c>
      <c r="D226" s="424" t="s">
        <v>649</v>
      </c>
      <c r="E226" s="423" t="s">
        <v>1433</v>
      </c>
      <c r="F226" s="424" t="s">
        <v>1434</v>
      </c>
      <c r="G226" s="423" t="s">
        <v>1109</v>
      </c>
      <c r="H226" s="423" t="s">
        <v>1110</v>
      </c>
      <c r="I226" s="425">
        <v>402.93</v>
      </c>
      <c r="J226" s="425">
        <v>1</v>
      </c>
      <c r="K226" s="426">
        <v>402.93</v>
      </c>
    </row>
    <row r="227" spans="1:11" ht="14.4" customHeight="1" x14ac:dyDescent="0.3">
      <c r="A227" s="421" t="s">
        <v>440</v>
      </c>
      <c r="B227" s="422" t="s">
        <v>441</v>
      </c>
      <c r="C227" s="423" t="s">
        <v>445</v>
      </c>
      <c r="D227" s="424" t="s">
        <v>649</v>
      </c>
      <c r="E227" s="423" t="s">
        <v>1433</v>
      </c>
      <c r="F227" s="424" t="s">
        <v>1434</v>
      </c>
      <c r="G227" s="423" t="s">
        <v>1111</v>
      </c>
      <c r="H227" s="423" t="s">
        <v>1112</v>
      </c>
      <c r="I227" s="425">
        <v>3.72</v>
      </c>
      <c r="J227" s="425">
        <v>120</v>
      </c>
      <c r="K227" s="426">
        <v>445.9</v>
      </c>
    </row>
    <row r="228" spans="1:11" ht="14.4" customHeight="1" x14ac:dyDescent="0.3">
      <c r="A228" s="421" t="s">
        <v>440</v>
      </c>
      <c r="B228" s="422" t="s">
        <v>441</v>
      </c>
      <c r="C228" s="423" t="s">
        <v>445</v>
      </c>
      <c r="D228" s="424" t="s">
        <v>649</v>
      </c>
      <c r="E228" s="423" t="s">
        <v>1433</v>
      </c>
      <c r="F228" s="424" t="s">
        <v>1434</v>
      </c>
      <c r="G228" s="423" t="s">
        <v>1113</v>
      </c>
      <c r="H228" s="423" t="s">
        <v>1114</v>
      </c>
      <c r="I228" s="425">
        <v>3.72</v>
      </c>
      <c r="J228" s="425">
        <v>120</v>
      </c>
      <c r="K228" s="426">
        <v>445.9</v>
      </c>
    </row>
    <row r="229" spans="1:11" ht="14.4" customHeight="1" x14ac:dyDescent="0.3">
      <c r="A229" s="421" t="s">
        <v>440</v>
      </c>
      <c r="B229" s="422" t="s">
        <v>441</v>
      </c>
      <c r="C229" s="423" t="s">
        <v>445</v>
      </c>
      <c r="D229" s="424" t="s">
        <v>649</v>
      </c>
      <c r="E229" s="423" t="s">
        <v>1433</v>
      </c>
      <c r="F229" s="424" t="s">
        <v>1434</v>
      </c>
      <c r="G229" s="423" t="s">
        <v>1115</v>
      </c>
      <c r="H229" s="423" t="s">
        <v>1116</v>
      </c>
      <c r="I229" s="425">
        <v>5.35</v>
      </c>
      <c r="J229" s="425">
        <v>60</v>
      </c>
      <c r="K229" s="426">
        <v>321.10000000000002</v>
      </c>
    </row>
    <row r="230" spans="1:11" ht="14.4" customHeight="1" x14ac:dyDescent="0.3">
      <c r="A230" s="421" t="s">
        <v>440</v>
      </c>
      <c r="B230" s="422" t="s">
        <v>441</v>
      </c>
      <c r="C230" s="423" t="s">
        <v>445</v>
      </c>
      <c r="D230" s="424" t="s">
        <v>649</v>
      </c>
      <c r="E230" s="423" t="s">
        <v>1433</v>
      </c>
      <c r="F230" s="424" t="s">
        <v>1434</v>
      </c>
      <c r="G230" s="423" t="s">
        <v>1117</v>
      </c>
      <c r="H230" s="423" t="s">
        <v>1118</v>
      </c>
      <c r="I230" s="425">
        <v>142.755</v>
      </c>
      <c r="J230" s="425">
        <v>6</v>
      </c>
      <c r="K230" s="426">
        <v>793.08</v>
      </c>
    </row>
    <row r="231" spans="1:11" ht="14.4" customHeight="1" x14ac:dyDescent="0.3">
      <c r="A231" s="421" t="s">
        <v>440</v>
      </c>
      <c r="B231" s="422" t="s">
        <v>441</v>
      </c>
      <c r="C231" s="423" t="s">
        <v>445</v>
      </c>
      <c r="D231" s="424" t="s">
        <v>649</v>
      </c>
      <c r="E231" s="423" t="s">
        <v>1433</v>
      </c>
      <c r="F231" s="424" t="s">
        <v>1434</v>
      </c>
      <c r="G231" s="423" t="s">
        <v>1119</v>
      </c>
      <c r="H231" s="423" t="s">
        <v>1120</v>
      </c>
      <c r="I231" s="425">
        <v>1681.01</v>
      </c>
      <c r="J231" s="425">
        <v>2</v>
      </c>
      <c r="K231" s="426">
        <v>3362.01</v>
      </c>
    </row>
    <row r="232" spans="1:11" ht="14.4" customHeight="1" x14ac:dyDescent="0.3">
      <c r="A232" s="421" t="s">
        <v>440</v>
      </c>
      <c r="B232" s="422" t="s">
        <v>441</v>
      </c>
      <c r="C232" s="423" t="s">
        <v>445</v>
      </c>
      <c r="D232" s="424" t="s">
        <v>649</v>
      </c>
      <c r="E232" s="423" t="s">
        <v>1433</v>
      </c>
      <c r="F232" s="424" t="s">
        <v>1434</v>
      </c>
      <c r="G232" s="423" t="s">
        <v>1121</v>
      </c>
      <c r="H232" s="423" t="s">
        <v>1122</v>
      </c>
      <c r="I232" s="425">
        <v>184.53</v>
      </c>
      <c r="J232" s="425">
        <v>6</v>
      </c>
      <c r="K232" s="426">
        <v>1107.1500000000001</v>
      </c>
    </row>
    <row r="233" spans="1:11" ht="14.4" customHeight="1" x14ac:dyDescent="0.3">
      <c r="A233" s="421" t="s">
        <v>440</v>
      </c>
      <c r="B233" s="422" t="s">
        <v>441</v>
      </c>
      <c r="C233" s="423" t="s">
        <v>445</v>
      </c>
      <c r="D233" s="424" t="s">
        <v>649</v>
      </c>
      <c r="E233" s="423" t="s">
        <v>1433</v>
      </c>
      <c r="F233" s="424" t="s">
        <v>1434</v>
      </c>
      <c r="G233" s="423" t="s">
        <v>1123</v>
      </c>
      <c r="H233" s="423" t="s">
        <v>1124</v>
      </c>
      <c r="I233" s="425">
        <v>59.29</v>
      </c>
      <c r="J233" s="425">
        <v>30</v>
      </c>
      <c r="K233" s="426">
        <v>1778.7</v>
      </c>
    </row>
    <row r="234" spans="1:11" ht="14.4" customHeight="1" x14ac:dyDescent="0.3">
      <c r="A234" s="421" t="s">
        <v>440</v>
      </c>
      <c r="B234" s="422" t="s">
        <v>441</v>
      </c>
      <c r="C234" s="423" t="s">
        <v>445</v>
      </c>
      <c r="D234" s="424" t="s">
        <v>649</v>
      </c>
      <c r="E234" s="423" t="s">
        <v>1433</v>
      </c>
      <c r="F234" s="424" t="s">
        <v>1434</v>
      </c>
      <c r="G234" s="423" t="s">
        <v>1125</v>
      </c>
      <c r="H234" s="423" t="s">
        <v>1126</v>
      </c>
      <c r="I234" s="425">
        <v>2.0166666666666666</v>
      </c>
      <c r="J234" s="425">
        <v>600</v>
      </c>
      <c r="K234" s="426">
        <v>1211.67</v>
      </c>
    </row>
    <row r="235" spans="1:11" ht="14.4" customHeight="1" x14ac:dyDescent="0.3">
      <c r="A235" s="421" t="s">
        <v>440</v>
      </c>
      <c r="B235" s="422" t="s">
        <v>441</v>
      </c>
      <c r="C235" s="423" t="s">
        <v>445</v>
      </c>
      <c r="D235" s="424" t="s">
        <v>649</v>
      </c>
      <c r="E235" s="423" t="s">
        <v>1433</v>
      </c>
      <c r="F235" s="424" t="s">
        <v>1434</v>
      </c>
      <c r="G235" s="423" t="s">
        <v>1127</v>
      </c>
      <c r="H235" s="423" t="s">
        <v>1128</v>
      </c>
      <c r="I235" s="425">
        <v>665</v>
      </c>
      <c r="J235" s="425">
        <v>2</v>
      </c>
      <c r="K235" s="426">
        <v>1330</v>
      </c>
    </row>
    <row r="236" spans="1:11" ht="14.4" customHeight="1" x14ac:dyDescent="0.3">
      <c r="A236" s="421" t="s">
        <v>440</v>
      </c>
      <c r="B236" s="422" t="s">
        <v>441</v>
      </c>
      <c r="C236" s="423" t="s">
        <v>445</v>
      </c>
      <c r="D236" s="424" t="s">
        <v>649</v>
      </c>
      <c r="E236" s="423" t="s">
        <v>1433</v>
      </c>
      <c r="F236" s="424" t="s">
        <v>1434</v>
      </c>
      <c r="G236" s="423" t="s">
        <v>1129</v>
      </c>
      <c r="H236" s="423" t="s">
        <v>1130</v>
      </c>
      <c r="I236" s="425">
        <v>59.29</v>
      </c>
      <c r="J236" s="425">
        <v>60</v>
      </c>
      <c r="K236" s="426">
        <v>3557.4</v>
      </c>
    </row>
    <row r="237" spans="1:11" ht="14.4" customHeight="1" x14ac:dyDescent="0.3">
      <c r="A237" s="421" t="s">
        <v>440</v>
      </c>
      <c r="B237" s="422" t="s">
        <v>441</v>
      </c>
      <c r="C237" s="423" t="s">
        <v>445</v>
      </c>
      <c r="D237" s="424" t="s">
        <v>649</v>
      </c>
      <c r="E237" s="423" t="s">
        <v>1433</v>
      </c>
      <c r="F237" s="424" t="s">
        <v>1434</v>
      </c>
      <c r="G237" s="423" t="s">
        <v>1131</v>
      </c>
      <c r="H237" s="423" t="s">
        <v>1132</v>
      </c>
      <c r="I237" s="425">
        <v>309.35000000000002</v>
      </c>
      <c r="J237" s="425">
        <v>6</v>
      </c>
      <c r="K237" s="426">
        <v>1856.1</v>
      </c>
    </row>
    <row r="238" spans="1:11" ht="14.4" customHeight="1" x14ac:dyDescent="0.3">
      <c r="A238" s="421" t="s">
        <v>440</v>
      </c>
      <c r="B238" s="422" t="s">
        <v>441</v>
      </c>
      <c r="C238" s="423" t="s">
        <v>445</v>
      </c>
      <c r="D238" s="424" t="s">
        <v>649</v>
      </c>
      <c r="E238" s="423" t="s">
        <v>1433</v>
      </c>
      <c r="F238" s="424" t="s">
        <v>1434</v>
      </c>
      <c r="G238" s="423" t="s">
        <v>1133</v>
      </c>
      <c r="H238" s="423" t="s">
        <v>1134</v>
      </c>
      <c r="I238" s="425">
        <v>1924</v>
      </c>
      <c r="J238" s="425">
        <v>1</v>
      </c>
      <c r="K238" s="426">
        <v>1924</v>
      </c>
    </row>
    <row r="239" spans="1:11" ht="14.4" customHeight="1" x14ac:dyDescent="0.3">
      <c r="A239" s="421" t="s">
        <v>440</v>
      </c>
      <c r="B239" s="422" t="s">
        <v>441</v>
      </c>
      <c r="C239" s="423" t="s">
        <v>445</v>
      </c>
      <c r="D239" s="424" t="s">
        <v>649</v>
      </c>
      <c r="E239" s="423" t="s">
        <v>1433</v>
      </c>
      <c r="F239" s="424" t="s">
        <v>1434</v>
      </c>
      <c r="G239" s="423" t="s">
        <v>1135</v>
      </c>
      <c r="H239" s="423" t="s">
        <v>1136</v>
      </c>
      <c r="I239" s="425">
        <v>665</v>
      </c>
      <c r="J239" s="425">
        <v>2</v>
      </c>
      <c r="K239" s="426">
        <v>1330</v>
      </c>
    </row>
    <row r="240" spans="1:11" ht="14.4" customHeight="1" x14ac:dyDescent="0.3">
      <c r="A240" s="421" t="s">
        <v>440</v>
      </c>
      <c r="B240" s="422" t="s">
        <v>441</v>
      </c>
      <c r="C240" s="423" t="s">
        <v>445</v>
      </c>
      <c r="D240" s="424" t="s">
        <v>649</v>
      </c>
      <c r="E240" s="423" t="s">
        <v>1433</v>
      </c>
      <c r="F240" s="424" t="s">
        <v>1434</v>
      </c>
      <c r="G240" s="423" t="s">
        <v>1137</v>
      </c>
      <c r="H240" s="423" t="s">
        <v>1138</v>
      </c>
      <c r="I240" s="425">
        <v>101.60499999999999</v>
      </c>
      <c r="J240" s="425">
        <v>15</v>
      </c>
      <c r="K240" s="426">
        <v>1524.0800000000002</v>
      </c>
    </row>
    <row r="241" spans="1:11" ht="14.4" customHeight="1" x14ac:dyDescent="0.3">
      <c r="A241" s="421" t="s">
        <v>440</v>
      </c>
      <c r="B241" s="422" t="s">
        <v>441</v>
      </c>
      <c r="C241" s="423" t="s">
        <v>445</v>
      </c>
      <c r="D241" s="424" t="s">
        <v>649</v>
      </c>
      <c r="E241" s="423" t="s">
        <v>1433</v>
      </c>
      <c r="F241" s="424" t="s">
        <v>1434</v>
      </c>
      <c r="G241" s="423" t="s">
        <v>1139</v>
      </c>
      <c r="H241" s="423" t="s">
        <v>1140</v>
      </c>
      <c r="I241" s="425">
        <v>240.35</v>
      </c>
      <c r="J241" s="425">
        <v>4</v>
      </c>
      <c r="K241" s="426">
        <v>961.4</v>
      </c>
    </row>
    <row r="242" spans="1:11" ht="14.4" customHeight="1" x14ac:dyDescent="0.3">
      <c r="A242" s="421" t="s">
        <v>440</v>
      </c>
      <c r="B242" s="422" t="s">
        <v>441</v>
      </c>
      <c r="C242" s="423" t="s">
        <v>445</v>
      </c>
      <c r="D242" s="424" t="s">
        <v>649</v>
      </c>
      <c r="E242" s="423" t="s">
        <v>1433</v>
      </c>
      <c r="F242" s="424" t="s">
        <v>1434</v>
      </c>
      <c r="G242" s="423" t="s">
        <v>1141</v>
      </c>
      <c r="H242" s="423" t="s">
        <v>1142</v>
      </c>
      <c r="I242" s="425">
        <v>332.75</v>
      </c>
      <c r="J242" s="425">
        <v>1</v>
      </c>
      <c r="K242" s="426">
        <v>332.75</v>
      </c>
    </row>
    <row r="243" spans="1:11" ht="14.4" customHeight="1" x14ac:dyDescent="0.3">
      <c r="A243" s="421" t="s">
        <v>440</v>
      </c>
      <c r="B243" s="422" t="s">
        <v>441</v>
      </c>
      <c r="C243" s="423" t="s">
        <v>445</v>
      </c>
      <c r="D243" s="424" t="s">
        <v>649</v>
      </c>
      <c r="E243" s="423" t="s">
        <v>1433</v>
      </c>
      <c r="F243" s="424" t="s">
        <v>1434</v>
      </c>
      <c r="G243" s="423" t="s">
        <v>1143</v>
      </c>
      <c r="H243" s="423" t="s">
        <v>1144</v>
      </c>
      <c r="I243" s="425">
        <v>1393.92</v>
      </c>
      <c r="J243" s="425">
        <v>6</v>
      </c>
      <c r="K243" s="426">
        <v>8363.52</v>
      </c>
    </row>
    <row r="244" spans="1:11" ht="14.4" customHeight="1" x14ac:dyDescent="0.3">
      <c r="A244" s="421" t="s">
        <v>440</v>
      </c>
      <c r="B244" s="422" t="s">
        <v>441</v>
      </c>
      <c r="C244" s="423" t="s">
        <v>445</v>
      </c>
      <c r="D244" s="424" t="s">
        <v>649</v>
      </c>
      <c r="E244" s="423" t="s">
        <v>1433</v>
      </c>
      <c r="F244" s="424" t="s">
        <v>1434</v>
      </c>
      <c r="G244" s="423" t="s">
        <v>1145</v>
      </c>
      <c r="H244" s="423" t="s">
        <v>1146</v>
      </c>
      <c r="I244" s="425">
        <v>893</v>
      </c>
      <c r="J244" s="425">
        <v>5</v>
      </c>
      <c r="K244" s="426">
        <v>4465</v>
      </c>
    </row>
    <row r="245" spans="1:11" ht="14.4" customHeight="1" x14ac:dyDescent="0.3">
      <c r="A245" s="421" t="s">
        <v>440</v>
      </c>
      <c r="B245" s="422" t="s">
        <v>441</v>
      </c>
      <c r="C245" s="423" t="s">
        <v>445</v>
      </c>
      <c r="D245" s="424" t="s">
        <v>649</v>
      </c>
      <c r="E245" s="423" t="s">
        <v>1433</v>
      </c>
      <c r="F245" s="424" t="s">
        <v>1434</v>
      </c>
      <c r="G245" s="423" t="s">
        <v>1147</v>
      </c>
      <c r="H245" s="423" t="s">
        <v>1148</v>
      </c>
      <c r="I245" s="425">
        <v>121.2</v>
      </c>
      <c r="J245" s="425">
        <v>10</v>
      </c>
      <c r="K245" s="426">
        <v>1211.99</v>
      </c>
    </row>
    <row r="246" spans="1:11" ht="14.4" customHeight="1" x14ac:dyDescent="0.3">
      <c r="A246" s="421" t="s">
        <v>440</v>
      </c>
      <c r="B246" s="422" t="s">
        <v>441</v>
      </c>
      <c r="C246" s="423" t="s">
        <v>445</v>
      </c>
      <c r="D246" s="424" t="s">
        <v>649</v>
      </c>
      <c r="E246" s="423" t="s">
        <v>1433</v>
      </c>
      <c r="F246" s="424" t="s">
        <v>1434</v>
      </c>
      <c r="G246" s="423" t="s">
        <v>1149</v>
      </c>
      <c r="H246" s="423" t="s">
        <v>1150</v>
      </c>
      <c r="I246" s="425">
        <v>6648.95</v>
      </c>
      <c r="J246" s="425">
        <v>1</v>
      </c>
      <c r="K246" s="426">
        <v>6648.95</v>
      </c>
    </row>
    <row r="247" spans="1:11" ht="14.4" customHeight="1" x14ac:dyDescent="0.3">
      <c r="A247" s="421" t="s">
        <v>440</v>
      </c>
      <c r="B247" s="422" t="s">
        <v>441</v>
      </c>
      <c r="C247" s="423" t="s">
        <v>445</v>
      </c>
      <c r="D247" s="424" t="s">
        <v>649</v>
      </c>
      <c r="E247" s="423" t="s">
        <v>1433</v>
      </c>
      <c r="F247" s="424" t="s">
        <v>1434</v>
      </c>
      <c r="G247" s="423" t="s">
        <v>1151</v>
      </c>
      <c r="H247" s="423" t="s">
        <v>1152</v>
      </c>
      <c r="I247" s="425">
        <v>685.5</v>
      </c>
      <c r="J247" s="425">
        <v>2</v>
      </c>
      <c r="K247" s="426">
        <v>1371</v>
      </c>
    </row>
    <row r="248" spans="1:11" ht="14.4" customHeight="1" x14ac:dyDescent="0.3">
      <c r="A248" s="421" t="s">
        <v>440</v>
      </c>
      <c r="B248" s="422" t="s">
        <v>441</v>
      </c>
      <c r="C248" s="423" t="s">
        <v>445</v>
      </c>
      <c r="D248" s="424" t="s">
        <v>649</v>
      </c>
      <c r="E248" s="423" t="s">
        <v>1433</v>
      </c>
      <c r="F248" s="424" t="s">
        <v>1434</v>
      </c>
      <c r="G248" s="423" t="s">
        <v>1153</v>
      </c>
      <c r="H248" s="423" t="s">
        <v>1154</v>
      </c>
      <c r="I248" s="425">
        <v>1038.875</v>
      </c>
      <c r="J248" s="425">
        <v>4</v>
      </c>
      <c r="K248" s="426">
        <v>4185.75</v>
      </c>
    </row>
    <row r="249" spans="1:11" ht="14.4" customHeight="1" x14ac:dyDescent="0.3">
      <c r="A249" s="421" t="s">
        <v>440</v>
      </c>
      <c r="B249" s="422" t="s">
        <v>441</v>
      </c>
      <c r="C249" s="423" t="s">
        <v>445</v>
      </c>
      <c r="D249" s="424" t="s">
        <v>649</v>
      </c>
      <c r="E249" s="423" t="s">
        <v>1433</v>
      </c>
      <c r="F249" s="424" t="s">
        <v>1434</v>
      </c>
      <c r="G249" s="423" t="s">
        <v>1155</v>
      </c>
      <c r="H249" s="423" t="s">
        <v>1156</v>
      </c>
      <c r="I249" s="425">
        <v>1355.2</v>
      </c>
      <c r="J249" s="425">
        <v>2</v>
      </c>
      <c r="K249" s="426">
        <v>2710.4</v>
      </c>
    </row>
    <row r="250" spans="1:11" ht="14.4" customHeight="1" x14ac:dyDescent="0.3">
      <c r="A250" s="421" t="s">
        <v>440</v>
      </c>
      <c r="B250" s="422" t="s">
        <v>441</v>
      </c>
      <c r="C250" s="423" t="s">
        <v>445</v>
      </c>
      <c r="D250" s="424" t="s">
        <v>649</v>
      </c>
      <c r="E250" s="423" t="s">
        <v>1433</v>
      </c>
      <c r="F250" s="424" t="s">
        <v>1434</v>
      </c>
      <c r="G250" s="423" t="s">
        <v>1157</v>
      </c>
      <c r="H250" s="423" t="s">
        <v>1158</v>
      </c>
      <c r="I250" s="425">
        <v>3974.85</v>
      </c>
      <c r="J250" s="425">
        <v>1</v>
      </c>
      <c r="K250" s="426">
        <v>3974.85</v>
      </c>
    </row>
    <row r="251" spans="1:11" ht="14.4" customHeight="1" x14ac:dyDescent="0.3">
      <c r="A251" s="421" t="s">
        <v>440</v>
      </c>
      <c r="B251" s="422" t="s">
        <v>441</v>
      </c>
      <c r="C251" s="423" t="s">
        <v>445</v>
      </c>
      <c r="D251" s="424" t="s">
        <v>649</v>
      </c>
      <c r="E251" s="423" t="s">
        <v>1433</v>
      </c>
      <c r="F251" s="424" t="s">
        <v>1434</v>
      </c>
      <c r="G251" s="423" t="s">
        <v>1159</v>
      </c>
      <c r="H251" s="423" t="s">
        <v>1160</v>
      </c>
      <c r="I251" s="425">
        <v>121.2</v>
      </c>
      <c r="J251" s="425">
        <v>10</v>
      </c>
      <c r="K251" s="426">
        <v>1211.98</v>
      </c>
    </row>
    <row r="252" spans="1:11" ht="14.4" customHeight="1" x14ac:dyDescent="0.3">
      <c r="A252" s="421" t="s">
        <v>440</v>
      </c>
      <c r="B252" s="422" t="s">
        <v>441</v>
      </c>
      <c r="C252" s="423" t="s">
        <v>445</v>
      </c>
      <c r="D252" s="424" t="s">
        <v>649</v>
      </c>
      <c r="E252" s="423" t="s">
        <v>1433</v>
      </c>
      <c r="F252" s="424" t="s">
        <v>1434</v>
      </c>
      <c r="G252" s="423" t="s">
        <v>1161</v>
      </c>
      <c r="H252" s="423" t="s">
        <v>1162</v>
      </c>
      <c r="I252" s="425">
        <v>2916.1</v>
      </c>
      <c r="J252" s="425">
        <v>1</v>
      </c>
      <c r="K252" s="426">
        <v>2916.1</v>
      </c>
    </row>
    <row r="253" spans="1:11" ht="14.4" customHeight="1" x14ac:dyDescent="0.3">
      <c r="A253" s="421" t="s">
        <v>440</v>
      </c>
      <c r="B253" s="422" t="s">
        <v>441</v>
      </c>
      <c r="C253" s="423" t="s">
        <v>445</v>
      </c>
      <c r="D253" s="424" t="s">
        <v>649</v>
      </c>
      <c r="E253" s="423" t="s">
        <v>1433</v>
      </c>
      <c r="F253" s="424" t="s">
        <v>1434</v>
      </c>
      <c r="G253" s="423" t="s">
        <v>1163</v>
      </c>
      <c r="H253" s="423" t="s">
        <v>1164</v>
      </c>
      <c r="I253" s="425">
        <v>610</v>
      </c>
      <c r="J253" s="425">
        <v>2</v>
      </c>
      <c r="K253" s="426">
        <v>1220.01</v>
      </c>
    </row>
    <row r="254" spans="1:11" ht="14.4" customHeight="1" x14ac:dyDescent="0.3">
      <c r="A254" s="421" t="s">
        <v>440</v>
      </c>
      <c r="B254" s="422" t="s">
        <v>441</v>
      </c>
      <c r="C254" s="423" t="s">
        <v>445</v>
      </c>
      <c r="D254" s="424" t="s">
        <v>649</v>
      </c>
      <c r="E254" s="423" t="s">
        <v>1433</v>
      </c>
      <c r="F254" s="424" t="s">
        <v>1434</v>
      </c>
      <c r="G254" s="423" t="s">
        <v>1165</v>
      </c>
      <c r="H254" s="423" t="s">
        <v>1166</v>
      </c>
      <c r="I254" s="425">
        <v>682.44</v>
      </c>
      <c r="J254" s="425">
        <v>2</v>
      </c>
      <c r="K254" s="426">
        <v>1364.88</v>
      </c>
    </row>
    <row r="255" spans="1:11" ht="14.4" customHeight="1" x14ac:dyDescent="0.3">
      <c r="A255" s="421" t="s">
        <v>440</v>
      </c>
      <c r="B255" s="422" t="s">
        <v>441</v>
      </c>
      <c r="C255" s="423" t="s">
        <v>445</v>
      </c>
      <c r="D255" s="424" t="s">
        <v>649</v>
      </c>
      <c r="E255" s="423" t="s">
        <v>1433</v>
      </c>
      <c r="F255" s="424" t="s">
        <v>1434</v>
      </c>
      <c r="G255" s="423" t="s">
        <v>1167</v>
      </c>
      <c r="H255" s="423" t="s">
        <v>1168</v>
      </c>
      <c r="I255" s="425">
        <v>185.33333333333334</v>
      </c>
      <c r="J255" s="425">
        <v>13</v>
      </c>
      <c r="K255" s="426">
        <v>2476.87</v>
      </c>
    </row>
    <row r="256" spans="1:11" ht="14.4" customHeight="1" x14ac:dyDescent="0.3">
      <c r="A256" s="421" t="s">
        <v>440</v>
      </c>
      <c r="B256" s="422" t="s">
        <v>441</v>
      </c>
      <c r="C256" s="423" t="s">
        <v>445</v>
      </c>
      <c r="D256" s="424" t="s">
        <v>649</v>
      </c>
      <c r="E256" s="423" t="s">
        <v>1433</v>
      </c>
      <c r="F256" s="424" t="s">
        <v>1434</v>
      </c>
      <c r="G256" s="423" t="s">
        <v>1169</v>
      </c>
      <c r="H256" s="423" t="s">
        <v>1170</v>
      </c>
      <c r="I256" s="425">
        <v>35.760000000000005</v>
      </c>
      <c r="J256" s="425">
        <v>6</v>
      </c>
      <c r="K256" s="426">
        <v>214.56</v>
      </c>
    </row>
    <row r="257" spans="1:11" ht="14.4" customHeight="1" x14ac:dyDescent="0.3">
      <c r="A257" s="421" t="s">
        <v>440</v>
      </c>
      <c r="B257" s="422" t="s">
        <v>441</v>
      </c>
      <c r="C257" s="423" t="s">
        <v>445</v>
      </c>
      <c r="D257" s="424" t="s">
        <v>649</v>
      </c>
      <c r="E257" s="423" t="s">
        <v>1433</v>
      </c>
      <c r="F257" s="424" t="s">
        <v>1434</v>
      </c>
      <c r="G257" s="423" t="s">
        <v>1171</v>
      </c>
      <c r="H257" s="423" t="s">
        <v>1172</v>
      </c>
      <c r="I257" s="425">
        <v>533</v>
      </c>
      <c r="J257" s="425">
        <v>1</v>
      </c>
      <c r="K257" s="426">
        <v>533</v>
      </c>
    </row>
    <row r="258" spans="1:11" ht="14.4" customHeight="1" x14ac:dyDescent="0.3">
      <c r="A258" s="421" t="s">
        <v>440</v>
      </c>
      <c r="B258" s="422" t="s">
        <v>441</v>
      </c>
      <c r="C258" s="423" t="s">
        <v>445</v>
      </c>
      <c r="D258" s="424" t="s">
        <v>649</v>
      </c>
      <c r="E258" s="423" t="s">
        <v>1433</v>
      </c>
      <c r="F258" s="424" t="s">
        <v>1434</v>
      </c>
      <c r="G258" s="423" t="s">
        <v>1173</v>
      </c>
      <c r="H258" s="423" t="s">
        <v>1174</v>
      </c>
      <c r="I258" s="425">
        <v>86.15</v>
      </c>
      <c r="J258" s="425">
        <v>40</v>
      </c>
      <c r="K258" s="426">
        <v>3446.08</v>
      </c>
    </row>
    <row r="259" spans="1:11" ht="14.4" customHeight="1" x14ac:dyDescent="0.3">
      <c r="A259" s="421" t="s">
        <v>440</v>
      </c>
      <c r="B259" s="422" t="s">
        <v>441</v>
      </c>
      <c r="C259" s="423" t="s">
        <v>445</v>
      </c>
      <c r="D259" s="424" t="s">
        <v>649</v>
      </c>
      <c r="E259" s="423" t="s">
        <v>1433</v>
      </c>
      <c r="F259" s="424" t="s">
        <v>1434</v>
      </c>
      <c r="G259" s="423" t="s">
        <v>1175</v>
      </c>
      <c r="H259" s="423" t="s">
        <v>1176</v>
      </c>
      <c r="I259" s="425">
        <v>86.15</v>
      </c>
      <c r="J259" s="425">
        <v>20</v>
      </c>
      <c r="K259" s="426">
        <v>1723.04</v>
      </c>
    </row>
    <row r="260" spans="1:11" ht="14.4" customHeight="1" x14ac:dyDescent="0.3">
      <c r="A260" s="421" t="s">
        <v>440</v>
      </c>
      <c r="B260" s="422" t="s">
        <v>441</v>
      </c>
      <c r="C260" s="423" t="s">
        <v>445</v>
      </c>
      <c r="D260" s="424" t="s">
        <v>649</v>
      </c>
      <c r="E260" s="423" t="s">
        <v>1433</v>
      </c>
      <c r="F260" s="424" t="s">
        <v>1434</v>
      </c>
      <c r="G260" s="423" t="s">
        <v>1177</v>
      </c>
      <c r="H260" s="423" t="s">
        <v>1178</v>
      </c>
      <c r="I260" s="425">
        <v>1012</v>
      </c>
      <c r="J260" s="425">
        <v>6</v>
      </c>
      <c r="K260" s="426">
        <v>6072</v>
      </c>
    </row>
    <row r="261" spans="1:11" ht="14.4" customHeight="1" x14ac:dyDescent="0.3">
      <c r="A261" s="421" t="s">
        <v>440</v>
      </c>
      <c r="B261" s="422" t="s">
        <v>441</v>
      </c>
      <c r="C261" s="423" t="s">
        <v>445</v>
      </c>
      <c r="D261" s="424" t="s">
        <v>649</v>
      </c>
      <c r="E261" s="423" t="s">
        <v>1433</v>
      </c>
      <c r="F261" s="424" t="s">
        <v>1434</v>
      </c>
      <c r="G261" s="423" t="s">
        <v>1179</v>
      </c>
      <c r="H261" s="423" t="s">
        <v>1180</v>
      </c>
      <c r="I261" s="425">
        <v>562.65</v>
      </c>
      <c r="J261" s="425">
        <v>5</v>
      </c>
      <c r="K261" s="426">
        <v>2813.25</v>
      </c>
    </row>
    <row r="262" spans="1:11" ht="14.4" customHeight="1" x14ac:dyDescent="0.3">
      <c r="A262" s="421" t="s">
        <v>440</v>
      </c>
      <c r="B262" s="422" t="s">
        <v>441</v>
      </c>
      <c r="C262" s="423" t="s">
        <v>445</v>
      </c>
      <c r="D262" s="424" t="s">
        <v>649</v>
      </c>
      <c r="E262" s="423" t="s">
        <v>1433</v>
      </c>
      <c r="F262" s="424" t="s">
        <v>1434</v>
      </c>
      <c r="G262" s="423" t="s">
        <v>1181</v>
      </c>
      <c r="H262" s="423" t="s">
        <v>1182</v>
      </c>
      <c r="I262" s="425">
        <v>422.29</v>
      </c>
      <c r="J262" s="425">
        <v>10</v>
      </c>
      <c r="K262" s="426">
        <v>4222.8999999999996</v>
      </c>
    </row>
    <row r="263" spans="1:11" ht="14.4" customHeight="1" x14ac:dyDescent="0.3">
      <c r="A263" s="421" t="s">
        <v>440</v>
      </c>
      <c r="B263" s="422" t="s">
        <v>441</v>
      </c>
      <c r="C263" s="423" t="s">
        <v>445</v>
      </c>
      <c r="D263" s="424" t="s">
        <v>649</v>
      </c>
      <c r="E263" s="423" t="s">
        <v>1433</v>
      </c>
      <c r="F263" s="424" t="s">
        <v>1434</v>
      </c>
      <c r="G263" s="423" t="s">
        <v>1183</v>
      </c>
      <c r="H263" s="423" t="s">
        <v>1184</v>
      </c>
      <c r="I263" s="425">
        <v>1872</v>
      </c>
      <c r="J263" s="425">
        <v>2</v>
      </c>
      <c r="K263" s="426">
        <v>3744</v>
      </c>
    </row>
    <row r="264" spans="1:11" ht="14.4" customHeight="1" x14ac:dyDescent="0.3">
      <c r="A264" s="421" t="s">
        <v>440</v>
      </c>
      <c r="B264" s="422" t="s">
        <v>441</v>
      </c>
      <c r="C264" s="423" t="s">
        <v>445</v>
      </c>
      <c r="D264" s="424" t="s">
        <v>649</v>
      </c>
      <c r="E264" s="423" t="s">
        <v>1433</v>
      </c>
      <c r="F264" s="424" t="s">
        <v>1434</v>
      </c>
      <c r="G264" s="423" t="s">
        <v>1185</v>
      </c>
      <c r="H264" s="423" t="s">
        <v>1186</v>
      </c>
      <c r="I264" s="425">
        <v>548.4</v>
      </c>
      <c r="J264" s="425">
        <v>6</v>
      </c>
      <c r="K264" s="426">
        <v>3290.4</v>
      </c>
    </row>
    <row r="265" spans="1:11" ht="14.4" customHeight="1" x14ac:dyDescent="0.3">
      <c r="A265" s="421" t="s">
        <v>440</v>
      </c>
      <c r="B265" s="422" t="s">
        <v>441</v>
      </c>
      <c r="C265" s="423" t="s">
        <v>445</v>
      </c>
      <c r="D265" s="424" t="s">
        <v>649</v>
      </c>
      <c r="E265" s="423" t="s">
        <v>1433</v>
      </c>
      <c r="F265" s="424" t="s">
        <v>1434</v>
      </c>
      <c r="G265" s="423" t="s">
        <v>1187</v>
      </c>
      <c r="H265" s="423" t="s">
        <v>1188</v>
      </c>
      <c r="I265" s="425">
        <v>3943.35</v>
      </c>
      <c r="J265" s="425">
        <v>1</v>
      </c>
      <c r="K265" s="426">
        <v>3943.35</v>
      </c>
    </row>
    <row r="266" spans="1:11" ht="14.4" customHeight="1" x14ac:dyDescent="0.3">
      <c r="A266" s="421" t="s">
        <v>440</v>
      </c>
      <c r="B266" s="422" t="s">
        <v>441</v>
      </c>
      <c r="C266" s="423" t="s">
        <v>445</v>
      </c>
      <c r="D266" s="424" t="s">
        <v>649</v>
      </c>
      <c r="E266" s="423" t="s">
        <v>1433</v>
      </c>
      <c r="F266" s="424" t="s">
        <v>1434</v>
      </c>
      <c r="G266" s="423" t="s">
        <v>1189</v>
      </c>
      <c r="H266" s="423" t="s">
        <v>1190</v>
      </c>
      <c r="I266" s="425">
        <v>2928.2</v>
      </c>
      <c r="J266" s="425">
        <v>1</v>
      </c>
      <c r="K266" s="426">
        <v>2928.2</v>
      </c>
    </row>
    <row r="267" spans="1:11" ht="14.4" customHeight="1" x14ac:dyDescent="0.3">
      <c r="A267" s="421" t="s">
        <v>440</v>
      </c>
      <c r="B267" s="422" t="s">
        <v>441</v>
      </c>
      <c r="C267" s="423" t="s">
        <v>445</v>
      </c>
      <c r="D267" s="424" t="s">
        <v>649</v>
      </c>
      <c r="E267" s="423" t="s">
        <v>1433</v>
      </c>
      <c r="F267" s="424" t="s">
        <v>1434</v>
      </c>
      <c r="G267" s="423" t="s">
        <v>1191</v>
      </c>
      <c r="H267" s="423" t="s">
        <v>1192</v>
      </c>
      <c r="I267" s="425">
        <v>213.81</v>
      </c>
      <c r="J267" s="425">
        <v>7</v>
      </c>
      <c r="K267" s="426">
        <v>1496.65</v>
      </c>
    </row>
    <row r="268" spans="1:11" ht="14.4" customHeight="1" x14ac:dyDescent="0.3">
      <c r="A268" s="421" t="s">
        <v>440</v>
      </c>
      <c r="B268" s="422" t="s">
        <v>441</v>
      </c>
      <c r="C268" s="423" t="s">
        <v>445</v>
      </c>
      <c r="D268" s="424" t="s">
        <v>649</v>
      </c>
      <c r="E268" s="423" t="s">
        <v>1433</v>
      </c>
      <c r="F268" s="424" t="s">
        <v>1434</v>
      </c>
      <c r="G268" s="423" t="s">
        <v>1193</v>
      </c>
      <c r="H268" s="423" t="s">
        <v>1194</v>
      </c>
      <c r="I268" s="425">
        <v>617.1</v>
      </c>
      <c r="J268" s="425">
        <v>3</v>
      </c>
      <c r="K268" s="426">
        <v>1851.3000000000002</v>
      </c>
    </row>
    <row r="269" spans="1:11" ht="14.4" customHeight="1" x14ac:dyDescent="0.3">
      <c r="A269" s="421" t="s">
        <v>440</v>
      </c>
      <c r="B269" s="422" t="s">
        <v>441</v>
      </c>
      <c r="C269" s="423" t="s">
        <v>445</v>
      </c>
      <c r="D269" s="424" t="s">
        <v>649</v>
      </c>
      <c r="E269" s="423" t="s">
        <v>1433</v>
      </c>
      <c r="F269" s="424" t="s">
        <v>1434</v>
      </c>
      <c r="G269" s="423" t="s">
        <v>1195</v>
      </c>
      <c r="H269" s="423" t="s">
        <v>1196</v>
      </c>
      <c r="I269" s="425">
        <v>1271</v>
      </c>
      <c r="J269" s="425">
        <v>1</v>
      </c>
      <c r="K269" s="426">
        <v>1271</v>
      </c>
    </row>
    <row r="270" spans="1:11" ht="14.4" customHeight="1" x14ac:dyDescent="0.3">
      <c r="A270" s="421" t="s">
        <v>440</v>
      </c>
      <c r="B270" s="422" t="s">
        <v>441</v>
      </c>
      <c r="C270" s="423" t="s">
        <v>445</v>
      </c>
      <c r="D270" s="424" t="s">
        <v>649</v>
      </c>
      <c r="E270" s="423" t="s">
        <v>1433</v>
      </c>
      <c r="F270" s="424" t="s">
        <v>1434</v>
      </c>
      <c r="G270" s="423" t="s">
        <v>1197</v>
      </c>
      <c r="H270" s="423" t="s">
        <v>1198</v>
      </c>
      <c r="I270" s="425">
        <v>59.29</v>
      </c>
      <c r="J270" s="425">
        <v>60</v>
      </c>
      <c r="K270" s="426">
        <v>3557.4</v>
      </c>
    </row>
    <row r="271" spans="1:11" ht="14.4" customHeight="1" x14ac:dyDescent="0.3">
      <c r="A271" s="421" t="s">
        <v>440</v>
      </c>
      <c r="B271" s="422" t="s">
        <v>441</v>
      </c>
      <c r="C271" s="423" t="s">
        <v>445</v>
      </c>
      <c r="D271" s="424" t="s">
        <v>649</v>
      </c>
      <c r="E271" s="423" t="s">
        <v>1433</v>
      </c>
      <c r="F271" s="424" t="s">
        <v>1434</v>
      </c>
      <c r="G271" s="423" t="s">
        <v>1199</v>
      </c>
      <c r="H271" s="423" t="s">
        <v>1200</v>
      </c>
      <c r="I271" s="425">
        <v>849.37</v>
      </c>
      <c r="J271" s="425">
        <v>2</v>
      </c>
      <c r="K271" s="426">
        <v>1698.73</v>
      </c>
    </row>
    <row r="272" spans="1:11" ht="14.4" customHeight="1" x14ac:dyDescent="0.3">
      <c r="A272" s="421" t="s">
        <v>440</v>
      </c>
      <c r="B272" s="422" t="s">
        <v>441</v>
      </c>
      <c r="C272" s="423" t="s">
        <v>445</v>
      </c>
      <c r="D272" s="424" t="s">
        <v>649</v>
      </c>
      <c r="E272" s="423" t="s">
        <v>1433</v>
      </c>
      <c r="F272" s="424" t="s">
        <v>1434</v>
      </c>
      <c r="G272" s="423" t="s">
        <v>1201</v>
      </c>
      <c r="H272" s="423" t="s">
        <v>1202</v>
      </c>
      <c r="I272" s="425">
        <v>3811.5</v>
      </c>
      <c r="J272" s="425">
        <v>1</v>
      </c>
      <c r="K272" s="426">
        <v>3811.5</v>
      </c>
    </row>
    <row r="273" spans="1:11" ht="14.4" customHeight="1" x14ac:dyDescent="0.3">
      <c r="A273" s="421" t="s">
        <v>440</v>
      </c>
      <c r="B273" s="422" t="s">
        <v>441</v>
      </c>
      <c r="C273" s="423" t="s">
        <v>445</v>
      </c>
      <c r="D273" s="424" t="s">
        <v>649</v>
      </c>
      <c r="E273" s="423" t="s">
        <v>1433</v>
      </c>
      <c r="F273" s="424" t="s">
        <v>1434</v>
      </c>
      <c r="G273" s="423" t="s">
        <v>1203</v>
      </c>
      <c r="H273" s="423" t="s">
        <v>1204</v>
      </c>
      <c r="I273" s="425">
        <v>6785</v>
      </c>
      <c r="J273" s="425">
        <v>3</v>
      </c>
      <c r="K273" s="426">
        <v>20355</v>
      </c>
    </row>
    <row r="274" spans="1:11" ht="14.4" customHeight="1" x14ac:dyDescent="0.3">
      <c r="A274" s="421" t="s">
        <v>440</v>
      </c>
      <c r="B274" s="422" t="s">
        <v>441</v>
      </c>
      <c r="C274" s="423" t="s">
        <v>445</v>
      </c>
      <c r="D274" s="424" t="s">
        <v>649</v>
      </c>
      <c r="E274" s="423" t="s">
        <v>1433</v>
      </c>
      <c r="F274" s="424" t="s">
        <v>1434</v>
      </c>
      <c r="G274" s="423" t="s">
        <v>1205</v>
      </c>
      <c r="H274" s="423" t="s">
        <v>1206</v>
      </c>
      <c r="I274" s="425">
        <v>3156.75</v>
      </c>
      <c r="J274" s="425">
        <v>2</v>
      </c>
      <c r="K274" s="426">
        <v>6313.5</v>
      </c>
    </row>
    <row r="275" spans="1:11" ht="14.4" customHeight="1" x14ac:dyDescent="0.3">
      <c r="A275" s="421" t="s">
        <v>440</v>
      </c>
      <c r="B275" s="422" t="s">
        <v>441</v>
      </c>
      <c r="C275" s="423" t="s">
        <v>445</v>
      </c>
      <c r="D275" s="424" t="s">
        <v>649</v>
      </c>
      <c r="E275" s="423" t="s">
        <v>1433</v>
      </c>
      <c r="F275" s="424" t="s">
        <v>1434</v>
      </c>
      <c r="G275" s="423" t="s">
        <v>1207</v>
      </c>
      <c r="H275" s="423" t="s">
        <v>1208</v>
      </c>
      <c r="I275" s="425">
        <v>71.39</v>
      </c>
      <c r="J275" s="425">
        <v>60</v>
      </c>
      <c r="K275" s="426">
        <v>4283.3999999999996</v>
      </c>
    </row>
    <row r="276" spans="1:11" ht="14.4" customHeight="1" x14ac:dyDescent="0.3">
      <c r="A276" s="421" t="s">
        <v>440</v>
      </c>
      <c r="B276" s="422" t="s">
        <v>441</v>
      </c>
      <c r="C276" s="423" t="s">
        <v>445</v>
      </c>
      <c r="D276" s="424" t="s">
        <v>649</v>
      </c>
      <c r="E276" s="423" t="s">
        <v>1433</v>
      </c>
      <c r="F276" s="424" t="s">
        <v>1434</v>
      </c>
      <c r="G276" s="423" t="s">
        <v>1209</v>
      </c>
      <c r="H276" s="423" t="s">
        <v>1210</v>
      </c>
      <c r="I276" s="425">
        <v>6785</v>
      </c>
      <c r="J276" s="425">
        <v>1</v>
      </c>
      <c r="K276" s="426">
        <v>6785</v>
      </c>
    </row>
    <row r="277" spans="1:11" ht="14.4" customHeight="1" x14ac:dyDescent="0.3">
      <c r="A277" s="421" t="s">
        <v>440</v>
      </c>
      <c r="B277" s="422" t="s">
        <v>441</v>
      </c>
      <c r="C277" s="423" t="s">
        <v>445</v>
      </c>
      <c r="D277" s="424" t="s">
        <v>649</v>
      </c>
      <c r="E277" s="423" t="s">
        <v>1433</v>
      </c>
      <c r="F277" s="424" t="s">
        <v>1434</v>
      </c>
      <c r="G277" s="423" t="s">
        <v>1211</v>
      </c>
      <c r="H277" s="423" t="s">
        <v>1212</v>
      </c>
      <c r="I277" s="425">
        <v>689.65</v>
      </c>
      <c r="J277" s="425">
        <v>1</v>
      </c>
      <c r="K277" s="426">
        <v>689.65</v>
      </c>
    </row>
    <row r="278" spans="1:11" ht="14.4" customHeight="1" x14ac:dyDescent="0.3">
      <c r="A278" s="421" t="s">
        <v>440</v>
      </c>
      <c r="B278" s="422" t="s">
        <v>441</v>
      </c>
      <c r="C278" s="423" t="s">
        <v>445</v>
      </c>
      <c r="D278" s="424" t="s">
        <v>649</v>
      </c>
      <c r="E278" s="423" t="s">
        <v>1433</v>
      </c>
      <c r="F278" s="424" t="s">
        <v>1434</v>
      </c>
      <c r="G278" s="423" t="s">
        <v>1213</v>
      </c>
      <c r="H278" s="423" t="s">
        <v>1214</v>
      </c>
      <c r="I278" s="425">
        <v>151.73333333333335</v>
      </c>
      <c r="J278" s="425">
        <v>5</v>
      </c>
      <c r="K278" s="426">
        <v>752.92000000000007</v>
      </c>
    </row>
    <row r="279" spans="1:11" ht="14.4" customHeight="1" x14ac:dyDescent="0.3">
      <c r="A279" s="421" t="s">
        <v>440</v>
      </c>
      <c r="B279" s="422" t="s">
        <v>441</v>
      </c>
      <c r="C279" s="423" t="s">
        <v>445</v>
      </c>
      <c r="D279" s="424" t="s">
        <v>649</v>
      </c>
      <c r="E279" s="423" t="s">
        <v>1433</v>
      </c>
      <c r="F279" s="424" t="s">
        <v>1434</v>
      </c>
      <c r="G279" s="423" t="s">
        <v>1215</v>
      </c>
      <c r="H279" s="423" t="s">
        <v>1216</v>
      </c>
      <c r="I279" s="425">
        <v>1443.25</v>
      </c>
      <c r="J279" s="425">
        <v>4</v>
      </c>
      <c r="K279" s="426">
        <v>5773</v>
      </c>
    </row>
    <row r="280" spans="1:11" ht="14.4" customHeight="1" x14ac:dyDescent="0.3">
      <c r="A280" s="421" t="s">
        <v>440</v>
      </c>
      <c r="B280" s="422" t="s">
        <v>441</v>
      </c>
      <c r="C280" s="423" t="s">
        <v>445</v>
      </c>
      <c r="D280" s="424" t="s">
        <v>649</v>
      </c>
      <c r="E280" s="423" t="s">
        <v>1433</v>
      </c>
      <c r="F280" s="424" t="s">
        <v>1434</v>
      </c>
      <c r="G280" s="423" t="s">
        <v>1217</v>
      </c>
      <c r="H280" s="423" t="s">
        <v>1218</v>
      </c>
      <c r="I280" s="425">
        <v>516.01</v>
      </c>
      <c r="J280" s="425">
        <v>3</v>
      </c>
      <c r="K280" s="426">
        <v>1548.03</v>
      </c>
    </row>
    <row r="281" spans="1:11" ht="14.4" customHeight="1" x14ac:dyDescent="0.3">
      <c r="A281" s="421" t="s">
        <v>440</v>
      </c>
      <c r="B281" s="422" t="s">
        <v>441</v>
      </c>
      <c r="C281" s="423" t="s">
        <v>445</v>
      </c>
      <c r="D281" s="424" t="s">
        <v>649</v>
      </c>
      <c r="E281" s="423" t="s">
        <v>1433</v>
      </c>
      <c r="F281" s="424" t="s">
        <v>1434</v>
      </c>
      <c r="G281" s="423" t="s">
        <v>1219</v>
      </c>
      <c r="H281" s="423" t="s">
        <v>1220</v>
      </c>
      <c r="I281" s="425">
        <v>390.83</v>
      </c>
      <c r="J281" s="425">
        <v>4</v>
      </c>
      <c r="K281" s="426">
        <v>1563.32</v>
      </c>
    </row>
    <row r="282" spans="1:11" ht="14.4" customHeight="1" x14ac:dyDescent="0.3">
      <c r="A282" s="421" t="s">
        <v>440</v>
      </c>
      <c r="B282" s="422" t="s">
        <v>441</v>
      </c>
      <c r="C282" s="423" t="s">
        <v>445</v>
      </c>
      <c r="D282" s="424" t="s">
        <v>649</v>
      </c>
      <c r="E282" s="423" t="s">
        <v>1433</v>
      </c>
      <c r="F282" s="424" t="s">
        <v>1434</v>
      </c>
      <c r="G282" s="423" t="s">
        <v>1221</v>
      </c>
      <c r="H282" s="423" t="s">
        <v>1222</v>
      </c>
      <c r="I282" s="425">
        <v>141.55000000000001</v>
      </c>
      <c r="J282" s="425">
        <v>10</v>
      </c>
      <c r="K282" s="426">
        <v>1415.54</v>
      </c>
    </row>
    <row r="283" spans="1:11" ht="14.4" customHeight="1" x14ac:dyDescent="0.3">
      <c r="A283" s="421" t="s">
        <v>440</v>
      </c>
      <c r="B283" s="422" t="s">
        <v>441</v>
      </c>
      <c r="C283" s="423" t="s">
        <v>445</v>
      </c>
      <c r="D283" s="424" t="s">
        <v>649</v>
      </c>
      <c r="E283" s="423" t="s">
        <v>1433</v>
      </c>
      <c r="F283" s="424" t="s">
        <v>1434</v>
      </c>
      <c r="G283" s="423" t="s">
        <v>1223</v>
      </c>
      <c r="H283" s="423" t="s">
        <v>1224</v>
      </c>
      <c r="I283" s="425">
        <v>2139.6833333333329</v>
      </c>
      <c r="J283" s="425">
        <v>7</v>
      </c>
      <c r="K283" s="426">
        <v>8669.65</v>
      </c>
    </row>
    <row r="284" spans="1:11" ht="14.4" customHeight="1" x14ac:dyDescent="0.3">
      <c r="A284" s="421" t="s">
        <v>440</v>
      </c>
      <c r="B284" s="422" t="s">
        <v>441</v>
      </c>
      <c r="C284" s="423" t="s">
        <v>445</v>
      </c>
      <c r="D284" s="424" t="s">
        <v>649</v>
      </c>
      <c r="E284" s="423" t="s">
        <v>1433</v>
      </c>
      <c r="F284" s="424" t="s">
        <v>1434</v>
      </c>
      <c r="G284" s="423" t="s">
        <v>1225</v>
      </c>
      <c r="H284" s="423" t="s">
        <v>1226</v>
      </c>
      <c r="I284" s="425">
        <v>163.22999999999999</v>
      </c>
      <c r="J284" s="425">
        <v>4</v>
      </c>
      <c r="K284" s="426">
        <v>652.91999999999996</v>
      </c>
    </row>
    <row r="285" spans="1:11" ht="14.4" customHeight="1" x14ac:dyDescent="0.3">
      <c r="A285" s="421" t="s">
        <v>440</v>
      </c>
      <c r="B285" s="422" t="s">
        <v>441</v>
      </c>
      <c r="C285" s="423" t="s">
        <v>445</v>
      </c>
      <c r="D285" s="424" t="s">
        <v>649</v>
      </c>
      <c r="E285" s="423" t="s">
        <v>1433</v>
      </c>
      <c r="F285" s="424" t="s">
        <v>1434</v>
      </c>
      <c r="G285" s="423" t="s">
        <v>1227</v>
      </c>
      <c r="H285" s="423" t="s">
        <v>1228</v>
      </c>
      <c r="I285" s="425">
        <v>676</v>
      </c>
      <c r="J285" s="425">
        <v>3</v>
      </c>
      <c r="K285" s="426">
        <v>2028.01</v>
      </c>
    </row>
    <row r="286" spans="1:11" ht="14.4" customHeight="1" x14ac:dyDescent="0.3">
      <c r="A286" s="421" t="s">
        <v>440</v>
      </c>
      <c r="B286" s="422" t="s">
        <v>441</v>
      </c>
      <c r="C286" s="423" t="s">
        <v>445</v>
      </c>
      <c r="D286" s="424" t="s">
        <v>649</v>
      </c>
      <c r="E286" s="423" t="s">
        <v>1433</v>
      </c>
      <c r="F286" s="424" t="s">
        <v>1434</v>
      </c>
      <c r="G286" s="423" t="s">
        <v>1229</v>
      </c>
      <c r="H286" s="423" t="s">
        <v>1230</v>
      </c>
      <c r="I286" s="425">
        <v>2051.5150000000003</v>
      </c>
      <c r="J286" s="425">
        <v>2</v>
      </c>
      <c r="K286" s="426">
        <v>4103.0300000000007</v>
      </c>
    </row>
    <row r="287" spans="1:11" ht="14.4" customHeight="1" x14ac:dyDescent="0.3">
      <c r="A287" s="421" t="s">
        <v>440</v>
      </c>
      <c r="B287" s="422" t="s">
        <v>441</v>
      </c>
      <c r="C287" s="423" t="s">
        <v>445</v>
      </c>
      <c r="D287" s="424" t="s">
        <v>649</v>
      </c>
      <c r="E287" s="423" t="s">
        <v>1433</v>
      </c>
      <c r="F287" s="424" t="s">
        <v>1434</v>
      </c>
      <c r="G287" s="423" t="s">
        <v>1231</v>
      </c>
      <c r="H287" s="423" t="s">
        <v>1232</v>
      </c>
      <c r="I287" s="425">
        <v>863.88</v>
      </c>
      <c r="J287" s="425">
        <v>1</v>
      </c>
      <c r="K287" s="426">
        <v>863.88</v>
      </c>
    </row>
    <row r="288" spans="1:11" ht="14.4" customHeight="1" x14ac:dyDescent="0.3">
      <c r="A288" s="421" t="s">
        <v>440</v>
      </c>
      <c r="B288" s="422" t="s">
        <v>441</v>
      </c>
      <c r="C288" s="423" t="s">
        <v>445</v>
      </c>
      <c r="D288" s="424" t="s">
        <v>649</v>
      </c>
      <c r="E288" s="423" t="s">
        <v>1433</v>
      </c>
      <c r="F288" s="424" t="s">
        <v>1434</v>
      </c>
      <c r="G288" s="423" t="s">
        <v>1233</v>
      </c>
      <c r="H288" s="423" t="s">
        <v>1234</v>
      </c>
      <c r="I288" s="425">
        <v>2078.3000000000002</v>
      </c>
      <c r="J288" s="425">
        <v>3</v>
      </c>
      <c r="K288" s="426">
        <v>6234.9000000000005</v>
      </c>
    </row>
    <row r="289" spans="1:11" ht="14.4" customHeight="1" x14ac:dyDescent="0.3">
      <c r="A289" s="421" t="s">
        <v>440</v>
      </c>
      <c r="B289" s="422" t="s">
        <v>441</v>
      </c>
      <c r="C289" s="423" t="s">
        <v>445</v>
      </c>
      <c r="D289" s="424" t="s">
        <v>649</v>
      </c>
      <c r="E289" s="423" t="s">
        <v>1433</v>
      </c>
      <c r="F289" s="424" t="s">
        <v>1434</v>
      </c>
      <c r="G289" s="423" t="s">
        <v>1235</v>
      </c>
      <c r="H289" s="423" t="s">
        <v>1236</v>
      </c>
      <c r="I289" s="425">
        <v>516</v>
      </c>
      <c r="J289" s="425">
        <v>1</v>
      </c>
      <c r="K289" s="426">
        <v>516</v>
      </c>
    </row>
    <row r="290" spans="1:11" ht="14.4" customHeight="1" x14ac:dyDescent="0.3">
      <c r="A290" s="421" t="s">
        <v>440</v>
      </c>
      <c r="B290" s="422" t="s">
        <v>441</v>
      </c>
      <c r="C290" s="423" t="s">
        <v>445</v>
      </c>
      <c r="D290" s="424" t="s">
        <v>649</v>
      </c>
      <c r="E290" s="423" t="s">
        <v>1433</v>
      </c>
      <c r="F290" s="424" t="s">
        <v>1434</v>
      </c>
      <c r="G290" s="423" t="s">
        <v>1237</v>
      </c>
      <c r="H290" s="423" t="s">
        <v>1238</v>
      </c>
      <c r="I290" s="425">
        <v>3156.75</v>
      </c>
      <c r="J290" s="425">
        <v>1</v>
      </c>
      <c r="K290" s="426">
        <v>3156.75</v>
      </c>
    </row>
    <row r="291" spans="1:11" ht="14.4" customHeight="1" x14ac:dyDescent="0.3">
      <c r="A291" s="421" t="s">
        <v>440</v>
      </c>
      <c r="B291" s="422" t="s">
        <v>441</v>
      </c>
      <c r="C291" s="423" t="s">
        <v>445</v>
      </c>
      <c r="D291" s="424" t="s">
        <v>649</v>
      </c>
      <c r="E291" s="423" t="s">
        <v>1433</v>
      </c>
      <c r="F291" s="424" t="s">
        <v>1434</v>
      </c>
      <c r="G291" s="423" t="s">
        <v>1239</v>
      </c>
      <c r="H291" s="423" t="s">
        <v>1240</v>
      </c>
      <c r="I291" s="425">
        <v>64.13</v>
      </c>
      <c r="J291" s="425">
        <v>30</v>
      </c>
      <c r="K291" s="426">
        <v>1924</v>
      </c>
    </row>
    <row r="292" spans="1:11" ht="14.4" customHeight="1" x14ac:dyDescent="0.3">
      <c r="A292" s="421" t="s">
        <v>440</v>
      </c>
      <c r="B292" s="422" t="s">
        <v>441</v>
      </c>
      <c r="C292" s="423" t="s">
        <v>445</v>
      </c>
      <c r="D292" s="424" t="s">
        <v>649</v>
      </c>
      <c r="E292" s="423" t="s">
        <v>1433</v>
      </c>
      <c r="F292" s="424" t="s">
        <v>1434</v>
      </c>
      <c r="G292" s="423" t="s">
        <v>1241</v>
      </c>
      <c r="H292" s="423" t="s">
        <v>1242</v>
      </c>
      <c r="I292" s="425">
        <v>19816</v>
      </c>
      <c r="J292" s="425">
        <v>1</v>
      </c>
      <c r="K292" s="426">
        <v>19816</v>
      </c>
    </row>
    <row r="293" spans="1:11" ht="14.4" customHeight="1" x14ac:dyDescent="0.3">
      <c r="A293" s="421" t="s">
        <v>440</v>
      </c>
      <c r="B293" s="422" t="s">
        <v>441</v>
      </c>
      <c r="C293" s="423" t="s">
        <v>445</v>
      </c>
      <c r="D293" s="424" t="s">
        <v>649</v>
      </c>
      <c r="E293" s="423" t="s">
        <v>1433</v>
      </c>
      <c r="F293" s="424" t="s">
        <v>1434</v>
      </c>
      <c r="G293" s="423" t="s">
        <v>1243</v>
      </c>
      <c r="H293" s="423" t="s">
        <v>1244</v>
      </c>
      <c r="I293" s="425">
        <v>979</v>
      </c>
      <c r="J293" s="425">
        <v>3</v>
      </c>
      <c r="K293" s="426">
        <v>2937.01</v>
      </c>
    </row>
    <row r="294" spans="1:11" ht="14.4" customHeight="1" x14ac:dyDescent="0.3">
      <c r="A294" s="421" t="s">
        <v>440</v>
      </c>
      <c r="B294" s="422" t="s">
        <v>441</v>
      </c>
      <c r="C294" s="423" t="s">
        <v>445</v>
      </c>
      <c r="D294" s="424" t="s">
        <v>649</v>
      </c>
      <c r="E294" s="423" t="s">
        <v>1433</v>
      </c>
      <c r="F294" s="424" t="s">
        <v>1434</v>
      </c>
      <c r="G294" s="423" t="s">
        <v>1245</v>
      </c>
      <c r="H294" s="423" t="s">
        <v>1246</v>
      </c>
      <c r="I294" s="425">
        <v>3943.3500000000004</v>
      </c>
      <c r="J294" s="425">
        <v>13</v>
      </c>
      <c r="K294" s="426">
        <v>51263.55</v>
      </c>
    </row>
    <row r="295" spans="1:11" ht="14.4" customHeight="1" x14ac:dyDescent="0.3">
      <c r="A295" s="421" t="s">
        <v>440</v>
      </c>
      <c r="B295" s="422" t="s">
        <v>441</v>
      </c>
      <c r="C295" s="423" t="s">
        <v>445</v>
      </c>
      <c r="D295" s="424" t="s">
        <v>649</v>
      </c>
      <c r="E295" s="423" t="s">
        <v>1433</v>
      </c>
      <c r="F295" s="424" t="s">
        <v>1434</v>
      </c>
      <c r="G295" s="423" t="s">
        <v>1247</v>
      </c>
      <c r="H295" s="423" t="s">
        <v>1248</v>
      </c>
      <c r="I295" s="425">
        <v>53.94</v>
      </c>
      <c r="J295" s="425">
        <v>10</v>
      </c>
      <c r="K295" s="426">
        <v>539.39</v>
      </c>
    </row>
    <row r="296" spans="1:11" ht="14.4" customHeight="1" x14ac:dyDescent="0.3">
      <c r="A296" s="421" t="s">
        <v>440</v>
      </c>
      <c r="B296" s="422" t="s">
        <v>441</v>
      </c>
      <c r="C296" s="423" t="s">
        <v>445</v>
      </c>
      <c r="D296" s="424" t="s">
        <v>649</v>
      </c>
      <c r="E296" s="423" t="s">
        <v>1433</v>
      </c>
      <c r="F296" s="424" t="s">
        <v>1434</v>
      </c>
      <c r="G296" s="423" t="s">
        <v>1249</v>
      </c>
      <c r="H296" s="423" t="s">
        <v>1250</v>
      </c>
      <c r="I296" s="425">
        <v>1088</v>
      </c>
      <c r="J296" s="425">
        <v>1</v>
      </c>
      <c r="K296" s="426">
        <v>1088</v>
      </c>
    </row>
    <row r="297" spans="1:11" ht="14.4" customHeight="1" x14ac:dyDescent="0.3">
      <c r="A297" s="421" t="s">
        <v>440</v>
      </c>
      <c r="B297" s="422" t="s">
        <v>441</v>
      </c>
      <c r="C297" s="423" t="s">
        <v>445</v>
      </c>
      <c r="D297" s="424" t="s">
        <v>649</v>
      </c>
      <c r="E297" s="423" t="s">
        <v>1433</v>
      </c>
      <c r="F297" s="424" t="s">
        <v>1434</v>
      </c>
      <c r="G297" s="423" t="s">
        <v>1251</v>
      </c>
      <c r="H297" s="423" t="s">
        <v>1252</v>
      </c>
      <c r="I297" s="425">
        <v>348.45</v>
      </c>
      <c r="J297" s="425">
        <v>2</v>
      </c>
      <c r="K297" s="426">
        <v>696.91</v>
      </c>
    </row>
    <row r="298" spans="1:11" ht="14.4" customHeight="1" x14ac:dyDescent="0.3">
      <c r="A298" s="421" t="s">
        <v>440</v>
      </c>
      <c r="B298" s="422" t="s">
        <v>441</v>
      </c>
      <c r="C298" s="423" t="s">
        <v>445</v>
      </c>
      <c r="D298" s="424" t="s">
        <v>649</v>
      </c>
      <c r="E298" s="423" t="s">
        <v>1433</v>
      </c>
      <c r="F298" s="424" t="s">
        <v>1434</v>
      </c>
      <c r="G298" s="423" t="s">
        <v>1253</v>
      </c>
      <c r="H298" s="423" t="s">
        <v>1254</v>
      </c>
      <c r="I298" s="425">
        <v>166.98</v>
      </c>
      <c r="J298" s="425">
        <v>5</v>
      </c>
      <c r="K298" s="426">
        <v>834.9</v>
      </c>
    </row>
    <row r="299" spans="1:11" ht="14.4" customHeight="1" x14ac:dyDescent="0.3">
      <c r="A299" s="421" t="s">
        <v>440</v>
      </c>
      <c r="B299" s="422" t="s">
        <v>441</v>
      </c>
      <c r="C299" s="423" t="s">
        <v>445</v>
      </c>
      <c r="D299" s="424" t="s">
        <v>649</v>
      </c>
      <c r="E299" s="423" t="s">
        <v>1433</v>
      </c>
      <c r="F299" s="424" t="s">
        <v>1434</v>
      </c>
      <c r="G299" s="423" t="s">
        <v>1255</v>
      </c>
      <c r="H299" s="423" t="s">
        <v>1256</v>
      </c>
      <c r="I299" s="425">
        <v>863.88</v>
      </c>
      <c r="J299" s="425">
        <v>1</v>
      </c>
      <c r="K299" s="426">
        <v>863.88</v>
      </c>
    </row>
    <row r="300" spans="1:11" ht="14.4" customHeight="1" x14ac:dyDescent="0.3">
      <c r="A300" s="421" t="s">
        <v>440</v>
      </c>
      <c r="B300" s="422" t="s">
        <v>441</v>
      </c>
      <c r="C300" s="423" t="s">
        <v>445</v>
      </c>
      <c r="D300" s="424" t="s">
        <v>649</v>
      </c>
      <c r="E300" s="423" t="s">
        <v>1433</v>
      </c>
      <c r="F300" s="424" t="s">
        <v>1434</v>
      </c>
      <c r="G300" s="423" t="s">
        <v>1257</v>
      </c>
      <c r="H300" s="423" t="s">
        <v>1258</v>
      </c>
      <c r="I300" s="425">
        <v>2402</v>
      </c>
      <c r="J300" s="425">
        <v>3</v>
      </c>
      <c r="K300" s="426">
        <v>7206</v>
      </c>
    </row>
    <row r="301" spans="1:11" ht="14.4" customHeight="1" x14ac:dyDescent="0.3">
      <c r="A301" s="421" t="s">
        <v>440</v>
      </c>
      <c r="B301" s="422" t="s">
        <v>441</v>
      </c>
      <c r="C301" s="423" t="s">
        <v>445</v>
      </c>
      <c r="D301" s="424" t="s">
        <v>649</v>
      </c>
      <c r="E301" s="423" t="s">
        <v>1433</v>
      </c>
      <c r="F301" s="424" t="s">
        <v>1434</v>
      </c>
      <c r="G301" s="423" t="s">
        <v>1259</v>
      </c>
      <c r="H301" s="423" t="s">
        <v>1260</v>
      </c>
      <c r="I301" s="425">
        <v>0.93</v>
      </c>
      <c r="J301" s="425">
        <v>500</v>
      </c>
      <c r="K301" s="426">
        <v>463.43</v>
      </c>
    </row>
    <row r="302" spans="1:11" ht="14.4" customHeight="1" x14ac:dyDescent="0.3">
      <c r="A302" s="421" t="s">
        <v>440</v>
      </c>
      <c r="B302" s="422" t="s">
        <v>441</v>
      </c>
      <c r="C302" s="423" t="s">
        <v>445</v>
      </c>
      <c r="D302" s="424" t="s">
        <v>649</v>
      </c>
      <c r="E302" s="423" t="s">
        <v>1433</v>
      </c>
      <c r="F302" s="424" t="s">
        <v>1434</v>
      </c>
      <c r="G302" s="423" t="s">
        <v>1261</v>
      </c>
      <c r="H302" s="423" t="s">
        <v>1262</v>
      </c>
      <c r="I302" s="425">
        <v>2042.48</v>
      </c>
      <c r="J302" s="425">
        <v>1</v>
      </c>
      <c r="K302" s="426">
        <v>2042.48</v>
      </c>
    </row>
    <row r="303" spans="1:11" ht="14.4" customHeight="1" x14ac:dyDescent="0.3">
      <c r="A303" s="421" t="s">
        <v>440</v>
      </c>
      <c r="B303" s="422" t="s">
        <v>441</v>
      </c>
      <c r="C303" s="423" t="s">
        <v>445</v>
      </c>
      <c r="D303" s="424" t="s">
        <v>649</v>
      </c>
      <c r="E303" s="423" t="s">
        <v>1433</v>
      </c>
      <c r="F303" s="424" t="s">
        <v>1434</v>
      </c>
      <c r="G303" s="423" t="s">
        <v>1263</v>
      </c>
      <c r="H303" s="423" t="s">
        <v>1264</v>
      </c>
      <c r="I303" s="425">
        <v>2916.1</v>
      </c>
      <c r="J303" s="425">
        <v>1</v>
      </c>
      <c r="K303" s="426">
        <v>2916.1</v>
      </c>
    </row>
    <row r="304" spans="1:11" ht="14.4" customHeight="1" x14ac:dyDescent="0.3">
      <c r="A304" s="421" t="s">
        <v>440</v>
      </c>
      <c r="B304" s="422" t="s">
        <v>441</v>
      </c>
      <c r="C304" s="423" t="s">
        <v>445</v>
      </c>
      <c r="D304" s="424" t="s">
        <v>649</v>
      </c>
      <c r="E304" s="423" t="s">
        <v>1433</v>
      </c>
      <c r="F304" s="424" t="s">
        <v>1434</v>
      </c>
      <c r="G304" s="423" t="s">
        <v>1265</v>
      </c>
      <c r="H304" s="423" t="s">
        <v>1266</v>
      </c>
      <c r="I304" s="425">
        <v>379.44</v>
      </c>
      <c r="J304" s="425">
        <v>8</v>
      </c>
      <c r="K304" s="426">
        <v>3035.51</v>
      </c>
    </row>
    <row r="305" spans="1:11" ht="14.4" customHeight="1" x14ac:dyDescent="0.3">
      <c r="A305" s="421" t="s">
        <v>440</v>
      </c>
      <c r="B305" s="422" t="s">
        <v>441</v>
      </c>
      <c r="C305" s="423" t="s">
        <v>445</v>
      </c>
      <c r="D305" s="424" t="s">
        <v>649</v>
      </c>
      <c r="E305" s="423" t="s">
        <v>1433</v>
      </c>
      <c r="F305" s="424" t="s">
        <v>1434</v>
      </c>
      <c r="G305" s="423" t="s">
        <v>1267</v>
      </c>
      <c r="H305" s="423" t="s">
        <v>1268</v>
      </c>
      <c r="I305" s="425">
        <v>252.89</v>
      </c>
      <c r="J305" s="425">
        <v>3</v>
      </c>
      <c r="K305" s="426">
        <v>758.67</v>
      </c>
    </row>
    <row r="306" spans="1:11" ht="14.4" customHeight="1" x14ac:dyDescent="0.3">
      <c r="A306" s="421" t="s">
        <v>440</v>
      </c>
      <c r="B306" s="422" t="s">
        <v>441</v>
      </c>
      <c r="C306" s="423" t="s">
        <v>445</v>
      </c>
      <c r="D306" s="424" t="s">
        <v>649</v>
      </c>
      <c r="E306" s="423" t="s">
        <v>1433</v>
      </c>
      <c r="F306" s="424" t="s">
        <v>1434</v>
      </c>
      <c r="G306" s="423" t="s">
        <v>1269</v>
      </c>
      <c r="H306" s="423" t="s">
        <v>1270</v>
      </c>
      <c r="I306" s="425">
        <v>465.85</v>
      </c>
      <c r="J306" s="425">
        <v>2</v>
      </c>
      <c r="K306" s="426">
        <v>931.7</v>
      </c>
    </row>
    <row r="307" spans="1:11" ht="14.4" customHeight="1" x14ac:dyDescent="0.3">
      <c r="A307" s="421" t="s">
        <v>440</v>
      </c>
      <c r="B307" s="422" t="s">
        <v>441</v>
      </c>
      <c r="C307" s="423" t="s">
        <v>445</v>
      </c>
      <c r="D307" s="424" t="s">
        <v>649</v>
      </c>
      <c r="E307" s="423" t="s">
        <v>1433</v>
      </c>
      <c r="F307" s="424" t="s">
        <v>1434</v>
      </c>
      <c r="G307" s="423" t="s">
        <v>1271</v>
      </c>
      <c r="H307" s="423" t="s">
        <v>1272</v>
      </c>
      <c r="I307" s="425">
        <v>3943.35</v>
      </c>
      <c r="J307" s="425">
        <v>2</v>
      </c>
      <c r="K307" s="426">
        <v>7886.7</v>
      </c>
    </row>
    <row r="308" spans="1:11" ht="14.4" customHeight="1" x14ac:dyDescent="0.3">
      <c r="A308" s="421" t="s">
        <v>440</v>
      </c>
      <c r="B308" s="422" t="s">
        <v>441</v>
      </c>
      <c r="C308" s="423" t="s">
        <v>445</v>
      </c>
      <c r="D308" s="424" t="s">
        <v>649</v>
      </c>
      <c r="E308" s="423" t="s">
        <v>1433</v>
      </c>
      <c r="F308" s="424" t="s">
        <v>1434</v>
      </c>
      <c r="G308" s="423" t="s">
        <v>1273</v>
      </c>
      <c r="H308" s="423" t="s">
        <v>1274</v>
      </c>
      <c r="I308" s="425">
        <v>232.05</v>
      </c>
      <c r="J308" s="425">
        <v>3</v>
      </c>
      <c r="K308" s="426">
        <v>696.15</v>
      </c>
    </row>
    <row r="309" spans="1:11" ht="14.4" customHeight="1" x14ac:dyDescent="0.3">
      <c r="A309" s="421" t="s">
        <v>440</v>
      </c>
      <c r="B309" s="422" t="s">
        <v>441</v>
      </c>
      <c r="C309" s="423" t="s">
        <v>445</v>
      </c>
      <c r="D309" s="424" t="s">
        <v>649</v>
      </c>
      <c r="E309" s="423" t="s">
        <v>1433</v>
      </c>
      <c r="F309" s="424" t="s">
        <v>1434</v>
      </c>
      <c r="G309" s="423" t="s">
        <v>1275</v>
      </c>
      <c r="H309" s="423" t="s">
        <v>1276</v>
      </c>
      <c r="I309" s="425">
        <v>3049.2</v>
      </c>
      <c r="J309" s="425">
        <v>1</v>
      </c>
      <c r="K309" s="426">
        <v>3049.2</v>
      </c>
    </row>
    <row r="310" spans="1:11" ht="14.4" customHeight="1" x14ac:dyDescent="0.3">
      <c r="A310" s="421" t="s">
        <v>440</v>
      </c>
      <c r="B310" s="422" t="s">
        <v>441</v>
      </c>
      <c r="C310" s="423" t="s">
        <v>445</v>
      </c>
      <c r="D310" s="424" t="s">
        <v>649</v>
      </c>
      <c r="E310" s="423" t="s">
        <v>1433</v>
      </c>
      <c r="F310" s="424" t="s">
        <v>1434</v>
      </c>
      <c r="G310" s="423" t="s">
        <v>1277</v>
      </c>
      <c r="H310" s="423" t="s">
        <v>1278</v>
      </c>
      <c r="I310" s="425">
        <v>53.94</v>
      </c>
      <c r="J310" s="425">
        <v>10</v>
      </c>
      <c r="K310" s="426">
        <v>539.39</v>
      </c>
    </row>
    <row r="311" spans="1:11" ht="14.4" customHeight="1" x14ac:dyDescent="0.3">
      <c r="A311" s="421" t="s">
        <v>440</v>
      </c>
      <c r="B311" s="422" t="s">
        <v>441</v>
      </c>
      <c r="C311" s="423" t="s">
        <v>445</v>
      </c>
      <c r="D311" s="424" t="s">
        <v>649</v>
      </c>
      <c r="E311" s="423" t="s">
        <v>1433</v>
      </c>
      <c r="F311" s="424" t="s">
        <v>1434</v>
      </c>
      <c r="G311" s="423" t="s">
        <v>1279</v>
      </c>
      <c r="H311" s="423" t="s">
        <v>1280</v>
      </c>
      <c r="I311" s="425">
        <v>131.66</v>
      </c>
      <c r="J311" s="425">
        <v>6</v>
      </c>
      <c r="K311" s="426">
        <v>789.99</v>
      </c>
    </row>
    <row r="312" spans="1:11" ht="14.4" customHeight="1" x14ac:dyDescent="0.3">
      <c r="A312" s="421" t="s">
        <v>440</v>
      </c>
      <c r="B312" s="422" t="s">
        <v>441</v>
      </c>
      <c r="C312" s="423" t="s">
        <v>445</v>
      </c>
      <c r="D312" s="424" t="s">
        <v>649</v>
      </c>
      <c r="E312" s="423" t="s">
        <v>1433</v>
      </c>
      <c r="F312" s="424" t="s">
        <v>1434</v>
      </c>
      <c r="G312" s="423" t="s">
        <v>1281</v>
      </c>
      <c r="H312" s="423" t="s">
        <v>1282</v>
      </c>
      <c r="I312" s="425">
        <v>865.15</v>
      </c>
      <c r="J312" s="425">
        <v>1</v>
      </c>
      <c r="K312" s="426">
        <v>865.15</v>
      </c>
    </row>
    <row r="313" spans="1:11" ht="14.4" customHeight="1" x14ac:dyDescent="0.3">
      <c r="A313" s="421" t="s">
        <v>440</v>
      </c>
      <c r="B313" s="422" t="s">
        <v>441</v>
      </c>
      <c r="C313" s="423" t="s">
        <v>445</v>
      </c>
      <c r="D313" s="424" t="s">
        <v>649</v>
      </c>
      <c r="E313" s="423" t="s">
        <v>1433</v>
      </c>
      <c r="F313" s="424" t="s">
        <v>1434</v>
      </c>
      <c r="G313" s="423" t="s">
        <v>1283</v>
      </c>
      <c r="H313" s="423" t="s">
        <v>1284</v>
      </c>
      <c r="I313" s="425">
        <v>511.5</v>
      </c>
      <c r="J313" s="425">
        <v>7</v>
      </c>
      <c r="K313" s="426">
        <v>3580.5</v>
      </c>
    </row>
    <row r="314" spans="1:11" ht="14.4" customHeight="1" x14ac:dyDescent="0.3">
      <c r="A314" s="421" t="s">
        <v>440</v>
      </c>
      <c r="B314" s="422" t="s">
        <v>441</v>
      </c>
      <c r="C314" s="423" t="s">
        <v>445</v>
      </c>
      <c r="D314" s="424" t="s">
        <v>649</v>
      </c>
      <c r="E314" s="423" t="s">
        <v>1433</v>
      </c>
      <c r="F314" s="424" t="s">
        <v>1434</v>
      </c>
      <c r="G314" s="423" t="s">
        <v>1285</v>
      </c>
      <c r="H314" s="423" t="s">
        <v>1286</v>
      </c>
      <c r="I314" s="425">
        <v>59.52</v>
      </c>
      <c r="J314" s="425">
        <v>10</v>
      </c>
      <c r="K314" s="426">
        <v>595.21</v>
      </c>
    </row>
    <row r="315" spans="1:11" ht="14.4" customHeight="1" x14ac:dyDescent="0.3">
      <c r="A315" s="421" t="s">
        <v>440</v>
      </c>
      <c r="B315" s="422" t="s">
        <v>441</v>
      </c>
      <c r="C315" s="423" t="s">
        <v>445</v>
      </c>
      <c r="D315" s="424" t="s">
        <v>649</v>
      </c>
      <c r="E315" s="423" t="s">
        <v>1433</v>
      </c>
      <c r="F315" s="424" t="s">
        <v>1434</v>
      </c>
      <c r="G315" s="423" t="s">
        <v>1287</v>
      </c>
      <c r="H315" s="423" t="s">
        <v>1288</v>
      </c>
      <c r="I315" s="425">
        <v>7469</v>
      </c>
      <c r="J315" s="425">
        <v>1</v>
      </c>
      <c r="K315" s="426">
        <v>7469</v>
      </c>
    </row>
    <row r="316" spans="1:11" ht="14.4" customHeight="1" x14ac:dyDescent="0.3">
      <c r="A316" s="421" t="s">
        <v>440</v>
      </c>
      <c r="B316" s="422" t="s">
        <v>441</v>
      </c>
      <c r="C316" s="423" t="s">
        <v>445</v>
      </c>
      <c r="D316" s="424" t="s">
        <v>649</v>
      </c>
      <c r="E316" s="423" t="s">
        <v>1433</v>
      </c>
      <c r="F316" s="424" t="s">
        <v>1434</v>
      </c>
      <c r="G316" s="423" t="s">
        <v>1289</v>
      </c>
      <c r="H316" s="423" t="s">
        <v>1290</v>
      </c>
      <c r="I316" s="425">
        <v>8.11</v>
      </c>
      <c r="J316" s="425">
        <v>100</v>
      </c>
      <c r="K316" s="426">
        <v>811</v>
      </c>
    </row>
    <row r="317" spans="1:11" ht="14.4" customHeight="1" x14ac:dyDescent="0.3">
      <c r="A317" s="421" t="s">
        <v>440</v>
      </c>
      <c r="B317" s="422" t="s">
        <v>441</v>
      </c>
      <c r="C317" s="423" t="s">
        <v>445</v>
      </c>
      <c r="D317" s="424" t="s">
        <v>649</v>
      </c>
      <c r="E317" s="423" t="s">
        <v>1433</v>
      </c>
      <c r="F317" s="424" t="s">
        <v>1434</v>
      </c>
      <c r="G317" s="423" t="s">
        <v>1291</v>
      </c>
      <c r="H317" s="423" t="s">
        <v>1292</v>
      </c>
      <c r="I317" s="425">
        <v>4160</v>
      </c>
      <c r="J317" s="425">
        <v>2</v>
      </c>
      <c r="K317" s="426">
        <v>8320</v>
      </c>
    </row>
    <row r="318" spans="1:11" ht="14.4" customHeight="1" x14ac:dyDescent="0.3">
      <c r="A318" s="421" t="s">
        <v>440</v>
      </c>
      <c r="B318" s="422" t="s">
        <v>441</v>
      </c>
      <c r="C318" s="423" t="s">
        <v>445</v>
      </c>
      <c r="D318" s="424" t="s">
        <v>649</v>
      </c>
      <c r="E318" s="423" t="s">
        <v>1433</v>
      </c>
      <c r="F318" s="424" t="s">
        <v>1434</v>
      </c>
      <c r="G318" s="423" t="s">
        <v>1293</v>
      </c>
      <c r="H318" s="423" t="s">
        <v>1294</v>
      </c>
      <c r="I318" s="425">
        <v>1385.45</v>
      </c>
      <c r="J318" s="425">
        <v>1</v>
      </c>
      <c r="K318" s="426">
        <v>1385.45</v>
      </c>
    </row>
    <row r="319" spans="1:11" ht="14.4" customHeight="1" x14ac:dyDescent="0.3">
      <c r="A319" s="421" t="s">
        <v>440</v>
      </c>
      <c r="B319" s="422" t="s">
        <v>441</v>
      </c>
      <c r="C319" s="423" t="s">
        <v>445</v>
      </c>
      <c r="D319" s="424" t="s">
        <v>649</v>
      </c>
      <c r="E319" s="423" t="s">
        <v>1433</v>
      </c>
      <c r="F319" s="424" t="s">
        <v>1434</v>
      </c>
      <c r="G319" s="423" t="s">
        <v>1295</v>
      </c>
      <c r="H319" s="423" t="s">
        <v>1296</v>
      </c>
      <c r="I319" s="425">
        <v>79.86</v>
      </c>
      <c r="J319" s="425">
        <v>5</v>
      </c>
      <c r="K319" s="426">
        <v>399.3</v>
      </c>
    </row>
    <row r="320" spans="1:11" ht="14.4" customHeight="1" x14ac:dyDescent="0.3">
      <c r="A320" s="421" t="s">
        <v>440</v>
      </c>
      <c r="B320" s="422" t="s">
        <v>441</v>
      </c>
      <c r="C320" s="423" t="s">
        <v>445</v>
      </c>
      <c r="D320" s="424" t="s">
        <v>649</v>
      </c>
      <c r="E320" s="423" t="s">
        <v>1433</v>
      </c>
      <c r="F320" s="424" t="s">
        <v>1434</v>
      </c>
      <c r="G320" s="423" t="s">
        <v>1297</v>
      </c>
      <c r="H320" s="423" t="s">
        <v>1298</v>
      </c>
      <c r="I320" s="425">
        <v>471.89999999999992</v>
      </c>
      <c r="J320" s="425">
        <v>15</v>
      </c>
      <c r="K320" s="426">
        <v>7078.5</v>
      </c>
    </row>
    <row r="321" spans="1:11" ht="14.4" customHeight="1" x14ac:dyDescent="0.3">
      <c r="A321" s="421" t="s">
        <v>440</v>
      </c>
      <c r="B321" s="422" t="s">
        <v>441</v>
      </c>
      <c r="C321" s="423" t="s">
        <v>445</v>
      </c>
      <c r="D321" s="424" t="s">
        <v>649</v>
      </c>
      <c r="E321" s="423" t="s">
        <v>1433</v>
      </c>
      <c r="F321" s="424" t="s">
        <v>1434</v>
      </c>
      <c r="G321" s="423" t="s">
        <v>1299</v>
      </c>
      <c r="H321" s="423" t="s">
        <v>1300</v>
      </c>
      <c r="I321" s="425">
        <v>2003</v>
      </c>
      <c r="J321" s="425">
        <v>1</v>
      </c>
      <c r="K321" s="426">
        <v>2003</v>
      </c>
    </row>
    <row r="322" spans="1:11" ht="14.4" customHeight="1" x14ac:dyDescent="0.3">
      <c r="A322" s="421" t="s">
        <v>440</v>
      </c>
      <c r="B322" s="422" t="s">
        <v>441</v>
      </c>
      <c r="C322" s="423" t="s">
        <v>445</v>
      </c>
      <c r="D322" s="424" t="s">
        <v>649</v>
      </c>
      <c r="E322" s="423" t="s">
        <v>1433</v>
      </c>
      <c r="F322" s="424" t="s">
        <v>1434</v>
      </c>
      <c r="G322" s="423" t="s">
        <v>1301</v>
      </c>
      <c r="H322" s="423" t="s">
        <v>1302</v>
      </c>
      <c r="I322" s="425">
        <v>137</v>
      </c>
      <c r="J322" s="425">
        <v>5</v>
      </c>
      <c r="K322" s="426">
        <v>685</v>
      </c>
    </row>
    <row r="323" spans="1:11" ht="14.4" customHeight="1" x14ac:dyDescent="0.3">
      <c r="A323" s="421" t="s">
        <v>440</v>
      </c>
      <c r="B323" s="422" t="s">
        <v>441</v>
      </c>
      <c r="C323" s="423" t="s">
        <v>445</v>
      </c>
      <c r="D323" s="424" t="s">
        <v>649</v>
      </c>
      <c r="E323" s="423" t="s">
        <v>1433</v>
      </c>
      <c r="F323" s="424" t="s">
        <v>1434</v>
      </c>
      <c r="G323" s="423" t="s">
        <v>1303</v>
      </c>
      <c r="H323" s="423" t="s">
        <v>1304</v>
      </c>
      <c r="I323" s="425">
        <v>474.05</v>
      </c>
      <c r="J323" s="425">
        <v>1</v>
      </c>
      <c r="K323" s="426">
        <v>474.05</v>
      </c>
    </row>
    <row r="324" spans="1:11" ht="14.4" customHeight="1" x14ac:dyDescent="0.3">
      <c r="A324" s="421" t="s">
        <v>440</v>
      </c>
      <c r="B324" s="422" t="s">
        <v>441</v>
      </c>
      <c r="C324" s="423" t="s">
        <v>445</v>
      </c>
      <c r="D324" s="424" t="s">
        <v>649</v>
      </c>
      <c r="E324" s="423" t="s">
        <v>1433</v>
      </c>
      <c r="F324" s="424" t="s">
        <v>1434</v>
      </c>
      <c r="G324" s="423" t="s">
        <v>1305</v>
      </c>
      <c r="H324" s="423" t="s">
        <v>1306</v>
      </c>
      <c r="I324" s="425">
        <v>59.29</v>
      </c>
      <c r="J324" s="425">
        <v>60</v>
      </c>
      <c r="K324" s="426">
        <v>3557.4</v>
      </c>
    </row>
    <row r="325" spans="1:11" ht="14.4" customHeight="1" x14ac:dyDescent="0.3">
      <c r="A325" s="421" t="s">
        <v>440</v>
      </c>
      <c r="B325" s="422" t="s">
        <v>441</v>
      </c>
      <c r="C325" s="423" t="s">
        <v>445</v>
      </c>
      <c r="D325" s="424" t="s">
        <v>649</v>
      </c>
      <c r="E325" s="423" t="s">
        <v>1433</v>
      </c>
      <c r="F325" s="424" t="s">
        <v>1434</v>
      </c>
      <c r="G325" s="423" t="s">
        <v>1307</v>
      </c>
      <c r="H325" s="423" t="s">
        <v>1308</v>
      </c>
      <c r="I325" s="425">
        <v>877.25</v>
      </c>
      <c r="J325" s="425">
        <v>1</v>
      </c>
      <c r="K325" s="426">
        <v>877.25</v>
      </c>
    </row>
    <row r="326" spans="1:11" ht="14.4" customHeight="1" x14ac:dyDescent="0.3">
      <c r="A326" s="421" t="s">
        <v>440</v>
      </c>
      <c r="B326" s="422" t="s">
        <v>441</v>
      </c>
      <c r="C326" s="423" t="s">
        <v>445</v>
      </c>
      <c r="D326" s="424" t="s">
        <v>649</v>
      </c>
      <c r="E326" s="423" t="s">
        <v>1433</v>
      </c>
      <c r="F326" s="424" t="s">
        <v>1434</v>
      </c>
      <c r="G326" s="423" t="s">
        <v>1309</v>
      </c>
      <c r="H326" s="423" t="s">
        <v>1310</v>
      </c>
      <c r="I326" s="425">
        <v>4593</v>
      </c>
      <c r="J326" s="425">
        <v>2</v>
      </c>
      <c r="K326" s="426">
        <v>9186</v>
      </c>
    </row>
    <row r="327" spans="1:11" ht="14.4" customHeight="1" x14ac:dyDescent="0.3">
      <c r="A327" s="421" t="s">
        <v>440</v>
      </c>
      <c r="B327" s="422" t="s">
        <v>441</v>
      </c>
      <c r="C327" s="423" t="s">
        <v>445</v>
      </c>
      <c r="D327" s="424" t="s">
        <v>649</v>
      </c>
      <c r="E327" s="423" t="s">
        <v>1433</v>
      </c>
      <c r="F327" s="424" t="s">
        <v>1434</v>
      </c>
      <c r="G327" s="423" t="s">
        <v>1311</v>
      </c>
      <c r="H327" s="423" t="s">
        <v>1312</v>
      </c>
      <c r="I327" s="425">
        <v>2250.6</v>
      </c>
      <c r="J327" s="425">
        <v>2</v>
      </c>
      <c r="K327" s="426">
        <v>4501.2</v>
      </c>
    </row>
    <row r="328" spans="1:11" ht="14.4" customHeight="1" x14ac:dyDescent="0.3">
      <c r="A328" s="421" t="s">
        <v>440</v>
      </c>
      <c r="B328" s="422" t="s">
        <v>441</v>
      </c>
      <c r="C328" s="423" t="s">
        <v>445</v>
      </c>
      <c r="D328" s="424" t="s">
        <v>649</v>
      </c>
      <c r="E328" s="423" t="s">
        <v>1433</v>
      </c>
      <c r="F328" s="424" t="s">
        <v>1434</v>
      </c>
      <c r="G328" s="423" t="s">
        <v>1313</v>
      </c>
      <c r="H328" s="423" t="s">
        <v>1314</v>
      </c>
      <c r="I328" s="425">
        <v>520.98</v>
      </c>
      <c r="J328" s="425">
        <v>10</v>
      </c>
      <c r="K328" s="426">
        <v>5209.76</v>
      </c>
    </row>
    <row r="329" spans="1:11" ht="14.4" customHeight="1" x14ac:dyDescent="0.3">
      <c r="A329" s="421" t="s">
        <v>440</v>
      </c>
      <c r="B329" s="422" t="s">
        <v>441</v>
      </c>
      <c r="C329" s="423" t="s">
        <v>445</v>
      </c>
      <c r="D329" s="424" t="s">
        <v>649</v>
      </c>
      <c r="E329" s="423" t="s">
        <v>1433</v>
      </c>
      <c r="F329" s="424" t="s">
        <v>1434</v>
      </c>
      <c r="G329" s="423" t="s">
        <v>1315</v>
      </c>
      <c r="H329" s="423" t="s">
        <v>1316</v>
      </c>
      <c r="I329" s="425">
        <v>18.600000000000001</v>
      </c>
      <c r="J329" s="425">
        <v>30</v>
      </c>
      <c r="K329" s="426">
        <v>558</v>
      </c>
    </row>
    <row r="330" spans="1:11" ht="14.4" customHeight="1" x14ac:dyDescent="0.3">
      <c r="A330" s="421" t="s">
        <v>440</v>
      </c>
      <c r="B330" s="422" t="s">
        <v>441</v>
      </c>
      <c r="C330" s="423" t="s">
        <v>445</v>
      </c>
      <c r="D330" s="424" t="s">
        <v>649</v>
      </c>
      <c r="E330" s="423" t="s">
        <v>1433</v>
      </c>
      <c r="F330" s="424" t="s">
        <v>1434</v>
      </c>
      <c r="G330" s="423" t="s">
        <v>1317</v>
      </c>
      <c r="H330" s="423" t="s">
        <v>1318</v>
      </c>
      <c r="I330" s="425">
        <v>18.600000000000001</v>
      </c>
      <c r="J330" s="425">
        <v>30</v>
      </c>
      <c r="K330" s="426">
        <v>558</v>
      </c>
    </row>
    <row r="331" spans="1:11" ht="14.4" customHeight="1" x14ac:dyDescent="0.3">
      <c r="A331" s="421" t="s">
        <v>440</v>
      </c>
      <c r="B331" s="422" t="s">
        <v>441</v>
      </c>
      <c r="C331" s="423" t="s">
        <v>445</v>
      </c>
      <c r="D331" s="424" t="s">
        <v>649</v>
      </c>
      <c r="E331" s="423" t="s">
        <v>1433</v>
      </c>
      <c r="F331" s="424" t="s">
        <v>1434</v>
      </c>
      <c r="G331" s="423" t="s">
        <v>1319</v>
      </c>
      <c r="H331" s="423" t="s">
        <v>1320</v>
      </c>
      <c r="I331" s="425">
        <v>18.600000000000001</v>
      </c>
      <c r="J331" s="425">
        <v>30</v>
      </c>
      <c r="K331" s="426">
        <v>558</v>
      </c>
    </row>
    <row r="332" spans="1:11" ht="14.4" customHeight="1" x14ac:dyDescent="0.3">
      <c r="A332" s="421" t="s">
        <v>440</v>
      </c>
      <c r="B332" s="422" t="s">
        <v>441</v>
      </c>
      <c r="C332" s="423" t="s">
        <v>445</v>
      </c>
      <c r="D332" s="424" t="s">
        <v>649</v>
      </c>
      <c r="E332" s="423" t="s">
        <v>1433</v>
      </c>
      <c r="F332" s="424" t="s">
        <v>1434</v>
      </c>
      <c r="G332" s="423" t="s">
        <v>1321</v>
      </c>
      <c r="H332" s="423" t="s">
        <v>1322</v>
      </c>
      <c r="I332" s="425">
        <v>18.600000000000001</v>
      </c>
      <c r="J332" s="425">
        <v>30</v>
      </c>
      <c r="K332" s="426">
        <v>558</v>
      </c>
    </row>
    <row r="333" spans="1:11" ht="14.4" customHeight="1" x14ac:dyDescent="0.3">
      <c r="A333" s="421" t="s">
        <v>440</v>
      </c>
      <c r="B333" s="422" t="s">
        <v>441</v>
      </c>
      <c r="C333" s="423" t="s">
        <v>445</v>
      </c>
      <c r="D333" s="424" t="s">
        <v>649</v>
      </c>
      <c r="E333" s="423" t="s">
        <v>1433</v>
      </c>
      <c r="F333" s="424" t="s">
        <v>1434</v>
      </c>
      <c r="G333" s="423" t="s">
        <v>1323</v>
      </c>
      <c r="H333" s="423" t="s">
        <v>1324</v>
      </c>
      <c r="I333" s="425">
        <v>1739</v>
      </c>
      <c r="J333" s="425">
        <v>1</v>
      </c>
      <c r="K333" s="426">
        <v>1739</v>
      </c>
    </row>
    <row r="334" spans="1:11" ht="14.4" customHeight="1" x14ac:dyDescent="0.3">
      <c r="A334" s="421" t="s">
        <v>440</v>
      </c>
      <c r="B334" s="422" t="s">
        <v>441</v>
      </c>
      <c r="C334" s="423" t="s">
        <v>445</v>
      </c>
      <c r="D334" s="424" t="s">
        <v>649</v>
      </c>
      <c r="E334" s="423" t="s">
        <v>1433</v>
      </c>
      <c r="F334" s="424" t="s">
        <v>1434</v>
      </c>
      <c r="G334" s="423" t="s">
        <v>1325</v>
      </c>
      <c r="H334" s="423" t="s">
        <v>1326</v>
      </c>
      <c r="I334" s="425">
        <v>18.600000000000001</v>
      </c>
      <c r="J334" s="425">
        <v>30</v>
      </c>
      <c r="K334" s="426">
        <v>558</v>
      </c>
    </row>
    <row r="335" spans="1:11" ht="14.4" customHeight="1" x14ac:dyDescent="0.3">
      <c r="A335" s="421" t="s">
        <v>440</v>
      </c>
      <c r="B335" s="422" t="s">
        <v>441</v>
      </c>
      <c r="C335" s="423" t="s">
        <v>445</v>
      </c>
      <c r="D335" s="424" t="s">
        <v>649</v>
      </c>
      <c r="E335" s="423" t="s">
        <v>1433</v>
      </c>
      <c r="F335" s="424" t="s">
        <v>1434</v>
      </c>
      <c r="G335" s="423" t="s">
        <v>1327</v>
      </c>
      <c r="H335" s="423" t="s">
        <v>1328</v>
      </c>
      <c r="I335" s="425">
        <v>1452</v>
      </c>
      <c r="J335" s="425">
        <v>1</v>
      </c>
      <c r="K335" s="426">
        <v>1452</v>
      </c>
    </row>
    <row r="336" spans="1:11" ht="14.4" customHeight="1" x14ac:dyDescent="0.3">
      <c r="A336" s="421" t="s">
        <v>440</v>
      </c>
      <c r="B336" s="422" t="s">
        <v>441</v>
      </c>
      <c r="C336" s="423" t="s">
        <v>445</v>
      </c>
      <c r="D336" s="424" t="s">
        <v>649</v>
      </c>
      <c r="E336" s="423" t="s">
        <v>1433</v>
      </c>
      <c r="F336" s="424" t="s">
        <v>1434</v>
      </c>
      <c r="G336" s="423" t="s">
        <v>1329</v>
      </c>
      <c r="H336" s="423" t="s">
        <v>1330</v>
      </c>
      <c r="I336" s="425">
        <v>2371.5</v>
      </c>
      <c r="J336" s="425">
        <v>1</v>
      </c>
      <c r="K336" s="426">
        <v>2371.5</v>
      </c>
    </row>
    <row r="337" spans="1:11" ht="14.4" customHeight="1" x14ac:dyDescent="0.3">
      <c r="A337" s="421" t="s">
        <v>440</v>
      </c>
      <c r="B337" s="422" t="s">
        <v>441</v>
      </c>
      <c r="C337" s="423" t="s">
        <v>445</v>
      </c>
      <c r="D337" s="424" t="s">
        <v>649</v>
      </c>
      <c r="E337" s="423" t="s">
        <v>1433</v>
      </c>
      <c r="F337" s="424" t="s">
        <v>1434</v>
      </c>
      <c r="G337" s="423" t="s">
        <v>1331</v>
      </c>
      <c r="H337" s="423" t="s">
        <v>1332</v>
      </c>
      <c r="I337" s="425">
        <v>1033</v>
      </c>
      <c r="J337" s="425">
        <v>1</v>
      </c>
      <c r="K337" s="426">
        <v>1033</v>
      </c>
    </row>
    <row r="338" spans="1:11" ht="14.4" customHeight="1" x14ac:dyDescent="0.3">
      <c r="A338" s="421" t="s">
        <v>440</v>
      </c>
      <c r="B338" s="422" t="s">
        <v>441</v>
      </c>
      <c r="C338" s="423" t="s">
        <v>445</v>
      </c>
      <c r="D338" s="424" t="s">
        <v>649</v>
      </c>
      <c r="E338" s="423" t="s">
        <v>1433</v>
      </c>
      <c r="F338" s="424" t="s">
        <v>1434</v>
      </c>
      <c r="G338" s="423" t="s">
        <v>1333</v>
      </c>
      <c r="H338" s="423" t="s">
        <v>1334</v>
      </c>
      <c r="I338" s="425">
        <v>2142.0500000000002</v>
      </c>
      <c r="J338" s="425">
        <v>1</v>
      </c>
      <c r="K338" s="426">
        <v>2142.0500000000002</v>
      </c>
    </row>
    <row r="339" spans="1:11" ht="14.4" customHeight="1" x14ac:dyDescent="0.3">
      <c r="A339" s="421" t="s">
        <v>440</v>
      </c>
      <c r="B339" s="422" t="s">
        <v>441</v>
      </c>
      <c r="C339" s="423" t="s">
        <v>445</v>
      </c>
      <c r="D339" s="424" t="s">
        <v>649</v>
      </c>
      <c r="E339" s="423" t="s">
        <v>1433</v>
      </c>
      <c r="F339" s="424" t="s">
        <v>1434</v>
      </c>
      <c r="G339" s="423" t="s">
        <v>1335</v>
      </c>
      <c r="H339" s="423" t="s">
        <v>1336</v>
      </c>
      <c r="I339" s="425">
        <v>1242.9100000000001</v>
      </c>
      <c r="J339" s="425">
        <v>1</v>
      </c>
      <c r="K339" s="426">
        <v>1242.9100000000001</v>
      </c>
    </row>
    <row r="340" spans="1:11" ht="14.4" customHeight="1" x14ac:dyDescent="0.3">
      <c r="A340" s="421" t="s">
        <v>440</v>
      </c>
      <c r="B340" s="422" t="s">
        <v>441</v>
      </c>
      <c r="C340" s="423" t="s">
        <v>445</v>
      </c>
      <c r="D340" s="424" t="s">
        <v>649</v>
      </c>
      <c r="E340" s="423" t="s">
        <v>1433</v>
      </c>
      <c r="F340" s="424" t="s">
        <v>1434</v>
      </c>
      <c r="G340" s="423" t="s">
        <v>1337</v>
      </c>
      <c r="H340" s="423" t="s">
        <v>1338</v>
      </c>
      <c r="I340" s="425">
        <v>1716.95</v>
      </c>
      <c r="J340" s="425">
        <v>6</v>
      </c>
      <c r="K340" s="426">
        <v>10301.700000000001</v>
      </c>
    </row>
    <row r="341" spans="1:11" ht="14.4" customHeight="1" x14ac:dyDescent="0.3">
      <c r="A341" s="421" t="s">
        <v>440</v>
      </c>
      <c r="B341" s="422" t="s">
        <v>441</v>
      </c>
      <c r="C341" s="423" t="s">
        <v>445</v>
      </c>
      <c r="D341" s="424" t="s">
        <v>649</v>
      </c>
      <c r="E341" s="423" t="s">
        <v>1433</v>
      </c>
      <c r="F341" s="424" t="s">
        <v>1434</v>
      </c>
      <c r="G341" s="423" t="s">
        <v>1339</v>
      </c>
      <c r="H341" s="423" t="s">
        <v>1340</v>
      </c>
      <c r="I341" s="425">
        <v>539</v>
      </c>
      <c r="J341" s="425">
        <v>2</v>
      </c>
      <c r="K341" s="426">
        <v>1078.01</v>
      </c>
    </row>
    <row r="342" spans="1:11" ht="14.4" customHeight="1" x14ac:dyDescent="0.3">
      <c r="A342" s="421" t="s">
        <v>440</v>
      </c>
      <c r="B342" s="422" t="s">
        <v>441</v>
      </c>
      <c r="C342" s="423" t="s">
        <v>445</v>
      </c>
      <c r="D342" s="424" t="s">
        <v>649</v>
      </c>
      <c r="E342" s="423" t="s">
        <v>1433</v>
      </c>
      <c r="F342" s="424" t="s">
        <v>1434</v>
      </c>
      <c r="G342" s="423" t="s">
        <v>1341</v>
      </c>
      <c r="H342" s="423" t="s">
        <v>1342</v>
      </c>
      <c r="I342" s="425">
        <v>1453.125</v>
      </c>
      <c r="J342" s="425">
        <v>2</v>
      </c>
      <c r="K342" s="426">
        <v>2906.25</v>
      </c>
    </row>
    <row r="343" spans="1:11" ht="14.4" customHeight="1" x14ac:dyDescent="0.3">
      <c r="A343" s="421" t="s">
        <v>440</v>
      </c>
      <c r="B343" s="422" t="s">
        <v>441</v>
      </c>
      <c r="C343" s="423" t="s">
        <v>445</v>
      </c>
      <c r="D343" s="424" t="s">
        <v>649</v>
      </c>
      <c r="E343" s="423" t="s">
        <v>1433</v>
      </c>
      <c r="F343" s="424" t="s">
        <v>1434</v>
      </c>
      <c r="G343" s="423" t="s">
        <v>1343</v>
      </c>
      <c r="H343" s="423" t="s">
        <v>1344</v>
      </c>
      <c r="I343" s="425">
        <v>92.8</v>
      </c>
      <c r="J343" s="425">
        <v>50</v>
      </c>
      <c r="K343" s="426">
        <v>4640</v>
      </c>
    </row>
    <row r="344" spans="1:11" ht="14.4" customHeight="1" x14ac:dyDescent="0.3">
      <c r="A344" s="421" t="s">
        <v>440</v>
      </c>
      <c r="B344" s="422" t="s">
        <v>441</v>
      </c>
      <c r="C344" s="423" t="s">
        <v>445</v>
      </c>
      <c r="D344" s="424" t="s">
        <v>649</v>
      </c>
      <c r="E344" s="423" t="s">
        <v>1433</v>
      </c>
      <c r="F344" s="424" t="s">
        <v>1434</v>
      </c>
      <c r="G344" s="423" t="s">
        <v>1345</v>
      </c>
      <c r="H344" s="423" t="s">
        <v>1346</v>
      </c>
      <c r="I344" s="425">
        <v>834.85</v>
      </c>
      <c r="J344" s="425">
        <v>1</v>
      </c>
      <c r="K344" s="426">
        <v>834.85</v>
      </c>
    </row>
    <row r="345" spans="1:11" ht="14.4" customHeight="1" x14ac:dyDescent="0.3">
      <c r="A345" s="421" t="s">
        <v>440</v>
      </c>
      <c r="B345" s="422" t="s">
        <v>441</v>
      </c>
      <c r="C345" s="423" t="s">
        <v>445</v>
      </c>
      <c r="D345" s="424" t="s">
        <v>649</v>
      </c>
      <c r="E345" s="423" t="s">
        <v>1433</v>
      </c>
      <c r="F345" s="424" t="s">
        <v>1434</v>
      </c>
      <c r="G345" s="423" t="s">
        <v>1347</v>
      </c>
      <c r="H345" s="423" t="s">
        <v>1348</v>
      </c>
      <c r="I345" s="425">
        <v>558</v>
      </c>
      <c r="J345" s="425">
        <v>1</v>
      </c>
      <c r="K345" s="426">
        <v>558</v>
      </c>
    </row>
    <row r="346" spans="1:11" ht="14.4" customHeight="1" x14ac:dyDescent="0.3">
      <c r="A346" s="421" t="s">
        <v>440</v>
      </c>
      <c r="B346" s="422" t="s">
        <v>441</v>
      </c>
      <c r="C346" s="423" t="s">
        <v>445</v>
      </c>
      <c r="D346" s="424" t="s">
        <v>649</v>
      </c>
      <c r="E346" s="423" t="s">
        <v>1433</v>
      </c>
      <c r="F346" s="424" t="s">
        <v>1434</v>
      </c>
      <c r="G346" s="423" t="s">
        <v>1349</v>
      </c>
      <c r="H346" s="423" t="s">
        <v>1350</v>
      </c>
      <c r="I346" s="425">
        <v>146.94</v>
      </c>
      <c r="J346" s="425">
        <v>5</v>
      </c>
      <c r="K346" s="426">
        <v>734.7</v>
      </c>
    </row>
    <row r="347" spans="1:11" ht="14.4" customHeight="1" x14ac:dyDescent="0.3">
      <c r="A347" s="421" t="s">
        <v>440</v>
      </c>
      <c r="B347" s="422" t="s">
        <v>441</v>
      </c>
      <c r="C347" s="423" t="s">
        <v>445</v>
      </c>
      <c r="D347" s="424" t="s">
        <v>649</v>
      </c>
      <c r="E347" s="423" t="s">
        <v>1433</v>
      </c>
      <c r="F347" s="424" t="s">
        <v>1434</v>
      </c>
      <c r="G347" s="423" t="s">
        <v>1351</v>
      </c>
      <c r="H347" s="423" t="s">
        <v>1352</v>
      </c>
      <c r="I347" s="425">
        <v>146.94</v>
      </c>
      <c r="J347" s="425">
        <v>2</v>
      </c>
      <c r="K347" s="426">
        <v>293.88</v>
      </c>
    </row>
    <row r="348" spans="1:11" ht="14.4" customHeight="1" x14ac:dyDescent="0.3">
      <c r="A348" s="421" t="s">
        <v>440</v>
      </c>
      <c r="B348" s="422" t="s">
        <v>441</v>
      </c>
      <c r="C348" s="423" t="s">
        <v>445</v>
      </c>
      <c r="D348" s="424" t="s">
        <v>649</v>
      </c>
      <c r="E348" s="423" t="s">
        <v>1433</v>
      </c>
      <c r="F348" s="424" t="s">
        <v>1434</v>
      </c>
      <c r="G348" s="423" t="s">
        <v>1353</v>
      </c>
      <c r="H348" s="423" t="s">
        <v>1354</v>
      </c>
      <c r="I348" s="425">
        <v>5.29</v>
      </c>
      <c r="J348" s="425">
        <v>90</v>
      </c>
      <c r="K348" s="426">
        <v>475.95</v>
      </c>
    </row>
    <row r="349" spans="1:11" ht="14.4" customHeight="1" x14ac:dyDescent="0.3">
      <c r="A349" s="421" t="s">
        <v>440</v>
      </c>
      <c r="B349" s="422" t="s">
        <v>441</v>
      </c>
      <c r="C349" s="423" t="s">
        <v>445</v>
      </c>
      <c r="D349" s="424" t="s">
        <v>649</v>
      </c>
      <c r="E349" s="423" t="s">
        <v>1433</v>
      </c>
      <c r="F349" s="424" t="s">
        <v>1434</v>
      </c>
      <c r="G349" s="423" t="s">
        <v>1355</v>
      </c>
      <c r="H349" s="423" t="s">
        <v>1356</v>
      </c>
      <c r="I349" s="425">
        <v>119</v>
      </c>
      <c r="J349" s="425">
        <v>1</v>
      </c>
      <c r="K349" s="426">
        <v>119</v>
      </c>
    </row>
    <row r="350" spans="1:11" ht="14.4" customHeight="1" x14ac:dyDescent="0.3">
      <c r="A350" s="421" t="s">
        <v>440</v>
      </c>
      <c r="B350" s="422" t="s">
        <v>441</v>
      </c>
      <c r="C350" s="423" t="s">
        <v>445</v>
      </c>
      <c r="D350" s="424" t="s">
        <v>649</v>
      </c>
      <c r="E350" s="423" t="s">
        <v>1433</v>
      </c>
      <c r="F350" s="424" t="s">
        <v>1434</v>
      </c>
      <c r="G350" s="423" t="s">
        <v>1357</v>
      </c>
      <c r="H350" s="423" t="s">
        <v>1358</v>
      </c>
      <c r="I350" s="425">
        <v>938.96</v>
      </c>
      <c r="J350" s="425">
        <v>1</v>
      </c>
      <c r="K350" s="426">
        <v>938.96</v>
      </c>
    </row>
    <row r="351" spans="1:11" ht="14.4" customHeight="1" x14ac:dyDescent="0.3">
      <c r="A351" s="421" t="s">
        <v>440</v>
      </c>
      <c r="B351" s="422" t="s">
        <v>441</v>
      </c>
      <c r="C351" s="423" t="s">
        <v>445</v>
      </c>
      <c r="D351" s="424" t="s">
        <v>649</v>
      </c>
      <c r="E351" s="423" t="s">
        <v>1433</v>
      </c>
      <c r="F351" s="424" t="s">
        <v>1434</v>
      </c>
      <c r="G351" s="423" t="s">
        <v>1359</v>
      </c>
      <c r="H351" s="423" t="s">
        <v>1360</v>
      </c>
      <c r="I351" s="425">
        <v>88.35</v>
      </c>
      <c r="J351" s="425">
        <v>10</v>
      </c>
      <c r="K351" s="426">
        <v>883.5</v>
      </c>
    </row>
    <row r="352" spans="1:11" ht="14.4" customHeight="1" x14ac:dyDescent="0.3">
      <c r="A352" s="421" t="s">
        <v>440</v>
      </c>
      <c r="B352" s="422" t="s">
        <v>441</v>
      </c>
      <c r="C352" s="423" t="s">
        <v>445</v>
      </c>
      <c r="D352" s="424" t="s">
        <v>649</v>
      </c>
      <c r="E352" s="423" t="s">
        <v>1433</v>
      </c>
      <c r="F352" s="424" t="s">
        <v>1434</v>
      </c>
      <c r="G352" s="423" t="s">
        <v>1361</v>
      </c>
      <c r="H352" s="423" t="s">
        <v>1362</v>
      </c>
      <c r="I352" s="425">
        <v>341.3</v>
      </c>
      <c r="J352" s="425">
        <v>1</v>
      </c>
      <c r="K352" s="426">
        <v>341.3</v>
      </c>
    </row>
    <row r="353" spans="1:11" ht="14.4" customHeight="1" x14ac:dyDescent="0.3">
      <c r="A353" s="421" t="s">
        <v>440</v>
      </c>
      <c r="B353" s="422" t="s">
        <v>441</v>
      </c>
      <c r="C353" s="423" t="s">
        <v>445</v>
      </c>
      <c r="D353" s="424" t="s">
        <v>649</v>
      </c>
      <c r="E353" s="423" t="s">
        <v>1433</v>
      </c>
      <c r="F353" s="424" t="s">
        <v>1434</v>
      </c>
      <c r="G353" s="423" t="s">
        <v>1363</v>
      </c>
      <c r="H353" s="423" t="s">
        <v>1364</v>
      </c>
      <c r="I353" s="425">
        <v>145.32</v>
      </c>
      <c r="J353" s="425">
        <v>2</v>
      </c>
      <c r="K353" s="426">
        <v>290.64999999999998</v>
      </c>
    </row>
    <row r="354" spans="1:11" ht="14.4" customHeight="1" x14ac:dyDescent="0.3">
      <c r="A354" s="421" t="s">
        <v>440</v>
      </c>
      <c r="B354" s="422" t="s">
        <v>441</v>
      </c>
      <c r="C354" s="423" t="s">
        <v>445</v>
      </c>
      <c r="D354" s="424" t="s">
        <v>649</v>
      </c>
      <c r="E354" s="423" t="s">
        <v>1433</v>
      </c>
      <c r="F354" s="424" t="s">
        <v>1434</v>
      </c>
      <c r="G354" s="423" t="s">
        <v>1365</v>
      </c>
      <c r="H354" s="423" t="s">
        <v>1366</v>
      </c>
      <c r="I354" s="425">
        <v>2142.04</v>
      </c>
      <c r="J354" s="425">
        <v>1</v>
      </c>
      <c r="K354" s="426">
        <v>2142.04</v>
      </c>
    </row>
    <row r="355" spans="1:11" ht="14.4" customHeight="1" x14ac:dyDescent="0.3">
      <c r="A355" s="421" t="s">
        <v>440</v>
      </c>
      <c r="B355" s="422" t="s">
        <v>441</v>
      </c>
      <c r="C355" s="423" t="s">
        <v>445</v>
      </c>
      <c r="D355" s="424" t="s">
        <v>649</v>
      </c>
      <c r="E355" s="423" t="s">
        <v>1435</v>
      </c>
      <c r="F355" s="424" t="s">
        <v>1436</v>
      </c>
      <c r="G355" s="423" t="s">
        <v>1367</v>
      </c>
      <c r="H355" s="423" t="s">
        <v>1368</v>
      </c>
      <c r="I355" s="425">
        <v>54.22</v>
      </c>
      <c r="J355" s="425">
        <v>72</v>
      </c>
      <c r="K355" s="426">
        <v>3904.14</v>
      </c>
    </row>
    <row r="356" spans="1:11" ht="14.4" customHeight="1" x14ac:dyDescent="0.3">
      <c r="A356" s="421" t="s">
        <v>440</v>
      </c>
      <c r="B356" s="422" t="s">
        <v>441</v>
      </c>
      <c r="C356" s="423" t="s">
        <v>445</v>
      </c>
      <c r="D356" s="424" t="s">
        <v>649</v>
      </c>
      <c r="E356" s="423" t="s">
        <v>1435</v>
      </c>
      <c r="F356" s="424" t="s">
        <v>1436</v>
      </c>
      <c r="G356" s="423" t="s">
        <v>1369</v>
      </c>
      <c r="H356" s="423" t="s">
        <v>1370</v>
      </c>
      <c r="I356" s="425">
        <v>46.03</v>
      </c>
      <c r="J356" s="425">
        <v>72</v>
      </c>
      <c r="K356" s="426">
        <v>3314.3</v>
      </c>
    </row>
    <row r="357" spans="1:11" ht="14.4" customHeight="1" x14ac:dyDescent="0.3">
      <c r="A357" s="421" t="s">
        <v>440</v>
      </c>
      <c r="B357" s="422" t="s">
        <v>441</v>
      </c>
      <c r="C357" s="423" t="s">
        <v>445</v>
      </c>
      <c r="D357" s="424" t="s">
        <v>649</v>
      </c>
      <c r="E357" s="423" t="s">
        <v>1435</v>
      </c>
      <c r="F357" s="424" t="s">
        <v>1436</v>
      </c>
      <c r="G357" s="423" t="s">
        <v>1371</v>
      </c>
      <c r="H357" s="423" t="s">
        <v>1372</v>
      </c>
      <c r="I357" s="425">
        <v>43.92</v>
      </c>
      <c r="J357" s="425">
        <v>36</v>
      </c>
      <c r="K357" s="426">
        <v>1581.25</v>
      </c>
    </row>
    <row r="358" spans="1:11" ht="14.4" customHeight="1" x14ac:dyDescent="0.3">
      <c r="A358" s="421" t="s">
        <v>440</v>
      </c>
      <c r="B358" s="422" t="s">
        <v>441</v>
      </c>
      <c r="C358" s="423" t="s">
        <v>445</v>
      </c>
      <c r="D358" s="424" t="s">
        <v>649</v>
      </c>
      <c r="E358" s="423" t="s">
        <v>1435</v>
      </c>
      <c r="F358" s="424" t="s">
        <v>1436</v>
      </c>
      <c r="G358" s="423" t="s">
        <v>1373</v>
      </c>
      <c r="H358" s="423" t="s">
        <v>1374</v>
      </c>
      <c r="I358" s="425">
        <v>45.11</v>
      </c>
      <c r="J358" s="425">
        <v>72</v>
      </c>
      <c r="K358" s="426">
        <v>3247.6</v>
      </c>
    </row>
    <row r="359" spans="1:11" ht="14.4" customHeight="1" x14ac:dyDescent="0.3">
      <c r="A359" s="421" t="s">
        <v>440</v>
      </c>
      <c r="B359" s="422" t="s">
        <v>441</v>
      </c>
      <c r="C359" s="423" t="s">
        <v>445</v>
      </c>
      <c r="D359" s="424" t="s">
        <v>649</v>
      </c>
      <c r="E359" s="423" t="s">
        <v>1435</v>
      </c>
      <c r="F359" s="424" t="s">
        <v>1436</v>
      </c>
      <c r="G359" s="423" t="s">
        <v>1375</v>
      </c>
      <c r="H359" s="423" t="s">
        <v>1376</v>
      </c>
      <c r="I359" s="425">
        <v>99.34999999999998</v>
      </c>
      <c r="J359" s="425">
        <v>108</v>
      </c>
      <c r="K359" s="426">
        <v>10729.74</v>
      </c>
    </row>
    <row r="360" spans="1:11" ht="14.4" customHeight="1" x14ac:dyDescent="0.3">
      <c r="A360" s="421" t="s">
        <v>440</v>
      </c>
      <c r="B360" s="422" t="s">
        <v>441</v>
      </c>
      <c r="C360" s="423" t="s">
        <v>445</v>
      </c>
      <c r="D360" s="424" t="s">
        <v>649</v>
      </c>
      <c r="E360" s="423" t="s">
        <v>1435</v>
      </c>
      <c r="F360" s="424" t="s">
        <v>1436</v>
      </c>
      <c r="G360" s="423" t="s">
        <v>1377</v>
      </c>
      <c r="H360" s="423" t="s">
        <v>1378</v>
      </c>
      <c r="I360" s="425">
        <v>66.47</v>
      </c>
      <c r="J360" s="425">
        <v>72</v>
      </c>
      <c r="K360" s="426">
        <v>4785.54</v>
      </c>
    </row>
    <row r="361" spans="1:11" ht="14.4" customHeight="1" x14ac:dyDescent="0.3">
      <c r="A361" s="421" t="s">
        <v>440</v>
      </c>
      <c r="B361" s="422" t="s">
        <v>441</v>
      </c>
      <c r="C361" s="423" t="s">
        <v>445</v>
      </c>
      <c r="D361" s="424" t="s">
        <v>649</v>
      </c>
      <c r="E361" s="423" t="s">
        <v>1435</v>
      </c>
      <c r="F361" s="424" t="s">
        <v>1436</v>
      </c>
      <c r="G361" s="423" t="s">
        <v>1379</v>
      </c>
      <c r="H361" s="423" t="s">
        <v>1380</v>
      </c>
      <c r="I361" s="425">
        <v>35.729999999999997</v>
      </c>
      <c r="J361" s="425">
        <v>144</v>
      </c>
      <c r="K361" s="426">
        <v>5144.4399999999996</v>
      </c>
    </row>
    <row r="362" spans="1:11" ht="14.4" customHeight="1" x14ac:dyDescent="0.3">
      <c r="A362" s="421" t="s">
        <v>440</v>
      </c>
      <c r="B362" s="422" t="s">
        <v>441</v>
      </c>
      <c r="C362" s="423" t="s">
        <v>445</v>
      </c>
      <c r="D362" s="424" t="s">
        <v>649</v>
      </c>
      <c r="E362" s="423" t="s">
        <v>1437</v>
      </c>
      <c r="F362" s="424" t="s">
        <v>1438</v>
      </c>
      <c r="G362" s="423" t="s">
        <v>1381</v>
      </c>
      <c r="H362" s="423" t="s">
        <v>1382</v>
      </c>
      <c r="I362" s="425">
        <v>0.3</v>
      </c>
      <c r="J362" s="425">
        <v>3300</v>
      </c>
      <c r="K362" s="426">
        <v>990</v>
      </c>
    </row>
    <row r="363" spans="1:11" ht="14.4" customHeight="1" x14ac:dyDescent="0.3">
      <c r="A363" s="421" t="s">
        <v>440</v>
      </c>
      <c r="B363" s="422" t="s">
        <v>441</v>
      </c>
      <c r="C363" s="423" t="s">
        <v>445</v>
      </c>
      <c r="D363" s="424" t="s">
        <v>649</v>
      </c>
      <c r="E363" s="423" t="s">
        <v>1437</v>
      </c>
      <c r="F363" s="424" t="s">
        <v>1438</v>
      </c>
      <c r="G363" s="423" t="s">
        <v>1383</v>
      </c>
      <c r="H363" s="423" t="s">
        <v>1384</v>
      </c>
      <c r="I363" s="425">
        <v>0.30249999999999999</v>
      </c>
      <c r="J363" s="425">
        <v>2500</v>
      </c>
      <c r="K363" s="426">
        <v>755</v>
      </c>
    </row>
    <row r="364" spans="1:11" ht="14.4" customHeight="1" x14ac:dyDescent="0.3">
      <c r="A364" s="421" t="s">
        <v>440</v>
      </c>
      <c r="B364" s="422" t="s">
        <v>441</v>
      </c>
      <c r="C364" s="423" t="s">
        <v>445</v>
      </c>
      <c r="D364" s="424" t="s">
        <v>649</v>
      </c>
      <c r="E364" s="423" t="s">
        <v>1437</v>
      </c>
      <c r="F364" s="424" t="s">
        <v>1438</v>
      </c>
      <c r="G364" s="423" t="s">
        <v>1385</v>
      </c>
      <c r="H364" s="423" t="s">
        <v>1386</v>
      </c>
      <c r="I364" s="425">
        <v>0.30499999999999999</v>
      </c>
      <c r="J364" s="425">
        <v>1800</v>
      </c>
      <c r="K364" s="426">
        <v>548</v>
      </c>
    </row>
    <row r="365" spans="1:11" ht="14.4" customHeight="1" x14ac:dyDescent="0.3">
      <c r="A365" s="421" t="s">
        <v>440</v>
      </c>
      <c r="B365" s="422" t="s">
        <v>441</v>
      </c>
      <c r="C365" s="423" t="s">
        <v>445</v>
      </c>
      <c r="D365" s="424" t="s">
        <v>649</v>
      </c>
      <c r="E365" s="423" t="s">
        <v>1437</v>
      </c>
      <c r="F365" s="424" t="s">
        <v>1438</v>
      </c>
      <c r="G365" s="423" t="s">
        <v>1387</v>
      </c>
      <c r="H365" s="423" t="s">
        <v>1388</v>
      </c>
      <c r="I365" s="425">
        <v>0.48</v>
      </c>
      <c r="J365" s="425">
        <v>250</v>
      </c>
      <c r="K365" s="426">
        <v>120</v>
      </c>
    </row>
    <row r="366" spans="1:11" ht="14.4" customHeight="1" x14ac:dyDescent="0.3">
      <c r="A366" s="421" t="s">
        <v>440</v>
      </c>
      <c r="B366" s="422" t="s">
        <v>441</v>
      </c>
      <c r="C366" s="423" t="s">
        <v>445</v>
      </c>
      <c r="D366" s="424" t="s">
        <v>649</v>
      </c>
      <c r="E366" s="423" t="s">
        <v>1437</v>
      </c>
      <c r="F366" s="424" t="s">
        <v>1438</v>
      </c>
      <c r="G366" s="423" t="s">
        <v>1389</v>
      </c>
      <c r="H366" s="423" t="s">
        <v>1390</v>
      </c>
      <c r="I366" s="425">
        <v>2.99</v>
      </c>
      <c r="J366" s="425">
        <v>100</v>
      </c>
      <c r="K366" s="426">
        <v>299.35000000000002</v>
      </c>
    </row>
    <row r="367" spans="1:11" ht="14.4" customHeight="1" x14ac:dyDescent="0.3">
      <c r="A367" s="421" t="s">
        <v>440</v>
      </c>
      <c r="B367" s="422" t="s">
        <v>441</v>
      </c>
      <c r="C367" s="423" t="s">
        <v>445</v>
      </c>
      <c r="D367" s="424" t="s">
        <v>649</v>
      </c>
      <c r="E367" s="423" t="s">
        <v>1439</v>
      </c>
      <c r="F367" s="424" t="s">
        <v>1440</v>
      </c>
      <c r="G367" s="423" t="s">
        <v>1391</v>
      </c>
      <c r="H367" s="423" t="s">
        <v>1392</v>
      </c>
      <c r="I367" s="425">
        <v>0.73</v>
      </c>
      <c r="J367" s="425">
        <v>600</v>
      </c>
      <c r="K367" s="426">
        <v>435.59999999999997</v>
      </c>
    </row>
    <row r="368" spans="1:11" ht="14.4" customHeight="1" x14ac:dyDescent="0.3">
      <c r="A368" s="421" t="s">
        <v>440</v>
      </c>
      <c r="B368" s="422" t="s">
        <v>441</v>
      </c>
      <c r="C368" s="423" t="s">
        <v>445</v>
      </c>
      <c r="D368" s="424" t="s">
        <v>649</v>
      </c>
      <c r="E368" s="423" t="s">
        <v>1439</v>
      </c>
      <c r="F368" s="424" t="s">
        <v>1440</v>
      </c>
      <c r="G368" s="423" t="s">
        <v>1393</v>
      </c>
      <c r="H368" s="423" t="s">
        <v>1394</v>
      </c>
      <c r="I368" s="425">
        <v>0.72333333333333327</v>
      </c>
      <c r="J368" s="425">
        <v>1400</v>
      </c>
      <c r="K368" s="426">
        <v>1014</v>
      </c>
    </row>
    <row r="369" spans="1:11" ht="14.4" customHeight="1" x14ac:dyDescent="0.3">
      <c r="A369" s="421" t="s">
        <v>440</v>
      </c>
      <c r="B369" s="422" t="s">
        <v>441</v>
      </c>
      <c r="C369" s="423" t="s">
        <v>445</v>
      </c>
      <c r="D369" s="424" t="s">
        <v>649</v>
      </c>
      <c r="E369" s="423" t="s">
        <v>1439</v>
      </c>
      <c r="F369" s="424" t="s">
        <v>1440</v>
      </c>
      <c r="G369" s="423" t="s">
        <v>1395</v>
      </c>
      <c r="H369" s="423" t="s">
        <v>1396</v>
      </c>
      <c r="I369" s="425">
        <v>7.5</v>
      </c>
      <c r="J369" s="425">
        <v>50</v>
      </c>
      <c r="K369" s="426">
        <v>375</v>
      </c>
    </row>
    <row r="370" spans="1:11" ht="14.4" customHeight="1" x14ac:dyDescent="0.3">
      <c r="A370" s="421" t="s">
        <v>440</v>
      </c>
      <c r="B370" s="422" t="s">
        <v>441</v>
      </c>
      <c r="C370" s="423" t="s">
        <v>445</v>
      </c>
      <c r="D370" s="424" t="s">
        <v>649</v>
      </c>
      <c r="E370" s="423" t="s">
        <v>1439</v>
      </c>
      <c r="F370" s="424" t="s">
        <v>1440</v>
      </c>
      <c r="G370" s="423" t="s">
        <v>1397</v>
      </c>
      <c r="H370" s="423" t="s">
        <v>1398</v>
      </c>
      <c r="I370" s="425">
        <v>7.503333333333333</v>
      </c>
      <c r="J370" s="425">
        <v>150</v>
      </c>
      <c r="K370" s="426">
        <v>1125.5</v>
      </c>
    </row>
    <row r="371" spans="1:11" ht="14.4" customHeight="1" x14ac:dyDescent="0.3">
      <c r="A371" s="421" t="s">
        <v>440</v>
      </c>
      <c r="B371" s="422" t="s">
        <v>441</v>
      </c>
      <c r="C371" s="423" t="s">
        <v>445</v>
      </c>
      <c r="D371" s="424" t="s">
        <v>649</v>
      </c>
      <c r="E371" s="423" t="s">
        <v>1439</v>
      </c>
      <c r="F371" s="424" t="s">
        <v>1440</v>
      </c>
      <c r="G371" s="423" t="s">
        <v>1399</v>
      </c>
      <c r="H371" s="423" t="s">
        <v>1400</v>
      </c>
      <c r="I371" s="425">
        <v>7.5</v>
      </c>
      <c r="J371" s="425">
        <v>150</v>
      </c>
      <c r="K371" s="426">
        <v>1125</v>
      </c>
    </row>
    <row r="372" spans="1:11" ht="14.4" customHeight="1" x14ac:dyDescent="0.3">
      <c r="A372" s="421" t="s">
        <v>440</v>
      </c>
      <c r="B372" s="422" t="s">
        <v>441</v>
      </c>
      <c r="C372" s="423" t="s">
        <v>445</v>
      </c>
      <c r="D372" s="424" t="s">
        <v>649</v>
      </c>
      <c r="E372" s="423" t="s">
        <v>1439</v>
      </c>
      <c r="F372" s="424" t="s">
        <v>1440</v>
      </c>
      <c r="G372" s="423" t="s">
        <v>1401</v>
      </c>
      <c r="H372" s="423" t="s">
        <v>1402</v>
      </c>
      <c r="I372" s="425">
        <v>7.5</v>
      </c>
      <c r="J372" s="425">
        <v>200</v>
      </c>
      <c r="K372" s="426">
        <v>1500</v>
      </c>
    </row>
    <row r="373" spans="1:11" ht="14.4" customHeight="1" x14ac:dyDescent="0.3">
      <c r="A373" s="421" t="s">
        <v>440</v>
      </c>
      <c r="B373" s="422" t="s">
        <v>441</v>
      </c>
      <c r="C373" s="423" t="s">
        <v>445</v>
      </c>
      <c r="D373" s="424" t="s">
        <v>649</v>
      </c>
      <c r="E373" s="423" t="s">
        <v>1439</v>
      </c>
      <c r="F373" s="424" t="s">
        <v>1440</v>
      </c>
      <c r="G373" s="423" t="s">
        <v>1403</v>
      </c>
      <c r="H373" s="423" t="s">
        <v>1404</v>
      </c>
      <c r="I373" s="425">
        <v>7.5</v>
      </c>
      <c r="J373" s="425">
        <v>250</v>
      </c>
      <c r="K373" s="426">
        <v>1875</v>
      </c>
    </row>
    <row r="374" spans="1:11" ht="14.4" customHeight="1" x14ac:dyDescent="0.3">
      <c r="A374" s="421" t="s">
        <v>440</v>
      </c>
      <c r="B374" s="422" t="s">
        <v>441</v>
      </c>
      <c r="C374" s="423" t="s">
        <v>445</v>
      </c>
      <c r="D374" s="424" t="s">
        <v>649</v>
      </c>
      <c r="E374" s="423" t="s">
        <v>1439</v>
      </c>
      <c r="F374" s="424" t="s">
        <v>1440</v>
      </c>
      <c r="G374" s="423" t="s">
        <v>1405</v>
      </c>
      <c r="H374" s="423" t="s">
        <v>1406</v>
      </c>
      <c r="I374" s="425">
        <v>11.01</v>
      </c>
      <c r="J374" s="425">
        <v>40</v>
      </c>
      <c r="K374" s="426">
        <v>440.4</v>
      </c>
    </row>
    <row r="375" spans="1:11" ht="14.4" customHeight="1" x14ac:dyDescent="0.3">
      <c r="A375" s="421" t="s">
        <v>440</v>
      </c>
      <c r="B375" s="422" t="s">
        <v>441</v>
      </c>
      <c r="C375" s="423" t="s">
        <v>445</v>
      </c>
      <c r="D375" s="424" t="s">
        <v>649</v>
      </c>
      <c r="E375" s="423" t="s">
        <v>1439</v>
      </c>
      <c r="F375" s="424" t="s">
        <v>1440</v>
      </c>
      <c r="G375" s="423" t="s">
        <v>1407</v>
      </c>
      <c r="H375" s="423" t="s">
        <v>1408</v>
      </c>
      <c r="I375" s="425">
        <v>11.01</v>
      </c>
      <c r="J375" s="425">
        <v>40</v>
      </c>
      <c r="K375" s="426">
        <v>440.4</v>
      </c>
    </row>
    <row r="376" spans="1:11" ht="14.4" customHeight="1" x14ac:dyDescent="0.3">
      <c r="A376" s="421" t="s">
        <v>440</v>
      </c>
      <c r="B376" s="422" t="s">
        <v>441</v>
      </c>
      <c r="C376" s="423" t="s">
        <v>445</v>
      </c>
      <c r="D376" s="424" t="s">
        <v>649</v>
      </c>
      <c r="E376" s="423" t="s">
        <v>1439</v>
      </c>
      <c r="F376" s="424" t="s">
        <v>1440</v>
      </c>
      <c r="G376" s="423" t="s">
        <v>1409</v>
      </c>
      <c r="H376" s="423" t="s">
        <v>1410</v>
      </c>
      <c r="I376" s="425">
        <v>1.22</v>
      </c>
      <c r="J376" s="425">
        <v>4600</v>
      </c>
      <c r="K376" s="426">
        <v>5611.43</v>
      </c>
    </row>
    <row r="377" spans="1:11" ht="14.4" customHeight="1" x14ac:dyDescent="0.3">
      <c r="A377" s="421" t="s">
        <v>440</v>
      </c>
      <c r="B377" s="422" t="s">
        <v>441</v>
      </c>
      <c r="C377" s="423" t="s">
        <v>445</v>
      </c>
      <c r="D377" s="424" t="s">
        <v>649</v>
      </c>
      <c r="E377" s="423" t="s">
        <v>1439</v>
      </c>
      <c r="F377" s="424" t="s">
        <v>1440</v>
      </c>
      <c r="G377" s="423" t="s">
        <v>1411</v>
      </c>
      <c r="H377" s="423" t="s">
        <v>1412</v>
      </c>
      <c r="I377" s="425">
        <v>0.81</v>
      </c>
      <c r="J377" s="425">
        <v>4000</v>
      </c>
      <c r="K377" s="426">
        <v>3228.42</v>
      </c>
    </row>
    <row r="378" spans="1:11" ht="14.4" customHeight="1" x14ac:dyDescent="0.3">
      <c r="A378" s="421" t="s">
        <v>440</v>
      </c>
      <c r="B378" s="422" t="s">
        <v>441</v>
      </c>
      <c r="C378" s="423" t="s">
        <v>445</v>
      </c>
      <c r="D378" s="424" t="s">
        <v>649</v>
      </c>
      <c r="E378" s="423" t="s">
        <v>1439</v>
      </c>
      <c r="F378" s="424" t="s">
        <v>1440</v>
      </c>
      <c r="G378" s="423" t="s">
        <v>1413</v>
      </c>
      <c r="H378" s="423" t="s">
        <v>1414</v>
      </c>
      <c r="I378" s="425">
        <v>0.8075</v>
      </c>
      <c r="J378" s="425">
        <v>8000</v>
      </c>
      <c r="K378" s="426">
        <v>6456.5</v>
      </c>
    </row>
    <row r="379" spans="1:11" ht="14.4" customHeight="1" x14ac:dyDescent="0.3">
      <c r="A379" s="421" t="s">
        <v>440</v>
      </c>
      <c r="B379" s="422" t="s">
        <v>441</v>
      </c>
      <c r="C379" s="423" t="s">
        <v>445</v>
      </c>
      <c r="D379" s="424" t="s">
        <v>649</v>
      </c>
      <c r="E379" s="423" t="s">
        <v>1439</v>
      </c>
      <c r="F379" s="424" t="s">
        <v>1440</v>
      </c>
      <c r="G379" s="423" t="s">
        <v>1415</v>
      </c>
      <c r="H379" s="423" t="s">
        <v>1416</v>
      </c>
      <c r="I379" s="425">
        <v>1.9</v>
      </c>
      <c r="J379" s="425">
        <v>3000</v>
      </c>
      <c r="K379" s="426">
        <v>5699.1</v>
      </c>
    </row>
    <row r="380" spans="1:11" ht="14.4" customHeight="1" x14ac:dyDescent="0.3">
      <c r="A380" s="421" t="s">
        <v>440</v>
      </c>
      <c r="B380" s="422" t="s">
        <v>441</v>
      </c>
      <c r="C380" s="423" t="s">
        <v>445</v>
      </c>
      <c r="D380" s="424" t="s">
        <v>649</v>
      </c>
      <c r="E380" s="423" t="s">
        <v>1439</v>
      </c>
      <c r="F380" s="424" t="s">
        <v>1440</v>
      </c>
      <c r="G380" s="423" t="s">
        <v>1417</v>
      </c>
      <c r="H380" s="423" t="s">
        <v>1418</v>
      </c>
      <c r="I380" s="425">
        <v>0.81</v>
      </c>
      <c r="J380" s="425">
        <v>4000</v>
      </c>
      <c r="K380" s="426">
        <v>3228.23</v>
      </c>
    </row>
    <row r="381" spans="1:11" ht="14.4" customHeight="1" x14ac:dyDescent="0.3">
      <c r="A381" s="421" t="s">
        <v>440</v>
      </c>
      <c r="B381" s="422" t="s">
        <v>441</v>
      </c>
      <c r="C381" s="423" t="s">
        <v>445</v>
      </c>
      <c r="D381" s="424" t="s">
        <v>649</v>
      </c>
      <c r="E381" s="423" t="s">
        <v>1439</v>
      </c>
      <c r="F381" s="424" t="s">
        <v>1440</v>
      </c>
      <c r="G381" s="423" t="s">
        <v>1419</v>
      </c>
      <c r="H381" s="423" t="s">
        <v>1420</v>
      </c>
      <c r="I381" s="425">
        <v>0.71</v>
      </c>
      <c r="J381" s="425">
        <v>31000</v>
      </c>
      <c r="K381" s="426">
        <v>22010</v>
      </c>
    </row>
    <row r="382" spans="1:11" ht="14.4" customHeight="1" x14ac:dyDescent="0.3">
      <c r="A382" s="421" t="s">
        <v>440</v>
      </c>
      <c r="B382" s="422" t="s">
        <v>441</v>
      </c>
      <c r="C382" s="423" t="s">
        <v>445</v>
      </c>
      <c r="D382" s="424" t="s">
        <v>649</v>
      </c>
      <c r="E382" s="423" t="s">
        <v>1439</v>
      </c>
      <c r="F382" s="424" t="s">
        <v>1440</v>
      </c>
      <c r="G382" s="423" t="s">
        <v>1421</v>
      </c>
      <c r="H382" s="423" t="s">
        <v>1422</v>
      </c>
      <c r="I382" s="425">
        <v>0.71</v>
      </c>
      <c r="J382" s="425">
        <v>34000</v>
      </c>
      <c r="K382" s="426">
        <v>24140</v>
      </c>
    </row>
    <row r="383" spans="1:11" ht="14.4" customHeight="1" x14ac:dyDescent="0.3">
      <c r="A383" s="421" t="s">
        <v>440</v>
      </c>
      <c r="B383" s="422" t="s">
        <v>441</v>
      </c>
      <c r="C383" s="423" t="s">
        <v>445</v>
      </c>
      <c r="D383" s="424" t="s">
        <v>649</v>
      </c>
      <c r="E383" s="423" t="s">
        <v>1439</v>
      </c>
      <c r="F383" s="424" t="s">
        <v>1440</v>
      </c>
      <c r="G383" s="423" t="s">
        <v>1423</v>
      </c>
      <c r="H383" s="423" t="s">
        <v>1424</v>
      </c>
      <c r="I383" s="425">
        <v>0.71</v>
      </c>
      <c r="J383" s="425">
        <v>11000</v>
      </c>
      <c r="K383" s="426">
        <v>7810</v>
      </c>
    </row>
    <row r="384" spans="1:11" ht="14.4" customHeight="1" x14ac:dyDescent="0.3">
      <c r="A384" s="421" t="s">
        <v>440</v>
      </c>
      <c r="B384" s="422" t="s">
        <v>441</v>
      </c>
      <c r="C384" s="423" t="s">
        <v>445</v>
      </c>
      <c r="D384" s="424" t="s">
        <v>649</v>
      </c>
      <c r="E384" s="423" t="s">
        <v>1439</v>
      </c>
      <c r="F384" s="424" t="s">
        <v>1440</v>
      </c>
      <c r="G384" s="423" t="s">
        <v>1425</v>
      </c>
      <c r="H384" s="423" t="s">
        <v>1426</v>
      </c>
      <c r="I384" s="425">
        <v>12.58</v>
      </c>
      <c r="J384" s="425">
        <v>50</v>
      </c>
      <c r="K384" s="426">
        <v>629</v>
      </c>
    </row>
    <row r="385" spans="1:11" ht="14.4" customHeight="1" thickBot="1" x14ac:dyDescent="0.35">
      <c r="A385" s="427" t="s">
        <v>440</v>
      </c>
      <c r="B385" s="428" t="s">
        <v>441</v>
      </c>
      <c r="C385" s="429" t="s">
        <v>445</v>
      </c>
      <c r="D385" s="430" t="s">
        <v>649</v>
      </c>
      <c r="E385" s="429" t="s">
        <v>1441</v>
      </c>
      <c r="F385" s="430" t="s">
        <v>1442</v>
      </c>
      <c r="G385" s="429" t="s">
        <v>1427</v>
      </c>
      <c r="H385" s="429" t="s">
        <v>1428</v>
      </c>
      <c r="I385" s="431">
        <v>14.95</v>
      </c>
      <c r="J385" s="431">
        <v>5</v>
      </c>
      <c r="K385" s="432">
        <v>74.75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J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I1"/>
    </sheetView>
  </sheetViews>
  <sheetFormatPr defaultRowHeight="14.4" outlineLevelRow="1" x14ac:dyDescent="0.3"/>
  <cols>
    <col min="1" max="1" width="37.21875" customWidth="1"/>
    <col min="2" max="3" width="13.109375" customWidth="1"/>
    <col min="4" max="4" width="13.109375" hidden="1" customWidth="1"/>
    <col min="5" max="6" width="13.109375" customWidth="1"/>
    <col min="7" max="12" width="13.109375" hidden="1" customWidth="1"/>
    <col min="13" max="13" width="13.109375" customWidth="1"/>
    <col min="14" max="33" width="13.109375" hidden="1" customWidth="1"/>
    <col min="34" max="35" width="13.109375" customWidth="1"/>
  </cols>
  <sheetData>
    <row r="1" spans="1:36" ht="18.600000000000001" thickBot="1" x14ac:dyDescent="0.4">
      <c r="A1" s="356" t="s">
        <v>91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  <c r="AI1" s="333"/>
    </row>
    <row r="2" spans="1:36" ht="15" thickBot="1" x14ac:dyDescent="0.35">
      <c r="A2" s="212" t="s">
        <v>255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</row>
    <row r="3" spans="1:36" x14ac:dyDescent="0.3">
      <c r="A3" s="231" t="s">
        <v>178</v>
      </c>
      <c r="B3" s="357" t="s">
        <v>158</v>
      </c>
      <c r="C3" s="214">
        <v>0</v>
      </c>
      <c r="D3" s="215">
        <v>101</v>
      </c>
      <c r="E3" s="215">
        <v>102</v>
      </c>
      <c r="F3" s="234">
        <v>305</v>
      </c>
      <c r="G3" s="234">
        <v>306</v>
      </c>
      <c r="H3" s="234">
        <v>407</v>
      </c>
      <c r="I3" s="234">
        <v>408</v>
      </c>
      <c r="J3" s="234">
        <v>409</v>
      </c>
      <c r="K3" s="234">
        <v>410</v>
      </c>
      <c r="L3" s="234">
        <v>415</v>
      </c>
      <c r="M3" s="234">
        <v>416</v>
      </c>
      <c r="N3" s="234">
        <v>418</v>
      </c>
      <c r="O3" s="234">
        <v>419</v>
      </c>
      <c r="P3" s="234">
        <v>420</v>
      </c>
      <c r="Q3" s="234">
        <v>421</v>
      </c>
      <c r="R3" s="234">
        <v>522</v>
      </c>
      <c r="S3" s="234">
        <v>523</v>
      </c>
      <c r="T3" s="234">
        <v>524</v>
      </c>
      <c r="U3" s="234">
        <v>525</v>
      </c>
      <c r="V3" s="234">
        <v>526</v>
      </c>
      <c r="W3" s="234">
        <v>527</v>
      </c>
      <c r="X3" s="234">
        <v>528</v>
      </c>
      <c r="Y3" s="234">
        <v>629</v>
      </c>
      <c r="Z3" s="234">
        <v>630</v>
      </c>
      <c r="AA3" s="234">
        <v>636</v>
      </c>
      <c r="AB3" s="234">
        <v>637</v>
      </c>
      <c r="AC3" s="234">
        <v>640</v>
      </c>
      <c r="AD3" s="234">
        <v>642</v>
      </c>
      <c r="AE3" s="234">
        <v>743</v>
      </c>
      <c r="AF3" s="215">
        <v>745</v>
      </c>
      <c r="AG3" s="215">
        <v>746</v>
      </c>
      <c r="AH3" s="215">
        <v>930</v>
      </c>
      <c r="AI3" s="481">
        <v>940</v>
      </c>
      <c r="AJ3" s="498"/>
    </row>
    <row r="4" spans="1:36" ht="36.6" outlineLevel="1" thickBot="1" x14ac:dyDescent="0.35">
      <c r="A4" s="232">
        <v>2015</v>
      </c>
      <c r="B4" s="358"/>
      <c r="C4" s="216" t="s">
        <v>159</v>
      </c>
      <c r="D4" s="217" t="s">
        <v>160</v>
      </c>
      <c r="E4" s="217" t="s">
        <v>161</v>
      </c>
      <c r="F4" s="235" t="s">
        <v>190</v>
      </c>
      <c r="G4" s="235" t="s">
        <v>191</v>
      </c>
      <c r="H4" s="235" t="s">
        <v>253</v>
      </c>
      <c r="I4" s="235" t="s">
        <v>192</v>
      </c>
      <c r="J4" s="235" t="s">
        <v>193</v>
      </c>
      <c r="K4" s="235" t="s">
        <v>194</v>
      </c>
      <c r="L4" s="235" t="s">
        <v>195</v>
      </c>
      <c r="M4" s="235" t="s">
        <v>196</v>
      </c>
      <c r="N4" s="235" t="s">
        <v>197</v>
      </c>
      <c r="O4" s="235" t="s">
        <v>198</v>
      </c>
      <c r="P4" s="235" t="s">
        <v>199</v>
      </c>
      <c r="Q4" s="235" t="s">
        <v>200</v>
      </c>
      <c r="R4" s="235" t="s">
        <v>201</v>
      </c>
      <c r="S4" s="235" t="s">
        <v>202</v>
      </c>
      <c r="T4" s="235" t="s">
        <v>203</v>
      </c>
      <c r="U4" s="235" t="s">
        <v>204</v>
      </c>
      <c r="V4" s="235" t="s">
        <v>205</v>
      </c>
      <c r="W4" s="235" t="s">
        <v>206</v>
      </c>
      <c r="X4" s="235" t="s">
        <v>215</v>
      </c>
      <c r="Y4" s="235" t="s">
        <v>207</v>
      </c>
      <c r="Z4" s="235" t="s">
        <v>216</v>
      </c>
      <c r="AA4" s="235" t="s">
        <v>208</v>
      </c>
      <c r="AB4" s="235" t="s">
        <v>209</v>
      </c>
      <c r="AC4" s="235" t="s">
        <v>210</v>
      </c>
      <c r="AD4" s="235" t="s">
        <v>211</v>
      </c>
      <c r="AE4" s="235" t="s">
        <v>212</v>
      </c>
      <c r="AF4" s="217" t="s">
        <v>213</v>
      </c>
      <c r="AG4" s="217" t="s">
        <v>214</v>
      </c>
      <c r="AH4" s="217" t="s">
        <v>180</v>
      </c>
      <c r="AI4" s="482" t="s">
        <v>162</v>
      </c>
      <c r="AJ4" s="498"/>
    </row>
    <row r="5" spans="1:36" x14ac:dyDescent="0.3">
      <c r="A5" s="218" t="s">
        <v>163</v>
      </c>
      <c r="B5" s="254"/>
      <c r="C5" s="255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256"/>
      <c r="Z5" s="256"/>
      <c r="AA5" s="256"/>
      <c r="AB5" s="256"/>
      <c r="AC5" s="256"/>
      <c r="AD5" s="256"/>
      <c r="AE5" s="256"/>
      <c r="AF5" s="256"/>
      <c r="AG5" s="256"/>
      <c r="AH5" s="256"/>
      <c r="AI5" s="483"/>
      <c r="AJ5" s="498"/>
    </row>
    <row r="6" spans="1:36" ht="15" collapsed="1" thickBot="1" x14ac:dyDescent="0.35">
      <c r="A6" s="219" t="s">
        <v>60</v>
      </c>
      <c r="B6" s="257">
        <f xml:space="preserve">
TRUNC(IF($A$4&lt;=12,SUMIFS('ON Data'!F:F,'ON Data'!$D:$D,$A$4,'ON Data'!$E:$E,1),SUMIFS('ON Data'!F:F,'ON Data'!$E:$E,1)/'ON Data'!$D$3),1)</f>
        <v>56</v>
      </c>
      <c r="C6" s="258">
        <f xml:space="preserve">
TRUNC(IF($A$4&lt;=12,SUMIFS('ON Data'!G:G,'ON Data'!$D:$D,$A$4,'ON Data'!$E:$E,1),SUMIFS('ON Data'!G:G,'ON Data'!$E:$E,1)/'ON Data'!$D$3),1)</f>
        <v>0</v>
      </c>
      <c r="D6" s="259">
        <f xml:space="preserve">
TRUNC(IF($A$4&lt;=12,SUMIFS('ON Data'!H:H,'ON Data'!$D:$D,$A$4,'ON Data'!$E:$E,1),SUMIFS('ON Data'!H:H,'ON Data'!$E:$E,1)/'ON Data'!$D$3),1)</f>
        <v>0</v>
      </c>
      <c r="E6" s="259">
        <f xml:space="preserve">
TRUNC(IF($A$4&lt;=12,SUMIFS('ON Data'!I:I,'ON Data'!$D:$D,$A$4,'ON Data'!$E:$E,1),SUMIFS('ON Data'!I:I,'ON Data'!$E:$E,1)/'ON Data'!$D$3),1)</f>
        <v>11.6</v>
      </c>
      <c r="F6" s="259">
        <f xml:space="preserve">
TRUNC(IF($A$4&lt;=12,SUMIFS('ON Data'!K:K,'ON Data'!$D:$D,$A$4,'ON Data'!$E:$E,1),SUMIFS('ON Data'!K:K,'ON Data'!$E:$E,1)/'ON Data'!$D$3),1)</f>
        <v>29</v>
      </c>
      <c r="G6" s="259">
        <f xml:space="preserve">
TRUNC(IF($A$4&lt;=12,SUMIFS('ON Data'!L:L,'ON Data'!$D:$D,$A$4,'ON Data'!$E:$E,1),SUMIFS('ON Data'!L:L,'ON Data'!$E:$E,1)/'ON Data'!$D$3),1)</f>
        <v>0</v>
      </c>
      <c r="H6" s="259">
        <f xml:space="preserve">
TRUNC(IF($A$4&lt;=12,SUMIFS('ON Data'!M:M,'ON Data'!$D:$D,$A$4,'ON Data'!$E:$E,1),SUMIFS('ON Data'!M:M,'ON Data'!$E:$E,1)/'ON Data'!$D$3),1)</f>
        <v>0</v>
      </c>
      <c r="I6" s="259">
        <f xml:space="preserve">
TRUNC(IF($A$4&lt;=12,SUMIFS('ON Data'!N:N,'ON Data'!$D:$D,$A$4,'ON Data'!$E:$E,1),SUMIFS('ON Data'!N:N,'ON Data'!$E:$E,1)/'ON Data'!$D$3),1)</f>
        <v>0</v>
      </c>
      <c r="J6" s="259">
        <f xml:space="preserve">
TRUNC(IF($A$4&lt;=12,SUMIFS('ON Data'!O:O,'ON Data'!$D:$D,$A$4,'ON Data'!$E:$E,1),SUMIFS('ON Data'!O:O,'ON Data'!$E:$E,1)/'ON Data'!$D$3),1)</f>
        <v>0</v>
      </c>
      <c r="K6" s="259">
        <f xml:space="preserve">
TRUNC(IF($A$4&lt;=12,SUMIFS('ON Data'!P:P,'ON Data'!$D:$D,$A$4,'ON Data'!$E:$E,1),SUMIFS('ON Data'!P:P,'ON Data'!$E:$E,1)/'ON Data'!$D$3),1)</f>
        <v>0</v>
      </c>
      <c r="L6" s="259">
        <f xml:space="preserve">
TRUNC(IF($A$4&lt;=12,SUMIFS('ON Data'!Q:Q,'ON Data'!$D:$D,$A$4,'ON Data'!$E:$E,1),SUMIFS('ON Data'!Q:Q,'ON Data'!$E:$E,1)/'ON Data'!$D$3),1)</f>
        <v>0</v>
      </c>
      <c r="M6" s="259">
        <f xml:space="preserve">
TRUNC(IF($A$4&lt;=12,SUMIFS('ON Data'!R:R,'ON Data'!$D:$D,$A$4,'ON Data'!$E:$E,1),SUMIFS('ON Data'!R:R,'ON Data'!$E:$E,1)/'ON Data'!$D$3),1)</f>
        <v>13.4</v>
      </c>
      <c r="N6" s="259">
        <f xml:space="preserve">
TRUNC(IF($A$4&lt;=12,SUMIFS('ON Data'!S:S,'ON Data'!$D:$D,$A$4,'ON Data'!$E:$E,1),SUMIFS('ON Data'!S:S,'ON Data'!$E:$E,1)/'ON Data'!$D$3),1)</f>
        <v>0</v>
      </c>
      <c r="O6" s="259">
        <f xml:space="preserve">
TRUNC(IF($A$4&lt;=12,SUMIFS('ON Data'!T:T,'ON Data'!$D:$D,$A$4,'ON Data'!$E:$E,1),SUMIFS('ON Data'!T:T,'ON Data'!$E:$E,1)/'ON Data'!$D$3),1)</f>
        <v>0</v>
      </c>
      <c r="P6" s="259">
        <f xml:space="preserve">
TRUNC(IF($A$4&lt;=12,SUMIFS('ON Data'!U:U,'ON Data'!$D:$D,$A$4,'ON Data'!$E:$E,1),SUMIFS('ON Data'!U:U,'ON Data'!$E:$E,1)/'ON Data'!$D$3),1)</f>
        <v>0</v>
      </c>
      <c r="Q6" s="259">
        <f xml:space="preserve">
TRUNC(IF($A$4&lt;=12,SUMIFS('ON Data'!V:V,'ON Data'!$D:$D,$A$4,'ON Data'!$E:$E,1),SUMIFS('ON Data'!V:V,'ON Data'!$E:$E,1)/'ON Data'!$D$3),1)</f>
        <v>0</v>
      </c>
      <c r="R6" s="259">
        <f xml:space="preserve">
TRUNC(IF($A$4&lt;=12,SUMIFS('ON Data'!W:W,'ON Data'!$D:$D,$A$4,'ON Data'!$E:$E,1),SUMIFS('ON Data'!W:W,'ON Data'!$E:$E,1)/'ON Data'!$D$3),1)</f>
        <v>0</v>
      </c>
      <c r="S6" s="259">
        <f xml:space="preserve">
TRUNC(IF($A$4&lt;=12,SUMIFS('ON Data'!X:X,'ON Data'!$D:$D,$A$4,'ON Data'!$E:$E,1),SUMIFS('ON Data'!X:X,'ON Data'!$E:$E,1)/'ON Data'!$D$3),1)</f>
        <v>0</v>
      </c>
      <c r="T6" s="259">
        <f xml:space="preserve">
TRUNC(IF($A$4&lt;=12,SUMIFS('ON Data'!Y:Y,'ON Data'!$D:$D,$A$4,'ON Data'!$E:$E,1),SUMIFS('ON Data'!Y:Y,'ON Data'!$E:$E,1)/'ON Data'!$D$3),1)</f>
        <v>0</v>
      </c>
      <c r="U6" s="259">
        <f xml:space="preserve">
TRUNC(IF($A$4&lt;=12,SUMIFS('ON Data'!Z:Z,'ON Data'!$D:$D,$A$4,'ON Data'!$E:$E,1),SUMIFS('ON Data'!Z:Z,'ON Data'!$E:$E,1)/'ON Data'!$D$3),1)</f>
        <v>0</v>
      </c>
      <c r="V6" s="259">
        <f xml:space="preserve">
TRUNC(IF($A$4&lt;=12,SUMIFS('ON Data'!AA:AA,'ON Data'!$D:$D,$A$4,'ON Data'!$E:$E,1),SUMIFS('ON Data'!AA:AA,'ON Data'!$E:$E,1)/'ON Data'!$D$3),1)</f>
        <v>0</v>
      </c>
      <c r="W6" s="259">
        <f xml:space="preserve">
TRUNC(IF($A$4&lt;=12,SUMIFS('ON Data'!AB:AB,'ON Data'!$D:$D,$A$4,'ON Data'!$E:$E,1),SUMIFS('ON Data'!AB:AB,'ON Data'!$E:$E,1)/'ON Data'!$D$3),1)</f>
        <v>0</v>
      </c>
      <c r="X6" s="259">
        <f xml:space="preserve">
TRUNC(IF($A$4&lt;=12,SUMIFS('ON Data'!AC:AC,'ON Data'!$D:$D,$A$4,'ON Data'!$E:$E,1),SUMIFS('ON Data'!AC:AC,'ON Data'!$E:$E,1)/'ON Data'!$D$3),1)</f>
        <v>0</v>
      </c>
      <c r="Y6" s="259">
        <f xml:space="preserve">
TRUNC(IF($A$4&lt;=12,SUMIFS('ON Data'!AD:AD,'ON Data'!$D:$D,$A$4,'ON Data'!$E:$E,1),SUMIFS('ON Data'!AD:AD,'ON Data'!$E:$E,1)/'ON Data'!$D$3),1)</f>
        <v>0</v>
      </c>
      <c r="Z6" s="259">
        <f xml:space="preserve">
TRUNC(IF($A$4&lt;=12,SUMIFS('ON Data'!AE:AE,'ON Data'!$D:$D,$A$4,'ON Data'!$E:$E,1),SUMIFS('ON Data'!AE:AE,'ON Data'!$E:$E,1)/'ON Data'!$D$3),1)</f>
        <v>0</v>
      </c>
      <c r="AA6" s="259">
        <f xml:space="preserve">
TRUNC(IF($A$4&lt;=12,SUMIFS('ON Data'!AF:AF,'ON Data'!$D:$D,$A$4,'ON Data'!$E:$E,1),SUMIFS('ON Data'!AF:AF,'ON Data'!$E:$E,1)/'ON Data'!$D$3),1)</f>
        <v>0</v>
      </c>
      <c r="AB6" s="259">
        <f xml:space="preserve">
TRUNC(IF($A$4&lt;=12,SUMIFS('ON Data'!AG:AG,'ON Data'!$D:$D,$A$4,'ON Data'!$E:$E,1),SUMIFS('ON Data'!AG:AG,'ON Data'!$E:$E,1)/'ON Data'!$D$3),1)</f>
        <v>0</v>
      </c>
      <c r="AC6" s="259">
        <f xml:space="preserve">
TRUNC(IF($A$4&lt;=12,SUMIFS('ON Data'!AH:AH,'ON Data'!$D:$D,$A$4,'ON Data'!$E:$E,1),SUMIFS('ON Data'!AH:AH,'ON Data'!$E:$E,1)/'ON Data'!$D$3),1)</f>
        <v>0</v>
      </c>
      <c r="AD6" s="259">
        <f xml:space="preserve">
TRUNC(IF($A$4&lt;=12,SUMIFS('ON Data'!AI:AI,'ON Data'!$D:$D,$A$4,'ON Data'!$E:$E,1),SUMIFS('ON Data'!AI:AI,'ON Data'!$E:$E,1)/'ON Data'!$D$3),1)</f>
        <v>0</v>
      </c>
      <c r="AE6" s="259">
        <f xml:space="preserve">
TRUNC(IF($A$4&lt;=12,SUMIFS('ON Data'!AJ:AJ,'ON Data'!$D:$D,$A$4,'ON Data'!$E:$E,1),SUMIFS('ON Data'!AJ:AJ,'ON Data'!$E:$E,1)/'ON Data'!$D$3),1)</f>
        <v>0</v>
      </c>
      <c r="AF6" s="259">
        <f xml:space="preserve">
TRUNC(IF($A$4&lt;=12,SUMIFS('ON Data'!AK:AK,'ON Data'!$D:$D,$A$4,'ON Data'!$E:$E,1),SUMIFS('ON Data'!AK:AK,'ON Data'!$E:$E,1)/'ON Data'!$D$3),1)</f>
        <v>0</v>
      </c>
      <c r="AG6" s="259">
        <f xml:space="preserve">
TRUNC(IF($A$4&lt;=12,SUMIFS('ON Data'!AL:AL,'ON Data'!$D:$D,$A$4,'ON Data'!$E:$E,1),SUMIFS('ON Data'!AL:AL,'ON Data'!$E:$E,1)/'ON Data'!$D$3),1)</f>
        <v>0</v>
      </c>
      <c r="AH6" s="259">
        <f xml:space="preserve">
TRUNC(IF($A$4&lt;=12,SUMIFS('ON Data'!AN:AN,'ON Data'!$D:$D,$A$4,'ON Data'!$E:$E,1),SUMIFS('ON Data'!AN:AN,'ON Data'!$E:$E,1)/'ON Data'!$D$3),1)</f>
        <v>0.9</v>
      </c>
      <c r="AI6" s="484">
        <f xml:space="preserve">
TRUNC(IF($A$4&lt;=12,SUMIFS('ON Data'!AO:AO,'ON Data'!$D:$D,$A$4,'ON Data'!$E:$E,1),SUMIFS('ON Data'!AO:AO,'ON Data'!$E:$E,1)/'ON Data'!$D$3),1)</f>
        <v>1</v>
      </c>
      <c r="AJ6" s="498"/>
    </row>
    <row r="7" spans="1:36" ht="15" hidden="1" outlineLevel="1" thickBot="1" x14ac:dyDescent="0.35">
      <c r="A7" s="219" t="s">
        <v>92</v>
      </c>
      <c r="B7" s="257"/>
      <c r="C7" s="260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59"/>
      <c r="Y7" s="259"/>
      <c r="Z7" s="259"/>
      <c r="AA7" s="259"/>
      <c r="AB7" s="259"/>
      <c r="AC7" s="259"/>
      <c r="AD7" s="259"/>
      <c r="AE7" s="259"/>
      <c r="AF7" s="259"/>
      <c r="AG7" s="259"/>
      <c r="AH7" s="259"/>
      <c r="AI7" s="484"/>
      <c r="AJ7" s="498"/>
    </row>
    <row r="8" spans="1:36" ht="15" hidden="1" outlineLevel="1" thickBot="1" x14ac:dyDescent="0.35">
      <c r="A8" s="219" t="s">
        <v>62</v>
      </c>
      <c r="B8" s="257"/>
      <c r="C8" s="260"/>
      <c r="D8" s="259"/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59"/>
      <c r="S8" s="259"/>
      <c r="T8" s="259"/>
      <c r="U8" s="259"/>
      <c r="V8" s="259"/>
      <c r="W8" s="259"/>
      <c r="X8" s="259"/>
      <c r="Y8" s="259"/>
      <c r="Z8" s="259"/>
      <c r="AA8" s="259"/>
      <c r="AB8" s="259"/>
      <c r="AC8" s="259"/>
      <c r="AD8" s="259"/>
      <c r="AE8" s="259"/>
      <c r="AF8" s="259"/>
      <c r="AG8" s="259"/>
      <c r="AH8" s="259"/>
      <c r="AI8" s="484"/>
      <c r="AJ8" s="498"/>
    </row>
    <row r="9" spans="1:36" ht="15" hidden="1" outlineLevel="1" thickBot="1" x14ac:dyDescent="0.35">
      <c r="A9" s="220" t="s">
        <v>55</v>
      </c>
      <c r="B9" s="261"/>
      <c r="C9" s="262"/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485"/>
      <c r="AJ9" s="498"/>
    </row>
    <row r="10" spans="1:36" x14ac:dyDescent="0.3">
      <c r="A10" s="221" t="s">
        <v>164</v>
      </c>
      <c r="B10" s="236"/>
      <c r="C10" s="237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238"/>
      <c r="AC10" s="238"/>
      <c r="AD10" s="238"/>
      <c r="AE10" s="238"/>
      <c r="AF10" s="238"/>
      <c r="AG10" s="238"/>
      <c r="AH10" s="238"/>
      <c r="AI10" s="486"/>
      <c r="AJ10" s="498"/>
    </row>
    <row r="11" spans="1:36" x14ac:dyDescent="0.3">
      <c r="A11" s="222" t="s">
        <v>165</v>
      </c>
      <c r="B11" s="239">
        <f xml:space="preserve">
IF($A$4&lt;=12,SUMIFS('ON Data'!F:F,'ON Data'!$D:$D,$A$4,'ON Data'!$E:$E,2),SUMIFS('ON Data'!F:F,'ON Data'!$E:$E,2))</f>
        <v>44503.7</v>
      </c>
      <c r="C11" s="240">
        <f xml:space="preserve">
IF($A$4&lt;=12,SUMIFS('ON Data'!G:G,'ON Data'!$D:$D,$A$4,'ON Data'!$E:$E,2),SUMIFS('ON Data'!G:G,'ON Data'!$E:$E,2))</f>
        <v>0</v>
      </c>
      <c r="D11" s="241">
        <f xml:space="preserve">
IF($A$4&lt;=12,SUMIFS('ON Data'!H:H,'ON Data'!$D:$D,$A$4,'ON Data'!$E:$E,2),SUMIFS('ON Data'!H:H,'ON Data'!$E:$E,2))</f>
        <v>0</v>
      </c>
      <c r="E11" s="241">
        <f xml:space="preserve">
IF($A$4&lt;=12,SUMIFS('ON Data'!I:I,'ON Data'!$D:$D,$A$4,'ON Data'!$E:$E,2),SUMIFS('ON Data'!I:I,'ON Data'!$E:$E,2))</f>
        <v>9125.1</v>
      </c>
      <c r="F11" s="241">
        <f xml:space="preserve">
IF($A$4&lt;=12,SUMIFS('ON Data'!K:K,'ON Data'!$D:$D,$A$4,'ON Data'!$E:$E,2),SUMIFS('ON Data'!K:K,'ON Data'!$E:$E,2))</f>
        <v>22756</v>
      </c>
      <c r="G11" s="241">
        <f xml:space="preserve">
IF($A$4&lt;=12,SUMIFS('ON Data'!L:L,'ON Data'!$D:$D,$A$4,'ON Data'!$E:$E,2),SUMIFS('ON Data'!L:L,'ON Data'!$E:$E,2))</f>
        <v>0</v>
      </c>
      <c r="H11" s="241">
        <f xml:space="preserve">
IF($A$4&lt;=12,SUMIFS('ON Data'!M:M,'ON Data'!$D:$D,$A$4,'ON Data'!$E:$E,2),SUMIFS('ON Data'!M:M,'ON Data'!$E:$E,2))</f>
        <v>0</v>
      </c>
      <c r="I11" s="241">
        <f xml:space="preserve">
IF($A$4&lt;=12,SUMIFS('ON Data'!N:N,'ON Data'!$D:$D,$A$4,'ON Data'!$E:$E,2),SUMIFS('ON Data'!N:N,'ON Data'!$E:$E,2))</f>
        <v>0</v>
      </c>
      <c r="J11" s="241">
        <f xml:space="preserve">
IF($A$4&lt;=12,SUMIFS('ON Data'!O:O,'ON Data'!$D:$D,$A$4,'ON Data'!$E:$E,2),SUMIFS('ON Data'!O:O,'ON Data'!$E:$E,2))</f>
        <v>0</v>
      </c>
      <c r="K11" s="241">
        <f xml:space="preserve">
IF($A$4&lt;=12,SUMIFS('ON Data'!P:P,'ON Data'!$D:$D,$A$4,'ON Data'!$E:$E,2),SUMIFS('ON Data'!P:P,'ON Data'!$E:$E,2))</f>
        <v>0</v>
      </c>
      <c r="L11" s="241">
        <f xml:space="preserve">
IF($A$4&lt;=12,SUMIFS('ON Data'!Q:Q,'ON Data'!$D:$D,$A$4,'ON Data'!$E:$E,2),SUMIFS('ON Data'!Q:Q,'ON Data'!$E:$E,2))</f>
        <v>0</v>
      </c>
      <c r="M11" s="241">
        <f xml:space="preserve">
IF($A$4&lt;=12,SUMIFS('ON Data'!R:R,'ON Data'!$D:$D,$A$4,'ON Data'!$E:$E,2),SUMIFS('ON Data'!R:R,'ON Data'!$E:$E,2))</f>
        <v>11042.8</v>
      </c>
      <c r="N11" s="241">
        <f xml:space="preserve">
IF($A$4&lt;=12,SUMIFS('ON Data'!S:S,'ON Data'!$D:$D,$A$4,'ON Data'!$E:$E,2),SUMIFS('ON Data'!S:S,'ON Data'!$E:$E,2))</f>
        <v>0</v>
      </c>
      <c r="O11" s="241">
        <f xml:space="preserve">
IF($A$4&lt;=12,SUMIFS('ON Data'!T:T,'ON Data'!$D:$D,$A$4,'ON Data'!$E:$E,2),SUMIFS('ON Data'!T:T,'ON Data'!$E:$E,2))</f>
        <v>0</v>
      </c>
      <c r="P11" s="241">
        <f xml:space="preserve">
IF($A$4&lt;=12,SUMIFS('ON Data'!U:U,'ON Data'!$D:$D,$A$4,'ON Data'!$E:$E,2),SUMIFS('ON Data'!U:U,'ON Data'!$E:$E,2))</f>
        <v>0</v>
      </c>
      <c r="Q11" s="241">
        <f xml:space="preserve">
IF($A$4&lt;=12,SUMIFS('ON Data'!V:V,'ON Data'!$D:$D,$A$4,'ON Data'!$E:$E,2),SUMIFS('ON Data'!V:V,'ON Data'!$E:$E,2))</f>
        <v>0</v>
      </c>
      <c r="R11" s="241">
        <f xml:space="preserve">
IF($A$4&lt;=12,SUMIFS('ON Data'!W:W,'ON Data'!$D:$D,$A$4,'ON Data'!$E:$E,2),SUMIFS('ON Data'!W:W,'ON Data'!$E:$E,2))</f>
        <v>0</v>
      </c>
      <c r="S11" s="241">
        <f xml:space="preserve">
IF($A$4&lt;=12,SUMIFS('ON Data'!X:X,'ON Data'!$D:$D,$A$4,'ON Data'!$E:$E,2),SUMIFS('ON Data'!X:X,'ON Data'!$E:$E,2))</f>
        <v>0</v>
      </c>
      <c r="T11" s="241">
        <f xml:space="preserve">
IF($A$4&lt;=12,SUMIFS('ON Data'!Y:Y,'ON Data'!$D:$D,$A$4,'ON Data'!$E:$E,2),SUMIFS('ON Data'!Y:Y,'ON Data'!$E:$E,2))</f>
        <v>0</v>
      </c>
      <c r="U11" s="241">
        <f xml:space="preserve">
IF($A$4&lt;=12,SUMIFS('ON Data'!Z:Z,'ON Data'!$D:$D,$A$4,'ON Data'!$E:$E,2),SUMIFS('ON Data'!Z:Z,'ON Data'!$E:$E,2))</f>
        <v>0</v>
      </c>
      <c r="V11" s="241">
        <f xml:space="preserve">
IF($A$4&lt;=12,SUMIFS('ON Data'!AA:AA,'ON Data'!$D:$D,$A$4,'ON Data'!$E:$E,2),SUMIFS('ON Data'!AA:AA,'ON Data'!$E:$E,2))</f>
        <v>0</v>
      </c>
      <c r="W11" s="241">
        <f xml:space="preserve">
IF($A$4&lt;=12,SUMIFS('ON Data'!AB:AB,'ON Data'!$D:$D,$A$4,'ON Data'!$E:$E,2),SUMIFS('ON Data'!AB:AB,'ON Data'!$E:$E,2))</f>
        <v>0</v>
      </c>
      <c r="X11" s="241">
        <f xml:space="preserve">
IF($A$4&lt;=12,SUMIFS('ON Data'!AC:AC,'ON Data'!$D:$D,$A$4,'ON Data'!$E:$E,2),SUMIFS('ON Data'!AC:AC,'ON Data'!$E:$E,2))</f>
        <v>0</v>
      </c>
      <c r="Y11" s="241">
        <f xml:space="preserve">
IF($A$4&lt;=12,SUMIFS('ON Data'!AD:AD,'ON Data'!$D:$D,$A$4,'ON Data'!$E:$E,2),SUMIFS('ON Data'!AD:AD,'ON Data'!$E:$E,2))</f>
        <v>0</v>
      </c>
      <c r="Z11" s="241">
        <f xml:space="preserve">
IF($A$4&lt;=12,SUMIFS('ON Data'!AE:AE,'ON Data'!$D:$D,$A$4,'ON Data'!$E:$E,2),SUMIFS('ON Data'!AE:AE,'ON Data'!$E:$E,2))</f>
        <v>0</v>
      </c>
      <c r="AA11" s="241">
        <f xml:space="preserve">
IF($A$4&lt;=12,SUMIFS('ON Data'!AF:AF,'ON Data'!$D:$D,$A$4,'ON Data'!$E:$E,2),SUMIFS('ON Data'!AF:AF,'ON Data'!$E:$E,2))</f>
        <v>0</v>
      </c>
      <c r="AB11" s="241">
        <f xml:space="preserve">
IF($A$4&lt;=12,SUMIFS('ON Data'!AG:AG,'ON Data'!$D:$D,$A$4,'ON Data'!$E:$E,2),SUMIFS('ON Data'!AG:AG,'ON Data'!$E:$E,2))</f>
        <v>0</v>
      </c>
      <c r="AC11" s="241">
        <f xml:space="preserve">
IF($A$4&lt;=12,SUMIFS('ON Data'!AH:AH,'ON Data'!$D:$D,$A$4,'ON Data'!$E:$E,2),SUMIFS('ON Data'!AH:AH,'ON Data'!$E:$E,2))</f>
        <v>0</v>
      </c>
      <c r="AD11" s="241">
        <f xml:space="preserve">
IF($A$4&lt;=12,SUMIFS('ON Data'!AI:AI,'ON Data'!$D:$D,$A$4,'ON Data'!$E:$E,2),SUMIFS('ON Data'!AI:AI,'ON Data'!$E:$E,2))</f>
        <v>0</v>
      </c>
      <c r="AE11" s="241">
        <f xml:space="preserve">
IF($A$4&lt;=12,SUMIFS('ON Data'!AJ:AJ,'ON Data'!$D:$D,$A$4,'ON Data'!$E:$E,2),SUMIFS('ON Data'!AJ:AJ,'ON Data'!$E:$E,2))</f>
        <v>0</v>
      </c>
      <c r="AF11" s="241">
        <f xml:space="preserve">
IF($A$4&lt;=12,SUMIFS('ON Data'!AK:AK,'ON Data'!$D:$D,$A$4,'ON Data'!$E:$E,2),SUMIFS('ON Data'!AK:AK,'ON Data'!$E:$E,2))</f>
        <v>0</v>
      </c>
      <c r="AG11" s="241">
        <f xml:space="preserve">
IF($A$4&lt;=12,SUMIFS('ON Data'!AL:AL,'ON Data'!$D:$D,$A$4,'ON Data'!$E:$E,2),SUMIFS('ON Data'!AL:AL,'ON Data'!$E:$E,2))</f>
        <v>0</v>
      </c>
      <c r="AH11" s="241">
        <f xml:space="preserve">
IF($A$4&lt;=12,SUMIFS('ON Data'!AN:AN,'ON Data'!$D:$D,$A$4,'ON Data'!$E:$E,2),SUMIFS('ON Data'!AN:AN,'ON Data'!$E:$E,2))</f>
        <v>755.80000000000007</v>
      </c>
      <c r="AI11" s="487">
        <f xml:space="preserve">
IF($A$4&lt;=12,SUMIFS('ON Data'!AO:AO,'ON Data'!$D:$D,$A$4,'ON Data'!$E:$E,2),SUMIFS('ON Data'!AO:AO,'ON Data'!$E:$E,2))</f>
        <v>824</v>
      </c>
      <c r="AJ11" s="498"/>
    </row>
    <row r="12" spans="1:36" x14ac:dyDescent="0.3">
      <c r="A12" s="222" t="s">
        <v>166</v>
      </c>
      <c r="B12" s="239">
        <f xml:space="preserve">
IF($A$4&lt;=12,SUMIFS('ON Data'!F:F,'ON Data'!$D:$D,$A$4,'ON Data'!$E:$E,3),SUMIFS('ON Data'!F:F,'ON Data'!$E:$E,3))</f>
        <v>0</v>
      </c>
      <c r="C12" s="240">
        <f xml:space="preserve">
IF($A$4&lt;=12,SUMIFS('ON Data'!G:G,'ON Data'!$D:$D,$A$4,'ON Data'!$E:$E,3),SUMIFS('ON Data'!G:G,'ON Data'!$E:$E,3))</f>
        <v>0</v>
      </c>
      <c r="D12" s="241">
        <f xml:space="preserve">
IF($A$4&lt;=12,SUMIFS('ON Data'!H:H,'ON Data'!$D:$D,$A$4,'ON Data'!$E:$E,3),SUMIFS('ON Data'!H:H,'ON Data'!$E:$E,3))</f>
        <v>0</v>
      </c>
      <c r="E12" s="241">
        <f xml:space="preserve">
IF($A$4&lt;=12,SUMIFS('ON Data'!I:I,'ON Data'!$D:$D,$A$4,'ON Data'!$E:$E,3),SUMIFS('ON Data'!I:I,'ON Data'!$E:$E,3))</f>
        <v>0</v>
      </c>
      <c r="F12" s="241">
        <f xml:space="preserve">
IF($A$4&lt;=12,SUMIFS('ON Data'!K:K,'ON Data'!$D:$D,$A$4,'ON Data'!$E:$E,3),SUMIFS('ON Data'!K:K,'ON Data'!$E:$E,3))</f>
        <v>0</v>
      </c>
      <c r="G12" s="241">
        <f xml:space="preserve">
IF($A$4&lt;=12,SUMIFS('ON Data'!L:L,'ON Data'!$D:$D,$A$4,'ON Data'!$E:$E,3),SUMIFS('ON Data'!L:L,'ON Data'!$E:$E,3))</f>
        <v>0</v>
      </c>
      <c r="H12" s="241">
        <f xml:space="preserve">
IF($A$4&lt;=12,SUMIFS('ON Data'!M:M,'ON Data'!$D:$D,$A$4,'ON Data'!$E:$E,3),SUMIFS('ON Data'!M:M,'ON Data'!$E:$E,3))</f>
        <v>0</v>
      </c>
      <c r="I12" s="241">
        <f xml:space="preserve">
IF($A$4&lt;=12,SUMIFS('ON Data'!N:N,'ON Data'!$D:$D,$A$4,'ON Data'!$E:$E,3),SUMIFS('ON Data'!N:N,'ON Data'!$E:$E,3))</f>
        <v>0</v>
      </c>
      <c r="J12" s="241">
        <f xml:space="preserve">
IF($A$4&lt;=12,SUMIFS('ON Data'!O:O,'ON Data'!$D:$D,$A$4,'ON Data'!$E:$E,3),SUMIFS('ON Data'!O:O,'ON Data'!$E:$E,3))</f>
        <v>0</v>
      </c>
      <c r="K12" s="241">
        <f xml:space="preserve">
IF($A$4&lt;=12,SUMIFS('ON Data'!P:P,'ON Data'!$D:$D,$A$4,'ON Data'!$E:$E,3),SUMIFS('ON Data'!P:P,'ON Data'!$E:$E,3))</f>
        <v>0</v>
      </c>
      <c r="L12" s="241">
        <f xml:space="preserve">
IF($A$4&lt;=12,SUMIFS('ON Data'!Q:Q,'ON Data'!$D:$D,$A$4,'ON Data'!$E:$E,3),SUMIFS('ON Data'!Q:Q,'ON Data'!$E:$E,3))</f>
        <v>0</v>
      </c>
      <c r="M12" s="241">
        <f xml:space="preserve">
IF($A$4&lt;=12,SUMIFS('ON Data'!R:R,'ON Data'!$D:$D,$A$4,'ON Data'!$E:$E,3),SUMIFS('ON Data'!R:R,'ON Data'!$E:$E,3))</f>
        <v>0</v>
      </c>
      <c r="N12" s="241">
        <f xml:space="preserve">
IF($A$4&lt;=12,SUMIFS('ON Data'!S:S,'ON Data'!$D:$D,$A$4,'ON Data'!$E:$E,3),SUMIFS('ON Data'!S:S,'ON Data'!$E:$E,3))</f>
        <v>0</v>
      </c>
      <c r="O12" s="241">
        <f xml:space="preserve">
IF($A$4&lt;=12,SUMIFS('ON Data'!T:T,'ON Data'!$D:$D,$A$4,'ON Data'!$E:$E,3),SUMIFS('ON Data'!T:T,'ON Data'!$E:$E,3))</f>
        <v>0</v>
      </c>
      <c r="P12" s="241">
        <f xml:space="preserve">
IF($A$4&lt;=12,SUMIFS('ON Data'!U:U,'ON Data'!$D:$D,$A$4,'ON Data'!$E:$E,3),SUMIFS('ON Data'!U:U,'ON Data'!$E:$E,3))</f>
        <v>0</v>
      </c>
      <c r="Q12" s="241">
        <f xml:space="preserve">
IF($A$4&lt;=12,SUMIFS('ON Data'!V:V,'ON Data'!$D:$D,$A$4,'ON Data'!$E:$E,3),SUMIFS('ON Data'!V:V,'ON Data'!$E:$E,3))</f>
        <v>0</v>
      </c>
      <c r="R12" s="241">
        <f xml:space="preserve">
IF($A$4&lt;=12,SUMIFS('ON Data'!W:W,'ON Data'!$D:$D,$A$4,'ON Data'!$E:$E,3),SUMIFS('ON Data'!W:W,'ON Data'!$E:$E,3))</f>
        <v>0</v>
      </c>
      <c r="S12" s="241">
        <f xml:space="preserve">
IF($A$4&lt;=12,SUMIFS('ON Data'!X:X,'ON Data'!$D:$D,$A$4,'ON Data'!$E:$E,3),SUMIFS('ON Data'!X:X,'ON Data'!$E:$E,3))</f>
        <v>0</v>
      </c>
      <c r="T12" s="241">
        <f xml:space="preserve">
IF($A$4&lt;=12,SUMIFS('ON Data'!Y:Y,'ON Data'!$D:$D,$A$4,'ON Data'!$E:$E,3),SUMIFS('ON Data'!Y:Y,'ON Data'!$E:$E,3))</f>
        <v>0</v>
      </c>
      <c r="U12" s="241">
        <f xml:space="preserve">
IF($A$4&lt;=12,SUMIFS('ON Data'!Z:Z,'ON Data'!$D:$D,$A$4,'ON Data'!$E:$E,3),SUMIFS('ON Data'!Z:Z,'ON Data'!$E:$E,3))</f>
        <v>0</v>
      </c>
      <c r="V12" s="241">
        <f xml:space="preserve">
IF($A$4&lt;=12,SUMIFS('ON Data'!AA:AA,'ON Data'!$D:$D,$A$4,'ON Data'!$E:$E,3),SUMIFS('ON Data'!AA:AA,'ON Data'!$E:$E,3))</f>
        <v>0</v>
      </c>
      <c r="W12" s="241">
        <f xml:space="preserve">
IF($A$4&lt;=12,SUMIFS('ON Data'!AB:AB,'ON Data'!$D:$D,$A$4,'ON Data'!$E:$E,3),SUMIFS('ON Data'!AB:AB,'ON Data'!$E:$E,3))</f>
        <v>0</v>
      </c>
      <c r="X12" s="241">
        <f xml:space="preserve">
IF($A$4&lt;=12,SUMIFS('ON Data'!AC:AC,'ON Data'!$D:$D,$A$4,'ON Data'!$E:$E,3),SUMIFS('ON Data'!AC:AC,'ON Data'!$E:$E,3))</f>
        <v>0</v>
      </c>
      <c r="Y12" s="241">
        <f xml:space="preserve">
IF($A$4&lt;=12,SUMIFS('ON Data'!AD:AD,'ON Data'!$D:$D,$A$4,'ON Data'!$E:$E,3),SUMIFS('ON Data'!AD:AD,'ON Data'!$E:$E,3))</f>
        <v>0</v>
      </c>
      <c r="Z12" s="241">
        <f xml:space="preserve">
IF($A$4&lt;=12,SUMIFS('ON Data'!AE:AE,'ON Data'!$D:$D,$A$4,'ON Data'!$E:$E,3),SUMIFS('ON Data'!AE:AE,'ON Data'!$E:$E,3))</f>
        <v>0</v>
      </c>
      <c r="AA12" s="241">
        <f xml:space="preserve">
IF($A$4&lt;=12,SUMIFS('ON Data'!AF:AF,'ON Data'!$D:$D,$A$4,'ON Data'!$E:$E,3),SUMIFS('ON Data'!AF:AF,'ON Data'!$E:$E,3))</f>
        <v>0</v>
      </c>
      <c r="AB12" s="241">
        <f xml:space="preserve">
IF($A$4&lt;=12,SUMIFS('ON Data'!AG:AG,'ON Data'!$D:$D,$A$4,'ON Data'!$E:$E,3),SUMIFS('ON Data'!AG:AG,'ON Data'!$E:$E,3))</f>
        <v>0</v>
      </c>
      <c r="AC12" s="241">
        <f xml:space="preserve">
IF($A$4&lt;=12,SUMIFS('ON Data'!AH:AH,'ON Data'!$D:$D,$A$4,'ON Data'!$E:$E,3),SUMIFS('ON Data'!AH:AH,'ON Data'!$E:$E,3))</f>
        <v>0</v>
      </c>
      <c r="AD12" s="241">
        <f xml:space="preserve">
IF($A$4&lt;=12,SUMIFS('ON Data'!AI:AI,'ON Data'!$D:$D,$A$4,'ON Data'!$E:$E,3),SUMIFS('ON Data'!AI:AI,'ON Data'!$E:$E,3))</f>
        <v>0</v>
      </c>
      <c r="AE12" s="241">
        <f xml:space="preserve">
IF($A$4&lt;=12,SUMIFS('ON Data'!AJ:AJ,'ON Data'!$D:$D,$A$4,'ON Data'!$E:$E,3),SUMIFS('ON Data'!AJ:AJ,'ON Data'!$E:$E,3))</f>
        <v>0</v>
      </c>
      <c r="AF12" s="241">
        <f xml:space="preserve">
IF($A$4&lt;=12,SUMIFS('ON Data'!AK:AK,'ON Data'!$D:$D,$A$4,'ON Data'!$E:$E,3),SUMIFS('ON Data'!AK:AK,'ON Data'!$E:$E,3))</f>
        <v>0</v>
      </c>
      <c r="AG12" s="241">
        <f xml:space="preserve">
IF($A$4&lt;=12,SUMIFS('ON Data'!AL:AL,'ON Data'!$D:$D,$A$4,'ON Data'!$E:$E,3),SUMIFS('ON Data'!AL:AL,'ON Data'!$E:$E,3))</f>
        <v>0</v>
      </c>
      <c r="AH12" s="241">
        <f xml:space="preserve">
IF($A$4&lt;=12,SUMIFS('ON Data'!AN:AN,'ON Data'!$D:$D,$A$4,'ON Data'!$E:$E,3),SUMIFS('ON Data'!AN:AN,'ON Data'!$E:$E,3))</f>
        <v>0</v>
      </c>
      <c r="AI12" s="487">
        <f xml:space="preserve">
IF($A$4&lt;=12,SUMIFS('ON Data'!AO:AO,'ON Data'!$D:$D,$A$4,'ON Data'!$E:$E,3),SUMIFS('ON Data'!AO:AO,'ON Data'!$E:$E,3))</f>
        <v>0</v>
      </c>
      <c r="AJ12" s="498"/>
    </row>
    <row r="13" spans="1:36" x14ac:dyDescent="0.3">
      <c r="A13" s="222" t="s">
        <v>173</v>
      </c>
      <c r="B13" s="239">
        <f xml:space="preserve">
IF($A$4&lt;=12,SUMIFS('ON Data'!F:F,'ON Data'!$D:$D,$A$4,'ON Data'!$E:$E,4),SUMIFS('ON Data'!F:F,'ON Data'!$E:$E,4))</f>
        <v>0</v>
      </c>
      <c r="C13" s="240">
        <f xml:space="preserve">
IF($A$4&lt;=12,SUMIFS('ON Data'!G:G,'ON Data'!$D:$D,$A$4,'ON Data'!$E:$E,4),SUMIFS('ON Data'!G:G,'ON Data'!$E:$E,4))</f>
        <v>0</v>
      </c>
      <c r="D13" s="241">
        <f xml:space="preserve">
IF($A$4&lt;=12,SUMIFS('ON Data'!H:H,'ON Data'!$D:$D,$A$4,'ON Data'!$E:$E,4),SUMIFS('ON Data'!H:H,'ON Data'!$E:$E,4))</f>
        <v>0</v>
      </c>
      <c r="E13" s="241">
        <f xml:space="preserve">
IF($A$4&lt;=12,SUMIFS('ON Data'!I:I,'ON Data'!$D:$D,$A$4,'ON Data'!$E:$E,4),SUMIFS('ON Data'!I:I,'ON Data'!$E:$E,4))</f>
        <v>0</v>
      </c>
      <c r="F13" s="241">
        <f xml:space="preserve">
IF($A$4&lt;=12,SUMIFS('ON Data'!K:K,'ON Data'!$D:$D,$A$4,'ON Data'!$E:$E,4),SUMIFS('ON Data'!K:K,'ON Data'!$E:$E,4))</f>
        <v>0</v>
      </c>
      <c r="G13" s="241">
        <f xml:space="preserve">
IF($A$4&lt;=12,SUMIFS('ON Data'!L:L,'ON Data'!$D:$D,$A$4,'ON Data'!$E:$E,4),SUMIFS('ON Data'!L:L,'ON Data'!$E:$E,4))</f>
        <v>0</v>
      </c>
      <c r="H13" s="241">
        <f xml:space="preserve">
IF($A$4&lt;=12,SUMIFS('ON Data'!M:M,'ON Data'!$D:$D,$A$4,'ON Data'!$E:$E,4),SUMIFS('ON Data'!M:M,'ON Data'!$E:$E,4))</f>
        <v>0</v>
      </c>
      <c r="I13" s="241">
        <f xml:space="preserve">
IF($A$4&lt;=12,SUMIFS('ON Data'!N:N,'ON Data'!$D:$D,$A$4,'ON Data'!$E:$E,4),SUMIFS('ON Data'!N:N,'ON Data'!$E:$E,4))</f>
        <v>0</v>
      </c>
      <c r="J13" s="241">
        <f xml:space="preserve">
IF($A$4&lt;=12,SUMIFS('ON Data'!O:O,'ON Data'!$D:$D,$A$4,'ON Data'!$E:$E,4),SUMIFS('ON Data'!O:O,'ON Data'!$E:$E,4))</f>
        <v>0</v>
      </c>
      <c r="K13" s="241">
        <f xml:space="preserve">
IF($A$4&lt;=12,SUMIFS('ON Data'!P:P,'ON Data'!$D:$D,$A$4,'ON Data'!$E:$E,4),SUMIFS('ON Data'!P:P,'ON Data'!$E:$E,4))</f>
        <v>0</v>
      </c>
      <c r="L13" s="241">
        <f xml:space="preserve">
IF($A$4&lt;=12,SUMIFS('ON Data'!Q:Q,'ON Data'!$D:$D,$A$4,'ON Data'!$E:$E,4),SUMIFS('ON Data'!Q:Q,'ON Data'!$E:$E,4))</f>
        <v>0</v>
      </c>
      <c r="M13" s="241">
        <f xml:space="preserve">
IF($A$4&lt;=12,SUMIFS('ON Data'!R:R,'ON Data'!$D:$D,$A$4,'ON Data'!$E:$E,4),SUMIFS('ON Data'!R:R,'ON Data'!$E:$E,4))</f>
        <v>0</v>
      </c>
      <c r="N13" s="241">
        <f xml:space="preserve">
IF($A$4&lt;=12,SUMIFS('ON Data'!S:S,'ON Data'!$D:$D,$A$4,'ON Data'!$E:$E,4),SUMIFS('ON Data'!S:S,'ON Data'!$E:$E,4))</f>
        <v>0</v>
      </c>
      <c r="O13" s="241">
        <f xml:space="preserve">
IF($A$4&lt;=12,SUMIFS('ON Data'!T:T,'ON Data'!$D:$D,$A$4,'ON Data'!$E:$E,4),SUMIFS('ON Data'!T:T,'ON Data'!$E:$E,4))</f>
        <v>0</v>
      </c>
      <c r="P13" s="241">
        <f xml:space="preserve">
IF($A$4&lt;=12,SUMIFS('ON Data'!U:U,'ON Data'!$D:$D,$A$4,'ON Data'!$E:$E,4),SUMIFS('ON Data'!U:U,'ON Data'!$E:$E,4))</f>
        <v>0</v>
      </c>
      <c r="Q13" s="241">
        <f xml:space="preserve">
IF($A$4&lt;=12,SUMIFS('ON Data'!V:V,'ON Data'!$D:$D,$A$4,'ON Data'!$E:$E,4),SUMIFS('ON Data'!V:V,'ON Data'!$E:$E,4))</f>
        <v>0</v>
      </c>
      <c r="R13" s="241">
        <f xml:space="preserve">
IF($A$4&lt;=12,SUMIFS('ON Data'!W:W,'ON Data'!$D:$D,$A$4,'ON Data'!$E:$E,4),SUMIFS('ON Data'!W:W,'ON Data'!$E:$E,4))</f>
        <v>0</v>
      </c>
      <c r="S13" s="241">
        <f xml:space="preserve">
IF($A$4&lt;=12,SUMIFS('ON Data'!X:X,'ON Data'!$D:$D,$A$4,'ON Data'!$E:$E,4),SUMIFS('ON Data'!X:X,'ON Data'!$E:$E,4))</f>
        <v>0</v>
      </c>
      <c r="T13" s="241">
        <f xml:space="preserve">
IF($A$4&lt;=12,SUMIFS('ON Data'!Y:Y,'ON Data'!$D:$D,$A$4,'ON Data'!$E:$E,4),SUMIFS('ON Data'!Y:Y,'ON Data'!$E:$E,4))</f>
        <v>0</v>
      </c>
      <c r="U13" s="241">
        <f xml:space="preserve">
IF($A$4&lt;=12,SUMIFS('ON Data'!Z:Z,'ON Data'!$D:$D,$A$4,'ON Data'!$E:$E,4),SUMIFS('ON Data'!Z:Z,'ON Data'!$E:$E,4))</f>
        <v>0</v>
      </c>
      <c r="V13" s="241">
        <f xml:space="preserve">
IF($A$4&lt;=12,SUMIFS('ON Data'!AA:AA,'ON Data'!$D:$D,$A$4,'ON Data'!$E:$E,4),SUMIFS('ON Data'!AA:AA,'ON Data'!$E:$E,4))</f>
        <v>0</v>
      </c>
      <c r="W13" s="241">
        <f xml:space="preserve">
IF($A$4&lt;=12,SUMIFS('ON Data'!AB:AB,'ON Data'!$D:$D,$A$4,'ON Data'!$E:$E,4),SUMIFS('ON Data'!AB:AB,'ON Data'!$E:$E,4))</f>
        <v>0</v>
      </c>
      <c r="X13" s="241">
        <f xml:space="preserve">
IF($A$4&lt;=12,SUMIFS('ON Data'!AC:AC,'ON Data'!$D:$D,$A$4,'ON Data'!$E:$E,4),SUMIFS('ON Data'!AC:AC,'ON Data'!$E:$E,4))</f>
        <v>0</v>
      </c>
      <c r="Y13" s="241">
        <f xml:space="preserve">
IF($A$4&lt;=12,SUMIFS('ON Data'!AD:AD,'ON Data'!$D:$D,$A$4,'ON Data'!$E:$E,4),SUMIFS('ON Data'!AD:AD,'ON Data'!$E:$E,4))</f>
        <v>0</v>
      </c>
      <c r="Z13" s="241">
        <f xml:space="preserve">
IF($A$4&lt;=12,SUMIFS('ON Data'!AE:AE,'ON Data'!$D:$D,$A$4,'ON Data'!$E:$E,4),SUMIFS('ON Data'!AE:AE,'ON Data'!$E:$E,4))</f>
        <v>0</v>
      </c>
      <c r="AA13" s="241">
        <f xml:space="preserve">
IF($A$4&lt;=12,SUMIFS('ON Data'!AF:AF,'ON Data'!$D:$D,$A$4,'ON Data'!$E:$E,4),SUMIFS('ON Data'!AF:AF,'ON Data'!$E:$E,4))</f>
        <v>0</v>
      </c>
      <c r="AB13" s="241">
        <f xml:space="preserve">
IF($A$4&lt;=12,SUMIFS('ON Data'!AG:AG,'ON Data'!$D:$D,$A$4,'ON Data'!$E:$E,4),SUMIFS('ON Data'!AG:AG,'ON Data'!$E:$E,4))</f>
        <v>0</v>
      </c>
      <c r="AC13" s="241">
        <f xml:space="preserve">
IF($A$4&lt;=12,SUMIFS('ON Data'!AH:AH,'ON Data'!$D:$D,$A$4,'ON Data'!$E:$E,4),SUMIFS('ON Data'!AH:AH,'ON Data'!$E:$E,4))</f>
        <v>0</v>
      </c>
      <c r="AD13" s="241">
        <f xml:space="preserve">
IF($A$4&lt;=12,SUMIFS('ON Data'!AI:AI,'ON Data'!$D:$D,$A$4,'ON Data'!$E:$E,4),SUMIFS('ON Data'!AI:AI,'ON Data'!$E:$E,4))</f>
        <v>0</v>
      </c>
      <c r="AE13" s="241">
        <f xml:space="preserve">
IF($A$4&lt;=12,SUMIFS('ON Data'!AJ:AJ,'ON Data'!$D:$D,$A$4,'ON Data'!$E:$E,4),SUMIFS('ON Data'!AJ:AJ,'ON Data'!$E:$E,4))</f>
        <v>0</v>
      </c>
      <c r="AF13" s="241">
        <f xml:space="preserve">
IF($A$4&lt;=12,SUMIFS('ON Data'!AK:AK,'ON Data'!$D:$D,$A$4,'ON Data'!$E:$E,4),SUMIFS('ON Data'!AK:AK,'ON Data'!$E:$E,4))</f>
        <v>0</v>
      </c>
      <c r="AG13" s="241">
        <f xml:space="preserve">
IF($A$4&lt;=12,SUMIFS('ON Data'!AL:AL,'ON Data'!$D:$D,$A$4,'ON Data'!$E:$E,4),SUMIFS('ON Data'!AL:AL,'ON Data'!$E:$E,4))</f>
        <v>0</v>
      </c>
      <c r="AH13" s="241">
        <f xml:space="preserve">
IF($A$4&lt;=12,SUMIFS('ON Data'!AN:AN,'ON Data'!$D:$D,$A$4,'ON Data'!$E:$E,4),SUMIFS('ON Data'!AN:AN,'ON Data'!$E:$E,4))</f>
        <v>0</v>
      </c>
      <c r="AI13" s="487">
        <f xml:space="preserve">
IF($A$4&lt;=12,SUMIFS('ON Data'!AO:AO,'ON Data'!$D:$D,$A$4,'ON Data'!$E:$E,4),SUMIFS('ON Data'!AO:AO,'ON Data'!$E:$E,4))</f>
        <v>0</v>
      </c>
      <c r="AJ13" s="498"/>
    </row>
    <row r="14" spans="1:36" ht="15" thickBot="1" x14ac:dyDescent="0.35">
      <c r="A14" s="223" t="s">
        <v>167</v>
      </c>
      <c r="B14" s="242">
        <f xml:space="preserve">
IF($A$4&lt;=12,SUMIFS('ON Data'!F:F,'ON Data'!$D:$D,$A$4,'ON Data'!$E:$E,5),SUMIFS('ON Data'!F:F,'ON Data'!$E:$E,5))</f>
        <v>608.5</v>
      </c>
      <c r="C14" s="243">
        <f xml:space="preserve">
IF($A$4&lt;=12,SUMIFS('ON Data'!G:G,'ON Data'!$D:$D,$A$4,'ON Data'!$E:$E,5),SUMIFS('ON Data'!G:G,'ON Data'!$E:$E,5))</f>
        <v>608.5</v>
      </c>
      <c r="D14" s="244">
        <f xml:space="preserve">
IF($A$4&lt;=12,SUMIFS('ON Data'!H:H,'ON Data'!$D:$D,$A$4,'ON Data'!$E:$E,5),SUMIFS('ON Data'!H:H,'ON Data'!$E:$E,5))</f>
        <v>0</v>
      </c>
      <c r="E14" s="244">
        <f xml:space="preserve">
IF($A$4&lt;=12,SUMIFS('ON Data'!I:I,'ON Data'!$D:$D,$A$4,'ON Data'!$E:$E,5),SUMIFS('ON Data'!I:I,'ON Data'!$E:$E,5))</f>
        <v>0</v>
      </c>
      <c r="F14" s="244">
        <f xml:space="preserve">
IF($A$4&lt;=12,SUMIFS('ON Data'!K:K,'ON Data'!$D:$D,$A$4,'ON Data'!$E:$E,5),SUMIFS('ON Data'!K:K,'ON Data'!$E:$E,5))</f>
        <v>0</v>
      </c>
      <c r="G14" s="244">
        <f xml:space="preserve">
IF($A$4&lt;=12,SUMIFS('ON Data'!L:L,'ON Data'!$D:$D,$A$4,'ON Data'!$E:$E,5),SUMIFS('ON Data'!L:L,'ON Data'!$E:$E,5))</f>
        <v>0</v>
      </c>
      <c r="H14" s="244">
        <f xml:space="preserve">
IF($A$4&lt;=12,SUMIFS('ON Data'!M:M,'ON Data'!$D:$D,$A$4,'ON Data'!$E:$E,5),SUMIFS('ON Data'!M:M,'ON Data'!$E:$E,5))</f>
        <v>0</v>
      </c>
      <c r="I14" s="244">
        <f xml:space="preserve">
IF($A$4&lt;=12,SUMIFS('ON Data'!N:N,'ON Data'!$D:$D,$A$4,'ON Data'!$E:$E,5),SUMIFS('ON Data'!N:N,'ON Data'!$E:$E,5))</f>
        <v>0</v>
      </c>
      <c r="J14" s="244">
        <f xml:space="preserve">
IF($A$4&lt;=12,SUMIFS('ON Data'!O:O,'ON Data'!$D:$D,$A$4,'ON Data'!$E:$E,5),SUMIFS('ON Data'!O:O,'ON Data'!$E:$E,5))</f>
        <v>0</v>
      </c>
      <c r="K14" s="244">
        <f xml:space="preserve">
IF($A$4&lt;=12,SUMIFS('ON Data'!P:P,'ON Data'!$D:$D,$A$4,'ON Data'!$E:$E,5),SUMIFS('ON Data'!P:P,'ON Data'!$E:$E,5))</f>
        <v>0</v>
      </c>
      <c r="L14" s="244">
        <f xml:space="preserve">
IF($A$4&lt;=12,SUMIFS('ON Data'!Q:Q,'ON Data'!$D:$D,$A$4,'ON Data'!$E:$E,5),SUMIFS('ON Data'!Q:Q,'ON Data'!$E:$E,5))</f>
        <v>0</v>
      </c>
      <c r="M14" s="244">
        <f xml:space="preserve">
IF($A$4&lt;=12,SUMIFS('ON Data'!R:R,'ON Data'!$D:$D,$A$4,'ON Data'!$E:$E,5),SUMIFS('ON Data'!R:R,'ON Data'!$E:$E,5))</f>
        <v>0</v>
      </c>
      <c r="N14" s="244">
        <f xml:space="preserve">
IF($A$4&lt;=12,SUMIFS('ON Data'!S:S,'ON Data'!$D:$D,$A$4,'ON Data'!$E:$E,5),SUMIFS('ON Data'!S:S,'ON Data'!$E:$E,5))</f>
        <v>0</v>
      </c>
      <c r="O14" s="244">
        <f xml:space="preserve">
IF($A$4&lt;=12,SUMIFS('ON Data'!T:T,'ON Data'!$D:$D,$A$4,'ON Data'!$E:$E,5),SUMIFS('ON Data'!T:T,'ON Data'!$E:$E,5))</f>
        <v>0</v>
      </c>
      <c r="P14" s="244">
        <f xml:space="preserve">
IF($A$4&lt;=12,SUMIFS('ON Data'!U:U,'ON Data'!$D:$D,$A$4,'ON Data'!$E:$E,5),SUMIFS('ON Data'!U:U,'ON Data'!$E:$E,5))</f>
        <v>0</v>
      </c>
      <c r="Q14" s="244">
        <f xml:space="preserve">
IF($A$4&lt;=12,SUMIFS('ON Data'!V:V,'ON Data'!$D:$D,$A$4,'ON Data'!$E:$E,5),SUMIFS('ON Data'!V:V,'ON Data'!$E:$E,5))</f>
        <v>0</v>
      </c>
      <c r="R14" s="244">
        <f xml:space="preserve">
IF($A$4&lt;=12,SUMIFS('ON Data'!W:W,'ON Data'!$D:$D,$A$4,'ON Data'!$E:$E,5),SUMIFS('ON Data'!W:W,'ON Data'!$E:$E,5))</f>
        <v>0</v>
      </c>
      <c r="S14" s="244">
        <f xml:space="preserve">
IF($A$4&lt;=12,SUMIFS('ON Data'!X:X,'ON Data'!$D:$D,$A$4,'ON Data'!$E:$E,5),SUMIFS('ON Data'!X:X,'ON Data'!$E:$E,5))</f>
        <v>0</v>
      </c>
      <c r="T14" s="244">
        <f xml:space="preserve">
IF($A$4&lt;=12,SUMIFS('ON Data'!Y:Y,'ON Data'!$D:$D,$A$4,'ON Data'!$E:$E,5),SUMIFS('ON Data'!Y:Y,'ON Data'!$E:$E,5))</f>
        <v>0</v>
      </c>
      <c r="U14" s="244">
        <f xml:space="preserve">
IF($A$4&lt;=12,SUMIFS('ON Data'!Z:Z,'ON Data'!$D:$D,$A$4,'ON Data'!$E:$E,5),SUMIFS('ON Data'!Z:Z,'ON Data'!$E:$E,5))</f>
        <v>0</v>
      </c>
      <c r="V14" s="244">
        <f xml:space="preserve">
IF($A$4&lt;=12,SUMIFS('ON Data'!AA:AA,'ON Data'!$D:$D,$A$4,'ON Data'!$E:$E,5),SUMIFS('ON Data'!AA:AA,'ON Data'!$E:$E,5))</f>
        <v>0</v>
      </c>
      <c r="W14" s="244">
        <f xml:space="preserve">
IF($A$4&lt;=12,SUMIFS('ON Data'!AB:AB,'ON Data'!$D:$D,$A$4,'ON Data'!$E:$E,5),SUMIFS('ON Data'!AB:AB,'ON Data'!$E:$E,5))</f>
        <v>0</v>
      </c>
      <c r="X14" s="244">
        <f xml:space="preserve">
IF($A$4&lt;=12,SUMIFS('ON Data'!AC:AC,'ON Data'!$D:$D,$A$4,'ON Data'!$E:$E,5),SUMIFS('ON Data'!AC:AC,'ON Data'!$E:$E,5))</f>
        <v>0</v>
      </c>
      <c r="Y14" s="244">
        <f xml:space="preserve">
IF($A$4&lt;=12,SUMIFS('ON Data'!AD:AD,'ON Data'!$D:$D,$A$4,'ON Data'!$E:$E,5),SUMIFS('ON Data'!AD:AD,'ON Data'!$E:$E,5))</f>
        <v>0</v>
      </c>
      <c r="Z14" s="244">
        <f xml:space="preserve">
IF($A$4&lt;=12,SUMIFS('ON Data'!AE:AE,'ON Data'!$D:$D,$A$4,'ON Data'!$E:$E,5),SUMIFS('ON Data'!AE:AE,'ON Data'!$E:$E,5))</f>
        <v>0</v>
      </c>
      <c r="AA14" s="244">
        <f xml:space="preserve">
IF($A$4&lt;=12,SUMIFS('ON Data'!AF:AF,'ON Data'!$D:$D,$A$4,'ON Data'!$E:$E,5),SUMIFS('ON Data'!AF:AF,'ON Data'!$E:$E,5))</f>
        <v>0</v>
      </c>
      <c r="AB14" s="244">
        <f xml:space="preserve">
IF($A$4&lt;=12,SUMIFS('ON Data'!AG:AG,'ON Data'!$D:$D,$A$4,'ON Data'!$E:$E,5),SUMIFS('ON Data'!AG:AG,'ON Data'!$E:$E,5))</f>
        <v>0</v>
      </c>
      <c r="AC14" s="244">
        <f xml:space="preserve">
IF($A$4&lt;=12,SUMIFS('ON Data'!AH:AH,'ON Data'!$D:$D,$A$4,'ON Data'!$E:$E,5),SUMIFS('ON Data'!AH:AH,'ON Data'!$E:$E,5))</f>
        <v>0</v>
      </c>
      <c r="AD14" s="244">
        <f xml:space="preserve">
IF($A$4&lt;=12,SUMIFS('ON Data'!AI:AI,'ON Data'!$D:$D,$A$4,'ON Data'!$E:$E,5),SUMIFS('ON Data'!AI:AI,'ON Data'!$E:$E,5))</f>
        <v>0</v>
      </c>
      <c r="AE14" s="244">
        <f xml:space="preserve">
IF($A$4&lt;=12,SUMIFS('ON Data'!AJ:AJ,'ON Data'!$D:$D,$A$4,'ON Data'!$E:$E,5),SUMIFS('ON Data'!AJ:AJ,'ON Data'!$E:$E,5))</f>
        <v>0</v>
      </c>
      <c r="AF14" s="244">
        <f xml:space="preserve">
IF($A$4&lt;=12,SUMIFS('ON Data'!AK:AK,'ON Data'!$D:$D,$A$4,'ON Data'!$E:$E,5),SUMIFS('ON Data'!AK:AK,'ON Data'!$E:$E,5))</f>
        <v>0</v>
      </c>
      <c r="AG14" s="244">
        <f xml:space="preserve">
IF($A$4&lt;=12,SUMIFS('ON Data'!AL:AL,'ON Data'!$D:$D,$A$4,'ON Data'!$E:$E,5),SUMIFS('ON Data'!AL:AL,'ON Data'!$E:$E,5))</f>
        <v>0</v>
      </c>
      <c r="AH14" s="244">
        <f xml:space="preserve">
IF($A$4&lt;=12,SUMIFS('ON Data'!AN:AN,'ON Data'!$D:$D,$A$4,'ON Data'!$E:$E,5),SUMIFS('ON Data'!AN:AN,'ON Data'!$E:$E,5))</f>
        <v>0</v>
      </c>
      <c r="AI14" s="488">
        <f xml:space="preserve">
IF($A$4&lt;=12,SUMIFS('ON Data'!AO:AO,'ON Data'!$D:$D,$A$4,'ON Data'!$E:$E,5),SUMIFS('ON Data'!AO:AO,'ON Data'!$E:$E,5))</f>
        <v>0</v>
      </c>
      <c r="AJ14" s="498"/>
    </row>
    <row r="15" spans="1:36" x14ac:dyDescent="0.3">
      <c r="A15" s="146" t="s">
        <v>177</v>
      </c>
      <c r="B15" s="245"/>
      <c r="C15" s="246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247"/>
      <c r="AE15" s="247"/>
      <c r="AF15" s="247"/>
      <c r="AG15" s="247"/>
      <c r="AH15" s="247"/>
      <c r="AI15" s="489"/>
      <c r="AJ15" s="498"/>
    </row>
    <row r="16" spans="1:36" x14ac:dyDescent="0.3">
      <c r="A16" s="224" t="s">
        <v>168</v>
      </c>
      <c r="B16" s="239">
        <f xml:space="preserve">
IF($A$4&lt;=12,SUMIFS('ON Data'!F:F,'ON Data'!$D:$D,$A$4,'ON Data'!$E:$E,7),SUMIFS('ON Data'!F:F,'ON Data'!$E:$E,7))</f>
        <v>0</v>
      </c>
      <c r="C16" s="240">
        <f xml:space="preserve">
IF($A$4&lt;=12,SUMIFS('ON Data'!G:G,'ON Data'!$D:$D,$A$4,'ON Data'!$E:$E,7),SUMIFS('ON Data'!G:G,'ON Data'!$E:$E,7))</f>
        <v>0</v>
      </c>
      <c r="D16" s="241">
        <f xml:space="preserve">
IF($A$4&lt;=12,SUMIFS('ON Data'!H:H,'ON Data'!$D:$D,$A$4,'ON Data'!$E:$E,7),SUMIFS('ON Data'!H:H,'ON Data'!$E:$E,7))</f>
        <v>0</v>
      </c>
      <c r="E16" s="241">
        <f xml:space="preserve">
IF($A$4&lt;=12,SUMIFS('ON Data'!I:I,'ON Data'!$D:$D,$A$4,'ON Data'!$E:$E,7),SUMIFS('ON Data'!I:I,'ON Data'!$E:$E,7))</f>
        <v>0</v>
      </c>
      <c r="F16" s="241">
        <f xml:space="preserve">
IF($A$4&lt;=12,SUMIFS('ON Data'!K:K,'ON Data'!$D:$D,$A$4,'ON Data'!$E:$E,7),SUMIFS('ON Data'!K:K,'ON Data'!$E:$E,7))</f>
        <v>0</v>
      </c>
      <c r="G16" s="241">
        <f xml:space="preserve">
IF($A$4&lt;=12,SUMIFS('ON Data'!L:L,'ON Data'!$D:$D,$A$4,'ON Data'!$E:$E,7),SUMIFS('ON Data'!L:L,'ON Data'!$E:$E,7))</f>
        <v>0</v>
      </c>
      <c r="H16" s="241">
        <f xml:space="preserve">
IF($A$4&lt;=12,SUMIFS('ON Data'!M:M,'ON Data'!$D:$D,$A$4,'ON Data'!$E:$E,7),SUMIFS('ON Data'!M:M,'ON Data'!$E:$E,7))</f>
        <v>0</v>
      </c>
      <c r="I16" s="241">
        <f xml:space="preserve">
IF($A$4&lt;=12,SUMIFS('ON Data'!N:N,'ON Data'!$D:$D,$A$4,'ON Data'!$E:$E,7),SUMIFS('ON Data'!N:N,'ON Data'!$E:$E,7))</f>
        <v>0</v>
      </c>
      <c r="J16" s="241">
        <f xml:space="preserve">
IF($A$4&lt;=12,SUMIFS('ON Data'!O:O,'ON Data'!$D:$D,$A$4,'ON Data'!$E:$E,7),SUMIFS('ON Data'!O:O,'ON Data'!$E:$E,7))</f>
        <v>0</v>
      </c>
      <c r="K16" s="241">
        <f xml:space="preserve">
IF($A$4&lt;=12,SUMIFS('ON Data'!P:P,'ON Data'!$D:$D,$A$4,'ON Data'!$E:$E,7),SUMIFS('ON Data'!P:P,'ON Data'!$E:$E,7))</f>
        <v>0</v>
      </c>
      <c r="L16" s="241">
        <f xml:space="preserve">
IF($A$4&lt;=12,SUMIFS('ON Data'!Q:Q,'ON Data'!$D:$D,$A$4,'ON Data'!$E:$E,7),SUMIFS('ON Data'!Q:Q,'ON Data'!$E:$E,7))</f>
        <v>0</v>
      </c>
      <c r="M16" s="241">
        <f xml:space="preserve">
IF($A$4&lt;=12,SUMIFS('ON Data'!R:R,'ON Data'!$D:$D,$A$4,'ON Data'!$E:$E,7),SUMIFS('ON Data'!R:R,'ON Data'!$E:$E,7))</f>
        <v>0</v>
      </c>
      <c r="N16" s="241">
        <f xml:space="preserve">
IF($A$4&lt;=12,SUMIFS('ON Data'!S:S,'ON Data'!$D:$D,$A$4,'ON Data'!$E:$E,7),SUMIFS('ON Data'!S:S,'ON Data'!$E:$E,7))</f>
        <v>0</v>
      </c>
      <c r="O16" s="241">
        <f xml:space="preserve">
IF($A$4&lt;=12,SUMIFS('ON Data'!T:T,'ON Data'!$D:$D,$A$4,'ON Data'!$E:$E,7),SUMIFS('ON Data'!T:T,'ON Data'!$E:$E,7))</f>
        <v>0</v>
      </c>
      <c r="P16" s="241">
        <f xml:space="preserve">
IF($A$4&lt;=12,SUMIFS('ON Data'!U:U,'ON Data'!$D:$D,$A$4,'ON Data'!$E:$E,7),SUMIFS('ON Data'!U:U,'ON Data'!$E:$E,7))</f>
        <v>0</v>
      </c>
      <c r="Q16" s="241">
        <f xml:space="preserve">
IF($A$4&lt;=12,SUMIFS('ON Data'!V:V,'ON Data'!$D:$D,$A$4,'ON Data'!$E:$E,7),SUMIFS('ON Data'!V:V,'ON Data'!$E:$E,7))</f>
        <v>0</v>
      </c>
      <c r="R16" s="241">
        <f xml:space="preserve">
IF($A$4&lt;=12,SUMIFS('ON Data'!W:W,'ON Data'!$D:$D,$A$4,'ON Data'!$E:$E,7),SUMIFS('ON Data'!W:W,'ON Data'!$E:$E,7))</f>
        <v>0</v>
      </c>
      <c r="S16" s="241">
        <f xml:space="preserve">
IF($A$4&lt;=12,SUMIFS('ON Data'!X:X,'ON Data'!$D:$D,$A$4,'ON Data'!$E:$E,7),SUMIFS('ON Data'!X:X,'ON Data'!$E:$E,7))</f>
        <v>0</v>
      </c>
      <c r="T16" s="241">
        <f xml:space="preserve">
IF($A$4&lt;=12,SUMIFS('ON Data'!Y:Y,'ON Data'!$D:$D,$A$4,'ON Data'!$E:$E,7),SUMIFS('ON Data'!Y:Y,'ON Data'!$E:$E,7))</f>
        <v>0</v>
      </c>
      <c r="U16" s="241">
        <f xml:space="preserve">
IF($A$4&lt;=12,SUMIFS('ON Data'!Z:Z,'ON Data'!$D:$D,$A$4,'ON Data'!$E:$E,7),SUMIFS('ON Data'!Z:Z,'ON Data'!$E:$E,7))</f>
        <v>0</v>
      </c>
      <c r="V16" s="241">
        <f xml:space="preserve">
IF($A$4&lt;=12,SUMIFS('ON Data'!AA:AA,'ON Data'!$D:$D,$A$4,'ON Data'!$E:$E,7),SUMIFS('ON Data'!AA:AA,'ON Data'!$E:$E,7))</f>
        <v>0</v>
      </c>
      <c r="W16" s="241">
        <f xml:space="preserve">
IF($A$4&lt;=12,SUMIFS('ON Data'!AB:AB,'ON Data'!$D:$D,$A$4,'ON Data'!$E:$E,7),SUMIFS('ON Data'!AB:AB,'ON Data'!$E:$E,7))</f>
        <v>0</v>
      </c>
      <c r="X16" s="241">
        <f xml:space="preserve">
IF($A$4&lt;=12,SUMIFS('ON Data'!AC:AC,'ON Data'!$D:$D,$A$4,'ON Data'!$E:$E,7),SUMIFS('ON Data'!AC:AC,'ON Data'!$E:$E,7))</f>
        <v>0</v>
      </c>
      <c r="Y16" s="241">
        <f xml:space="preserve">
IF($A$4&lt;=12,SUMIFS('ON Data'!AD:AD,'ON Data'!$D:$D,$A$4,'ON Data'!$E:$E,7),SUMIFS('ON Data'!AD:AD,'ON Data'!$E:$E,7))</f>
        <v>0</v>
      </c>
      <c r="Z16" s="241">
        <f xml:space="preserve">
IF($A$4&lt;=12,SUMIFS('ON Data'!AE:AE,'ON Data'!$D:$D,$A$4,'ON Data'!$E:$E,7),SUMIFS('ON Data'!AE:AE,'ON Data'!$E:$E,7))</f>
        <v>0</v>
      </c>
      <c r="AA16" s="241">
        <f xml:space="preserve">
IF($A$4&lt;=12,SUMIFS('ON Data'!AF:AF,'ON Data'!$D:$D,$A$4,'ON Data'!$E:$E,7),SUMIFS('ON Data'!AF:AF,'ON Data'!$E:$E,7))</f>
        <v>0</v>
      </c>
      <c r="AB16" s="241">
        <f xml:space="preserve">
IF($A$4&lt;=12,SUMIFS('ON Data'!AG:AG,'ON Data'!$D:$D,$A$4,'ON Data'!$E:$E,7),SUMIFS('ON Data'!AG:AG,'ON Data'!$E:$E,7))</f>
        <v>0</v>
      </c>
      <c r="AC16" s="241">
        <f xml:space="preserve">
IF($A$4&lt;=12,SUMIFS('ON Data'!AH:AH,'ON Data'!$D:$D,$A$4,'ON Data'!$E:$E,7),SUMIFS('ON Data'!AH:AH,'ON Data'!$E:$E,7))</f>
        <v>0</v>
      </c>
      <c r="AD16" s="241">
        <f xml:space="preserve">
IF($A$4&lt;=12,SUMIFS('ON Data'!AI:AI,'ON Data'!$D:$D,$A$4,'ON Data'!$E:$E,7),SUMIFS('ON Data'!AI:AI,'ON Data'!$E:$E,7))</f>
        <v>0</v>
      </c>
      <c r="AE16" s="241">
        <f xml:space="preserve">
IF($A$4&lt;=12,SUMIFS('ON Data'!AJ:AJ,'ON Data'!$D:$D,$A$4,'ON Data'!$E:$E,7),SUMIFS('ON Data'!AJ:AJ,'ON Data'!$E:$E,7))</f>
        <v>0</v>
      </c>
      <c r="AF16" s="241">
        <f xml:space="preserve">
IF($A$4&lt;=12,SUMIFS('ON Data'!AK:AK,'ON Data'!$D:$D,$A$4,'ON Data'!$E:$E,7),SUMIFS('ON Data'!AK:AK,'ON Data'!$E:$E,7))</f>
        <v>0</v>
      </c>
      <c r="AG16" s="241">
        <f xml:space="preserve">
IF($A$4&lt;=12,SUMIFS('ON Data'!AL:AL,'ON Data'!$D:$D,$A$4,'ON Data'!$E:$E,7),SUMIFS('ON Data'!AL:AL,'ON Data'!$E:$E,7))</f>
        <v>0</v>
      </c>
      <c r="AH16" s="241">
        <f xml:space="preserve">
IF($A$4&lt;=12,SUMIFS('ON Data'!AN:AN,'ON Data'!$D:$D,$A$4,'ON Data'!$E:$E,7),SUMIFS('ON Data'!AN:AN,'ON Data'!$E:$E,7))</f>
        <v>0</v>
      </c>
      <c r="AI16" s="487">
        <f xml:space="preserve">
IF($A$4&lt;=12,SUMIFS('ON Data'!AO:AO,'ON Data'!$D:$D,$A$4,'ON Data'!$E:$E,7),SUMIFS('ON Data'!AO:AO,'ON Data'!$E:$E,7))</f>
        <v>0</v>
      </c>
      <c r="AJ16" s="498"/>
    </row>
    <row r="17" spans="1:36" x14ac:dyDescent="0.3">
      <c r="A17" s="224" t="s">
        <v>169</v>
      </c>
      <c r="B17" s="239">
        <f xml:space="preserve">
IF($A$4&lt;=12,SUMIFS('ON Data'!F:F,'ON Data'!$D:$D,$A$4,'ON Data'!$E:$E,8),SUMIFS('ON Data'!F:F,'ON Data'!$E:$E,8))</f>
        <v>0</v>
      </c>
      <c r="C17" s="240">
        <f xml:space="preserve">
IF($A$4&lt;=12,SUMIFS('ON Data'!G:G,'ON Data'!$D:$D,$A$4,'ON Data'!$E:$E,8),SUMIFS('ON Data'!G:G,'ON Data'!$E:$E,8))</f>
        <v>0</v>
      </c>
      <c r="D17" s="241">
        <f xml:space="preserve">
IF($A$4&lt;=12,SUMIFS('ON Data'!H:H,'ON Data'!$D:$D,$A$4,'ON Data'!$E:$E,8),SUMIFS('ON Data'!H:H,'ON Data'!$E:$E,8))</f>
        <v>0</v>
      </c>
      <c r="E17" s="241">
        <f xml:space="preserve">
IF($A$4&lt;=12,SUMIFS('ON Data'!I:I,'ON Data'!$D:$D,$A$4,'ON Data'!$E:$E,8),SUMIFS('ON Data'!I:I,'ON Data'!$E:$E,8))</f>
        <v>0</v>
      </c>
      <c r="F17" s="241">
        <f xml:space="preserve">
IF($A$4&lt;=12,SUMIFS('ON Data'!K:K,'ON Data'!$D:$D,$A$4,'ON Data'!$E:$E,8),SUMIFS('ON Data'!K:K,'ON Data'!$E:$E,8))</f>
        <v>0</v>
      </c>
      <c r="G17" s="241">
        <f xml:space="preserve">
IF($A$4&lt;=12,SUMIFS('ON Data'!L:L,'ON Data'!$D:$D,$A$4,'ON Data'!$E:$E,8),SUMIFS('ON Data'!L:L,'ON Data'!$E:$E,8))</f>
        <v>0</v>
      </c>
      <c r="H17" s="241">
        <f xml:space="preserve">
IF($A$4&lt;=12,SUMIFS('ON Data'!M:M,'ON Data'!$D:$D,$A$4,'ON Data'!$E:$E,8),SUMIFS('ON Data'!M:M,'ON Data'!$E:$E,8))</f>
        <v>0</v>
      </c>
      <c r="I17" s="241">
        <f xml:space="preserve">
IF($A$4&lt;=12,SUMIFS('ON Data'!N:N,'ON Data'!$D:$D,$A$4,'ON Data'!$E:$E,8),SUMIFS('ON Data'!N:N,'ON Data'!$E:$E,8))</f>
        <v>0</v>
      </c>
      <c r="J17" s="241">
        <f xml:space="preserve">
IF($A$4&lt;=12,SUMIFS('ON Data'!O:O,'ON Data'!$D:$D,$A$4,'ON Data'!$E:$E,8),SUMIFS('ON Data'!O:O,'ON Data'!$E:$E,8))</f>
        <v>0</v>
      </c>
      <c r="K17" s="241">
        <f xml:space="preserve">
IF($A$4&lt;=12,SUMIFS('ON Data'!P:P,'ON Data'!$D:$D,$A$4,'ON Data'!$E:$E,8),SUMIFS('ON Data'!P:P,'ON Data'!$E:$E,8))</f>
        <v>0</v>
      </c>
      <c r="L17" s="241">
        <f xml:space="preserve">
IF($A$4&lt;=12,SUMIFS('ON Data'!Q:Q,'ON Data'!$D:$D,$A$4,'ON Data'!$E:$E,8),SUMIFS('ON Data'!Q:Q,'ON Data'!$E:$E,8))</f>
        <v>0</v>
      </c>
      <c r="M17" s="241">
        <f xml:space="preserve">
IF($A$4&lt;=12,SUMIFS('ON Data'!R:R,'ON Data'!$D:$D,$A$4,'ON Data'!$E:$E,8),SUMIFS('ON Data'!R:R,'ON Data'!$E:$E,8))</f>
        <v>0</v>
      </c>
      <c r="N17" s="241">
        <f xml:space="preserve">
IF($A$4&lt;=12,SUMIFS('ON Data'!S:S,'ON Data'!$D:$D,$A$4,'ON Data'!$E:$E,8),SUMIFS('ON Data'!S:S,'ON Data'!$E:$E,8))</f>
        <v>0</v>
      </c>
      <c r="O17" s="241">
        <f xml:space="preserve">
IF($A$4&lt;=12,SUMIFS('ON Data'!T:T,'ON Data'!$D:$D,$A$4,'ON Data'!$E:$E,8),SUMIFS('ON Data'!T:T,'ON Data'!$E:$E,8))</f>
        <v>0</v>
      </c>
      <c r="P17" s="241">
        <f xml:space="preserve">
IF($A$4&lt;=12,SUMIFS('ON Data'!U:U,'ON Data'!$D:$D,$A$4,'ON Data'!$E:$E,8),SUMIFS('ON Data'!U:U,'ON Data'!$E:$E,8))</f>
        <v>0</v>
      </c>
      <c r="Q17" s="241">
        <f xml:space="preserve">
IF($A$4&lt;=12,SUMIFS('ON Data'!V:V,'ON Data'!$D:$D,$A$4,'ON Data'!$E:$E,8),SUMIFS('ON Data'!V:V,'ON Data'!$E:$E,8))</f>
        <v>0</v>
      </c>
      <c r="R17" s="241">
        <f xml:space="preserve">
IF($A$4&lt;=12,SUMIFS('ON Data'!W:W,'ON Data'!$D:$D,$A$4,'ON Data'!$E:$E,8),SUMIFS('ON Data'!W:W,'ON Data'!$E:$E,8))</f>
        <v>0</v>
      </c>
      <c r="S17" s="241">
        <f xml:space="preserve">
IF($A$4&lt;=12,SUMIFS('ON Data'!X:X,'ON Data'!$D:$D,$A$4,'ON Data'!$E:$E,8),SUMIFS('ON Data'!X:X,'ON Data'!$E:$E,8))</f>
        <v>0</v>
      </c>
      <c r="T17" s="241">
        <f xml:space="preserve">
IF($A$4&lt;=12,SUMIFS('ON Data'!Y:Y,'ON Data'!$D:$D,$A$4,'ON Data'!$E:$E,8),SUMIFS('ON Data'!Y:Y,'ON Data'!$E:$E,8))</f>
        <v>0</v>
      </c>
      <c r="U17" s="241">
        <f xml:space="preserve">
IF($A$4&lt;=12,SUMIFS('ON Data'!Z:Z,'ON Data'!$D:$D,$A$4,'ON Data'!$E:$E,8),SUMIFS('ON Data'!Z:Z,'ON Data'!$E:$E,8))</f>
        <v>0</v>
      </c>
      <c r="V17" s="241">
        <f xml:space="preserve">
IF($A$4&lt;=12,SUMIFS('ON Data'!AA:AA,'ON Data'!$D:$D,$A$4,'ON Data'!$E:$E,8),SUMIFS('ON Data'!AA:AA,'ON Data'!$E:$E,8))</f>
        <v>0</v>
      </c>
      <c r="W17" s="241">
        <f xml:space="preserve">
IF($A$4&lt;=12,SUMIFS('ON Data'!AB:AB,'ON Data'!$D:$D,$A$4,'ON Data'!$E:$E,8),SUMIFS('ON Data'!AB:AB,'ON Data'!$E:$E,8))</f>
        <v>0</v>
      </c>
      <c r="X17" s="241">
        <f xml:space="preserve">
IF($A$4&lt;=12,SUMIFS('ON Data'!AC:AC,'ON Data'!$D:$D,$A$4,'ON Data'!$E:$E,8),SUMIFS('ON Data'!AC:AC,'ON Data'!$E:$E,8))</f>
        <v>0</v>
      </c>
      <c r="Y17" s="241">
        <f xml:space="preserve">
IF($A$4&lt;=12,SUMIFS('ON Data'!AD:AD,'ON Data'!$D:$D,$A$4,'ON Data'!$E:$E,8),SUMIFS('ON Data'!AD:AD,'ON Data'!$E:$E,8))</f>
        <v>0</v>
      </c>
      <c r="Z17" s="241">
        <f xml:space="preserve">
IF($A$4&lt;=12,SUMIFS('ON Data'!AE:AE,'ON Data'!$D:$D,$A$4,'ON Data'!$E:$E,8),SUMIFS('ON Data'!AE:AE,'ON Data'!$E:$E,8))</f>
        <v>0</v>
      </c>
      <c r="AA17" s="241">
        <f xml:space="preserve">
IF($A$4&lt;=12,SUMIFS('ON Data'!AF:AF,'ON Data'!$D:$D,$A$4,'ON Data'!$E:$E,8),SUMIFS('ON Data'!AF:AF,'ON Data'!$E:$E,8))</f>
        <v>0</v>
      </c>
      <c r="AB17" s="241">
        <f xml:space="preserve">
IF($A$4&lt;=12,SUMIFS('ON Data'!AG:AG,'ON Data'!$D:$D,$A$4,'ON Data'!$E:$E,8),SUMIFS('ON Data'!AG:AG,'ON Data'!$E:$E,8))</f>
        <v>0</v>
      </c>
      <c r="AC17" s="241">
        <f xml:space="preserve">
IF($A$4&lt;=12,SUMIFS('ON Data'!AH:AH,'ON Data'!$D:$D,$A$4,'ON Data'!$E:$E,8),SUMIFS('ON Data'!AH:AH,'ON Data'!$E:$E,8))</f>
        <v>0</v>
      </c>
      <c r="AD17" s="241">
        <f xml:space="preserve">
IF($A$4&lt;=12,SUMIFS('ON Data'!AI:AI,'ON Data'!$D:$D,$A$4,'ON Data'!$E:$E,8),SUMIFS('ON Data'!AI:AI,'ON Data'!$E:$E,8))</f>
        <v>0</v>
      </c>
      <c r="AE17" s="241">
        <f xml:space="preserve">
IF($A$4&lt;=12,SUMIFS('ON Data'!AJ:AJ,'ON Data'!$D:$D,$A$4,'ON Data'!$E:$E,8),SUMIFS('ON Data'!AJ:AJ,'ON Data'!$E:$E,8))</f>
        <v>0</v>
      </c>
      <c r="AF17" s="241">
        <f xml:space="preserve">
IF($A$4&lt;=12,SUMIFS('ON Data'!AK:AK,'ON Data'!$D:$D,$A$4,'ON Data'!$E:$E,8),SUMIFS('ON Data'!AK:AK,'ON Data'!$E:$E,8))</f>
        <v>0</v>
      </c>
      <c r="AG17" s="241">
        <f xml:space="preserve">
IF($A$4&lt;=12,SUMIFS('ON Data'!AL:AL,'ON Data'!$D:$D,$A$4,'ON Data'!$E:$E,8),SUMIFS('ON Data'!AL:AL,'ON Data'!$E:$E,8))</f>
        <v>0</v>
      </c>
      <c r="AH17" s="241">
        <f xml:space="preserve">
IF($A$4&lt;=12,SUMIFS('ON Data'!AN:AN,'ON Data'!$D:$D,$A$4,'ON Data'!$E:$E,8),SUMIFS('ON Data'!AN:AN,'ON Data'!$E:$E,8))</f>
        <v>0</v>
      </c>
      <c r="AI17" s="487">
        <f xml:space="preserve">
IF($A$4&lt;=12,SUMIFS('ON Data'!AO:AO,'ON Data'!$D:$D,$A$4,'ON Data'!$E:$E,8),SUMIFS('ON Data'!AO:AO,'ON Data'!$E:$E,8))</f>
        <v>0</v>
      </c>
      <c r="AJ17" s="498"/>
    </row>
    <row r="18" spans="1:36" x14ac:dyDescent="0.3">
      <c r="A18" s="224" t="s">
        <v>170</v>
      </c>
      <c r="B18" s="239">
        <f xml:space="preserve">
B19-B16-B17</f>
        <v>43754</v>
      </c>
      <c r="C18" s="240">
        <f t="shared" ref="C18:G18" si="0" xml:space="preserve">
C19-C16-C17</f>
        <v>0</v>
      </c>
      <c r="D18" s="241">
        <f t="shared" si="0"/>
        <v>0</v>
      </c>
      <c r="E18" s="241">
        <f t="shared" si="0"/>
        <v>5142</v>
      </c>
      <c r="F18" s="241">
        <f t="shared" si="0"/>
        <v>38612</v>
      </c>
      <c r="G18" s="241">
        <f t="shared" si="0"/>
        <v>0</v>
      </c>
      <c r="H18" s="241">
        <f t="shared" ref="H18:AI18" si="1" xml:space="preserve">
H19-H16-H17</f>
        <v>0</v>
      </c>
      <c r="I18" s="241">
        <f t="shared" si="1"/>
        <v>0</v>
      </c>
      <c r="J18" s="241">
        <f t="shared" si="1"/>
        <v>0</v>
      </c>
      <c r="K18" s="241">
        <f t="shared" si="1"/>
        <v>0</v>
      </c>
      <c r="L18" s="241">
        <f t="shared" si="1"/>
        <v>0</v>
      </c>
      <c r="M18" s="241">
        <f t="shared" si="1"/>
        <v>0</v>
      </c>
      <c r="N18" s="241">
        <f t="shared" si="1"/>
        <v>0</v>
      </c>
      <c r="O18" s="241">
        <f t="shared" si="1"/>
        <v>0</v>
      </c>
      <c r="P18" s="241">
        <f t="shared" si="1"/>
        <v>0</v>
      </c>
      <c r="Q18" s="241">
        <f t="shared" si="1"/>
        <v>0</v>
      </c>
      <c r="R18" s="241">
        <f t="shared" si="1"/>
        <v>0</v>
      </c>
      <c r="S18" s="241">
        <f t="shared" si="1"/>
        <v>0</v>
      </c>
      <c r="T18" s="241">
        <f t="shared" si="1"/>
        <v>0</v>
      </c>
      <c r="U18" s="241">
        <f t="shared" si="1"/>
        <v>0</v>
      </c>
      <c r="V18" s="241">
        <f t="shared" si="1"/>
        <v>0</v>
      </c>
      <c r="W18" s="241">
        <f t="shared" si="1"/>
        <v>0</v>
      </c>
      <c r="X18" s="241">
        <f t="shared" si="1"/>
        <v>0</v>
      </c>
      <c r="Y18" s="241">
        <f t="shared" si="1"/>
        <v>0</v>
      </c>
      <c r="Z18" s="241">
        <f t="shared" si="1"/>
        <v>0</v>
      </c>
      <c r="AA18" s="241">
        <f t="shared" si="1"/>
        <v>0</v>
      </c>
      <c r="AB18" s="241">
        <f t="shared" si="1"/>
        <v>0</v>
      </c>
      <c r="AC18" s="241">
        <f t="shared" si="1"/>
        <v>0</v>
      </c>
      <c r="AD18" s="241">
        <f t="shared" si="1"/>
        <v>0</v>
      </c>
      <c r="AE18" s="241">
        <f t="shared" si="1"/>
        <v>0</v>
      </c>
      <c r="AF18" s="241">
        <f t="shared" si="1"/>
        <v>0</v>
      </c>
      <c r="AG18" s="241">
        <f t="shared" si="1"/>
        <v>0</v>
      </c>
      <c r="AH18" s="241">
        <f t="shared" si="1"/>
        <v>0</v>
      </c>
      <c r="AI18" s="487">
        <f t="shared" si="1"/>
        <v>0</v>
      </c>
      <c r="AJ18" s="498"/>
    </row>
    <row r="19" spans="1:36" ht="15" thickBot="1" x14ac:dyDescent="0.35">
      <c r="A19" s="225" t="s">
        <v>171</v>
      </c>
      <c r="B19" s="248">
        <f xml:space="preserve">
IF($A$4&lt;=12,SUMIFS('ON Data'!F:F,'ON Data'!$D:$D,$A$4,'ON Data'!$E:$E,9),SUMIFS('ON Data'!F:F,'ON Data'!$E:$E,9))</f>
        <v>43754</v>
      </c>
      <c r="C19" s="249">
        <f xml:space="preserve">
IF($A$4&lt;=12,SUMIFS('ON Data'!G:G,'ON Data'!$D:$D,$A$4,'ON Data'!$E:$E,9),SUMIFS('ON Data'!G:G,'ON Data'!$E:$E,9))</f>
        <v>0</v>
      </c>
      <c r="D19" s="250">
        <f xml:space="preserve">
IF($A$4&lt;=12,SUMIFS('ON Data'!H:H,'ON Data'!$D:$D,$A$4,'ON Data'!$E:$E,9),SUMIFS('ON Data'!H:H,'ON Data'!$E:$E,9))</f>
        <v>0</v>
      </c>
      <c r="E19" s="250">
        <f xml:space="preserve">
IF($A$4&lt;=12,SUMIFS('ON Data'!I:I,'ON Data'!$D:$D,$A$4,'ON Data'!$E:$E,9),SUMIFS('ON Data'!I:I,'ON Data'!$E:$E,9))</f>
        <v>5142</v>
      </c>
      <c r="F19" s="250">
        <f xml:space="preserve">
IF($A$4&lt;=12,SUMIFS('ON Data'!K:K,'ON Data'!$D:$D,$A$4,'ON Data'!$E:$E,9),SUMIFS('ON Data'!K:K,'ON Data'!$E:$E,9))</f>
        <v>38612</v>
      </c>
      <c r="G19" s="250">
        <f xml:space="preserve">
IF($A$4&lt;=12,SUMIFS('ON Data'!L:L,'ON Data'!$D:$D,$A$4,'ON Data'!$E:$E,9),SUMIFS('ON Data'!L:L,'ON Data'!$E:$E,9))</f>
        <v>0</v>
      </c>
      <c r="H19" s="250">
        <f xml:space="preserve">
IF($A$4&lt;=12,SUMIFS('ON Data'!M:M,'ON Data'!$D:$D,$A$4,'ON Data'!$E:$E,9),SUMIFS('ON Data'!M:M,'ON Data'!$E:$E,9))</f>
        <v>0</v>
      </c>
      <c r="I19" s="250">
        <f xml:space="preserve">
IF($A$4&lt;=12,SUMIFS('ON Data'!N:N,'ON Data'!$D:$D,$A$4,'ON Data'!$E:$E,9),SUMIFS('ON Data'!N:N,'ON Data'!$E:$E,9))</f>
        <v>0</v>
      </c>
      <c r="J19" s="250">
        <f xml:space="preserve">
IF($A$4&lt;=12,SUMIFS('ON Data'!O:O,'ON Data'!$D:$D,$A$4,'ON Data'!$E:$E,9),SUMIFS('ON Data'!O:O,'ON Data'!$E:$E,9))</f>
        <v>0</v>
      </c>
      <c r="K19" s="250">
        <f xml:space="preserve">
IF($A$4&lt;=12,SUMIFS('ON Data'!P:P,'ON Data'!$D:$D,$A$4,'ON Data'!$E:$E,9),SUMIFS('ON Data'!P:P,'ON Data'!$E:$E,9))</f>
        <v>0</v>
      </c>
      <c r="L19" s="250">
        <f xml:space="preserve">
IF($A$4&lt;=12,SUMIFS('ON Data'!Q:Q,'ON Data'!$D:$D,$A$4,'ON Data'!$E:$E,9),SUMIFS('ON Data'!Q:Q,'ON Data'!$E:$E,9))</f>
        <v>0</v>
      </c>
      <c r="M19" s="250">
        <f xml:space="preserve">
IF($A$4&lt;=12,SUMIFS('ON Data'!R:R,'ON Data'!$D:$D,$A$4,'ON Data'!$E:$E,9),SUMIFS('ON Data'!R:R,'ON Data'!$E:$E,9))</f>
        <v>0</v>
      </c>
      <c r="N19" s="250">
        <f xml:space="preserve">
IF($A$4&lt;=12,SUMIFS('ON Data'!S:S,'ON Data'!$D:$D,$A$4,'ON Data'!$E:$E,9),SUMIFS('ON Data'!S:S,'ON Data'!$E:$E,9))</f>
        <v>0</v>
      </c>
      <c r="O19" s="250">
        <f xml:space="preserve">
IF($A$4&lt;=12,SUMIFS('ON Data'!T:T,'ON Data'!$D:$D,$A$4,'ON Data'!$E:$E,9),SUMIFS('ON Data'!T:T,'ON Data'!$E:$E,9))</f>
        <v>0</v>
      </c>
      <c r="P19" s="250">
        <f xml:space="preserve">
IF($A$4&lt;=12,SUMIFS('ON Data'!U:U,'ON Data'!$D:$D,$A$4,'ON Data'!$E:$E,9),SUMIFS('ON Data'!U:U,'ON Data'!$E:$E,9))</f>
        <v>0</v>
      </c>
      <c r="Q19" s="250">
        <f xml:space="preserve">
IF($A$4&lt;=12,SUMIFS('ON Data'!V:V,'ON Data'!$D:$D,$A$4,'ON Data'!$E:$E,9),SUMIFS('ON Data'!V:V,'ON Data'!$E:$E,9))</f>
        <v>0</v>
      </c>
      <c r="R19" s="250">
        <f xml:space="preserve">
IF($A$4&lt;=12,SUMIFS('ON Data'!W:W,'ON Data'!$D:$D,$A$4,'ON Data'!$E:$E,9),SUMIFS('ON Data'!W:W,'ON Data'!$E:$E,9))</f>
        <v>0</v>
      </c>
      <c r="S19" s="250">
        <f xml:space="preserve">
IF($A$4&lt;=12,SUMIFS('ON Data'!X:X,'ON Data'!$D:$D,$A$4,'ON Data'!$E:$E,9),SUMIFS('ON Data'!X:X,'ON Data'!$E:$E,9))</f>
        <v>0</v>
      </c>
      <c r="T19" s="250">
        <f xml:space="preserve">
IF($A$4&lt;=12,SUMIFS('ON Data'!Y:Y,'ON Data'!$D:$D,$A$4,'ON Data'!$E:$E,9),SUMIFS('ON Data'!Y:Y,'ON Data'!$E:$E,9))</f>
        <v>0</v>
      </c>
      <c r="U19" s="250">
        <f xml:space="preserve">
IF($A$4&lt;=12,SUMIFS('ON Data'!Z:Z,'ON Data'!$D:$D,$A$4,'ON Data'!$E:$E,9),SUMIFS('ON Data'!Z:Z,'ON Data'!$E:$E,9))</f>
        <v>0</v>
      </c>
      <c r="V19" s="250">
        <f xml:space="preserve">
IF($A$4&lt;=12,SUMIFS('ON Data'!AA:AA,'ON Data'!$D:$D,$A$4,'ON Data'!$E:$E,9),SUMIFS('ON Data'!AA:AA,'ON Data'!$E:$E,9))</f>
        <v>0</v>
      </c>
      <c r="W19" s="250">
        <f xml:space="preserve">
IF($A$4&lt;=12,SUMIFS('ON Data'!AB:AB,'ON Data'!$D:$D,$A$4,'ON Data'!$E:$E,9),SUMIFS('ON Data'!AB:AB,'ON Data'!$E:$E,9))</f>
        <v>0</v>
      </c>
      <c r="X19" s="250">
        <f xml:space="preserve">
IF($A$4&lt;=12,SUMIFS('ON Data'!AC:AC,'ON Data'!$D:$D,$A$4,'ON Data'!$E:$E,9),SUMIFS('ON Data'!AC:AC,'ON Data'!$E:$E,9))</f>
        <v>0</v>
      </c>
      <c r="Y19" s="250">
        <f xml:space="preserve">
IF($A$4&lt;=12,SUMIFS('ON Data'!AD:AD,'ON Data'!$D:$D,$A$4,'ON Data'!$E:$E,9),SUMIFS('ON Data'!AD:AD,'ON Data'!$E:$E,9))</f>
        <v>0</v>
      </c>
      <c r="Z19" s="250">
        <f xml:space="preserve">
IF($A$4&lt;=12,SUMIFS('ON Data'!AE:AE,'ON Data'!$D:$D,$A$4,'ON Data'!$E:$E,9),SUMIFS('ON Data'!AE:AE,'ON Data'!$E:$E,9))</f>
        <v>0</v>
      </c>
      <c r="AA19" s="250">
        <f xml:space="preserve">
IF($A$4&lt;=12,SUMIFS('ON Data'!AF:AF,'ON Data'!$D:$D,$A$4,'ON Data'!$E:$E,9),SUMIFS('ON Data'!AF:AF,'ON Data'!$E:$E,9))</f>
        <v>0</v>
      </c>
      <c r="AB19" s="250">
        <f xml:space="preserve">
IF($A$4&lt;=12,SUMIFS('ON Data'!AG:AG,'ON Data'!$D:$D,$A$4,'ON Data'!$E:$E,9),SUMIFS('ON Data'!AG:AG,'ON Data'!$E:$E,9))</f>
        <v>0</v>
      </c>
      <c r="AC19" s="250">
        <f xml:space="preserve">
IF($A$4&lt;=12,SUMIFS('ON Data'!AH:AH,'ON Data'!$D:$D,$A$4,'ON Data'!$E:$E,9),SUMIFS('ON Data'!AH:AH,'ON Data'!$E:$E,9))</f>
        <v>0</v>
      </c>
      <c r="AD19" s="250">
        <f xml:space="preserve">
IF($A$4&lt;=12,SUMIFS('ON Data'!AI:AI,'ON Data'!$D:$D,$A$4,'ON Data'!$E:$E,9),SUMIFS('ON Data'!AI:AI,'ON Data'!$E:$E,9))</f>
        <v>0</v>
      </c>
      <c r="AE19" s="250">
        <f xml:space="preserve">
IF($A$4&lt;=12,SUMIFS('ON Data'!AJ:AJ,'ON Data'!$D:$D,$A$4,'ON Data'!$E:$E,9),SUMIFS('ON Data'!AJ:AJ,'ON Data'!$E:$E,9))</f>
        <v>0</v>
      </c>
      <c r="AF19" s="250">
        <f xml:space="preserve">
IF($A$4&lt;=12,SUMIFS('ON Data'!AK:AK,'ON Data'!$D:$D,$A$4,'ON Data'!$E:$E,9),SUMIFS('ON Data'!AK:AK,'ON Data'!$E:$E,9))</f>
        <v>0</v>
      </c>
      <c r="AG19" s="250">
        <f xml:space="preserve">
IF($A$4&lt;=12,SUMIFS('ON Data'!AL:AL,'ON Data'!$D:$D,$A$4,'ON Data'!$E:$E,9),SUMIFS('ON Data'!AL:AL,'ON Data'!$E:$E,9))</f>
        <v>0</v>
      </c>
      <c r="AH19" s="250">
        <f xml:space="preserve">
IF($A$4&lt;=12,SUMIFS('ON Data'!AN:AN,'ON Data'!$D:$D,$A$4,'ON Data'!$E:$E,9),SUMIFS('ON Data'!AN:AN,'ON Data'!$E:$E,9))</f>
        <v>0</v>
      </c>
      <c r="AI19" s="490">
        <f xml:space="preserve">
IF($A$4&lt;=12,SUMIFS('ON Data'!AO:AO,'ON Data'!$D:$D,$A$4,'ON Data'!$E:$E,9),SUMIFS('ON Data'!AO:AO,'ON Data'!$E:$E,9))</f>
        <v>0</v>
      </c>
      <c r="AJ19" s="498"/>
    </row>
    <row r="20" spans="1:36" ht="15" collapsed="1" thickBot="1" x14ac:dyDescent="0.35">
      <c r="A20" s="226" t="s">
        <v>60</v>
      </c>
      <c r="B20" s="251">
        <f xml:space="preserve">
IF($A$4&lt;=12,SUMIFS('ON Data'!F:F,'ON Data'!$D:$D,$A$4,'ON Data'!$E:$E,6),SUMIFS('ON Data'!F:F,'ON Data'!$E:$E,6))</f>
        <v>8101023</v>
      </c>
      <c r="C20" s="252">
        <f xml:space="preserve">
IF($A$4&lt;=12,SUMIFS('ON Data'!G:G,'ON Data'!$D:$D,$A$4,'ON Data'!$E:$E,6),SUMIFS('ON Data'!G:G,'ON Data'!$E:$E,6))</f>
        <v>101580</v>
      </c>
      <c r="D20" s="253">
        <f xml:space="preserve">
IF($A$4&lt;=12,SUMIFS('ON Data'!H:H,'ON Data'!$D:$D,$A$4,'ON Data'!$E:$E,6),SUMIFS('ON Data'!H:H,'ON Data'!$E:$E,6))</f>
        <v>0</v>
      </c>
      <c r="E20" s="253">
        <f xml:space="preserve">
IF($A$4&lt;=12,SUMIFS('ON Data'!I:I,'ON Data'!$D:$D,$A$4,'ON Data'!$E:$E,6),SUMIFS('ON Data'!I:I,'ON Data'!$E:$E,6))</f>
        <v>2536331</v>
      </c>
      <c r="F20" s="253">
        <f xml:space="preserve">
IF($A$4&lt;=12,SUMIFS('ON Data'!K:K,'ON Data'!$D:$D,$A$4,'ON Data'!$E:$E,6),SUMIFS('ON Data'!K:K,'ON Data'!$E:$E,6))</f>
        <v>3788618</v>
      </c>
      <c r="G20" s="253">
        <f xml:space="preserve">
IF($A$4&lt;=12,SUMIFS('ON Data'!L:L,'ON Data'!$D:$D,$A$4,'ON Data'!$E:$E,6),SUMIFS('ON Data'!L:L,'ON Data'!$E:$E,6))</f>
        <v>0</v>
      </c>
      <c r="H20" s="253">
        <f xml:space="preserve">
IF($A$4&lt;=12,SUMIFS('ON Data'!M:M,'ON Data'!$D:$D,$A$4,'ON Data'!$E:$E,6),SUMIFS('ON Data'!M:M,'ON Data'!$E:$E,6))</f>
        <v>0</v>
      </c>
      <c r="I20" s="253">
        <f xml:space="preserve">
IF($A$4&lt;=12,SUMIFS('ON Data'!N:N,'ON Data'!$D:$D,$A$4,'ON Data'!$E:$E,6),SUMIFS('ON Data'!N:N,'ON Data'!$E:$E,6))</f>
        <v>0</v>
      </c>
      <c r="J20" s="253">
        <f xml:space="preserve">
IF($A$4&lt;=12,SUMIFS('ON Data'!O:O,'ON Data'!$D:$D,$A$4,'ON Data'!$E:$E,6),SUMIFS('ON Data'!O:O,'ON Data'!$E:$E,6))</f>
        <v>0</v>
      </c>
      <c r="K20" s="253">
        <f xml:space="preserve">
IF($A$4&lt;=12,SUMIFS('ON Data'!P:P,'ON Data'!$D:$D,$A$4,'ON Data'!$E:$E,6),SUMIFS('ON Data'!P:P,'ON Data'!$E:$E,6))</f>
        <v>0</v>
      </c>
      <c r="L20" s="253">
        <f xml:space="preserve">
IF($A$4&lt;=12,SUMIFS('ON Data'!Q:Q,'ON Data'!$D:$D,$A$4,'ON Data'!$E:$E,6),SUMIFS('ON Data'!Q:Q,'ON Data'!$E:$E,6))</f>
        <v>0</v>
      </c>
      <c r="M20" s="253">
        <f xml:space="preserve">
IF($A$4&lt;=12,SUMIFS('ON Data'!R:R,'ON Data'!$D:$D,$A$4,'ON Data'!$E:$E,6),SUMIFS('ON Data'!R:R,'ON Data'!$E:$E,6))</f>
        <v>1524659</v>
      </c>
      <c r="N20" s="253">
        <f xml:space="preserve">
IF($A$4&lt;=12,SUMIFS('ON Data'!S:S,'ON Data'!$D:$D,$A$4,'ON Data'!$E:$E,6),SUMIFS('ON Data'!S:S,'ON Data'!$E:$E,6))</f>
        <v>0</v>
      </c>
      <c r="O20" s="253">
        <f xml:space="preserve">
IF($A$4&lt;=12,SUMIFS('ON Data'!T:T,'ON Data'!$D:$D,$A$4,'ON Data'!$E:$E,6),SUMIFS('ON Data'!T:T,'ON Data'!$E:$E,6))</f>
        <v>0</v>
      </c>
      <c r="P20" s="253">
        <f xml:space="preserve">
IF($A$4&lt;=12,SUMIFS('ON Data'!U:U,'ON Data'!$D:$D,$A$4,'ON Data'!$E:$E,6),SUMIFS('ON Data'!U:U,'ON Data'!$E:$E,6))</f>
        <v>0</v>
      </c>
      <c r="Q20" s="253">
        <f xml:space="preserve">
IF($A$4&lt;=12,SUMIFS('ON Data'!V:V,'ON Data'!$D:$D,$A$4,'ON Data'!$E:$E,6),SUMIFS('ON Data'!V:V,'ON Data'!$E:$E,6))</f>
        <v>0</v>
      </c>
      <c r="R20" s="253">
        <f xml:space="preserve">
IF($A$4&lt;=12,SUMIFS('ON Data'!W:W,'ON Data'!$D:$D,$A$4,'ON Data'!$E:$E,6),SUMIFS('ON Data'!W:W,'ON Data'!$E:$E,6))</f>
        <v>0</v>
      </c>
      <c r="S20" s="253">
        <f xml:space="preserve">
IF($A$4&lt;=12,SUMIFS('ON Data'!X:X,'ON Data'!$D:$D,$A$4,'ON Data'!$E:$E,6),SUMIFS('ON Data'!X:X,'ON Data'!$E:$E,6))</f>
        <v>0</v>
      </c>
      <c r="T20" s="253">
        <f xml:space="preserve">
IF($A$4&lt;=12,SUMIFS('ON Data'!Y:Y,'ON Data'!$D:$D,$A$4,'ON Data'!$E:$E,6),SUMIFS('ON Data'!Y:Y,'ON Data'!$E:$E,6))</f>
        <v>0</v>
      </c>
      <c r="U20" s="253">
        <f xml:space="preserve">
IF($A$4&lt;=12,SUMIFS('ON Data'!Z:Z,'ON Data'!$D:$D,$A$4,'ON Data'!$E:$E,6),SUMIFS('ON Data'!Z:Z,'ON Data'!$E:$E,6))</f>
        <v>0</v>
      </c>
      <c r="V20" s="253">
        <f xml:space="preserve">
IF($A$4&lt;=12,SUMIFS('ON Data'!AA:AA,'ON Data'!$D:$D,$A$4,'ON Data'!$E:$E,6),SUMIFS('ON Data'!AA:AA,'ON Data'!$E:$E,6))</f>
        <v>0</v>
      </c>
      <c r="W20" s="253">
        <f xml:space="preserve">
IF($A$4&lt;=12,SUMIFS('ON Data'!AB:AB,'ON Data'!$D:$D,$A$4,'ON Data'!$E:$E,6),SUMIFS('ON Data'!AB:AB,'ON Data'!$E:$E,6))</f>
        <v>0</v>
      </c>
      <c r="X20" s="253">
        <f xml:space="preserve">
IF($A$4&lt;=12,SUMIFS('ON Data'!AC:AC,'ON Data'!$D:$D,$A$4,'ON Data'!$E:$E,6),SUMIFS('ON Data'!AC:AC,'ON Data'!$E:$E,6))</f>
        <v>0</v>
      </c>
      <c r="Y20" s="253">
        <f xml:space="preserve">
IF($A$4&lt;=12,SUMIFS('ON Data'!AD:AD,'ON Data'!$D:$D,$A$4,'ON Data'!$E:$E,6),SUMIFS('ON Data'!AD:AD,'ON Data'!$E:$E,6))</f>
        <v>0</v>
      </c>
      <c r="Z20" s="253">
        <f xml:space="preserve">
IF($A$4&lt;=12,SUMIFS('ON Data'!AE:AE,'ON Data'!$D:$D,$A$4,'ON Data'!$E:$E,6),SUMIFS('ON Data'!AE:AE,'ON Data'!$E:$E,6))</f>
        <v>0</v>
      </c>
      <c r="AA20" s="253">
        <f xml:space="preserve">
IF($A$4&lt;=12,SUMIFS('ON Data'!AF:AF,'ON Data'!$D:$D,$A$4,'ON Data'!$E:$E,6),SUMIFS('ON Data'!AF:AF,'ON Data'!$E:$E,6))</f>
        <v>0</v>
      </c>
      <c r="AB20" s="253">
        <f xml:space="preserve">
IF($A$4&lt;=12,SUMIFS('ON Data'!AG:AG,'ON Data'!$D:$D,$A$4,'ON Data'!$E:$E,6),SUMIFS('ON Data'!AG:AG,'ON Data'!$E:$E,6))</f>
        <v>0</v>
      </c>
      <c r="AC20" s="253">
        <f xml:space="preserve">
IF($A$4&lt;=12,SUMIFS('ON Data'!AH:AH,'ON Data'!$D:$D,$A$4,'ON Data'!$E:$E,6),SUMIFS('ON Data'!AH:AH,'ON Data'!$E:$E,6))</f>
        <v>0</v>
      </c>
      <c r="AD20" s="253">
        <f xml:space="preserve">
IF($A$4&lt;=12,SUMIFS('ON Data'!AI:AI,'ON Data'!$D:$D,$A$4,'ON Data'!$E:$E,6),SUMIFS('ON Data'!AI:AI,'ON Data'!$E:$E,6))</f>
        <v>0</v>
      </c>
      <c r="AE20" s="253">
        <f xml:space="preserve">
IF($A$4&lt;=12,SUMIFS('ON Data'!AJ:AJ,'ON Data'!$D:$D,$A$4,'ON Data'!$E:$E,6),SUMIFS('ON Data'!AJ:AJ,'ON Data'!$E:$E,6))</f>
        <v>0</v>
      </c>
      <c r="AF20" s="253">
        <f xml:space="preserve">
IF($A$4&lt;=12,SUMIFS('ON Data'!AK:AK,'ON Data'!$D:$D,$A$4,'ON Data'!$E:$E,6),SUMIFS('ON Data'!AK:AK,'ON Data'!$E:$E,6))</f>
        <v>0</v>
      </c>
      <c r="AG20" s="253">
        <f xml:space="preserve">
IF($A$4&lt;=12,SUMIFS('ON Data'!AL:AL,'ON Data'!$D:$D,$A$4,'ON Data'!$E:$E,6),SUMIFS('ON Data'!AL:AL,'ON Data'!$E:$E,6))</f>
        <v>0</v>
      </c>
      <c r="AH20" s="253">
        <f xml:space="preserve">
IF($A$4&lt;=12,SUMIFS('ON Data'!AN:AN,'ON Data'!$D:$D,$A$4,'ON Data'!$E:$E,6),SUMIFS('ON Data'!AN:AN,'ON Data'!$E:$E,6))</f>
        <v>76603</v>
      </c>
      <c r="AI20" s="491">
        <f xml:space="preserve">
IF($A$4&lt;=12,SUMIFS('ON Data'!AO:AO,'ON Data'!$D:$D,$A$4,'ON Data'!$E:$E,6),SUMIFS('ON Data'!AO:AO,'ON Data'!$E:$E,6))</f>
        <v>73232</v>
      </c>
      <c r="AJ20" s="498"/>
    </row>
    <row r="21" spans="1:36" ht="15" hidden="1" outlineLevel="1" thickBot="1" x14ac:dyDescent="0.35">
      <c r="A21" s="219" t="s">
        <v>92</v>
      </c>
      <c r="B21" s="239">
        <f xml:space="preserve">
IF($A$4&lt;=12,SUMIFS('ON Data'!F:F,'ON Data'!$D:$D,$A$4,'ON Data'!$E:$E,12),SUMIFS('ON Data'!F:F,'ON Data'!$E:$E,12))</f>
        <v>0</v>
      </c>
      <c r="C21" s="240">
        <f xml:space="preserve">
IF($A$4&lt;=12,SUMIFS('ON Data'!G:G,'ON Data'!$D:$D,$A$4,'ON Data'!$E:$E,12),SUMIFS('ON Data'!G:G,'ON Data'!$E:$E,12))</f>
        <v>0</v>
      </c>
      <c r="D21" s="241">
        <f xml:space="preserve">
IF($A$4&lt;=12,SUMIFS('ON Data'!H:H,'ON Data'!$D:$D,$A$4,'ON Data'!$E:$E,12),SUMIFS('ON Data'!H:H,'ON Data'!$E:$E,12))</f>
        <v>0</v>
      </c>
      <c r="E21" s="241">
        <f xml:space="preserve">
IF($A$4&lt;=12,SUMIFS('ON Data'!I:I,'ON Data'!$D:$D,$A$4,'ON Data'!$E:$E,12),SUMIFS('ON Data'!I:I,'ON Data'!$E:$E,12))</f>
        <v>0</v>
      </c>
      <c r="F21" s="241">
        <f xml:space="preserve">
IF($A$4&lt;=12,SUMIFS('ON Data'!K:K,'ON Data'!$D:$D,$A$4,'ON Data'!$E:$E,12),SUMIFS('ON Data'!K:K,'ON Data'!$E:$E,12))</f>
        <v>0</v>
      </c>
      <c r="G21" s="241">
        <f xml:space="preserve">
IF($A$4&lt;=12,SUMIFS('ON Data'!L:L,'ON Data'!$D:$D,$A$4,'ON Data'!$E:$E,12),SUMIFS('ON Data'!L:L,'ON Data'!$E:$E,12))</f>
        <v>0</v>
      </c>
      <c r="H21" s="241">
        <f xml:space="preserve">
IF($A$4&lt;=12,SUMIFS('ON Data'!M:M,'ON Data'!$D:$D,$A$4,'ON Data'!$E:$E,12),SUMIFS('ON Data'!M:M,'ON Data'!$E:$E,12))</f>
        <v>0</v>
      </c>
      <c r="I21" s="241">
        <f xml:space="preserve">
IF($A$4&lt;=12,SUMIFS('ON Data'!N:N,'ON Data'!$D:$D,$A$4,'ON Data'!$E:$E,12),SUMIFS('ON Data'!N:N,'ON Data'!$E:$E,12))</f>
        <v>0</v>
      </c>
      <c r="J21" s="241">
        <f xml:space="preserve">
IF($A$4&lt;=12,SUMIFS('ON Data'!O:O,'ON Data'!$D:$D,$A$4,'ON Data'!$E:$E,12),SUMIFS('ON Data'!O:O,'ON Data'!$E:$E,12))</f>
        <v>0</v>
      </c>
      <c r="K21" s="241">
        <f xml:space="preserve">
IF($A$4&lt;=12,SUMIFS('ON Data'!P:P,'ON Data'!$D:$D,$A$4,'ON Data'!$E:$E,12),SUMIFS('ON Data'!P:P,'ON Data'!$E:$E,12))</f>
        <v>0</v>
      </c>
      <c r="L21" s="241">
        <f xml:space="preserve">
IF($A$4&lt;=12,SUMIFS('ON Data'!Q:Q,'ON Data'!$D:$D,$A$4,'ON Data'!$E:$E,12),SUMIFS('ON Data'!Q:Q,'ON Data'!$E:$E,12))</f>
        <v>0</v>
      </c>
      <c r="M21" s="241">
        <f xml:space="preserve">
IF($A$4&lt;=12,SUMIFS('ON Data'!R:R,'ON Data'!$D:$D,$A$4,'ON Data'!$E:$E,12),SUMIFS('ON Data'!R:R,'ON Data'!$E:$E,12))</f>
        <v>0</v>
      </c>
      <c r="N21" s="241">
        <f xml:space="preserve">
IF($A$4&lt;=12,SUMIFS('ON Data'!S:S,'ON Data'!$D:$D,$A$4,'ON Data'!$E:$E,12),SUMIFS('ON Data'!S:S,'ON Data'!$E:$E,12))</f>
        <v>0</v>
      </c>
      <c r="O21" s="241">
        <f xml:space="preserve">
IF($A$4&lt;=12,SUMIFS('ON Data'!T:T,'ON Data'!$D:$D,$A$4,'ON Data'!$E:$E,12),SUMIFS('ON Data'!T:T,'ON Data'!$E:$E,12))</f>
        <v>0</v>
      </c>
      <c r="P21" s="241">
        <f xml:space="preserve">
IF($A$4&lt;=12,SUMIFS('ON Data'!U:U,'ON Data'!$D:$D,$A$4,'ON Data'!$E:$E,12),SUMIFS('ON Data'!U:U,'ON Data'!$E:$E,12))</f>
        <v>0</v>
      </c>
      <c r="Q21" s="241">
        <f xml:space="preserve">
IF($A$4&lt;=12,SUMIFS('ON Data'!V:V,'ON Data'!$D:$D,$A$4,'ON Data'!$E:$E,12),SUMIFS('ON Data'!V:V,'ON Data'!$E:$E,12))</f>
        <v>0</v>
      </c>
      <c r="R21" s="241">
        <f xml:space="preserve">
IF($A$4&lt;=12,SUMIFS('ON Data'!W:W,'ON Data'!$D:$D,$A$4,'ON Data'!$E:$E,12),SUMIFS('ON Data'!W:W,'ON Data'!$E:$E,12))</f>
        <v>0</v>
      </c>
      <c r="S21" s="241">
        <f xml:space="preserve">
IF($A$4&lt;=12,SUMIFS('ON Data'!X:X,'ON Data'!$D:$D,$A$4,'ON Data'!$E:$E,12),SUMIFS('ON Data'!X:X,'ON Data'!$E:$E,12))</f>
        <v>0</v>
      </c>
      <c r="T21" s="241">
        <f xml:space="preserve">
IF($A$4&lt;=12,SUMIFS('ON Data'!Y:Y,'ON Data'!$D:$D,$A$4,'ON Data'!$E:$E,12),SUMIFS('ON Data'!Y:Y,'ON Data'!$E:$E,12))</f>
        <v>0</v>
      </c>
      <c r="U21" s="241">
        <f xml:space="preserve">
IF($A$4&lt;=12,SUMIFS('ON Data'!Z:Z,'ON Data'!$D:$D,$A$4,'ON Data'!$E:$E,12),SUMIFS('ON Data'!Z:Z,'ON Data'!$E:$E,12))</f>
        <v>0</v>
      </c>
      <c r="V21" s="241">
        <f xml:space="preserve">
IF($A$4&lt;=12,SUMIFS('ON Data'!AA:AA,'ON Data'!$D:$D,$A$4,'ON Data'!$E:$E,12),SUMIFS('ON Data'!AA:AA,'ON Data'!$E:$E,12))</f>
        <v>0</v>
      </c>
      <c r="W21" s="241">
        <f xml:space="preserve">
IF($A$4&lt;=12,SUMIFS('ON Data'!AB:AB,'ON Data'!$D:$D,$A$4,'ON Data'!$E:$E,12),SUMIFS('ON Data'!AB:AB,'ON Data'!$E:$E,12))</f>
        <v>0</v>
      </c>
      <c r="X21" s="241">
        <f xml:space="preserve">
IF($A$4&lt;=12,SUMIFS('ON Data'!AC:AC,'ON Data'!$D:$D,$A$4,'ON Data'!$E:$E,12),SUMIFS('ON Data'!AC:AC,'ON Data'!$E:$E,12))</f>
        <v>0</v>
      </c>
      <c r="Y21" s="241">
        <f xml:space="preserve">
IF($A$4&lt;=12,SUMIFS('ON Data'!AD:AD,'ON Data'!$D:$D,$A$4,'ON Data'!$E:$E,12),SUMIFS('ON Data'!AD:AD,'ON Data'!$E:$E,12))</f>
        <v>0</v>
      </c>
      <c r="Z21" s="241">
        <f xml:space="preserve">
IF($A$4&lt;=12,SUMIFS('ON Data'!AE:AE,'ON Data'!$D:$D,$A$4,'ON Data'!$E:$E,12),SUMIFS('ON Data'!AE:AE,'ON Data'!$E:$E,12))</f>
        <v>0</v>
      </c>
      <c r="AA21" s="241">
        <f xml:space="preserve">
IF($A$4&lt;=12,SUMIFS('ON Data'!AF:AF,'ON Data'!$D:$D,$A$4,'ON Data'!$E:$E,12),SUMIFS('ON Data'!AF:AF,'ON Data'!$E:$E,12))</f>
        <v>0</v>
      </c>
      <c r="AB21" s="241">
        <f xml:space="preserve">
IF($A$4&lt;=12,SUMIFS('ON Data'!AG:AG,'ON Data'!$D:$D,$A$4,'ON Data'!$E:$E,12),SUMIFS('ON Data'!AG:AG,'ON Data'!$E:$E,12))</f>
        <v>0</v>
      </c>
      <c r="AC21" s="241">
        <f xml:space="preserve">
IF($A$4&lt;=12,SUMIFS('ON Data'!AH:AH,'ON Data'!$D:$D,$A$4,'ON Data'!$E:$E,12),SUMIFS('ON Data'!AH:AH,'ON Data'!$E:$E,12))</f>
        <v>0</v>
      </c>
      <c r="AD21" s="241">
        <f xml:space="preserve">
IF($A$4&lt;=12,SUMIFS('ON Data'!AI:AI,'ON Data'!$D:$D,$A$4,'ON Data'!$E:$E,12),SUMIFS('ON Data'!AI:AI,'ON Data'!$E:$E,12))</f>
        <v>0</v>
      </c>
      <c r="AE21" s="241">
        <f xml:space="preserve">
IF($A$4&lt;=12,SUMIFS('ON Data'!AJ:AJ,'ON Data'!$D:$D,$A$4,'ON Data'!$E:$E,12),SUMIFS('ON Data'!AJ:AJ,'ON Data'!$E:$E,12))</f>
        <v>0</v>
      </c>
      <c r="AF21" s="241">
        <f xml:space="preserve">
IF($A$4&lt;=12,SUMIFS('ON Data'!AK:AK,'ON Data'!$D:$D,$A$4,'ON Data'!$E:$E,12),SUMIFS('ON Data'!AK:AK,'ON Data'!$E:$E,12))</f>
        <v>0</v>
      </c>
      <c r="AG21" s="241">
        <f xml:space="preserve">
IF($A$4&lt;=12,SUMIFS('ON Data'!AL:AL,'ON Data'!$D:$D,$A$4,'ON Data'!$E:$E,12),SUMIFS('ON Data'!AL:AL,'ON Data'!$E:$E,12))</f>
        <v>0</v>
      </c>
      <c r="AH21" s="241">
        <f xml:space="preserve">
IF($A$4&lt;=12,SUMIFS('ON Data'!AN:AN,'ON Data'!$D:$D,$A$4,'ON Data'!$E:$E,12),SUMIFS('ON Data'!AN:AN,'ON Data'!$E:$E,12))</f>
        <v>0</v>
      </c>
      <c r="AI21" s="487">
        <f xml:space="preserve">
IF($A$4&lt;=12,SUMIFS('ON Data'!AO:AO,'ON Data'!$D:$D,$A$4,'ON Data'!$E:$E,12),SUMIFS('ON Data'!AO:AO,'ON Data'!$E:$E,12))</f>
        <v>0</v>
      </c>
      <c r="AJ21" s="498"/>
    </row>
    <row r="22" spans="1:36" ht="15" hidden="1" outlineLevel="1" thickBot="1" x14ac:dyDescent="0.35">
      <c r="A22" s="219" t="s">
        <v>62</v>
      </c>
      <c r="B22" s="295" t="str">
        <f xml:space="preserve">
IF(OR(B21="",B21=0),"",B20/B21)</f>
        <v/>
      </c>
      <c r="C22" s="296" t="str">
        <f t="shared" ref="C22:G22" si="2" xml:space="preserve">
IF(OR(C21="",C21=0),"",C20/C21)</f>
        <v/>
      </c>
      <c r="D22" s="297" t="str">
        <f t="shared" si="2"/>
        <v/>
      </c>
      <c r="E22" s="297" t="str">
        <f t="shared" si="2"/>
        <v/>
      </c>
      <c r="F22" s="297" t="str">
        <f t="shared" si="2"/>
        <v/>
      </c>
      <c r="G22" s="297" t="str">
        <f t="shared" si="2"/>
        <v/>
      </c>
      <c r="H22" s="297" t="str">
        <f t="shared" ref="H22:AI22" si="3" xml:space="preserve">
IF(OR(H21="",H21=0),"",H20/H21)</f>
        <v/>
      </c>
      <c r="I22" s="297" t="str">
        <f t="shared" si="3"/>
        <v/>
      </c>
      <c r="J22" s="297" t="str">
        <f t="shared" si="3"/>
        <v/>
      </c>
      <c r="K22" s="297" t="str">
        <f t="shared" si="3"/>
        <v/>
      </c>
      <c r="L22" s="297" t="str">
        <f t="shared" si="3"/>
        <v/>
      </c>
      <c r="M22" s="297" t="str">
        <f t="shared" si="3"/>
        <v/>
      </c>
      <c r="N22" s="297" t="str">
        <f t="shared" si="3"/>
        <v/>
      </c>
      <c r="O22" s="297" t="str">
        <f t="shared" si="3"/>
        <v/>
      </c>
      <c r="P22" s="297" t="str">
        <f t="shared" si="3"/>
        <v/>
      </c>
      <c r="Q22" s="297" t="str">
        <f t="shared" si="3"/>
        <v/>
      </c>
      <c r="R22" s="297" t="str">
        <f t="shared" si="3"/>
        <v/>
      </c>
      <c r="S22" s="297" t="str">
        <f t="shared" si="3"/>
        <v/>
      </c>
      <c r="T22" s="297" t="str">
        <f t="shared" si="3"/>
        <v/>
      </c>
      <c r="U22" s="297" t="str">
        <f t="shared" si="3"/>
        <v/>
      </c>
      <c r="V22" s="297" t="str">
        <f t="shared" si="3"/>
        <v/>
      </c>
      <c r="W22" s="297" t="str">
        <f t="shared" si="3"/>
        <v/>
      </c>
      <c r="X22" s="297" t="str">
        <f t="shared" si="3"/>
        <v/>
      </c>
      <c r="Y22" s="297" t="str">
        <f t="shared" si="3"/>
        <v/>
      </c>
      <c r="Z22" s="297" t="str">
        <f t="shared" si="3"/>
        <v/>
      </c>
      <c r="AA22" s="297" t="str">
        <f t="shared" si="3"/>
        <v/>
      </c>
      <c r="AB22" s="297" t="str">
        <f t="shared" si="3"/>
        <v/>
      </c>
      <c r="AC22" s="297" t="str">
        <f t="shared" si="3"/>
        <v/>
      </c>
      <c r="AD22" s="297" t="str">
        <f t="shared" si="3"/>
        <v/>
      </c>
      <c r="AE22" s="297" t="str">
        <f t="shared" si="3"/>
        <v/>
      </c>
      <c r="AF22" s="297" t="str">
        <f t="shared" si="3"/>
        <v/>
      </c>
      <c r="AG22" s="297" t="str">
        <f t="shared" si="3"/>
        <v/>
      </c>
      <c r="AH22" s="297" t="str">
        <f t="shared" si="3"/>
        <v/>
      </c>
      <c r="AI22" s="492" t="str">
        <f t="shared" si="3"/>
        <v/>
      </c>
      <c r="AJ22" s="498"/>
    </row>
    <row r="23" spans="1:36" ht="15" hidden="1" outlineLevel="1" thickBot="1" x14ac:dyDescent="0.35">
      <c r="A23" s="227" t="s">
        <v>55</v>
      </c>
      <c r="B23" s="242">
        <f xml:space="preserve">
IF(B21="","",B20-B21)</f>
        <v>8101023</v>
      </c>
      <c r="C23" s="243">
        <f t="shared" ref="C23:G23" si="4" xml:space="preserve">
IF(C21="","",C20-C21)</f>
        <v>101580</v>
      </c>
      <c r="D23" s="244">
        <f t="shared" si="4"/>
        <v>0</v>
      </c>
      <c r="E23" s="244">
        <f t="shared" si="4"/>
        <v>2536331</v>
      </c>
      <c r="F23" s="244">
        <f t="shared" si="4"/>
        <v>3788618</v>
      </c>
      <c r="G23" s="244">
        <f t="shared" si="4"/>
        <v>0</v>
      </c>
      <c r="H23" s="244">
        <f t="shared" ref="H23:AI23" si="5" xml:space="preserve">
IF(H21="","",H20-H21)</f>
        <v>0</v>
      </c>
      <c r="I23" s="244">
        <f t="shared" si="5"/>
        <v>0</v>
      </c>
      <c r="J23" s="244">
        <f t="shared" si="5"/>
        <v>0</v>
      </c>
      <c r="K23" s="244">
        <f t="shared" si="5"/>
        <v>0</v>
      </c>
      <c r="L23" s="244">
        <f t="shared" si="5"/>
        <v>0</v>
      </c>
      <c r="M23" s="244">
        <f t="shared" si="5"/>
        <v>1524659</v>
      </c>
      <c r="N23" s="244">
        <f t="shared" si="5"/>
        <v>0</v>
      </c>
      <c r="O23" s="244">
        <f t="shared" si="5"/>
        <v>0</v>
      </c>
      <c r="P23" s="244">
        <f t="shared" si="5"/>
        <v>0</v>
      </c>
      <c r="Q23" s="244">
        <f t="shared" si="5"/>
        <v>0</v>
      </c>
      <c r="R23" s="244">
        <f t="shared" si="5"/>
        <v>0</v>
      </c>
      <c r="S23" s="244">
        <f t="shared" si="5"/>
        <v>0</v>
      </c>
      <c r="T23" s="244">
        <f t="shared" si="5"/>
        <v>0</v>
      </c>
      <c r="U23" s="244">
        <f t="shared" si="5"/>
        <v>0</v>
      </c>
      <c r="V23" s="244">
        <f t="shared" si="5"/>
        <v>0</v>
      </c>
      <c r="W23" s="244">
        <f t="shared" si="5"/>
        <v>0</v>
      </c>
      <c r="X23" s="244">
        <f t="shared" si="5"/>
        <v>0</v>
      </c>
      <c r="Y23" s="244">
        <f t="shared" si="5"/>
        <v>0</v>
      </c>
      <c r="Z23" s="244">
        <f t="shared" si="5"/>
        <v>0</v>
      </c>
      <c r="AA23" s="244">
        <f t="shared" si="5"/>
        <v>0</v>
      </c>
      <c r="AB23" s="244">
        <f t="shared" si="5"/>
        <v>0</v>
      </c>
      <c r="AC23" s="244">
        <f t="shared" si="5"/>
        <v>0</v>
      </c>
      <c r="AD23" s="244">
        <f t="shared" si="5"/>
        <v>0</v>
      </c>
      <c r="AE23" s="244">
        <f t="shared" si="5"/>
        <v>0</v>
      </c>
      <c r="AF23" s="244">
        <f t="shared" si="5"/>
        <v>0</v>
      </c>
      <c r="AG23" s="244">
        <f t="shared" si="5"/>
        <v>0</v>
      </c>
      <c r="AH23" s="244">
        <f t="shared" si="5"/>
        <v>76603</v>
      </c>
      <c r="AI23" s="488">
        <f t="shared" si="5"/>
        <v>73232</v>
      </c>
      <c r="AJ23" s="498"/>
    </row>
    <row r="24" spans="1:36" x14ac:dyDescent="0.3">
      <c r="A24" s="221" t="s">
        <v>172</v>
      </c>
      <c r="B24" s="268" t="s">
        <v>3</v>
      </c>
      <c r="C24" s="499" t="s">
        <v>183</v>
      </c>
      <c r="D24" s="472"/>
      <c r="E24" s="473"/>
      <c r="F24" s="473" t="s">
        <v>184</v>
      </c>
      <c r="G24" s="473"/>
      <c r="H24" s="473"/>
      <c r="I24" s="473"/>
      <c r="J24" s="473"/>
      <c r="K24" s="473"/>
      <c r="L24" s="473"/>
      <c r="M24" s="473"/>
      <c r="N24" s="473"/>
      <c r="O24" s="473"/>
      <c r="P24" s="473"/>
      <c r="Q24" s="473"/>
      <c r="R24" s="473"/>
      <c r="S24" s="473"/>
      <c r="T24" s="473"/>
      <c r="U24" s="473"/>
      <c r="V24" s="473"/>
      <c r="W24" s="473"/>
      <c r="X24" s="473"/>
      <c r="Y24" s="473"/>
      <c r="Z24" s="473"/>
      <c r="AA24" s="473"/>
      <c r="AB24" s="473"/>
      <c r="AC24" s="473"/>
      <c r="AD24" s="473"/>
      <c r="AE24" s="473"/>
      <c r="AF24" s="473"/>
      <c r="AG24" s="473"/>
      <c r="AH24" s="473" t="s">
        <v>185</v>
      </c>
      <c r="AI24" s="493"/>
      <c r="AJ24" s="498"/>
    </row>
    <row r="25" spans="1:36" x14ac:dyDescent="0.3">
      <c r="A25" s="222" t="s">
        <v>60</v>
      </c>
      <c r="B25" s="239">
        <f xml:space="preserve">
SUM(C25:AI25)</f>
        <v>6000</v>
      </c>
      <c r="C25" s="500">
        <f xml:space="preserve">
IF($A$4&lt;=12,SUMIFS('ON Data'!H:H,'ON Data'!$D:$D,$A$4,'ON Data'!$E:$E,10),SUMIFS('ON Data'!H:H,'ON Data'!$E:$E,10))</f>
        <v>0</v>
      </c>
      <c r="D25" s="474"/>
      <c r="E25" s="475"/>
      <c r="F25" s="475">
        <f xml:space="preserve">
IF($A$4&lt;=12,SUMIFS('ON Data'!K:K,'ON Data'!$D:$D,$A$4,'ON Data'!$E:$E,10),SUMIFS('ON Data'!K:K,'ON Data'!$E:$E,10))</f>
        <v>6000</v>
      </c>
      <c r="G25" s="475"/>
      <c r="H25" s="475"/>
      <c r="I25" s="475"/>
      <c r="J25" s="475"/>
      <c r="K25" s="475"/>
      <c r="L25" s="475"/>
      <c r="M25" s="475"/>
      <c r="N25" s="475"/>
      <c r="O25" s="475"/>
      <c r="P25" s="475"/>
      <c r="Q25" s="475"/>
      <c r="R25" s="475"/>
      <c r="S25" s="475"/>
      <c r="T25" s="475"/>
      <c r="U25" s="475"/>
      <c r="V25" s="475"/>
      <c r="W25" s="475"/>
      <c r="X25" s="475"/>
      <c r="Y25" s="475"/>
      <c r="Z25" s="475"/>
      <c r="AA25" s="475"/>
      <c r="AB25" s="475"/>
      <c r="AC25" s="475"/>
      <c r="AD25" s="475"/>
      <c r="AE25" s="475"/>
      <c r="AF25" s="475"/>
      <c r="AG25" s="475"/>
      <c r="AH25" s="475">
        <f xml:space="preserve">
IF($A$4&lt;=12,SUMIFS('ON Data'!AN:AN,'ON Data'!$D:$D,$A$4,'ON Data'!$E:$E,10),SUMIFS('ON Data'!AN:AN,'ON Data'!$E:$E,10))</f>
        <v>0</v>
      </c>
      <c r="AI25" s="494"/>
      <c r="AJ25" s="498"/>
    </row>
    <row r="26" spans="1:36" x14ac:dyDescent="0.3">
      <c r="A26" s="228" t="s">
        <v>182</v>
      </c>
      <c r="B26" s="248">
        <f xml:space="preserve">
SUM(C26:AI26)</f>
        <v>29543.304333518434</v>
      </c>
      <c r="C26" s="500">
        <f xml:space="preserve">
IF($A$4&lt;=12,SUMIFS('ON Data'!H:H,'ON Data'!$D:$D,$A$4,'ON Data'!$E:$E,11),SUMIFS('ON Data'!H:H,'ON Data'!$E:$E,11))</f>
        <v>21209.971000185102</v>
      </c>
      <c r="D26" s="474"/>
      <c r="E26" s="475"/>
      <c r="F26" s="476">
        <f xml:space="preserve">
IF($A$4&lt;=12,SUMIFS('ON Data'!K:K,'ON Data'!$D:$D,$A$4,'ON Data'!$E:$E,11),SUMIFS('ON Data'!K:K,'ON Data'!$E:$E,11))</f>
        <v>8333.3333333333339</v>
      </c>
      <c r="G26" s="476"/>
      <c r="H26" s="476"/>
      <c r="I26" s="476"/>
      <c r="J26" s="476"/>
      <c r="K26" s="476"/>
      <c r="L26" s="476"/>
      <c r="M26" s="476"/>
      <c r="N26" s="476"/>
      <c r="O26" s="476"/>
      <c r="P26" s="476"/>
      <c r="Q26" s="476"/>
      <c r="R26" s="476"/>
      <c r="S26" s="476"/>
      <c r="T26" s="476"/>
      <c r="U26" s="476"/>
      <c r="V26" s="476"/>
      <c r="W26" s="476"/>
      <c r="X26" s="476"/>
      <c r="Y26" s="476"/>
      <c r="Z26" s="476"/>
      <c r="AA26" s="476"/>
      <c r="AB26" s="476"/>
      <c r="AC26" s="476"/>
      <c r="AD26" s="476"/>
      <c r="AE26" s="476"/>
      <c r="AF26" s="476"/>
      <c r="AG26" s="476"/>
      <c r="AH26" s="475">
        <f xml:space="preserve">
IF($A$4&lt;=12,SUMIFS('ON Data'!AN:AN,'ON Data'!$D:$D,$A$4,'ON Data'!$E:$E,11),SUMIFS('ON Data'!AN:AN,'ON Data'!$E:$E,11))</f>
        <v>0</v>
      </c>
      <c r="AI26" s="495"/>
      <c r="AJ26" s="498"/>
    </row>
    <row r="27" spans="1:36" x14ac:dyDescent="0.3">
      <c r="A27" s="228" t="s">
        <v>62</v>
      </c>
      <c r="B27" s="269">
        <f xml:space="preserve">
IF(B26=0,0,B25/B26)</f>
        <v>0.20309170336077417</v>
      </c>
      <c r="C27" s="501">
        <f xml:space="preserve">
IF(C26=0,0,C25/C26)</f>
        <v>0</v>
      </c>
      <c r="D27" s="477"/>
      <c r="E27" s="478"/>
      <c r="F27" s="478">
        <f xml:space="preserve">
IF(F26=0,0,F25/F26)</f>
        <v>0.72</v>
      </c>
      <c r="G27" s="478"/>
      <c r="H27" s="478"/>
      <c r="I27" s="478"/>
      <c r="J27" s="478"/>
      <c r="K27" s="478"/>
      <c r="L27" s="478"/>
      <c r="M27" s="478"/>
      <c r="N27" s="478"/>
      <c r="O27" s="478"/>
      <c r="P27" s="478"/>
      <c r="Q27" s="478"/>
      <c r="R27" s="478"/>
      <c r="S27" s="478"/>
      <c r="T27" s="478"/>
      <c r="U27" s="478"/>
      <c r="V27" s="478"/>
      <c r="W27" s="478"/>
      <c r="X27" s="478"/>
      <c r="Y27" s="478"/>
      <c r="Z27" s="478"/>
      <c r="AA27" s="478"/>
      <c r="AB27" s="478"/>
      <c r="AC27" s="478"/>
      <c r="AD27" s="478"/>
      <c r="AE27" s="478"/>
      <c r="AF27" s="478"/>
      <c r="AG27" s="478"/>
      <c r="AH27" s="478">
        <f xml:space="preserve">
IF(AH26=0,0,AH25/AH26)</f>
        <v>0</v>
      </c>
      <c r="AI27" s="496"/>
      <c r="AJ27" s="498"/>
    </row>
    <row r="28" spans="1:36" ht="15" thickBot="1" x14ac:dyDescent="0.35">
      <c r="A28" s="228" t="s">
        <v>181</v>
      </c>
      <c r="B28" s="248">
        <f xml:space="preserve">
SUM(C28:AI28)</f>
        <v>23543.304333518434</v>
      </c>
      <c r="C28" s="502">
        <f xml:space="preserve">
C26-C25</f>
        <v>21209.971000185102</v>
      </c>
      <c r="D28" s="479"/>
      <c r="E28" s="480"/>
      <c r="F28" s="480">
        <f xml:space="preserve">
F26-F25</f>
        <v>2333.3333333333339</v>
      </c>
      <c r="G28" s="480"/>
      <c r="H28" s="480"/>
      <c r="I28" s="480"/>
      <c r="J28" s="480"/>
      <c r="K28" s="480"/>
      <c r="L28" s="480"/>
      <c r="M28" s="480"/>
      <c r="N28" s="480"/>
      <c r="O28" s="480"/>
      <c r="P28" s="480"/>
      <c r="Q28" s="480"/>
      <c r="R28" s="480"/>
      <c r="S28" s="480"/>
      <c r="T28" s="480"/>
      <c r="U28" s="480"/>
      <c r="V28" s="480"/>
      <c r="W28" s="480"/>
      <c r="X28" s="480"/>
      <c r="Y28" s="480"/>
      <c r="Z28" s="480"/>
      <c r="AA28" s="480"/>
      <c r="AB28" s="480"/>
      <c r="AC28" s="480"/>
      <c r="AD28" s="480"/>
      <c r="AE28" s="480"/>
      <c r="AF28" s="480"/>
      <c r="AG28" s="480"/>
      <c r="AH28" s="480">
        <f xml:space="preserve">
AH26-AH25</f>
        <v>0</v>
      </c>
      <c r="AI28" s="497"/>
      <c r="AJ28" s="498"/>
    </row>
    <row r="29" spans="1:36" x14ac:dyDescent="0.3">
      <c r="A29" s="229"/>
      <c r="B29" s="229"/>
      <c r="C29" s="230"/>
      <c r="D29" s="229"/>
      <c r="E29" s="229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30"/>
      <c r="R29" s="230"/>
      <c r="S29" s="230"/>
      <c r="T29" s="230"/>
      <c r="U29" s="230"/>
      <c r="V29" s="230"/>
      <c r="W29" s="230"/>
      <c r="X29" s="230"/>
      <c r="Y29" s="230"/>
      <c r="Z29" s="230"/>
      <c r="AA29" s="230"/>
      <c r="AB29" s="230"/>
      <c r="AC29" s="230"/>
      <c r="AD29" s="230"/>
      <c r="AE29" s="230"/>
      <c r="AF29" s="229"/>
      <c r="AG29" s="229"/>
      <c r="AH29" s="229"/>
      <c r="AI29" s="229"/>
    </row>
    <row r="30" spans="1:36" x14ac:dyDescent="0.3">
      <c r="A30" s="98" t="s">
        <v>134</v>
      </c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34"/>
      <c r="AI30" s="134"/>
    </row>
    <row r="31" spans="1:36" x14ac:dyDescent="0.3">
      <c r="A31" s="99" t="s">
        <v>179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34"/>
      <c r="AI31" s="134"/>
    </row>
    <row r="32" spans="1:36" ht="14.4" customHeight="1" x14ac:dyDescent="0.3">
      <c r="A32" s="265" t="s">
        <v>176</v>
      </c>
      <c r="B32" s="266"/>
      <c r="C32" s="266"/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266"/>
      <c r="S32" s="266"/>
      <c r="T32" s="266"/>
      <c r="U32" s="266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  <c r="AF32" s="266"/>
      <c r="AG32" s="266"/>
    </row>
    <row r="33" spans="1:1" x14ac:dyDescent="0.3">
      <c r="A33" s="267" t="s">
        <v>186</v>
      </c>
    </row>
    <row r="34" spans="1:1" x14ac:dyDescent="0.3">
      <c r="A34" s="267" t="s">
        <v>187</v>
      </c>
    </row>
    <row r="35" spans="1:1" x14ac:dyDescent="0.3">
      <c r="A35" s="267" t="s">
        <v>188</v>
      </c>
    </row>
    <row r="36" spans="1:1" x14ac:dyDescent="0.3">
      <c r="A36" s="267" t="s">
        <v>189</v>
      </c>
    </row>
  </sheetData>
  <mergeCells count="17">
    <mergeCell ref="C28:E28"/>
    <mergeCell ref="AH27:AI27"/>
    <mergeCell ref="AH28:AI28"/>
    <mergeCell ref="C27:E27"/>
    <mergeCell ref="F27:AG27"/>
    <mergeCell ref="F28:AG28"/>
    <mergeCell ref="AH26:AI26"/>
    <mergeCell ref="C25:E25"/>
    <mergeCell ref="C26:E26"/>
    <mergeCell ref="F24:AG24"/>
    <mergeCell ref="F25:AG25"/>
    <mergeCell ref="F26:AG26"/>
    <mergeCell ref="A1:AI1"/>
    <mergeCell ref="B3:B4"/>
    <mergeCell ref="AH24:AI24"/>
    <mergeCell ref="AH25:AI25"/>
    <mergeCell ref="C24:E24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I22">
    <cfRule type="cellIs" dxfId="2" priority="2" operator="greaterThan">
      <formula>1</formula>
    </cfRule>
  </conditionalFormatting>
  <conditionalFormatting sqref="B23:AI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35"/>
  <sheetViews>
    <sheetView showGridLines="0" showRowColHeaders="0" workbookViewId="0"/>
  </sheetViews>
  <sheetFormatPr defaultRowHeight="14.4" x14ac:dyDescent="0.3"/>
  <cols>
    <col min="1" max="16384" width="8.88671875" style="208"/>
  </cols>
  <sheetData>
    <row r="1" spans="1:41" x14ac:dyDescent="0.3">
      <c r="A1" s="208" t="s">
        <v>1444</v>
      </c>
    </row>
    <row r="2" spans="1:41" x14ac:dyDescent="0.3">
      <c r="A2" s="212" t="s">
        <v>255</v>
      </c>
    </row>
    <row r="3" spans="1:41" x14ac:dyDescent="0.3">
      <c r="A3" s="208" t="s">
        <v>145</v>
      </c>
      <c r="B3" s="233">
        <v>2015</v>
      </c>
      <c r="D3" s="209">
        <f>MAX(D5:D1048576)</f>
        <v>5</v>
      </c>
      <c r="F3" s="209">
        <f>SUMIF($E5:$E1048576,"&lt;10",F5:F1048576)</f>
        <v>8190169.2999999998</v>
      </c>
      <c r="G3" s="209">
        <f t="shared" ref="G3:AO3" si="0">SUMIF($E5:$E1048576,"&lt;10",G5:G1048576)</f>
        <v>102188.5</v>
      </c>
      <c r="H3" s="209">
        <f t="shared" si="0"/>
        <v>0</v>
      </c>
      <c r="I3" s="209">
        <f t="shared" si="0"/>
        <v>2550656.4500000002</v>
      </c>
      <c r="J3" s="209">
        <f t="shared" si="0"/>
        <v>0</v>
      </c>
      <c r="K3" s="209">
        <f t="shared" si="0"/>
        <v>3850131</v>
      </c>
      <c r="L3" s="209">
        <f t="shared" si="0"/>
        <v>0</v>
      </c>
      <c r="M3" s="209">
        <f t="shared" si="0"/>
        <v>0</v>
      </c>
      <c r="N3" s="209">
        <f t="shared" si="0"/>
        <v>0</v>
      </c>
      <c r="O3" s="209">
        <f t="shared" si="0"/>
        <v>0</v>
      </c>
      <c r="P3" s="209">
        <f t="shared" si="0"/>
        <v>0</v>
      </c>
      <c r="Q3" s="209">
        <f t="shared" si="0"/>
        <v>0</v>
      </c>
      <c r="R3" s="209">
        <f t="shared" si="0"/>
        <v>1535768.8</v>
      </c>
      <c r="S3" s="209">
        <f t="shared" si="0"/>
        <v>0</v>
      </c>
      <c r="T3" s="209">
        <f t="shared" si="0"/>
        <v>0</v>
      </c>
      <c r="U3" s="209">
        <f t="shared" si="0"/>
        <v>0</v>
      </c>
      <c r="V3" s="209">
        <f t="shared" si="0"/>
        <v>0</v>
      </c>
      <c r="W3" s="209">
        <f t="shared" si="0"/>
        <v>0</v>
      </c>
      <c r="X3" s="209">
        <f t="shared" si="0"/>
        <v>0</v>
      </c>
      <c r="Y3" s="209">
        <f t="shared" si="0"/>
        <v>0</v>
      </c>
      <c r="Z3" s="209">
        <f t="shared" si="0"/>
        <v>0</v>
      </c>
      <c r="AA3" s="209">
        <f t="shared" si="0"/>
        <v>0</v>
      </c>
      <c r="AB3" s="209">
        <f t="shared" si="0"/>
        <v>0</v>
      </c>
      <c r="AC3" s="209">
        <f t="shared" si="0"/>
        <v>0</v>
      </c>
      <c r="AD3" s="209">
        <f t="shared" si="0"/>
        <v>0</v>
      </c>
      <c r="AE3" s="209">
        <f t="shared" si="0"/>
        <v>0</v>
      </c>
      <c r="AF3" s="209">
        <f t="shared" si="0"/>
        <v>0</v>
      </c>
      <c r="AG3" s="209">
        <f t="shared" si="0"/>
        <v>0</v>
      </c>
      <c r="AH3" s="209">
        <f t="shared" si="0"/>
        <v>0</v>
      </c>
      <c r="AI3" s="209">
        <f t="shared" si="0"/>
        <v>0</v>
      </c>
      <c r="AJ3" s="209">
        <f t="shared" si="0"/>
        <v>0</v>
      </c>
      <c r="AK3" s="209">
        <f t="shared" si="0"/>
        <v>0</v>
      </c>
      <c r="AL3" s="209">
        <f t="shared" si="0"/>
        <v>0</v>
      </c>
      <c r="AM3" s="209">
        <f t="shared" si="0"/>
        <v>0</v>
      </c>
      <c r="AN3" s="209">
        <f t="shared" si="0"/>
        <v>77363.549999999988</v>
      </c>
      <c r="AO3" s="209">
        <f t="shared" si="0"/>
        <v>74061</v>
      </c>
    </row>
    <row r="4" spans="1:41" x14ac:dyDescent="0.3">
      <c r="A4" s="208" t="s">
        <v>146</v>
      </c>
      <c r="B4" s="233">
        <v>1</v>
      </c>
      <c r="C4" s="210" t="s">
        <v>5</v>
      </c>
      <c r="D4" s="211" t="s">
        <v>54</v>
      </c>
      <c r="E4" s="211" t="s">
        <v>140</v>
      </c>
      <c r="F4" s="211" t="s">
        <v>3</v>
      </c>
      <c r="G4" s="211" t="s">
        <v>141</v>
      </c>
      <c r="H4" s="211" t="s">
        <v>142</v>
      </c>
      <c r="I4" s="211" t="s">
        <v>143</v>
      </c>
      <c r="J4" s="211" t="s">
        <v>144</v>
      </c>
      <c r="K4" s="211">
        <v>305</v>
      </c>
      <c r="L4" s="211">
        <v>306</v>
      </c>
      <c r="M4" s="211">
        <v>407</v>
      </c>
      <c r="N4" s="211">
        <v>408</v>
      </c>
      <c r="O4" s="211">
        <v>409</v>
      </c>
      <c r="P4" s="211">
        <v>410</v>
      </c>
      <c r="Q4" s="211">
        <v>415</v>
      </c>
      <c r="R4" s="211">
        <v>416</v>
      </c>
      <c r="S4" s="211">
        <v>418</v>
      </c>
      <c r="T4" s="211">
        <v>419</v>
      </c>
      <c r="U4" s="211">
        <v>420</v>
      </c>
      <c r="V4" s="211">
        <v>421</v>
      </c>
      <c r="W4" s="211">
        <v>522</v>
      </c>
      <c r="X4" s="211">
        <v>523</v>
      </c>
      <c r="Y4" s="211">
        <v>524</v>
      </c>
      <c r="Z4" s="211">
        <v>525</v>
      </c>
      <c r="AA4" s="211">
        <v>526</v>
      </c>
      <c r="AB4" s="211">
        <v>527</v>
      </c>
      <c r="AC4" s="211">
        <v>528</v>
      </c>
      <c r="AD4" s="211">
        <v>629</v>
      </c>
      <c r="AE4" s="211">
        <v>630</v>
      </c>
      <c r="AF4" s="211">
        <v>636</v>
      </c>
      <c r="AG4" s="211">
        <v>637</v>
      </c>
      <c r="AH4" s="211">
        <v>640</v>
      </c>
      <c r="AI4" s="211">
        <v>642</v>
      </c>
      <c r="AJ4" s="211">
        <v>743</v>
      </c>
      <c r="AK4" s="211">
        <v>745</v>
      </c>
      <c r="AL4" s="211">
        <v>746</v>
      </c>
      <c r="AM4" s="211">
        <v>747</v>
      </c>
      <c r="AN4" s="211">
        <v>930</v>
      </c>
      <c r="AO4" s="211">
        <v>940</v>
      </c>
    </row>
    <row r="5" spans="1:41" x14ac:dyDescent="0.3">
      <c r="A5" s="208" t="s">
        <v>147</v>
      </c>
      <c r="B5" s="233">
        <v>2</v>
      </c>
      <c r="C5" s="208">
        <v>24</v>
      </c>
      <c r="D5" s="208">
        <v>1</v>
      </c>
      <c r="E5" s="208">
        <v>1</v>
      </c>
      <c r="F5" s="208">
        <v>57.15</v>
      </c>
      <c r="G5" s="208">
        <v>0</v>
      </c>
      <c r="H5" s="208">
        <v>0</v>
      </c>
      <c r="I5" s="208">
        <v>12.2</v>
      </c>
      <c r="J5" s="208">
        <v>0</v>
      </c>
      <c r="K5" s="208">
        <v>29</v>
      </c>
      <c r="L5" s="208">
        <v>0</v>
      </c>
      <c r="M5" s="208">
        <v>0</v>
      </c>
      <c r="N5" s="208">
        <v>0</v>
      </c>
      <c r="O5" s="208">
        <v>0</v>
      </c>
      <c r="P5" s="208">
        <v>0</v>
      </c>
      <c r="Q5" s="208">
        <v>0</v>
      </c>
      <c r="R5" s="208">
        <v>14</v>
      </c>
      <c r="S5" s="208">
        <v>0</v>
      </c>
      <c r="T5" s="208">
        <v>0</v>
      </c>
      <c r="U5" s="208">
        <v>0</v>
      </c>
      <c r="V5" s="208">
        <v>0</v>
      </c>
      <c r="W5" s="208">
        <v>0</v>
      </c>
      <c r="X5" s="208">
        <v>0</v>
      </c>
      <c r="Y5" s="208">
        <v>0</v>
      </c>
      <c r="Z5" s="208">
        <v>0</v>
      </c>
      <c r="AA5" s="208">
        <v>0</v>
      </c>
      <c r="AB5" s="208">
        <v>0</v>
      </c>
      <c r="AC5" s="208">
        <v>0</v>
      </c>
      <c r="AD5" s="208">
        <v>0</v>
      </c>
      <c r="AE5" s="208">
        <v>0</v>
      </c>
      <c r="AF5" s="208">
        <v>0</v>
      </c>
      <c r="AG5" s="208">
        <v>0</v>
      </c>
      <c r="AH5" s="208">
        <v>0</v>
      </c>
      <c r="AI5" s="208">
        <v>0</v>
      </c>
      <c r="AJ5" s="208">
        <v>0</v>
      </c>
      <c r="AK5" s="208">
        <v>0</v>
      </c>
      <c r="AL5" s="208">
        <v>0</v>
      </c>
      <c r="AM5" s="208">
        <v>0</v>
      </c>
      <c r="AN5" s="208">
        <v>0.95</v>
      </c>
      <c r="AO5" s="208">
        <v>1</v>
      </c>
    </row>
    <row r="6" spans="1:41" x14ac:dyDescent="0.3">
      <c r="A6" s="208" t="s">
        <v>148</v>
      </c>
      <c r="B6" s="233">
        <v>3</v>
      </c>
      <c r="C6" s="208">
        <v>24</v>
      </c>
      <c r="D6" s="208">
        <v>1</v>
      </c>
      <c r="E6" s="208">
        <v>2</v>
      </c>
      <c r="F6" s="208">
        <v>9187.9</v>
      </c>
      <c r="G6" s="208">
        <v>0</v>
      </c>
      <c r="H6" s="208">
        <v>0</v>
      </c>
      <c r="I6" s="208">
        <v>1832.7</v>
      </c>
      <c r="J6" s="208">
        <v>0</v>
      </c>
      <c r="K6" s="208">
        <v>4732</v>
      </c>
      <c r="L6" s="208">
        <v>0</v>
      </c>
      <c r="M6" s="208">
        <v>0</v>
      </c>
      <c r="N6" s="208">
        <v>0</v>
      </c>
      <c r="O6" s="208">
        <v>0</v>
      </c>
      <c r="P6" s="208">
        <v>0</v>
      </c>
      <c r="Q6" s="208">
        <v>0</v>
      </c>
      <c r="R6" s="208">
        <v>2290.8000000000002</v>
      </c>
      <c r="S6" s="208">
        <v>0</v>
      </c>
      <c r="T6" s="208">
        <v>0</v>
      </c>
      <c r="U6" s="208">
        <v>0</v>
      </c>
      <c r="V6" s="208">
        <v>0</v>
      </c>
      <c r="W6" s="208">
        <v>0</v>
      </c>
      <c r="X6" s="208">
        <v>0</v>
      </c>
      <c r="Y6" s="208">
        <v>0</v>
      </c>
      <c r="Z6" s="208">
        <v>0</v>
      </c>
      <c r="AA6" s="208">
        <v>0</v>
      </c>
      <c r="AB6" s="208">
        <v>0</v>
      </c>
      <c r="AC6" s="208">
        <v>0</v>
      </c>
      <c r="AD6" s="208">
        <v>0</v>
      </c>
      <c r="AE6" s="208">
        <v>0</v>
      </c>
      <c r="AF6" s="208">
        <v>0</v>
      </c>
      <c r="AG6" s="208">
        <v>0</v>
      </c>
      <c r="AH6" s="208">
        <v>0</v>
      </c>
      <c r="AI6" s="208">
        <v>0</v>
      </c>
      <c r="AJ6" s="208">
        <v>0</v>
      </c>
      <c r="AK6" s="208">
        <v>0</v>
      </c>
      <c r="AL6" s="208">
        <v>0</v>
      </c>
      <c r="AM6" s="208">
        <v>0</v>
      </c>
      <c r="AN6" s="208">
        <v>156.4</v>
      </c>
      <c r="AO6" s="208">
        <v>176</v>
      </c>
    </row>
    <row r="7" spans="1:41" x14ac:dyDescent="0.3">
      <c r="A7" s="208" t="s">
        <v>149</v>
      </c>
      <c r="B7" s="233">
        <v>4</v>
      </c>
      <c r="C7" s="208">
        <v>24</v>
      </c>
      <c r="D7" s="208">
        <v>1</v>
      </c>
      <c r="E7" s="208">
        <v>5</v>
      </c>
      <c r="F7" s="208">
        <v>99.5</v>
      </c>
      <c r="G7" s="208">
        <v>99.5</v>
      </c>
      <c r="H7" s="208">
        <v>0</v>
      </c>
      <c r="I7" s="208">
        <v>0</v>
      </c>
      <c r="J7" s="208">
        <v>0</v>
      </c>
      <c r="K7" s="208">
        <v>0</v>
      </c>
      <c r="L7" s="208">
        <v>0</v>
      </c>
      <c r="M7" s="208">
        <v>0</v>
      </c>
      <c r="N7" s="208">
        <v>0</v>
      </c>
      <c r="O7" s="208">
        <v>0</v>
      </c>
      <c r="P7" s="208">
        <v>0</v>
      </c>
      <c r="Q7" s="208">
        <v>0</v>
      </c>
      <c r="R7" s="208">
        <v>0</v>
      </c>
      <c r="S7" s="208">
        <v>0</v>
      </c>
      <c r="T7" s="208">
        <v>0</v>
      </c>
      <c r="U7" s="208">
        <v>0</v>
      </c>
      <c r="V7" s="208">
        <v>0</v>
      </c>
      <c r="W7" s="208">
        <v>0</v>
      </c>
      <c r="X7" s="208">
        <v>0</v>
      </c>
      <c r="Y7" s="208">
        <v>0</v>
      </c>
      <c r="Z7" s="208">
        <v>0</v>
      </c>
      <c r="AA7" s="208">
        <v>0</v>
      </c>
      <c r="AB7" s="208">
        <v>0</v>
      </c>
      <c r="AC7" s="208">
        <v>0</v>
      </c>
      <c r="AD7" s="208">
        <v>0</v>
      </c>
      <c r="AE7" s="208">
        <v>0</v>
      </c>
      <c r="AF7" s="208">
        <v>0</v>
      </c>
      <c r="AG7" s="208">
        <v>0</v>
      </c>
      <c r="AH7" s="208">
        <v>0</v>
      </c>
      <c r="AI7" s="208">
        <v>0</v>
      </c>
      <c r="AJ7" s="208">
        <v>0</v>
      </c>
      <c r="AK7" s="208">
        <v>0</v>
      </c>
      <c r="AL7" s="208">
        <v>0</v>
      </c>
      <c r="AM7" s="208">
        <v>0</v>
      </c>
      <c r="AN7" s="208">
        <v>0</v>
      </c>
      <c r="AO7" s="208">
        <v>0</v>
      </c>
    </row>
    <row r="8" spans="1:41" x14ac:dyDescent="0.3">
      <c r="A8" s="208" t="s">
        <v>150</v>
      </c>
      <c r="B8" s="233">
        <v>5</v>
      </c>
      <c r="C8" s="208">
        <v>24</v>
      </c>
      <c r="D8" s="208">
        <v>1</v>
      </c>
      <c r="E8" s="208">
        <v>6</v>
      </c>
      <c r="F8" s="208">
        <v>1671074</v>
      </c>
      <c r="G8" s="208">
        <v>15960</v>
      </c>
      <c r="H8" s="208">
        <v>0</v>
      </c>
      <c r="I8" s="208">
        <v>529717</v>
      </c>
      <c r="J8" s="208">
        <v>0</v>
      </c>
      <c r="K8" s="208">
        <v>785876</v>
      </c>
      <c r="L8" s="208">
        <v>0</v>
      </c>
      <c r="M8" s="208">
        <v>0</v>
      </c>
      <c r="N8" s="208">
        <v>0</v>
      </c>
      <c r="O8" s="208">
        <v>0</v>
      </c>
      <c r="P8" s="208">
        <v>0</v>
      </c>
      <c r="Q8" s="208">
        <v>0</v>
      </c>
      <c r="R8" s="208">
        <v>309960</v>
      </c>
      <c r="S8" s="208">
        <v>0</v>
      </c>
      <c r="T8" s="208">
        <v>0</v>
      </c>
      <c r="U8" s="208">
        <v>0</v>
      </c>
      <c r="V8" s="208">
        <v>0</v>
      </c>
      <c r="W8" s="208">
        <v>0</v>
      </c>
      <c r="X8" s="208">
        <v>0</v>
      </c>
      <c r="Y8" s="208">
        <v>0</v>
      </c>
      <c r="Z8" s="208">
        <v>0</v>
      </c>
      <c r="AA8" s="208">
        <v>0</v>
      </c>
      <c r="AB8" s="208">
        <v>0</v>
      </c>
      <c r="AC8" s="208">
        <v>0</v>
      </c>
      <c r="AD8" s="208">
        <v>0</v>
      </c>
      <c r="AE8" s="208">
        <v>0</v>
      </c>
      <c r="AF8" s="208">
        <v>0</v>
      </c>
      <c r="AG8" s="208">
        <v>0</v>
      </c>
      <c r="AH8" s="208">
        <v>0</v>
      </c>
      <c r="AI8" s="208">
        <v>0</v>
      </c>
      <c r="AJ8" s="208">
        <v>0</v>
      </c>
      <c r="AK8" s="208">
        <v>0</v>
      </c>
      <c r="AL8" s="208">
        <v>0</v>
      </c>
      <c r="AM8" s="208">
        <v>0</v>
      </c>
      <c r="AN8" s="208">
        <v>14931</v>
      </c>
      <c r="AO8" s="208">
        <v>14630</v>
      </c>
    </row>
    <row r="9" spans="1:41" x14ac:dyDescent="0.3">
      <c r="A9" s="208" t="s">
        <v>151</v>
      </c>
      <c r="B9" s="233">
        <v>6</v>
      </c>
      <c r="C9" s="208">
        <v>24</v>
      </c>
      <c r="D9" s="208">
        <v>1</v>
      </c>
      <c r="E9" s="208">
        <v>9</v>
      </c>
      <c r="F9" s="208">
        <v>9608</v>
      </c>
      <c r="G9" s="208">
        <v>0</v>
      </c>
      <c r="H9" s="208">
        <v>0</v>
      </c>
      <c r="I9" s="208">
        <v>0</v>
      </c>
      <c r="J9" s="208">
        <v>0</v>
      </c>
      <c r="K9" s="208">
        <v>9608</v>
      </c>
      <c r="L9" s="208">
        <v>0</v>
      </c>
      <c r="M9" s="208">
        <v>0</v>
      </c>
      <c r="N9" s="208">
        <v>0</v>
      </c>
      <c r="O9" s="208">
        <v>0</v>
      </c>
      <c r="P9" s="208">
        <v>0</v>
      </c>
      <c r="Q9" s="208">
        <v>0</v>
      </c>
      <c r="R9" s="208">
        <v>0</v>
      </c>
      <c r="S9" s="208">
        <v>0</v>
      </c>
      <c r="T9" s="208">
        <v>0</v>
      </c>
      <c r="U9" s="208">
        <v>0</v>
      </c>
      <c r="V9" s="208">
        <v>0</v>
      </c>
      <c r="W9" s="208">
        <v>0</v>
      </c>
      <c r="X9" s="208">
        <v>0</v>
      </c>
      <c r="Y9" s="208">
        <v>0</v>
      </c>
      <c r="Z9" s="208">
        <v>0</v>
      </c>
      <c r="AA9" s="208">
        <v>0</v>
      </c>
      <c r="AB9" s="208">
        <v>0</v>
      </c>
      <c r="AC9" s="208">
        <v>0</v>
      </c>
      <c r="AD9" s="208">
        <v>0</v>
      </c>
      <c r="AE9" s="208">
        <v>0</v>
      </c>
      <c r="AF9" s="208">
        <v>0</v>
      </c>
      <c r="AG9" s="208">
        <v>0</v>
      </c>
      <c r="AH9" s="208">
        <v>0</v>
      </c>
      <c r="AI9" s="208">
        <v>0</v>
      </c>
      <c r="AJ9" s="208">
        <v>0</v>
      </c>
      <c r="AK9" s="208">
        <v>0</v>
      </c>
      <c r="AL9" s="208">
        <v>0</v>
      </c>
      <c r="AM9" s="208">
        <v>0</v>
      </c>
      <c r="AN9" s="208">
        <v>0</v>
      </c>
      <c r="AO9" s="208">
        <v>0</v>
      </c>
    </row>
    <row r="10" spans="1:41" x14ac:dyDescent="0.3">
      <c r="A10" s="208" t="s">
        <v>152</v>
      </c>
      <c r="B10" s="233">
        <v>7</v>
      </c>
      <c r="C10" s="208">
        <v>24</v>
      </c>
      <c r="D10" s="208">
        <v>1</v>
      </c>
      <c r="E10" s="208">
        <v>11</v>
      </c>
      <c r="F10" s="208">
        <v>5908.6608667036871</v>
      </c>
      <c r="G10" s="208">
        <v>0</v>
      </c>
      <c r="H10" s="208">
        <v>4241.9942000370202</v>
      </c>
      <c r="I10" s="208">
        <v>0</v>
      </c>
      <c r="J10" s="208">
        <v>0</v>
      </c>
      <c r="K10" s="208">
        <v>1666.6666666666667</v>
      </c>
      <c r="L10" s="208">
        <v>0</v>
      </c>
      <c r="M10" s="208">
        <v>0</v>
      </c>
      <c r="N10" s="208">
        <v>0</v>
      </c>
      <c r="O10" s="208">
        <v>0</v>
      </c>
      <c r="P10" s="208">
        <v>0</v>
      </c>
      <c r="Q10" s="208">
        <v>0</v>
      </c>
      <c r="R10" s="208">
        <v>0</v>
      </c>
      <c r="S10" s="208">
        <v>0</v>
      </c>
      <c r="T10" s="208">
        <v>0</v>
      </c>
      <c r="U10" s="208">
        <v>0</v>
      </c>
      <c r="V10" s="208">
        <v>0</v>
      </c>
      <c r="W10" s="208">
        <v>0</v>
      </c>
      <c r="X10" s="208">
        <v>0</v>
      </c>
      <c r="Y10" s="208">
        <v>0</v>
      </c>
      <c r="Z10" s="208">
        <v>0</v>
      </c>
      <c r="AA10" s="208">
        <v>0</v>
      </c>
      <c r="AB10" s="208">
        <v>0</v>
      </c>
      <c r="AC10" s="208">
        <v>0</v>
      </c>
      <c r="AD10" s="208">
        <v>0</v>
      </c>
      <c r="AE10" s="208">
        <v>0</v>
      </c>
      <c r="AF10" s="208">
        <v>0</v>
      </c>
      <c r="AG10" s="208">
        <v>0</v>
      </c>
      <c r="AH10" s="208">
        <v>0</v>
      </c>
      <c r="AI10" s="208">
        <v>0</v>
      </c>
      <c r="AJ10" s="208">
        <v>0</v>
      </c>
      <c r="AK10" s="208">
        <v>0</v>
      </c>
      <c r="AL10" s="208">
        <v>0</v>
      </c>
      <c r="AM10" s="208">
        <v>0</v>
      </c>
      <c r="AN10" s="208">
        <v>0</v>
      </c>
      <c r="AO10" s="208">
        <v>0</v>
      </c>
    </row>
    <row r="11" spans="1:41" x14ac:dyDescent="0.3">
      <c r="A11" s="208" t="s">
        <v>153</v>
      </c>
      <c r="B11" s="233">
        <v>8</v>
      </c>
      <c r="C11" s="208">
        <v>24</v>
      </c>
      <c r="D11" s="208">
        <v>2</v>
      </c>
      <c r="E11" s="208">
        <v>1</v>
      </c>
      <c r="F11" s="208">
        <v>57.1</v>
      </c>
      <c r="G11" s="208">
        <v>0</v>
      </c>
      <c r="H11" s="208">
        <v>0</v>
      </c>
      <c r="I11" s="208">
        <v>12.15</v>
      </c>
      <c r="J11" s="208">
        <v>0</v>
      </c>
      <c r="K11" s="208">
        <v>29</v>
      </c>
      <c r="L11" s="208">
        <v>0</v>
      </c>
      <c r="M11" s="208">
        <v>0</v>
      </c>
      <c r="N11" s="208">
        <v>0</v>
      </c>
      <c r="O11" s="208">
        <v>0</v>
      </c>
      <c r="P11" s="208">
        <v>0</v>
      </c>
      <c r="Q11" s="208">
        <v>0</v>
      </c>
      <c r="R11" s="208">
        <v>14</v>
      </c>
      <c r="S11" s="208">
        <v>0</v>
      </c>
      <c r="T11" s="208">
        <v>0</v>
      </c>
      <c r="U11" s="208">
        <v>0</v>
      </c>
      <c r="V11" s="208">
        <v>0</v>
      </c>
      <c r="W11" s="208">
        <v>0</v>
      </c>
      <c r="X11" s="208">
        <v>0</v>
      </c>
      <c r="Y11" s="208">
        <v>0</v>
      </c>
      <c r="Z11" s="208">
        <v>0</v>
      </c>
      <c r="AA11" s="208">
        <v>0</v>
      </c>
      <c r="AB11" s="208">
        <v>0</v>
      </c>
      <c r="AC11" s="208">
        <v>0</v>
      </c>
      <c r="AD11" s="208">
        <v>0</v>
      </c>
      <c r="AE11" s="208">
        <v>0</v>
      </c>
      <c r="AF11" s="208">
        <v>0</v>
      </c>
      <c r="AG11" s="208">
        <v>0</v>
      </c>
      <c r="AH11" s="208">
        <v>0</v>
      </c>
      <c r="AI11" s="208">
        <v>0</v>
      </c>
      <c r="AJ11" s="208">
        <v>0</v>
      </c>
      <c r="AK11" s="208">
        <v>0</v>
      </c>
      <c r="AL11" s="208">
        <v>0</v>
      </c>
      <c r="AM11" s="208">
        <v>0</v>
      </c>
      <c r="AN11" s="208">
        <v>0.95</v>
      </c>
      <c r="AO11" s="208">
        <v>1</v>
      </c>
    </row>
    <row r="12" spans="1:41" x14ac:dyDescent="0.3">
      <c r="A12" s="208" t="s">
        <v>154</v>
      </c>
      <c r="B12" s="233">
        <v>9</v>
      </c>
      <c r="C12" s="208">
        <v>24</v>
      </c>
      <c r="D12" s="208">
        <v>2</v>
      </c>
      <c r="E12" s="208">
        <v>2</v>
      </c>
      <c r="F12" s="208">
        <v>8223.1</v>
      </c>
      <c r="G12" s="208">
        <v>0</v>
      </c>
      <c r="H12" s="208">
        <v>0</v>
      </c>
      <c r="I12" s="208">
        <v>1756.3</v>
      </c>
      <c r="J12" s="208">
        <v>0</v>
      </c>
      <c r="K12" s="208">
        <v>4072</v>
      </c>
      <c r="L12" s="208">
        <v>0</v>
      </c>
      <c r="M12" s="208">
        <v>0</v>
      </c>
      <c r="N12" s="208">
        <v>0</v>
      </c>
      <c r="O12" s="208">
        <v>0</v>
      </c>
      <c r="P12" s="208">
        <v>0</v>
      </c>
      <c r="Q12" s="208">
        <v>0</v>
      </c>
      <c r="R12" s="208">
        <v>2096</v>
      </c>
      <c r="S12" s="208">
        <v>0</v>
      </c>
      <c r="T12" s="208">
        <v>0</v>
      </c>
      <c r="U12" s="208">
        <v>0</v>
      </c>
      <c r="V12" s="208">
        <v>0</v>
      </c>
      <c r="W12" s="208">
        <v>0</v>
      </c>
      <c r="X12" s="208">
        <v>0</v>
      </c>
      <c r="Y12" s="208">
        <v>0</v>
      </c>
      <c r="Z12" s="208">
        <v>0</v>
      </c>
      <c r="AA12" s="208">
        <v>0</v>
      </c>
      <c r="AB12" s="208">
        <v>0</v>
      </c>
      <c r="AC12" s="208">
        <v>0</v>
      </c>
      <c r="AD12" s="208">
        <v>0</v>
      </c>
      <c r="AE12" s="208">
        <v>0</v>
      </c>
      <c r="AF12" s="208">
        <v>0</v>
      </c>
      <c r="AG12" s="208">
        <v>0</v>
      </c>
      <c r="AH12" s="208">
        <v>0</v>
      </c>
      <c r="AI12" s="208">
        <v>0</v>
      </c>
      <c r="AJ12" s="208">
        <v>0</v>
      </c>
      <c r="AK12" s="208">
        <v>0</v>
      </c>
      <c r="AL12" s="208">
        <v>0</v>
      </c>
      <c r="AM12" s="208">
        <v>0</v>
      </c>
      <c r="AN12" s="208">
        <v>138.80000000000001</v>
      </c>
      <c r="AO12" s="208">
        <v>160</v>
      </c>
    </row>
    <row r="13" spans="1:41" x14ac:dyDescent="0.3">
      <c r="A13" s="208" t="s">
        <v>155</v>
      </c>
      <c r="B13" s="233">
        <v>10</v>
      </c>
      <c r="C13" s="208">
        <v>24</v>
      </c>
      <c r="D13" s="208">
        <v>2</v>
      </c>
      <c r="E13" s="208">
        <v>5</v>
      </c>
      <c r="F13" s="208">
        <v>106.5</v>
      </c>
      <c r="G13" s="208">
        <v>106.5</v>
      </c>
      <c r="H13" s="208">
        <v>0</v>
      </c>
      <c r="I13" s="208">
        <v>0</v>
      </c>
      <c r="J13" s="208">
        <v>0</v>
      </c>
      <c r="K13" s="208">
        <v>0</v>
      </c>
      <c r="L13" s="208">
        <v>0</v>
      </c>
      <c r="M13" s="208">
        <v>0</v>
      </c>
      <c r="N13" s="208">
        <v>0</v>
      </c>
      <c r="O13" s="208">
        <v>0</v>
      </c>
      <c r="P13" s="208">
        <v>0</v>
      </c>
      <c r="Q13" s="208">
        <v>0</v>
      </c>
      <c r="R13" s="208">
        <v>0</v>
      </c>
      <c r="S13" s="208">
        <v>0</v>
      </c>
      <c r="T13" s="208">
        <v>0</v>
      </c>
      <c r="U13" s="208">
        <v>0</v>
      </c>
      <c r="V13" s="208">
        <v>0</v>
      </c>
      <c r="W13" s="208">
        <v>0</v>
      </c>
      <c r="X13" s="208">
        <v>0</v>
      </c>
      <c r="Y13" s="208">
        <v>0</v>
      </c>
      <c r="Z13" s="208">
        <v>0</v>
      </c>
      <c r="AA13" s="208">
        <v>0</v>
      </c>
      <c r="AB13" s="208">
        <v>0</v>
      </c>
      <c r="AC13" s="208">
        <v>0</v>
      </c>
      <c r="AD13" s="208">
        <v>0</v>
      </c>
      <c r="AE13" s="208">
        <v>0</v>
      </c>
      <c r="AF13" s="208">
        <v>0</v>
      </c>
      <c r="AG13" s="208">
        <v>0</v>
      </c>
      <c r="AH13" s="208">
        <v>0</v>
      </c>
      <c r="AI13" s="208">
        <v>0</v>
      </c>
      <c r="AJ13" s="208">
        <v>0</v>
      </c>
      <c r="AK13" s="208">
        <v>0</v>
      </c>
      <c r="AL13" s="208">
        <v>0</v>
      </c>
      <c r="AM13" s="208">
        <v>0</v>
      </c>
      <c r="AN13" s="208">
        <v>0</v>
      </c>
      <c r="AO13" s="208">
        <v>0</v>
      </c>
    </row>
    <row r="14" spans="1:41" x14ac:dyDescent="0.3">
      <c r="A14" s="208" t="s">
        <v>156</v>
      </c>
      <c r="B14" s="233">
        <v>11</v>
      </c>
      <c r="C14" s="208">
        <v>24</v>
      </c>
      <c r="D14" s="208">
        <v>2</v>
      </c>
      <c r="E14" s="208">
        <v>6</v>
      </c>
      <c r="F14" s="208">
        <v>1645034</v>
      </c>
      <c r="G14" s="208">
        <v>17220</v>
      </c>
      <c r="H14" s="208">
        <v>0</v>
      </c>
      <c r="I14" s="208">
        <v>526289</v>
      </c>
      <c r="J14" s="208">
        <v>0</v>
      </c>
      <c r="K14" s="208">
        <v>754333</v>
      </c>
      <c r="L14" s="208">
        <v>0</v>
      </c>
      <c r="M14" s="208">
        <v>0</v>
      </c>
      <c r="N14" s="208">
        <v>0</v>
      </c>
      <c r="O14" s="208">
        <v>0</v>
      </c>
      <c r="P14" s="208">
        <v>0</v>
      </c>
      <c r="Q14" s="208">
        <v>0</v>
      </c>
      <c r="R14" s="208">
        <v>317727</v>
      </c>
      <c r="S14" s="208">
        <v>0</v>
      </c>
      <c r="T14" s="208">
        <v>0</v>
      </c>
      <c r="U14" s="208">
        <v>0</v>
      </c>
      <c r="V14" s="208">
        <v>0</v>
      </c>
      <c r="W14" s="208">
        <v>0</v>
      </c>
      <c r="X14" s="208">
        <v>0</v>
      </c>
      <c r="Y14" s="208">
        <v>0</v>
      </c>
      <c r="Z14" s="208">
        <v>0</v>
      </c>
      <c r="AA14" s="208">
        <v>0</v>
      </c>
      <c r="AB14" s="208">
        <v>0</v>
      </c>
      <c r="AC14" s="208">
        <v>0</v>
      </c>
      <c r="AD14" s="208">
        <v>0</v>
      </c>
      <c r="AE14" s="208">
        <v>0</v>
      </c>
      <c r="AF14" s="208">
        <v>0</v>
      </c>
      <c r="AG14" s="208">
        <v>0</v>
      </c>
      <c r="AH14" s="208">
        <v>0</v>
      </c>
      <c r="AI14" s="208">
        <v>0</v>
      </c>
      <c r="AJ14" s="208">
        <v>0</v>
      </c>
      <c r="AK14" s="208">
        <v>0</v>
      </c>
      <c r="AL14" s="208">
        <v>0</v>
      </c>
      <c r="AM14" s="208">
        <v>0</v>
      </c>
      <c r="AN14" s="208">
        <v>14835</v>
      </c>
      <c r="AO14" s="208">
        <v>14630</v>
      </c>
    </row>
    <row r="15" spans="1:41" x14ac:dyDescent="0.3">
      <c r="A15" s="208" t="s">
        <v>157</v>
      </c>
      <c r="B15" s="233">
        <v>12</v>
      </c>
      <c r="C15" s="208">
        <v>24</v>
      </c>
      <c r="D15" s="208">
        <v>2</v>
      </c>
      <c r="E15" s="208">
        <v>9</v>
      </c>
      <c r="F15" s="208">
        <v>5142</v>
      </c>
      <c r="G15" s="208">
        <v>0</v>
      </c>
      <c r="H15" s="208">
        <v>0</v>
      </c>
      <c r="I15" s="208">
        <v>5142</v>
      </c>
      <c r="J15" s="208">
        <v>0</v>
      </c>
      <c r="K15" s="208">
        <v>0</v>
      </c>
      <c r="L15" s="208">
        <v>0</v>
      </c>
      <c r="M15" s="208">
        <v>0</v>
      </c>
      <c r="N15" s="208">
        <v>0</v>
      </c>
      <c r="O15" s="208">
        <v>0</v>
      </c>
      <c r="P15" s="208">
        <v>0</v>
      </c>
      <c r="Q15" s="208">
        <v>0</v>
      </c>
      <c r="R15" s="208">
        <v>0</v>
      </c>
      <c r="S15" s="208">
        <v>0</v>
      </c>
      <c r="T15" s="208">
        <v>0</v>
      </c>
      <c r="U15" s="208">
        <v>0</v>
      </c>
      <c r="V15" s="208">
        <v>0</v>
      </c>
      <c r="W15" s="208">
        <v>0</v>
      </c>
      <c r="X15" s="208">
        <v>0</v>
      </c>
      <c r="Y15" s="208">
        <v>0</v>
      </c>
      <c r="Z15" s="208">
        <v>0</v>
      </c>
      <c r="AA15" s="208">
        <v>0</v>
      </c>
      <c r="AB15" s="208">
        <v>0</v>
      </c>
      <c r="AC15" s="208">
        <v>0</v>
      </c>
      <c r="AD15" s="208">
        <v>0</v>
      </c>
      <c r="AE15" s="208">
        <v>0</v>
      </c>
      <c r="AF15" s="208">
        <v>0</v>
      </c>
      <c r="AG15" s="208">
        <v>0</v>
      </c>
      <c r="AH15" s="208">
        <v>0</v>
      </c>
      <c r="AI15" s="208">
        <v>0</v>
      </c>
      <c r="AJ15" s="208">
        <v>0</v>
      </c>
      <c r="AK15" s="208">
        <v>0</v>
      </c>
      <c r="AL15" s="208">
        <v>0</v>
      </c>
      <c r="AM15" s="208">
        <v>0</v>
      </c>
      <c r="AN15" s="208">
        <v>0</v>
      </c>
      <c r="AO15" s="208">
        <v>0</v>
      </c>
    </row>
    <row r="16" spans="1:41" x14ac:dyDescent="0.3">
      <c r="A16" s="208" t="s">
        <v>145</v>
      </c>
      <c r="B16" s="233">
        <v>2015</v>
      </c>
      <c r="C16" s="208">
        <v>24</v>
      </c>
      <c r="D16" s="208">
        <v>2</v>
      </c>
      <c r="E16" s="208">
        <v>11</v>
      </c>
      <c r="F16" s="208">
        <v>5908.6608667036871</v>
      </c>
      <c r="G16" s="208">
        <v>0</v>
      </c>
      <c r="H16" s="208">
        <v>4241.9942000370202</v>
      </c>
      <c r="I16" s="208">
        <v>0</v>
      </c>
      <c r="J16" s="208">
        <v>0</v>
      </c>
      <c r="K16" s="208">
        <v>1666.6666666666667</v>
      </c>
      <c r="L16" s="208">
        <v>0</v>
      </c>
      <c r="M16" s="208">
        <v>0</v>
      </c>
      <c r="N16" s="208">
        <v>0</v>
      </c>
      <c r="O16" s="208">
        <v>0</v>
      </c>
      <c r="P16" s="208">
        <v>0</v>
      </c>
      <c r="Q16" s="208">
        <v>0</v>
      </c>
      <c r="R16" s="208">
        <v>0</v>
      </c>
      <c r="S16" s="208">
        <v>0</v>
      </c>
      <c r="T16" s="208">
        <v>0</v>
      </c>
      <c r="U16" s="208">
        <v>0</v>
      </c>
      <c r="V16" s="208">
        <v>0</v>
      </c>
      <c r="W16" s="208">
        <v>0</v>
      </c>
      <c r="X16" s="208">
        <v>0</v>
      </c>
      <c r="Y16" s="208">
        <v>0</v>
      </c>
      <c r="Z16" s="208">
        <v>0</v>
      </c>
      <c r="AA16" s="208">
        <v>0</v>
      </c>
      <c r="AB16" s="208">
        <v>0</v>
      </c>
      <c r="AC16" s="208">
        <v>0</v>
      </c>
      <c r="AD16" s="208">
        <v>0</v>
      </c>
      <c r="AE16" s="208">
        <v>0</v>
      </c>
      <c r="AF16" s="208">
        <v>0</v>
      </c>
      <c r="AG16" s="208">
        <v>0</v>
      </c>
      <c r="AH16" s="208">
        <v>0</v>
      </c>
      <c r="AI16" s="208">
        <v>0</v>
      </c>
      <c r="AJ16" s="208">
        <v>0</v>
      </c>
      <c r="AK16" s="208">
        <v>0</v>
      </c>
      <c r="AL16" s="208">
        <v>0</v>
      </c>
      <c r="AM16" s="208">
        <v>0</v>
      </c>
      <c r="AN16" s="208">
        <v>0</v>
      </c>
      <c r="AO16" s="208">
        <v>0</v>
      </c>
    </row>
    <row r="17" spans="3:41" x14ac:dyDescent="0.3">
      <c r="C17" s="208">
        <v>24</v>
      </c>
      <c r="D17" s="208">
        <v>3</v>
      </c>
      <c r="E17" s="208">
        <v>1</v>
      </c>
      <c r="F17" s="208">
        <v>55.65</v>
      </c>
      <c r="G17" s="208">
        <v>0</v>
      </c>
      <c r="H17" s="208">
        <v>0</v>
      </c>
      <c r="I17" s="208">
        <v>11.7</v>
      </c>
      <c r="J17" s="208">
        <v>0</v>
      </c>
      <c r="K17" s="208">
        <v>29</v>
      </c>
      <c r="L17" s="208">
        <v>0</v>
      </c>
      <c r="M17" s="208">
        <v>0</v>
      </c>
      <c r="N17" s="208">
        <v>0</v>
      </c>
      <c r="O17" s="208">
        <v>0</v>
      </c>
      <c r="P17" s="208">
        <v>0</v>
      </c>
      <c r="Q17" s="208">
        <v>0</v>
      </c>
      <c r="R17" s="208">
        <v>13</v>
      </c>
      <c r="S17" s="208">
        <v>0</v>
      </c>
      <c r="T17" s="208">
        <v>0</v>
      </c>
      <c r="U17" s="208">
        <v>0</v>
      </c>
      <c r="V17" s="208">
        <v>0</v>
      </c>
      <c r="W17" s="208">
        <v>0</v>
      </c>
      <c r="X17" s="208">
        <v>0</v>
      </c>
      <c r="Y17" s="208">
        <v>0</v>
      </c>
      <c r="Z17" s="208">
        <v>0</v>
      </c>
      <c r="AA17" s="208">
        <v>0</v>
      </c>
      <c r="AB17" s="208">
        <v>0</v>
      </c>
      <c r="AC17" s="208">
        <v>0</v>
      </c>
      <c r="AD17" s="208">
        <v>0</v>
      </c>
      <c r="AE17" s="208">
        <v>0</v>
      </c>
      <c r="AF17" s="208">
        <v>0</v>
      </c>
      <c r="AG17" s="208">
        <v>0</v>
      </c>
      <c r="AH17" s="208">
        <v>0</v>
      </c>
      <c r="AI17" s="208">
        <v>0</v>
      </c>
      <c r="AJ17" s="208">
        <v>0</v>
      </c>
      <c r="AK17" s="208">
        <v>0</v>
      </c>
      <c r="AL17" s="208">
        <v>0</v>
      </c>
      <c r="AM17" s="208">
        <v>0</v>
      </c>
      <c r="AN17" s="208">
        <v>0.95</v>
      </c>
      <c r="AO17" s="208">
        <v>1</v>
      </c>
    </row>
    <row r="18" spans="3:41" x14ac:dyDescent="0.3">
      <c r="C18" s="208">
        <v>24</v>
      </c>
      <c r="D18" s="208">
        <v>3</v>
      </c>
      <c r="E18" s="208">
        <v>2</v>
      </c>
      <c r="F18" s="208">
        <v>9229.9</v>
      </c>
      <c r="G18" s="208">
        <v>0</v>
      </c>
      <c r="H18" s="208">
        <v>0</v>
      </c>
      <c r="I18" s="208">
        <v>1884.9</v>
      </c>
      <c r="J18" s="208">
        <v>0</v>
      </c>
      <c r="K18" s="208">
        <v>4728</v>
      </c>
      <c r="L18" s="208">
        <v>0</v>
      </c>
      <c r="M18" s="208">
        <v>0</v>
      </c>
      <c r="N18" s="208">
        <v>0</v>
      </c>
      <c r="O18" s="208">
        <v>0</v>
      </c>
      <c r="P18" s="208">
        <v>0</v>
      </c>
      <c r="Q18" s="208">
        <v>0</v>
      </c>
      <c r="R18" s="208">
        <v>2280</v>
      </c>
      <c r="S18" s="208">
        <v>0</v>
      </c>
      <c r="T18" s="208">
        <v>0</v>
      </c>
      <c r="U18" s="208">
        <v>0</v>
      </c>
      <c r="V18" s="208">
        <v>0</v>
      </c>
      <c r="W18" s="208">
        <v>0</v>
      </c>
      <c r="X18" s="208">
        <v>0</v>
      </c>
      <c r="Y18" s="208">
        <v>0</v>
      </c>
      <c r="Z18" s="208">
        <v>0</v>
      </c>
      <c r="AA18" s="208">
        <v>0</v>
      </c>
      <c r="AB18" s="208">
        <v>0</v>
      </c>
      <c r="AC18" s="208">
        <v>0</v>
      </c>
      <c r="AD18" s="208">
        <v>0</v>
      </c>
      <c r="AE18" s="208">
        <v>0</v>
      </c>
      <c r="AF18" s="208">
        <v>0</v>
      </c>
      <c r="AG18" s="208">
        <v>0</v>
      </c>
      <c r="AH18" s="208">
        <v>0</v>
      </c>
      <c r="AI18" s="208">
        <v>0</v>
      </c>
      <c r="AJ18" s="208">
        <v>0</v>
      </c>
      <c r="AK18" s="208">
        <v>0</v>
      </c>
      <c r="AL18" s="208">
        <v>0</v>
      </c>
      <c r="AM18" s="208">
        <v>0</v>
      </c>
      <c r="AN18" s="208">
        <v>161</v>
      </c>
      <c r="AO18" s="208">
        <v>176</v>
      </c>
    </row>
    <row r="19" spans="3:41" x14ac:dyDescent="0.3">
      <c r="C19" s="208">
        <v>24</v>
      </c>
      <c r="D19" s="208">
        <v>3</v>
      </c>
      <c r="E19" s="208">
        <v>5</v>
      </c>
      <c r="F19" s="208">
        <v>124.5</v>
      </c>
      <c r="G19" s="208">
        <v>124.5</v>
      </c>
      <c r="H19" s="208">
        <v>0</v>
      </c>
      <c r="I19" s="208">
        <v>0</v>
      </c>
      <c r="J19" s="208">
        <v>0</v>
      </c>
      <c r="K19" s="208">
        <v>0</v>
      </c>
      <c r="L19" s="208">
        <v>0</v>
      </c>
      <c r="M19" s="208">
        <v>0</v>
      </c>
      <c r="N19" s="208">
        <v>0</v>
      </c>
      <c r="O19" s="208">
        <v>0</v>
      </c>
      <c r="P19" s="208">
        <v>0</v>
      </c>
      <c r="Q19" s="208">
        <v>0</v>
      </c>
      <c r="R19" s="208">
        <v>0</v>
      </c>
      <c r="S19" s="208">
        <v>0</v>
      </c>
      <c r="T19" s="208">
        <v>0</v>
      </c>
      <c r="U19" s="208">
        <v>0</v>
      </c>
      <c r="V19" s="208">
        <v>0</v>
      </c>
      <c r="W19" s="208">
        <v>0</v>
      </c>
      <c r="X19" s="208">
        <v>0</v>
      </c>
      <c r="Y19" s="208">
        <v>0</v>
      </c>
      <c r="Z19" s="208">
        <v>0</v>
      </c>
      <c r="AA19" s="208">
        <v>0</v>
      </c>
      <c r="AB19" s="208">
        <v>0</v>
      </c>
      <c r="AC19" s="208">
        <v>0</v>
      </c>
      <c r="AD19" s="208">
        <v>0</v>
      </c>
      <c r="AE19" s="208">
        <v>0</v>
      </c>
      <c r="AF19" s="208">
        <v>0</v>
      </c>
      <c r="AG19" s="208">
        <v>0</v>
      </c>
      <c r="AH19" s="208">
        <v>0</v>
      </c>
      <c r="AI19" s="208">
        <v>0</v>
      </c>
      <c r="AJ19" s="208">
        <v>0</v>
      </c>
      <c r="AK19" s="208">
        <v>0</v>
      </c>
      <c r="AL19" s="208">
        <v>0</v>
      </c>
      <c r="AM19" s="208">
        <v>0</v>
      </c>
      <c r="AN19" s="208">
        <v>0</v>
      </c>
      <c r="AO19" s="208">
        <v>0</v>
      </c>
    </row>
    <row r="20" spans="3:41" x14ac:dyDescent="0.3">
      <c r="C20" s="208">
        <v>24</v>
      </c>
      <c r="D20" s="208">
        <v>3</v>
      </c>
      <c r="E20" s="208">
        <v>6</v>
      </c>
      <c r="F20" s="208">
        <v>1608630</v>
      </c>
      <c r="G20" s="208">
        <v>20460</v>
      </c>
      <c r="H20" s="208">
        <v>0</v>
      </c>
      <c r="I20" s="208">
        <v>502482</v>
      </c>
      <c r="J20" s="208">
        <v>0</v>
      </c>
      <c r="K20" s="208">
        <v>746347</v>
      </c>
      <c r="L20" s="208">
        <v>0</v>
      </c>
      <c r="M20" s="208">
        <v>0</v>
      </c>
      <c r="N20" s="208">
        <v>0</v>
      </c>
      <c r="O20" s="208">
        <v>0</v>
      </c>
      <c r="P20" s="208">
        <v>0</v>
      </c>
      <c r="Q20" s="208">
        <v>0</v>
      </c>
      <c r="R20" s="208">
        <v>308866</v>
      </c>
      <c r="S20" s="208">
        <v>0</v>
      </c>
      <c r="T20" s="208">
        <v>0</v>
      </c>
      <c r="U20" s="208">
        <v>0</v>
      </c>
      <c r="V20" s="208">
        <v>0</v>
      </c>
      <c r="W20" s="208">
        <v>0</v>
      </c>
      <c r="X20" s="208">
        <v>0</v>
      </c>
      <c r="Y20" s="208">
        <v>0</v>
      </c>
      <c r="Z20" s="208">
        <v>0</v>
      </c>
      <c r="AA20" s="208">
        <v>0</v>
      </c>
      <c r="AB20" s="208">
        <v>0</v>
      </c>
      <c r="AC20" s="208">
        <v>0</v>
      </c>
      <c r="AD20" s="208">
        <v>0</v>
      </c>
      <c r="AE20" s="208">
        <v>0</v>
      </c>
      <c r="AF20" s="208">
        <v>0</v>
      </c>
      <c r="AG20" s="208">
        <v>0</v>
      </c>
      <c r="AH20" s="208">
        <v>0</v>
      </c>
      <c r="AI20" s="208">
        <v>0</v>
      </c>
      <c r="AJ20" s="208">
        <v>0</v>
      </c>
      <c r="AK20" s="208">
        <v>0</v>
      </c>
      <c r="AL20" s="208">
        <v>0</v>
      </c>
      <c r="AM20" s="208">
        <v>0</v>
      </c>
      <c r="AN20" s="208">
        <v>15845</v>
      </c>
      <c r="AO20" s="208">
        <v>14630</v>
      </c>
    </row>
    <row r="21" spans="3:41" x14ac:dyDescent="0.3">
      <c r="C21" s="208">
        <v>24</v>
      </c>
      <c r="D21" s="208">
        <v>3</v>
      </c>
      <c r="E21" s="208">
        <v>9</v>
      </c>
      <c r="F21" s="208">
        <v>9024</v>
      </c>
      <c r="G21" s="208">
        <v>0</v>
      </c>
      <c r="H21" s="208">
        <v>0</v>
      </c>
      <c r="I21" s="208">
        <v>0</v>
      </c>
      <c r="J21" s="208">
        <v>0</v>
      </c>
      <c r="K21" s="208">
        <v>9024</v>
      </c>
      <c r="L21" s="208">
        <v>0</v>
      </c>
      <c r="M21" s="208">
        <v>0</v>
      </c>
      <c r="N21" s="208">
        <v>0</v>
      </c>
      <c r="O21" s="208">
        <v>0</v>
      </c>
      <c r="P21" s="208">
        <v>0</v>
      </c>
      <c r="Q21" s="208">
        <v>0</v>
      </c>
      <c r="R21" s="208">
        <v>0</v>
      </c>
      <c r="S21" s="208">
        <v>0</v>
      </c>
      <c r="T21" s="208">
        <v>0</v>
      </c>
      <c r="U21" s="208">
        <v>0</v>
      </c>
      <c r="V21" s="208">
        <v>0</v>
      </c>
      <c r="W21" s="208">
        <v>0</v>
      </c>
      <c r="X21" s="208">
        <v>0</v>
      </c>
      <c r="Y21" s="208">
        <v>0</v>
      </c>
      <c r="Z21" s="208">
        <v>0</v>
      </c>
      <c r="AA21" s="208">
        <v>0</v>
      </c>
      <c r="AB21" s="208">
        <v>0</v>
      </c>
      <c r="AC21" s="208">
        <v>0</v>
      </c>
      <c r="AD21" s="208">
        <v>0</v>
      </c>
      <c r="AE21" s="208">
        <v>0</v>
      </c>
      <c r="AF21" s="208">
        <v>0</v>
      </c>
      <c r="AG21" s="208">
        <v>0</v>
      </c>
      <c r="AH21" s="208">
        <v>0</v>
      </c>
      <c r="AI21" s="208">
        <v>0</v>
      </c>
      <c r="AJ21" s="208">
        <v>0</v>
      </c>
      <c r="AK21" s="208">
        <v>0</v>
      </c>
      <c r="AL21" s="208">
        <v>0</v>
      </c>
      <c r="AM21" s="208">
        <v>0</v>
      </c>
      <c r="AN21" s="208">
        <v>0</v>
      </c>
      <c r="AO21" s="208">
        <v>0</v>
      </c>
    </row>
    <row r="22" spans="3:41" x14ac:dyDescent="0.3">
      <c r="C22" s="208">
        <v>24</v>
      </c>
      <c r="D22" s="208">
        <v>3</v>
      </c>
      <c r="E22" s="208">
        <v>11</v>
      </c>
      <c r="F22" s="208">
        <v>5908.6608667036871</v>
      </c>
      <c r="G22" s="208">
        <v>0</v>
      </c>
      <c r="H22" s="208">
        <v>4241.9942000370202</v>
      </c>
      <c r="I22" s="208">
        <v>0</v>
      </c>
      <c r="J22" s="208">
        <v>0</v>
      </c>
      <c r="K22" s="208">
        <v>1666.6666666666667</v>
      </c>
      <c r="L22" s="208">
        <v>0</v>
      </c>
      <c r="M22" s="208">
        <v>0</v>
      </c>
      <c r="N22" s="208">
        <v>0</v>
      </c>
      <c r="O22" s="208">
        <v>0</v>
      </c>
      <c r="P22" s="208">
        <v>0</v>
      </c>
      <c r="Q22" s="208">
        <v>0</v>
      </c>
      <c r="R22" s="208">
        <v>0</v>
      </c>
      <c r="S22" s="208">
        <v>0</v>
      </c>
      <c r="T22" s="208">
        <v>0</v>
      </c>
      <c r="U22" s="208">
        <v>0</v>
      </c>
      <c r="V22" s="208">
        <v>0</v>
      </c>
      <c r="W22" s="208">
        <v>0</v>
      </c>
      <c r="X22" s="208">
        <v>0</v>
      </c>
      <c r="Y22" s="208">
        <v>0</v>
      </c>
      <c r="Z22" s="208">
        <v>0</v>
      </c>
      <c r="AA22" s="208">
        <v>0</v>
      </c>
      <c r="AB22" s="208">
        <v>0</v>
      </c>
      <c r="AC22" s="208">
        <v>0</v>
      </c>
      <c r="AD22" s="208">
        <v>0</v>
      </c>
      <c r="AE22" s="208">
        <v>0</v>
      </c>
      <c r="AF22" s="208">
        <v>0</v>
      </c>
      <c r="AG22" s="208">
        <v>0</v>
      </c>
      <c r="AH22" s="208">
        <v>0</v>
      </c>
      <c r="AI22" s="208">
        <v>0</v>
      </c>
      <c r="AJ22" s="208">
        <v>0</v>
      </c>
      <c r="AK22" s="208">
        <v>0</v>
      </c>
      <c r="AL22" s="208">
        <v>0</v>
      </c>
      <c r="AM22" s="208">
        <v>0</v>
      </c>
      <c r="AN22" s="208">
        <v>0</v>
      </c>
      <c r="AO22" s="208">
        <v>0</v>
      </c>
    </row>
    <row r="23" spans="3:41" x14ac:dyDescent="0.3">
      <c r="C23" s="208">
        <v>24</v>
      </c>
      <c r="D23" s="208">
        <v>4</v>
      </c>
      <c r="E23" s="208">
        <v>1</v>
      </c>
      <c r="F23" s="208">
        <v>55.15</v>
      </c>
      <c r="G23" s="208">
        <v>0</v>
      </c>
      <c r="H23" s="208">
        <v>0</v>
      </c>
      <c r="I23" s="208">
        <v>11.2</v>
      </c>
      <c r="J23" s="208">
        <v>0</v>
      </c>
      <c r="K23" s="208">
        <v>29</v>
      </c>
      <c r="L23" s="208">
        <v>0</v>
      </c>
      <c r="M23" s="208">
        <v>0</v>
      </c>
      <c r="N23" s="208">
        <v>0</v>
      </c>
      <c r="O23" s="208">
        <v>0</v>
      </c>
      <c r="P23" s="208">
        <v>0</v>
      </c>
      <c r="Q23" s="208">
        <v>0</v>
      </c>
      <c r="R23" s="208">
        <v>13</v>
      </c>
      <c r="S23" s="208">
        <v>0</v>
      </c>
      <c r="T23" s="208">
        <v>0</v>
      </c>
      <c r="U23" s="208">
        <v>0</v>
      </c>
      <c r="V23" s="208">
        <v>0</v>
      </c>
      <c r="W23" s="208">
        <v>0</v>
      </c>
      <c r="X23" s="208">
        <v>0</v>
      </c>
      <c r="Y23" s="208">
        <v>0</v>
      </c>
      <c r="Z23" s="208">
        <v>0</v>
      </c>
      <c r="AA23" s="208">
        <v>0</v>
      </c>
      <c r="AB23" s="208">
        <v>0</v>
      </c>
      <c r="AC23" s="208">
        <v>0</v>
      </c>
      <c r="AD23" s="208">
        <v>0</v>
      </c>
      <c r="AE23" s="208">
        <v>0</v>
      </c>
      <c r="AF23" s="208">
        <v>0</v>
      </c>
      <c r="AG23" s="208">
        <v>0</v>
      </c>
      <c r="AH23" s="208">
        <v>0</v>
      </c>
      <c r="AI23" s="208">
        <v>0</v>
      </c>
      <c r="AJ23" s="208">
        <v>0</v>
      </c>
      <c r="AK23" s="208">
        <v>0</v>
      </c>
      <c r="AL23" s="208">
        <v>0</v>
      </c>
      <c r="AM23" s="208">
        <v>0</v>
      </c>
      <c r="AN23" s="208">
        <v>0.95</v>
      </c>
      <c r="AO23" s="208">
        <v>1</v>
      </c>
    </row>
    <row r="24" spans="3:41" x14ac:dyDescent="0.3">
      <c r="C24" s="208">
        <v>24</v>
      </c>
      <c r="D24" s="208">
        <v>4</v>
      </c>
      <c r="E24" s="208">
        <v>2</v>
      </c>
      <c r="F24" s="208">
        <v>9184.1</v>
      </c>
      <c r="G24" s="208">
        <v>0</v>
      </c>
      <c r="H24" s="208">
        <v>0</v>
      </c>
      <c r="I24" s="208">
        <v>1900</v>
      </c>
      <c r="J24" s="208">
        <v>0</v>
      </c>
      <c r="K24" s="208">
        <v>4720</v>
      </c>
      <c r="L24" s="208">
        <v>0</v>
      </c>
      <c r="M24" s="208">
        <v>0</v>
      </c>
      <c r="N24" s="208">
        <v>0</v>
      </c>
      <c r="O24" s="208">
        <v>0</v>
      </c>
      <c r="P24" s="208">
        <v>0</v>
      </c>
      <c r="Q24" s="208">
        <v>0</v>
      </c>
      <c r="R24" s="208">
        <v>2248</v>
      </c>
      <c r="S24" s="208">
        <v>0</v>
      </c>
      <c r="T24" s="208">
        <v>0</v>
      </c>
      <c r="U24" s="208">
        <v>0</v>
      </c>
      <c r="V24" s="208">
        <v>0</v>
      </c>
      <c r="W24" s="208">
        <v>0</v>
      </c>
      <c r="X24" s="208">
        <v>0</v>
      </c>
      <c r="Y24" s="208">
        <v>0</v>
      </c>
      <c r="Z24" s="208">
        <v>0</v>
      </c>
      <c r="AA24" s="208">
        <v>0</v>
      </c>
      <c r="AB24" s="208">
        <v>0</v>
      </c>
      <c r="AC24" s="208">
        <v>0</v>
      </c>
      <c r="AD24" s="208">
        <v>0</v>
      </c>
      <c r="AE24" s="208">
        <v>0</v>
      </c>
      <c r="AF24" s="208">
        <v>0</v>
      </c>
      <c r="AG24" s="208">
        <v>0</v>
      </c>
      <c r="AH24" s="208">
        <v>0</v>
      </c>
      <c r="AI24" s="208">
        <v>0</v>
      </c>
      <c r="AJ24" s="208">
        <v>0</v>
      </c>
      <c r="AK24" s="208">
        <v>0</v>
      </c>
      <c r="AL24" s="208">
        <v>0</v>
      </c>
      <c r="AM24" s="208">
        <v>0</v>
      </c>
      <c r="AN24" s="208">
        <v>148.1</v>
      </c>
      <c r="AO24" s="208">
        <v>168</v>
      </c>
    </row>
    <row r="25" spans="3:41" x14ac:dyDescent="0.3">
      <c r="C25" s="208">
        <v>24</v>
      </c>
      <c r="D25" s="208">
        <v>4</v>
      </c>
      <c r="E25" s="208">
        <v>5</v>
      </c>
      <c r="F25" s="208">
        <v>154</v>
      </c>
      <c r="G25" s="208">
        <v>154</v>
      </c>
      <c r="H25" s="208">
        <v>0</v>
      </c>
      <c r="I25" s="208">
        <v>0</v>
      </c>
      <c r="J25" s="208">
        <v>0</v>
      </c>
      <c r="K25" s="208">
        <v>0</v>
      </c>
      <c r="L25" s="208">
        <v>0</v>
      </c>
      <c r="M25" s="208">
        <v>0</v>
      </c>
      <c r="N25" s="208">
        <v>0</v>
      </c>
      <c r="O25" s="208">
        <v>0</v>
      </c>
      <c r="P25" s="208">
        <v>0</v>
      </c>
      <c r="Q25" s="208">
        <v>0</v>
      </c>
      <c r="R25" s="208">
        <v>0</v>
      </c>
      <c r="S25" s="208">
        <v>0</v>
      </c>
      <c r="T25" s="208">
        <v>0</v>
      </c>
      <c r="U25" s="208">
        <v>0</v>
      </c>
      <c r="V25" s="208">
        <v>0</v>
      </c>
      <c r="W25" s="208">
        <v>0</v>
      </c>
      <c r="X25" s="208">
        <v>0</v>
      </c>
      <c r="Y25" s="208">
        <v>0</v>
      </c>
      <c r="Z25" s="208">
        <v>0</v>
      </c>
      <c r="AA25" s="208">
        <v>0</v>
      </c>
      <c r="AB25" s="208">
        <v>0</v>
      </c>
      <c r="AC25" s="208">
        <v>0</v>
      </c>
      <c r="AD25" s="208">
        <v>0</v>
      </c>
      <c r="AE25" s="208">
        <v>0</v>
      </c>
      <c r="AF25" s="208">
        <v>0</v>
      </c>
      <c r="AG25" s="208">
        <v>0</v>
      </c>
      <c r="AH25" s="208">
        <v>0</v>
      </c>
      <c r="AI25" s="208">
        <v>0</v>
      </c>
      <c r="AJ25" s="208">
        <v>0</v>
      </c>
      <c r="AK25" s="208">
        <v>0</v>
      </c>
      <c r="AL25" s="208">
        <v>0</v>
      </c>
      <c r="AM25" s="208">
        <v>0</v>
      </c>
      <c r="AN25" s="208">
        <v>0</v>
      </c>
      <c r="AO25" s="208">
        <v>0</v>
      </c>
    </row>
    <row r="26" spans="3:41" x14ac:dyDescent="0.3">
      <c r="C26" s="208">
        <v>24</v>
      </c>
      <c r="D26" s="208">
        <v>4</v>
      </c>
      <c r="E26" s="208">
        <v>6</v>
      </c>
      <c r="F26" s="208">
        <v>1591112</v>
      </c>
      <c r="G26" s="208">
        <v>26820</v>
      </c>
      <c r="H26" s="208">
        <v>0</v>
      </c>
      <c r="I26" s="208">
        <v>489396</v>
      </c>
      <c r="J26" s="208">
        <v>0</v>
      </c>
      <c r="K26" s="208">
        <v>753241</v>
      </c>
      <c r="L26" s="208">
        <v>0</v>
      </c>
      <c r="M26" s="208">
        <v>0</v>
      </c>
      <c r="N26" s="208">
        <v>0</v>
      </c>
      <c r="O26" s="208">
        <v>0</v>
      </c>
      <c r="P26" s="208">
        <v>0</v>
      </c>
      <c r="Q26" s="208">
        <v>0</v>
      </c>
      <c r="R26" s="208">
        <v>291858</v>
      </c>
      <c r="S26" s="208">
        <v>0</v>
      </c>
      <c r="T26" s="208">
        <v>0</v>
      </c>
      <c r="U26" s="208">
        <v>0</v>
      </c>
      <c r="V26" s="208">
        <v>0</v>
      </c>
      <c r="W26" s="208">
        <v>0</v>
      </c>
      <c r="X26" s="208">
        <v>0</v>
      </c>
      <c r="Y26" s="208">
        <v>0</v>
      </c>
      <c r="Z26" s="208">
        <v>0</v>
      </c>
      <c r="AA26" s="208">
        <v>0</v>
      </c>
      <c r="AB26" s="208">
        <v>0</v>
      </c>
      <c r="AC26" s="208">
        <v>0</v>
      </c>
      <c r="AD26" s="208">
        <v>0</v>
      </c>
      <c r="AE26" s="208">
        <v>0</v>
      </c>
      <c r="AF26" s="208">
        <v>0</v>
      </c>
      <c r="AG26" s="208">
        <v>0</v>
      </c>
      <c r="AH26" s="208">
        <v>0</v>
      </c>
      <c r="AI26" s="208">
        <v>0</v>
      </c>
      <c r="AJ26" s="208">
        <v>0</v>
      </c>
      <c r="AK26" s="208">
        <v>0</v>
      </c>
      <c r="AL26" s="208">
        <v>0</v>
      </c>
      <c r="AM26" s="208">
        <v>0</v>
      </c>
      <c r="AN26" s="208">
        <v>15123</v>
      </c>
      <c r="AO26" s="208">
        <v>14674</v>
      </c>
    </row>
    <row r="27" spans="3:41" x14ac:dyDescent="0.3">
      <c r="C27" s="208">
        <v>24</v>
      </c>
      <c r="D27" s="208">
        <v>4</v>
      </c>
      <c r="E27" s="208">
        <v>9</v>
      </c>
      <c r="F27" s="208">
        <v>9024</v>
      </c>
      <c r="G27" s="208">
        <v>0</v>
      </c>
      <c r="H27" s="208">
        <v>0</v>
      </c>
      <c r="I27" s="208">
        <v>0</v>
      </c>
      <c r="J27" s="208">
        <v>0</v>
      </c>
      <c r="K27" s="208">
        <v>9024</v>
      </c>
      <c r="L27" s="208">
        <v>0</v>
      </c>
      <c r="M27" s="208">
        <v>0</v>
      </c>
      <c r="N27" s="208">
        <v>0</v>
      </c>
      <c r="O27" s="208">
        <v>0</v>
      </c>
      <c r="P27" s="208">
        <v>0</v>
      </c>
      <c r="Q27" s="208">
        <v>0</v>
      </c>
      <c r="R27" s="208">
        <v>0</v>
      </c>
      <c r="S27" s="208">
        <v>0</v>
      </c>
      <c r="T27" s="208">
        <v>0</v>
      </c>
      <c r="U27" s="208">
        <v>0</v>
      </c>
      <c r="V27" s="208">
        <v>0</v>
      </c>
      <c r="W27" s="208">
        <v>0</v>
      </c>
      <c r="X27" s="208">
        <v>0</v>
      </c>
      <c r="Y27" s="208">
        <v>0</v>
      </c>
      <c r="Z27" s="208">
        <v>0</v>
      </c>
      <c r="AA27" s="208">
        <v>0</v>
      </c>
      <c r="AB27" s="208">
        <v>0</v>
      </c>
      <c r="AC27" s="208">
        <v>0</v>
      </c>
      <c r="AD27" s="208">
        <v>0</v>
      </c>
      <c r="AE27" s="208">
        <v>0</v>
      </c>
      <c r="AF27" s="208">
        <v>0</v>
      </c>
      <c r="AG27" s="208">
        <v>0</v>
      </c>
      <c r="AH27" s="208">
        <v>0</v>
      </c>
      <c r="AI27" s="208">
        <v>0</v>
      </c>
      <c r="AJ27" s="208">
        <v>0</v>
      </c>
      <c r="AK27" s="208">
        <v>0</v>
      </c>
      <c r="AL27" s="208">
        <v>0</v>
      </c>
      <c r="AM27" s="208">
        <v>0</v>
      </c>
      <c r="AN27" s="208">
        <v>0</v>
      </c>
      <c r="AO27" s="208">
        <v>0</v>
      </c>
    </row>
    <row r="28" spans="3:41" x14ac:dyDescent="0.3">
      <c r="C28" s="208">
        <v>24</v>
      </c>
      <c r="D28" s="208">
        <v>4</v>
      </c>
      <c r="E28" s="208">
        <v>10</v>
      </c>
      <c r="F28" s="208">
        <v>6000</v>
      </c>
      <c r="G28" s="208">
        <v>0</v>
      </c>
      <c r="H28" s="208">
        <v>0</v>
      </c>
      <c r="I28" s="208">
        <v>0</v>
      </c>
      <c r="J28" s="208">
        <v>0</v>
      </c>
      <c r="K28" s="208">
        <v>6000</v>
      </c>
      <c r="L28" s="208">
        <v>0</v>
      </c>
      <c r="M28" s="208">
        <v>0</v>
      </c>
      <c r="N28" s="208">
        <v>0</v>
      </c>
      <c r="O28" s="208">
        <v>0</v>
      </c>
      <c r="P28" s="208">
        <v>0</v>
      </c>
      <c r="Q28" s="208">
        <v>0</v>
      </c>
      <c r="R28" s="208">
        <v>0</v>
      </c>
      <c r="S28" s="208">
        <v>0</v>
      </c>
      <c r="T28" s="208">
        <v>0</v>
      </c>
      <c r="U28" s="208">
        <v>0</v>
      </c>
      <c r="V28" s="208">
        <v>0</v>
      </c>
      <c r="W28" s="208">
        <v>0</v>
      </c>
      <c r="X28" s="208">
        <v>0</v>
      </c>
      <c r="Y28" s="208">
        <v>0</v>
      </c>
      <c r="Z28" s="208">
        <v>0</v>
      </c>
      <c r="AA28" s="208">
        <v>0</v>
      </c>
      <c r="AB28" s="208">
        <v>0</v>
      </c>
      <c r="AC28" s="208">
        <v>0</v>
      </c>
      <c r="AD28" s="208">
        <v>0</v>
      </c>
      <c r="AE28" s="208">
        <v>0</v>
      </c>
      <c r="AF28" s="208">
        <v>0</v>
      </c>
      <c r="AG28" s="208">
        <v>0</v>
      </c>
      <c r="AH28" s="208">
        <v>0</v>
      </c>
      <c r="AI28" s="208">
        <v>0</v>
      </c>
      <c r="AJ28" s="208">
        <v>0</v>
      </c>
      <c r="AK28" s="208">
        <v>0</v>
      </c>
      <c r="AL28" s="208">
        <v>0</v>
      </c>
      <c r="AM28" s="208">
        <v>0</v>
      </c>
      <c r="AN28" s="208">
        <v>0</v>
      </c>
      <c r="AO28" s="208">
        <v>0</v>
      </c>
    </row>
    <row r="29" spans="3:41" x14ac:dyDescent="0.3">
      <c r="C29" s="208">
        <v>24</v>
      </c>
      <c r="D29" s="208">
        <v>4</v>
      </c>
      <c r="E29" s="208">
        <v>11</v>
      </c>
      <c r="F29" s="208">
        <v>5908.6608667036871</v>
      </c>
      <c r="G29" s="208">
        <v>0</v>
      </c>
      <c r="H29" s="208">
        <v>4241.9942000370202</v>
      </c>
      <c r="I29" s="208">
        <v>0</v>
      </c>
      <c r="J29" s="208">
        <v>0</v>
      </c>
      <c r="K29" s="208">
        <v>1666.6666666666667</v>
      </c>
      <c r="L29" s="208">
        <v>0</v>
      </c>
      <c r="M29" s="208">
        <v>0</v>
      </c>
      <c r="N29" s="208">
        <v>0</v>
      </c>
      <c r="O29" s="208">
        <v>0</v>
      </c>
      <c r="P29" s="208">
        <v>0</v>
      </c>
      <c r="Q29" s="208">
        <v>0</v>
      </c>
      <c r="R29" s="208">
        <v>0</v>
      </c>
      <c r="S29" s="208">
        <v>0</v>
      </c>
      <c r="T29" s="208">
        <v>0</v>
      </c>
      <c r="U29" s="208">
        <v>0</v>
      </c>
      <c r="V29" s="208">
        <v>0</v>
      </c>
      <c r="W29" s="208">
        <v>0</v>
      </c>
      <c r="X29" s="208">
        <v>0</v>
      </c>
      <c r="Y29" s="208">
        <v>0</v>
      </c>
      <c r="Z29" s="208">
        <v>0</v>
      </c>
      <c r="AA29" s="208">
        <v>0</v>
      </c>
      <c r="AB29" s="208">
        <v>0</v>
      </c>
      <c r="AC29" s="208">
        <v>0</v>
      </c>
      <c r="AD29" s="208">
        <v>0</v>
      </c>
      <c r="AE29" s="208">
        <v>0</v>
      </c>
      <c r="AF29" s="208">
        <v>0</v>
      </c>
      <c r="AG29" s="208">
        <v>0</v>
      </c>
      <c r="AH29" s="208">
        <v>0</v>
      </c>
      <c r="AI29" s="208">
        <v>0</v>
      </c>
      <c r="AJ29" s="208">
        <v>0</v>
      </c>
      <c r="AK29" s="208">
        <v>0</v>
      </c>
      <c r="AL29" s="208">
        <v>0</v>
      </c>
      <c r="AM29" s="208">
        <v>0</v>
      </c>
      <c r="AN29" s="208">
        <v>0</v>
      </c>
      <c r="AO29" s="208">
        <v>0</v>
      </c>
    </row>
    <row r="30" spans="3:41" x14ac:dyDescent="0.3">
      <c r="C30" s="208">
        <v>24</v>
      </c>
      <c r="D30" s="208">
        <v>5</v>
      </c>
      <c r="E30" s="208">
        <v>1</v>
      </c>
      <c r="F30" s="208">
        <v>55.05</v>
      </c>
      <c r="G30" s="208">
        <v>0</v>
      </c>
      <c r="H30" s="208">
        <v>0</v>
      </c>
      <c r="I30" s="208">
        <v>11.1</v>
      </c>
      <c r="J30" s="208">
        <v>0</v>
      </c>
      <c r="K30" s="208">
        <v>29</v>
      </c>
      <c r="L30" s="208">
        <v>0</v>
      </c>
      <c r="M30" s="208">
        <v>0</v>
      </c>
      <c r="N30" s="208">
        <v>0</v>
      </c>
      <c r="O30" s="208">
        <v>0</v>
      </c>
      <c r="P30" s="208">
        <v>0</v>
      </c>
      <c r="Q30" s="208">
        <v>0</v>
      </c>
      <c r="R30" s="208">
        <v>13</v>
      </c>
      <c r="S30" s="208">
        <v>0</v>
      </c>
      <c r="T30" s="208">
        <v>0</v>
      </c>
      <c r="U30" s="208">
        <v>0</v>
      </c>
      <c r="V30" s="208">
        <v>0</v>
      </c>
      <c r="W30" s="208">
        <v>0</v>
      </c>
      <c r="X30" s="208">
        <v>0</v>
      </c>
      <c r="Y30" s="208">
        <v>0</v>
      </c>
      <c r="Z30" s="208">
        <v>0</v>
      </c>
      <c r="AA30" s="208">
        <v>0</v>
      </c>
      <c r="AB30" s="208">
        <v>0</v>
      </c>
      <c r="AC30" s="208">
        <v>0</v>
      </c>
      <c r="AD30" s="208">
        <v>0</v>
      </c>
      <c r="AE30" s="208">
        <v>0</v>
      </c>
      <c r="AF30" s="208">
        <v>0</v>
      </c>
      <c r="AG30" s="208">
        <v>0</v>
      </c>
      <c r="AH30" s="208">
        <v>0</v>
      </c>
      <c r="AI30" s="208">
        <v>0</v>
      </c>
      <c r="AJ30" s="208">
        <v>0</v>
      </c>
      <c r="AK30" s="208">
        <v>0</v>
      </c>
      <c r="AL30" s="208">
        <v>0</v>
      </c>
      <c r="AM30" s="208">
        <v>0</v>
      </c>
      <c r="AN30" s="208">
        <v>0.95</v>
      </c>
      <c r="AO30" s="208">
        <v>1</v>
      </c>
    </row>
    <row r="31" spans="3:41" x14ac:dyDescent="0.3">
      <c r="C31" s="208">
        <v>24</v>
      </c>
      <c r="D31" s="208">
        <v>5</v>
      </c>
      <c r="E31" s="208">
        <v>2</v>
      </c>
      <c r="F31" s="208">
        <v>8678.7000000000007</v>
      </c>
      <c r="G31" s="208">
        <v>0</v>
      </c>
      <c r="H31" s="208">
        <v>0</v>
      </c>
      <c r="I31" s="208">
        <v>1751.2</v>
      </c>
      <c r="J31" s="208">
        <v>0</v>
      </c>
      <c r="K31" s="208">
        <v>4504</v>
      </c>
      <c r="L31" s="208">
        <v>0</v>
      </c>
      <c r="M31" s="208">
        <v>0</v>
      </c>
      <c r="N31" s="208">
        <v>0</v>
      </c>
      <c r="O31" s="208">
        <v>0</v>
      </c>
      <c r="P31" s="208">
        <v>0</v>
      </c>
      <c r="Q31" s="208">
        <v>0</v>
      </c>
      <c r="R31" s="208">
        <v>2128</v>
      </c>
      <c r="S31" s="208">
        <v>0</v>
      </c>
      <c r="T31" s="208">
        <v>0</v>
      </c>
      <c r="U31" s="208">
        <v>0</v>
      </c>
      <c r="V31" s="208">
        <v>0</v>
      </c>
      <c r="W31" s="208">
        <v>0</v>
      </c>
      <c r="X31" s="208">
        <v>0</v>
      </c>
      <c r="Y31" s="208">
        <v>0</v>
      </c>
      <c r="Z31" s="208">
        <v>0</v>
      </c>
      <c r="AA31" s="208">
        <v>0</v>
      </c>
      <c r="AB31" s="208">
        <v>0</v>
      </c>
      <c r="AC31" s="208">
        <v>0</v>
      </c>
      <c r="AD31" s="208">
        <v>0</v>
      </c>
      <c r="AE31" s="208">
        <v>0</v>
      </c>
      <c r="AF31" s="208">
        <v>0</v>
      </c>
      <c r="AG31" s="208">
        <v>0</v>
      </c>
      <c r="AH31" s="208">
        <v>0</v>
      </c>
      <c r="AI31" s="208">
        <v>0</v>
      </c>
      <c r="AJ31" s="208">
        <v>0</v>
      </c>
      <c r="AK31" s="208">
        <v>0</v>
      </c>
      <c r="AL31" s="208">
        <v>0</v>
      </c>
      <c r="AM31" s="208">
        <v>0</v>
      </c>
      <c r="AN31" s="208">
        <v>151.5</v>
      </c>
      <c r="AO31" s="208">
        <v>144</v>
      </c>
    </row>
    <row r="32" spans="3:41" x14ac:dyDescent="0.3">
      <c r="C32" s="208">
        <v>24</v>
      </c>
      <c r="D32" s="208">
        <v>5</v>
      </c>
      <c r="E32" s="208">
        <v>5</v>
      </c>
      <c r="F32" s="208">
        <v>124</v>
      </c>
      <c r="G32" s="208">
        <v>124</v>
      </c>
      <c r="H32" s="208">
        <v>0</v>
      </c>
      <c r="I32" s="208">
        <v>0</v>
      </c>
      <c r="J32" s="208">
        <v>0</v>
      </c>
      <c r="K32" s="208">
        <v>0</v>
      </c>
      <c r="L32" s="208">
        <v>0</v>
      </c>
      <c r="M32" s="208">
        <v>0</v>
      </c>
      <c r="N32" s="208">
        <v>0</v>
      </c>
      <c r="O32" s="208">
        <v>0</v>
      </c>
      <c r="P32" s="208">
        <v>0</v>
      </c>
      <c r="Q32" s="208">
        <v>0</v>
      </c>
      <c r="R32" s="208">
        <v>0</v>
      </c>
      <c r="S32" s="208">
        <v>0</v>
      </c>
      <c r="T32" s="208">
        <v>0</v>
      </c>
      <c r="U32" s="208">
        <v>0</v>
      </c>
      <c r="V32" s="208">
        <v>0</v>
      </c>
      <c r="W32" s="208">
        <v>0</v>
      </c>
      <c r="X32" s="208">
        <v>0</v>
      </c>
      <c r="Y32" s="208">
        <v>0</v>
      </c>
      <c r="Z32" s="208">
        <v>0</v>
      </c>
      <c r="AA32" s="208">
        <v>0</v>
      </c>
      <c r="AB32" s="208">
        <v>0</v>
      </c>
      <c r="AC32" s="208">
        <v>0</v>
      </c>
      <c r="AD32" s="208">
        <v>0</v>
      </c>
      <c r="AE32" s="208">
        <v>0</v>
      </c>
      <c r="AF32" s="208">
        <v>0</v>
      </c>
      <c r="AG32" s="208">
        <v>0</v>
      </c>
      <c r="AH32" s="208">
        <v>0</v>
      </c>
      <c r="AI32" s="208">
        <v>0</v>
      </c>
      <c r="AJ32" s="208">
        <v>0</v>
      </c>
      <c r="AK32" s="208">
        <v>0</v>
      </c>
      <c r="AL32" s="208">
        <v>0</v>
      </c>
      <c r="AM32" s="208">
        <v>0</v>
      </c>
      <c r="AN32" s="208">
        <v>0</v>
      </c>
      <c r="AO32" s="208">
        <v>0</v>
      </c>
    </row>
    <row r="33" spans="3:41" x14ac:dyDescent="0.3">
      <c r="C33" s="208">
        <v>24</v>
      </c>
      <c r="D33" s="208">
        <v>5</v>
      </c>
      <c r="E33" s="208">
        <v>6</v>
      </c>
      <c r="F33" s="208">
        <v>1585173</v>
      </c>
      <c r="G33" s="208">
        <v>21120</v>
      </c>
      <c r="H33" s="208">
        <v>0</v>
      </c>
      <c r="I33" s="208">
        <v>488447</v>
      </c>
      <c r="J33" s="208">
        <v>0</v>
      </c>
      <c r="K33" s="208">
        <v>748821</v>
      </c>
      <c r="L33" s="208">
        <v>0</v>
      </c>
      <c r="M33" s="208">
        <v>0</v>
      </c>
      <c r="N33" s="208">
        <v>0</v>
      </c>
      <c r="O33" s="208">
        <v>0</v>
      </c>
      <c r="P33" s="208">
        <v>0</v>
      </c>
      <c r="Q33" s="208">
        <v>0</v>
      </c>
      <c r="R33" s="208">
        <v>296248</v>
      </c>
      <c r="S33" s="208">
        <v>0</v>
      </c>
      <c r="T33" s="208">
        <v>0</v>
      </c>
      <c r="U33" s="208">
        <v>0</v>
      </c>
      <c r="V33" s="208">
        <v>0</v>
      </c>
      <c r="W33" s="208">
        <v>0</v>
      </c>
      <c r="X33" s="208">
        <v>0</v>
      </c>
      <c r="Y33" s="208">
        <v>0</v>
      </c>
      <c r="Z33" s="208">
        <v>0</v>
      </c>
      <c r="AA33" s="208">
        <v>0</v>
      </c>
      <c r="AB33" s="208">
        <v>0</v>
      </c>
      <c r="AC33" s="208">
        <v>0</v>
      </c>
      <c r="AD33" s="208">
        <v>0</v>
      </c>
      <c r="AE33" s="208">
        <v>0</v>
      </c>
      <c r="AF33" s="208">
        <v>0</v>
      </c>
      <c r="AG33" s="208">
        <v>0</v>
      </c>
      <c r="AH33" s="208">
        <v>0</v>
      </c>
      <c r="AI33" s="208">
        <v>0</v>
      </c>
      <c r="AJ33" s="208">
        <v>0</v>
      </c>
      <c r="AK33" s="208">
        <v>0</v>
      </c>
      <c r="AL33" s="208">
        <v>0</v>
      </c>
      <c r="AM33" s="208">
        <v>0</v>
      </c>
      <c r="AN33" s="208">
        <v>15869</v>
      </c>
      <c r="AO33" s="208">
        <v>14668</v>
      </c>
    </row>
    <row r="34" spans="3:41" x14ac:dyDescent="0.3">
      <c r="C34" s="208">
        <v>24</v>
      </c>
      <c r="D34" s="208">
        <v>5</v>
      </c>
      <c r="E34" s="208">
        <v>9</v>
      </c>
      <c r="F34" s="208">
        <v>10956</v>
      </c>
      <c r="G34" s="208">
        <v>0</v>
      </c>
      <c r="H34" s="208">
        <v>0</v>
      </c>
      <c r="I34" s="208">
        <v>0</v>
      </c>
      <c r="J34" s="208">
        <v>0</v>
      </c>
      <c r="K34" s="208">
        <v>10956</v>
      </c>
      <c r="L34" s="208">
        <v>0</v>
      </c>
      <c r="M34" s="208">
        <v>0</v>
      </c>
      <c r="N34" s="208">
        <v>0</v>
      </c>
      <c r="O34" s="208">
        <v>0</v>
      </c>
      <c r="P34" s="208">
        <v>0</v>
      </c>
      <c r="Q34" s="208">
        <v>0</v>
      </c>
      <c r="R34" s="208">
        <v>0</v>
      </c>
      <c r="S34" s="208">
        <v>0</v>
      </c>
      <c r="T34" s="208">
        <v>0</v>
      </c>
      <c r="U34" s="208">
        <v>0</v>
      </c>
      <c r="V34" s="208">
        <v>0</v>
      </c>
      <c r="W34" s="208">
        <v>0</v>
      </c>
      <c r="X34" s="208">
        <v>0</v>
      </c>
      <c r="Y34" s="208">
        <v>0</v>
      </c>
      <c r="Z34" s="208">
        <v>0</v>
      </c>
      <c r="AA34" s="208">
        <v>0</v>
      </c>
      <c r="AB34" s="208">
        <v>0</v>
      </c>
      <c r="AC34" s="208">
        <v>0</v>
      </c>
      <c r="AD34" s="208">
        <v>0</v>
      </c>
      <c r="AE34" s="208">
        <v>0</v>
      </c>
      <c r="AF34" s="208">
        <v>0</v>
      </c>
      <c r="AG34" s="208">
        <v>0</v>
      </c>
      <c r="AH34" s="208">
        <v>0</v>
      </c>
      <c r="AI34" s="208">
        <v>0</v>
      </c>
      <c r="AJ34" s="208">
        <v>0</v>
      </c>
      <c r="AK34" s="208">
        <v>0</v>
      </c>
      <c r="AL34" s="208">
        <v>0</v>
      </c>
      <c r="AM34" s="208">
        <v>0</v>
      </c>
      <c r="AN34" s="208">
        <v>0</v>
      </c>
      <c r="AO34" s="208">
        <v>0</v>
      </c>
    </row>
    <row r="35" spans="3:41" x14ac:dyDescent="0.3">
      <c r="C35" s="208">
        <v>24</v>
      </c>
      <c r="D35" s="208">
        <v>5</v>
      </c>
      <c r="E35" s="208">
        <v>11</v>
      </c>
      <c r="F35" s="208">
        <v>5908.6608667036871</v>
      </c>
      <c r="G35" s="208">
        <v>0</v>
      </c>
      <c r="H35" s="208">
        <v>4241.9942000370202</v>
      </c>
      <c r="I35" s="208">
        <v>0</v>
      </c>
      <c r="J35" s="208">
        <v>0</v>
      </c>
      <c r="K35" s="208">
        <v>1666.6666666666667</v>
      </c>
      <c r="L35" s="208">
        <v>0</v>
      </c>
      <c r="M35" s="208">
        <v>0</v>
      </c>
      <c r="N35" s="208">
        <v>0</v>
      </c>
      <c r="O35" s="208">
        <v>0</v>
      </c>
      <c r="P35" s="208">
        <v>0</v>
      </c>
      <c r="Q35" s="208">
        <v>0</v>
      </c>
      <c r="R35" s="208">
        <v>0</v>
      </c>
      <c r="S35" s="208">
        <v>0</v>
      </c>
      <c r="T35" s="208">
        <v>0</v>
      </c>
      <c r="U35" s="208">
        <v>0</v>
      </c>
      <c r="V35" s="208">
        <v>0</v>
      </c>
      <c r="W35" s="208">
        <v>0</v>
      </c>
      <c r="X35" s="208">
        <v>0</v>
      </c>
      <c r="Y35" s="208">
        <v>0</v>
      </c>
      <c r="Z35" s="208">
        <v>0</v>
      </c>
      <c r="AA35" s="208">
        <v>0</v>
      </c>
      <c r="AB35" s="208">
        <v>0</v>
      </c>
      <c r="AC35" s="208">
        <v>0</v>
      </c>
      <c r="AD35" s="208">
        <v>0</v>
      </c>
      <c r="AE35" s="208">
        <v>0</v>
      </c>
      <c r="AF35" s="208">
        <v>0</v>
      </c>
      <c r="AG35" s="208">
        <v>0</v>
      </c>
      <c r="AH35" s="208">
        <v>0</v>
      </c>
      <c r="AI35" s="208">
        <v>0</v>
      </c>
      <c r="AJ35" s="208">
        <v>0</v>
      </c>
      <c r="AK35" s="208">
        <v>0</v>
      </c>
      <c r="AL35" s="208">
        <v>0</v>
      </c>
      <c r="AM35" s="208">
        <v>0</v>
      </c>
      <c r="AN35" s="208">
        <v>0</v>
      </c>
      <c r="AO35" s="20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6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15" bestFit="1" customWidth="1"/>
    <col min="2" max="2" width="7.77734375" style="91" customWidth="1"/>
    <col min="3" max="3" width="5.44140625" style="115" hidden="1" customWidth="1"/>
    <col min="4" max="4" width="7.77734375" style="91" customWidth="1"/>
    <col min="5" max="5" width="5.44140625" style="115" hidden="1" customWidth="1"/>
    <col min="6" max="6" width="7.77734375" style="91" customWidth="1"/>
    <col min="7" max="7" width="7.77734375" style="194" customWidth="1"/>
    <col min="8" max="8" width="7.77734375" style="91" customWidth="1"/>
    <col min="9" max="9" width="5.44140625" style="115" hidden="1" customWidth="1"/>
    <col min="10" max="10" width="7.77734375" style="91" customWidth="1"/>
    <col min="11" max="11" width="5.44140625" style="115" hidden="1" customWidth="1"/>
    <col min="12" max="12" width="7.77734375" style="91" customWidth="1"/>
    <col min="13" max="13" width="7.77734375" style="194" customWidth="1"/>
    <col min="14" max="14" width="7.77734375" style="91" customWidth="1"/>
    <col min="15" max="15" width="5" style="115" hidden="1" customWidth="1"/>
    <col min="16" max="16" width="7.77734375" style="91" customWidth="1"/>
    <col min="17" max="17" width="5" style="115" hidden="1" customWidth="1"/>
    <col min="18" max="18" width="7.77734375" style="91" customWidth="1"/>
    <col min="19" max="19" width="7.77734375" style="194" customWidth="1"/>
    <col min="20" max="16384" width="8.88671875" style="115"/>
  </cols>
  <sheetData>
    <row r="1" spans="1:19" ht="18.600000000000001" customHeight="1" thickBot="1" x14ac:dyDescent="0.4">
      <c r="A1" s="359" t="s">
        <v>1447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4.4" customHeight="1" thickBot="1" x14ac:dyDescent="0.35">
      <c r="A2" s="212" t="s">
        <v>255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19" ht="14.4" customHeight="1" thickBot="1" x14ac:dyDescent="0.35">
      <c r="A3" s="200" t="s">
        <v>108</v>
      </c>
      <c r="B3" s="201">
        <f>SUBTOTAL(9,B6:B1048576)/2</f>
        <v>9603012.1900000013</v>
      </c>
      <c r="C3" s="202">
        <f t="shared" ref="C3:R3" si="0">SUBTOTAL(9,C6:C1048576)</f>
        <v>7</v>
      </c>
      <c r="D3" s="202">
        <f>SUBTOTAL(9,D6:D1048576)/2</f>
        <v>9865476.7499999981</v>
      </c>
      <c r="E3" s="202">
        <f t="shared" si="0"/>
        <v>7.1225745703556562</v>
      </c>
      <c r="F3" s="202">
        <f>SUBTOTAL(9,F6:F1048576)/2</f>
        <v>9341055.5999999978</v>
      </c>
      <c r="G3" s="203">
        <f>IF(B3&lt;&gt;0,F3/B3,"")</f>
        <v>0.97272141440445226</v>
      </c>
      <c r="H3" s="204">
        <f t="shared" si="0"/>
        <v>1119968.45</v>
      </c>
      <c r="I3" s="202">
        <f t="shared" si="0"/>
        <v>2</v>
      </c>
      <c r="J3" s="202">
        <f t="shared" si="0"/>
        <v>1182837</v>
      </c>
      <c r="K3" s="202">
        <f t="shared" si="0"/>
        <v>2.1419019718488777</v>
      </c>
      <c r="L3" s="202">
        <f t="shared" si="0"/>
        <v>1274257</v>
      </c>
      <c r="M3" s="205">
        <f>IF(H3&lt;&gt;0,L3/H3,"")</f>
        <v>1.1377615146212379</v>
      </c>
      <c r="N3" s="201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IF(N3&lt;&gt;0,R3/N3,"")</f>
        <v/>
      </c>
    </row>
    <row r="4" spans="1:19" ht="14.4" customHeight="1" x14ac:dyDescent="0.3">
      <c r="A4" s="360" t="s">
        <v>254</v>
      </c>
      <c r="B4" s="361" t="s">
        <v>85</v>
      </c>
      <c r="C4" s="362"/>
      <c r="D4" s="362"/>
      <c r="E4" s="362"/>
      <c r="F4" s="362"/>
      <c r="G4" s="363"/>
      <c r="H4" s="361" t="s">
        <v>86</v>
      </c>
      <c r="I4" s="362"/>
      <c r="J4" s="362"/>
      <c r="K4" s="362"/>
      <c r="L4" s="362"/>
      <c r="M4" s="363"/>
      <c r="N4" s="361" t="s">
        <v>87</v>
      </c>
      <c r="O4" s="362"/>
      <c r="P4" s="362"/>
      <c r="Q4" s="362"/>
      <c r="R4" s="362"/>
      <c r="S4" s="363"/>
    </row>
    <row r="5" spans="1:19" ht="14.4" customHeight="1" thickBot="1" x14ac:dyDescent="0.35">
      <c r="A5" s="503"/>
      <c r="B5" s="504">
        <v>2013</v>
      </c>
      <c r="C5" s="505"/>
      <c r="D5" s="505">
        <v>2014</v>
      </c>
      <c r="E5" s="505"/>
      <c r="F5" s="505">
        <v>2015</v>
      </c>
      <c r="G5" s="506" t="s">
        <v>2</v>
      </c>
      <c r="H5" s="504">
        <v>2013</v>
      </c>
      <c r="I5" s="505"/>
      <c r="J5" s="505">
        <v>2014</v>
      </c>
      <c r="K5" s="505"/>
      <c r="L5" s="505">
        <v>2015</v>
      </c>
      <c r="M5" s="506" t="s">
        <v>2</v>
      </c>
      <c r="N5" s="504">
        <v>2013</v>
      </c>
      <c r="O5" s="505"/>
      <c r="P5" s="505">
        <v>2014</v>
      </c>
      <c r="Q5" s="505"/>
      <c r="R5" s="505">
        <v>2015</v>
      </c>
      <c r="S5" s="506" t="s">
        <v>2</v>
      </c>
    </row>
    <row r="6" spans="1:19" ht="14.4" customHeight="1" x14ac:dyDescent="0.3">
      <c r="A6" s="451" t="s">
        <v>1445</v>
      </c>
      <c r="B6" s="507">
        <v>6883107.7500000019</v>
      </c>
      <c r="C6" s="416">
        <v>1</v>
      </c>
      <c r="D6" s="507">
        <v>7097340.0299999993</v>
      </c>
      <c r="E6" s="416">
        <v>1.0311243536758519</v>
      </c>
      <c r="F6" s="507">
        <v>6644115.5599999959</v>
      </c>
      <c r="G6" s="438">
        <v>0.9652784470793726</v>
      </c>
      <c r="H6" s="507">
        <v>697967.45</v>
      </c>
      <c r="I6" s="416">
        <v>1</v>
      </c>
      <c r="J6" s="507">
        <v>705519</v>
      </c>
      <c r="K6" s="416">
        <v>1.010819344082593</v>
      </c>
      <c r="L6" s="507">
        <v>846031</v>
      </c>
      <c r="M6" s="438">
        <v>1.2121353223563649</v>
      </c>
      <c r="N6" s="507"/>
      <c r="O6" s="416"/>
      <c r="P6" s="507"/>
      <c r="Q6" s="416"/>
      <c r="R6" s="507"/>
      <c r="S6" s="462"/>
    </row>
    <row r="7" spans="1:19" ht="14.4" customHeight="1" thickBot="1" x14ac:dyDescent="0.35">
      <c r="A7" s="509" t="s">
        <v>1446</v>
      </c>
      <c r="B7" s="508">
        <v>2719904.44</v>
      </c>
      <c r="C7" s="428">
        <v>1</v>
      </c>
      <c r="D7" s="508">
        <v>2768136.7199999997</v>
      </c>
      <c r="E7" s="428">
        <v>1.017733078887139</v>
      </c>
      <c r="F7" s="508">
        <v>2696940.0400000005</v>
      </c>
      <c r="G7" s="439">
        <v>0.99155690925670925</v>
      </c>
      <c r="H7" s="508">
        <v>422001</v>
      </c>
      <c r="I7" s="428">
        <v>1</v>
      </c>
      <c r="J7" s="508">
        <v>477318</v>
      </c>
      <c r="K7" s="428">
        <v>1.1310826277662849</v>
      </c>
      <c r="L7" s="508">
        <v>428226</v>
      </c>
      <c r="M7" s="439">
        <v>1.0147511498787918</v>
      </c>
      <c r="N7" s="508"/>
      <c r="O7" s="428"/>
      <c r="P7" s="508"/>
      <c r="Q7" s="428"/>
      <c r="R7" s="508"/>
      <c r="S7" s="463"/>
    </row>
    <row r="8" spans="1:19" ht="14.4" customHeight="1" thickBot="1" x14ac:dyDescent="0.35"/>
    <row r="9" spans="1:19" ht="14.4" customHeight="1" x14ac:dyDescent="0.3">
      <c r="A9" s="451" t="s">
        <v>445</v>
      </c>
      <c r="B9" s="507">
        <v>722613.33999999985</v>
      </c>
      <c r="C9" s="416">
        <v>1</v>
      </c>
      <c r="D9" s="507">
        <v>680538.85999999975</v>
      </c>
      <c r="E9" s="416">
        <v>0.94177455954521938</v>
      </c>
      <c r="F9" s="507">
        <v>683384.45999999973</v>
      </c>
      <c r="G9" s="438">
        <v>0.94571248850733902</v>
      </c>
      <c r="H9" s="507"/>
      <c r="I9" s="416"/>
      <c r="J9" s="507"/>
      <c r="K9" s="416"/>
      <c r="L9" s="507"/>
      <c r="M9" s="438"/>
      <c r="N9" s="507"/>
      <c r="O9" s="416"/>
      <c r="P9" s="507"/>
      <c r="Q9" s="416"/>
      <c r="R9" s="507"/>
      <c r="S9" s="462"/>
    </row>
    <row r="10" spans="1:19" ht="14.4" customHeight="1" x14ac:dyDescent="0.3">
      <c r="A10" s="512" t="s">
        <v>1448</v>
      </c>
      <c r="B10" s="510">
        <v>2719904.4400000004</v>
      </c>
      <c r="C10" s="422">
        <v>1</v>
      </c>
      <c r="D10" s="510">
        <v>2768136.7199999997</v>
      </c>
      <c r="E10" s="422">
        <v>1.0177330788871388</v>
      </c>
      <c r="F10" s="510">
        <v>2696940.0400000005</v>
      </c>
      <c r="G10" s="447">
        <v>0.99155690925670903</v>
      </c>
      <c r="H10" s="510"/>
      <c r="I10" s="422"/>
      <c r="J10" s="510"/>
      <c r="K10" s="422"/>
      <c r="L10" s="510"/>
      <c r="M10" s="447"/>
      <c r="N10" s="510"/>
      <c r="O10" s="422"/>
      <c r="P10" s="510"/>
      <c r="Q10" s="422"/>
      <c r="R10" s="510"/>
      <c r="S10" s="511"/>
    </row>
    <row r="11" spans="1:19" ht="14.4" customHeight="1" x14ac:dyDescent="0.3">
      <c r="A11" s="512" t="s">
        <v>1449</v>
      </c>
      <c r="B11" s="510">
        <v>1549697.7700000007</v>
      </c>
      <c r="C11" s="422">
        <v>1</v>
      </c>
      <c r="D11" s="510">
        <v>1575099.9899999998</v>
      </c>
      <c r="E11" s="422">
        <v>1.0163917252071668</v>
      </c>
      <c r="F11" s="510">
        <v>1691656.6700000006</v>
      </c>
      <c r="G11" s="447">
        <v>1.0916042487432887</v>
      </c>
      <c r="H11" s="510"/>
      <c r="I11" s="422"/>
      <c r="J11" s="510"/>
      <c r="K11" s="422"/>
      <c r="L11" s="510"/>
      <c r="M11" s="447"/>
      <c r="N11" s="510"/>
      <c r="O11" s="422"/>
      <c r="P11" s="510"/>
      <c r="Q11" s="422"/>
      <c r="R11" s="510"/>
      <c r="S11" s="511"/>
    </row>
    <row r="12" spans="1:19" ht="14.4" customHeight="1" x14ac:dyDescent="0.3">
      <c r="A12" s="512" t="s">
        <v>1450</v>
      </c>
      <c r="B12" s="510">
        <v>1806377.7499999995</v>
      </c>
      <c r="C12" s="422">
        <v>1</v>
      </c>
      <c r="D12" s="510">
        <v>1884960.0399999993</v>
      </c>
      <c r="E12" s="422">
        <v>1.0435026892907642</v>
      </c>
      <c r="F12" s="510">
        <v>1527368.9200000002</v>
      </c>
      <c r="G12" s="447">
        <v>0.84554236786851511</v>
      </c>
      <c r="H12" s="510"/>
      <c r="I12" s="422"/>
      <c r="J12" s="510"/>
      <c r="K12" s="422"/>
      <c r="L12" s="510"/>
      <c r="M12" s="447"/>
      <c r="N12" s="510"/>
      <c r="O12" s="422"/>
      <c r="P12" s="510"/>
      <c r="Q12" s="422"/>
      <c r="R12" s="510"/>
      <c r="S12" s="511"/>
    </row>
    <row r="13" spans="1:19" ht="14.4" customHeight="1" thickBot="1" x14ac:dyDescent="0.35">
      <c r="A13" s="509" t="s">
        <v>1451</v>
      </c>
      <c r="B13" s="508">
        <v>2804418.8899999997</v>
      </c>
      <c r="C13" s="428">
        <v>1</v>
      </c>
      <c r="D13" s="508">
        <v>2956741.1399999992</v>
      </c>
      <c r="E13" s="428">
        <v>1.0543150848623757</v>
      </c>
      <c r="F13" s="508">
        <v>2741705.5100000002</v>
      </c>
      <c r="G13" s="439">
        <v>0.97763765597799146</v>
      </c>
      <c r="H13" s="508"/>
      <c r="I13" s="428"/>
      <c r="J13" s="508"/>
      <c r="K13" s="428"/>
      <c r="L13" s="508"/>
      <c r="M13" s="439"/>
      <c r="N13" s="508"/>
      <c r="O13" s="428"/>
      <c r="P13" s="508"/>
      <c r="Q13" s="428"/>
      <c r="R13" s="508"/>
      <c r="S13" s="463"/>
    </row>
    <row r="14" spans="1:19" ht="14.4" customHeight="1" x14ac:dyDescent="0.3">
      <c r="A14" s="513" t="s">
        <v>1452</v>
      </c>
    </row>
    <row r="15" spans="1:19" ht="14.4" customHeight="1" x14ac:dyDescent="0.3">
      <c r="A15" s="514" t="s">
        <v>1453</v>
      </c>
    </row>
    <row r="16" spans="1:19" ht="14.4" customHeight="1" x14ac:dyDescent="0.3">
      <c r="A16" s="513" t="s">
        <v>1454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15" bestFit="1" customWidth="1"/>
    <col min="2" max="4" width="7.77734375" style="191" customWidth="1"/>
    <col min="5" max="7" width="7.77734375" style="91" customWidth="1"/>
    <col min="8" max="16384" width="8.88671875" style="115"/>
  </cols>
  <sheetData>
    <row r="1" spans="1:7" ht="18.600000000000001" customHeight="1" thickBot="1" x14ac:dyDescent="0.4">
      <c r="A1" s="359" t="s">
        <v>1456</v>
      </c>
      <c r="B1" s="302"/>
      <c r="C1" s="302"/>
      <c r="D1" s="302"/>
      <c r="E1" s="302"/>
      <c r="F1" s="302"/>
      <c r="G1" s="302"/>
    </row>
    <row r="2" spans="1:7" ht="14.4" customHeight="1" thickBot="1" x14ac:dyDescent="0.35">
      <c r="A2" s="212" t="s">
        <v>255</v>
      </c>
      <c r="B2" s="96"/>
      <c r="C2" s="96"/>
      <c r="D2" s="96"/>
      <c r="E2" s="96"/>
      <c r="F2" s="96"/>
      <c r="G2" s="96"/>
    </row>
    <row r="3" spans="1:7" ht="14.4" customHeight="1" thickBot="1" x14ac:dyDescent="0.35">
      <c r="A3" s="200" t="s">
        <v>108</v>
      </c>
      <c r="B3" s="292">
        <f t="shared" ref="B3:G3" si="0">SUBTOTAL(9,B6:B1048576)</f>
        <v>36632</v>
      </c>
      <c r="C3" s="293">
        <f t="shared" si="0"/>
        <v>40642</v>
      </c>
      <c r="D3" s="293">
        <f t="shared" si="0"/>
        <v>36115</v>
      </c>
      <c r="E3" s="204">
        <f t="shared" si="0"/>
        <v>9603012.1900000013</v>
      </c>
      <c r="F3" s="202">
        <f t="shared" si="0"/>
        <v>9865476.7499999981</v>
      </c>
      <c r="G3" s="294">
        <f t="shared" si="0"/>
        <v>9341055.5999999903</v>
      </c>
    </row>
    <row r="4" spans="1:7" ht="14.4" customHeight="1" x14ac:dyDescent="0.3">
      <c r="A4" s="360" t="s">
        <v>116</v>
      </c>
      <c r="B4" s="361" t="s">
        <v>230</v>
      </c>
      <c r="C4" s="362"/>
      <c r="D4" s="362"/>
      <c r="E4" s="364" t="s">
        <v>85</v>
      </c>
      <c r="F4" s="365"/>
      <c r="G4" s="366"/>
    </row>
    <row r="5" spans="1:7" ht="14.4" customHeight="1" thickBot="1" x14ac:dyDescent="0.35">
      <c r="A5" s="503"/>
      <c r="B5" s="504">
        <v>2013</v>
      </c>
      <c r="C5" s="505">
        <v>2014</v>
      </c>
      <c r="D5" s="505">
        <v>2015</v>
      </c>
      <c r="E5" s="504">
        <v>2013</v>
      </c>
      <c r="F5" s="505">
        <v>2014</v>
      </c>
      <c r="G5" s="515">
        <v>2015</v>
      </c>
    </row>
    <row r="6" spans="1:7" ht="14.4" customHeight="1" thickBot="1" x14ac:dyDescent="0.35">
      <c r="A6" s="518" t="s">
        <v>1455</v>
      </c>
      <c r="B6" s="440">
        <v>36632</v>
      </c>
      <c r="C6" s="440">
        <v>40642</v>
      </c>
      <c r="D6" s="440">
        <v>36115</v>
      </c>
      <c r="E6" s="516">
        <v>9603012.1900000013</v>
      </c>
      <c r="F6" s="516">
        <v>9865476.7499999981</v>
      </c>
      <c r="G6" s="517">
        <v>9341055.5999999903</v>
      </c>
    </row>
    <row r="7" spans="1:7" ht="14.4" customHeight="1" x14ac:dyDescent="0.3">
      <c r="A7" s="513" t="s">
        <v>1452</v>
      </c>
    </row>
    <row r="8" spans="1:7" ht="14.4" customHeight="1" x14ac:dyDescent="0.3">
      <c r="A8" s="514" t="s">
        <v>1453</v>
      </c>
    </row>
    <row r="9" spans="1:7" ht="14.4" customHeight="1" x14ac:dyDescent="0.3">
      <c r="A9" s="513" t="s">
        <v>1454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185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15" bestFit="1" customWidth="1"/>
    <col min="2" max="2" width="2.109375" style="115" bestFit="1" customWidth="1"/>
    <col min="3" max="3" width="8" style="115" customWidth="1"/>
    <col min="4" max="4" width="50.88671875" style="115" bestFit="1" customWidth="1"/>
    <col min="5" max="6" width="11.109375" style="191" customWidth="1"/>
    <col min="7" max="8" width="9.33203125" style="115" hidden="1" customWidth="1"/>
    <col min="9" max="10" width="11.109375" style="191" customWidth="1"/>
    <col min="11" max="12" width="9.33203125" style="115" hidden="1" customWidth="1"/>
    <col min="13" max="14" width="11.109375" style="191" customWidth="1"/>
    <col min="15" max="15" width="11.109375" style="194" customWidth="1"/>
    <col min="16" max="16" width="11.109375" style="191" customWidth="1"/>
    <col min="17" max="16384" width="8.88671875" style="115"/>
  </cols>
  <sheetData>
    <row r="1" spans="1:16" ht="18.600000000000001" customHeight="1" thickBot="1" x14ac:dyDescent="0.4">
      <c r="A1" s="302" t="s">
        <v>1689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</row>
    <row r="2" spans="1:16" ht="14.4" customHeight="1" thickBot="1" x14ac:dyDescent="0.35">
      <c r="A2" s="212" t="s">
        <v>255</v>
      </c>
      <c r="B2" s="116"/>
      <c r="C2" s="291"/>
      <c r="D2" s="116"/>
      <c r="E2" s="206"/>
      <c r="F2" s="206"/>
      <c r="G2" s="116"/>
      <c r="H2" s="116"/>
      <c r="I2" s="206"/>
      <c r="J2" s="206"/>
      <c r="K2" s="116"/>
      <c r="L2" s="116"/>
      <c r="M2" s="206"/>
      <c r="N2" s="206"/>
      <c r="O2" s="207"/>
      <c r="P2" s="206"/>
    </row>
    <row r="3" spans="1:16" ht="14.4" customHeight="1" thickBot="1" x14ac:dyDescent="0.35">
      <c r="D3" s="73" t="s">
        <v>108</v>
      </c>
      <c r="E3" s="88">
        <f t="shared" ref="E3:N3" si="0">SUBTOTAL(9,E6:E1048576)</f>
        <v>38164</v>
      </c>
      <c r="F3" s="89">
        <f t="shared" si="0"/>
        <v>10722980.639999999</v>
      </c>
      <c r="G3" s="66"/>
      <c r="H3" s="66"/>
      <c r="I3" s="89">
        <f t="shared" si="0"/>
        <v>42341</v>
      </c>
      <c r="J3" s="89">
        <f t="shared" si="0"/>
        <v>11048313.749999998</v>
      </c>
      <c r="K3" s="66"/>
      <c r="L3" s="66"/>
      <c r="M3" s="89">
        <f t="shared" si="0"/>
        <v>37800</v>
      </c>
      <c r="N3" s="89">
        <f t="shared" si="0"/>
        <v>10615312.6</v>
      </c>
      <c r="O3" s="67">
        <f>IF(F3=0,0,N3/F3)</f>
        <v>0.98995913136331104</v>
      </c>
      <c r="P3" s="90">
        <f>IF(M3=0,0,N3/M3)</f>
        <v>280.82837566137567</v>
      </c>
    </row>
    <row r="4" spans="1:16" ht="14.4" customHeight="1" x14ac:dyDescent="0.3">
      <c r="A4" s="368" t="s">
        <v>82</v>
      </c>
      <c r="B4" s="369" t="s">
        <v>83</v>
      </c>
      <c r="C4" s="374" t="s">
        <v>58</v>
      </c>
      <c r="D4" s="370" t="s">
        <v>57</v>
      </c>
      <c r="E4" s="371">
        <v>2013</v>
      </c>
      <c r="F4" s="372"/>
      <c r="G4" s="87"/>
      <c r="H4" s="87"/>
      <c r="I4" s="371">
        <v>2014</v>
      </c>
      <c r="J4" s="372"/>
      <c r="K4" s="87"/>
      <c r="L4" s="87"/>
      <c r="M4" s="371">
        <v>2015</v>
      </c>
      <c r="N4" s="372"/>
      <c r="O4" s="373" t="s">
        <v>2</v>
      </c>
      <c r="P4" s="367" t="s">
        <v>84</v>
      </c>
    </row>
    <row r="5" spans="1:16" ht="14.4" customHeight="1" thickBot="1" x14ac:dyDescent="0.35">
      <c r="A5" s="519"/>
      <c r="B5" s="520"/>
      <c r="C5" s="521"/>
      <c r="D5" s="522"/>
      <c r="E5" s="523" t="s">
        <v>59</v>
      </c>
      <c r="F5" s="524" t="s">
        <v>14</v>
      </c>
      <c r="G5" s="525"/>
      <c r="H5" s="525"/>
      <c r="I5" s="523" t="s">
        <v>59</v>
      </c>
      <c r="J5" s="524" t="s">
        <v>14</v>
      </c>
      <c r="K5" s="525"/>
      <c r="L5" s="525"/>
      <c r="M5" s="523" t="s">
        <v>59</v>
      </c>
      <c r="N5" s="524" t="s">
        <v>14</v>
      </c>
      <c r="O5" s="526"/>
      <c r="P5" s="527"/>
    </row>
    <row r="6" spans="1:16" ht="14.4" customHeight="1" x14ac:dyDescent="0.3">
      <c r="A6" s="415" t="s">
        <v>1457</v>
      </c>
      <c r="B6" s="416" t="s">
        <v>1458</v>
      </c>
      <c r="C6" s="416" t="s">
        <v>1459</v>
      </c>
      <c r="D6" s="416"/>
      <c r="E6" s="419">
        <v>3</v>
      </c>
      <c r="F6" s="419">
        <v>12.45</v>
      </c>
      <c r="G6" s="416">
        <v>1</v>
      </c>
      <c r="H6" s="416">
        <v>4.1499999999999995</v>
      </c>
      <c r="I6" s="419"/>
      <c r="J6" s="419"/>
      <c r="K6" s="416"/>
      <c r="L6" s="416"/>
      <c r="M6" s="419"/>
      <c r="N6" s="419"/>
      <c r="O6" s="438"/>
      <c r="P6" s="420"/>
    </row>
    <row r="7" spans="1:16" ht="14.4" customHeight="1" x14ac:dyDescent="0.3">
      <c r="A7" s="421" t="s">
        <v>1457</v>
      </c>
      <c r="B7" s="422" t="s">
        <v>1458</v>
      </c>
      <c r="C7" s="422" t="s">
        <v>1460</v>
      </c>
      <c r="D7" s="422"/>
      <c r="E7" s="425">
        <v>4</v>
      </c>
      <c r="F7" s="425">
        <v>1332</v>
      </c>
      <c r="G7" s="422">
        <v>1</v>
      </c>
      <c r="H7" s="422">
        <v>333</v>
      </c>
      <c r="I7" s="425">
        <v>1</v>
      </c>
      <c r="J7" s="425">
        <v>333</v>
      </c>
      <c r="K7" s="422">
        <v>0.25</v>
      </c>
      <c r="L7" s="422">
        <v>333</v>
      </c>
      <c r="M7" s="425">
        <v>1</v>
      </c>
      <c r="N7" s="425">
        <v>333</v>
      </c>
      <c r="O7" s="447">
        <v>0.25</v>
      </c>
      <c r="P7" s="426">
        <v>333</v>
      </c>
    </row>
    <row r="8" spans="1:16" ht="14.4" customHeight="1" x14ac:dyDescent="0.3">
      <c r="A8" s="421" t="s">
        <v>1457</v>
      </c>
      <c r="B8" s="422" t="s">
        <v>1458</v>
      </c>
      <c r="C8" s="422" t="s">
        <v>1461</v>
      </c>
      <c r="D8" s="422"/>
      <c r="E8" s="425">
        <v>3</v>
      </c>
      <c r="F8" s="425">
        <v>4971</v>
      </c>
      <c r="G8" s="422">
        <v>1</v>
      </c>
      <c r="H8" s="422">
        <v>1657</v>
      </c>
      <c r="I8" s="425">
        <v>2</v>
      </c>
      <c r="J8" s="425">
        <v>3314</v>
      </c>
      <c r="K8" s="422">
        <v>0.66666666666666663</v>
      </c>
      <c r="L8" s="422">
        <v>1657</v>
      </c>
      <c r="M8" s="425">
        <v>1</v>
      </c>
      <c r="N8" s="425">
        <v>1657</v>
      </c>
      <c r="O8" s="447">
        <v>0.33333333333333331</v>
      </c>
      <c r="P8" s="426">
        <v>1657</v>
      </c>
    </row>
    <row r="9" spans="1:16" ht="14.4" customHeight="1" x14ac:dyDescent="0.3">
      <c r="A9" s="421" t="s">
        <v>1457</v>
      </c>
      <c r="B9" s="422" t="s">
        <v>1458</v>
      </c>
      <c r="C9" s="422" t="s">
        <v>1462</v>
      </c>
      <c r="D9" s="422"/>
      <c r="E9" s="425">
        <v>3</v>
      </c>
      <c r="F9" s="425">
        <v>3537</v>
      </c>
      <c r="G9" s="422">
        <v>1</v>
      </c>
      <c r="H9" s="422">
        <v>1179</v>
      </c>
      <c r="I9" s="425">
        <v>2</v>
      </c>
      <c r="J9" s="425">
        <v>2358</v>
      </c>
      <c r="K9" s="422">
        <v>0.66666666666666663</v>
      </c>
      <c r="L9" s="422">
        <v>1179</v>
      </c>
      <c r="M9" s="425"/>
      <c r="N9" s="425"/>
      <c r="O9" s="447"/>
      <c r="P9" s="426"/>
    </row>
    <row r="10" spans="1:16" ht="14.4" customHeight="1" x14ac:dyDescent="0.3">
      <c r="A10" s="421" t="s">
        <v>1457</v>
      </c>
      <c r="B10" s="422" t="s">
        <v>1458</v>
      </c>
      <c r="C10" s="422" t="s">
        <v>1463</v>
      </c>
      <c r="D10" s="422"/>
      <c r="E10" s="425"/>
      <c r="F10" s="425"/>
      <c r="G10" s="422"/>
      <c r="H10" s="422"/>
      <c r="I10" s="425"/>
      <c r="J10" s="425"/>
      <c r="K10" s="422"/>
      <c r="L10" s="422"/>
      <c r="M10" s="425">
        <v>1</v>
      </c>
      <c r="N10" s="425">
        <v>185</v>
      </c>
      <c r="O10" s="447"/>
      <c r="P10" s="426">
        <v>185</v>
      </c>
    </row>
    <row r="11" spans="1:16" ht="14.4" customHeight="1" x14ac:dyDescent="0.3">
      <c r="A11" s="421" t="s">
        <v>1457</v>
      </c>
      <c r="B11" s="422" t="s">
        <v>1458</v>
      </c>
      <c r="C11" s="422" t="s">
        <v>1464</v>
      </c>
      <c r="D11" s="422"/>
      <c r="E11" s="425">
        <v>1</v>
      </c>
      <c r="F11" s="425">
        <v>1281</v>
      </c>
      <c r="G11" s="422">
        <v>1</v>
      </c>
      <c r="H11" s="422">
        <v>1281</v>
      </c>
      <c r="I11" s="425">
        <v>1</v>
      </c>
      <c r="J11" s="425">
        <v>1281</v>
      </c>
      <c r="K11" s="422">
        <v>1</v>
      </c>
      <c r="L11" s="422">
        <v>1281</v>
      </c>
      <c r="M11" s="425">
        <v>1</v>
      </c>
      <c r="N11" s="425">
        <v>1281</v>
      </c>
      <c r="O11" s="447">
        <v>1</v>
      </c>
      <c r="P11" s="426">
        <v>1281</v>
      </c>
    </row>
    <row r="12" spans="1:16" ht="14.4" customHeight="1" x14ac:dyDescent="0.3">
      <c r="A12" s="421" t="s">
        <v>1457</v>
      </c>
      <c r="B12" s="422" t="s">
        <v>1458</v>
      </c>
      <c r="C12" s="422" t="s">
        <v>1465</v>
      </c>
      <c r="D12" s="422"/>
      <c r="E12" s="425">
        <v>45</v>
      </c>
      <c r="F12" s="425">
        <v>5085</v>
      </c>
      <c r="G12" s="422">
        <v>1</v>
      </c>
      <c r="H12" s="422">
        <v>113</v>
      </c>
      <c r="I12" s="425">
        <v>28</v>
      </c>
      <c r="J12" s="425">
        <v>3164</v>
      </c>
      <c r="K12" s="422">
        <v>0.62222222222222223</v>
      </c>
      <c r="L12" s="422">
        <v>113</v>
      </c>
      <c r="M12" s="425">
        <v>46</v>
      </c>
      <c r="N12" s="425">
        <v>5198</v>
      </c>
      <c r="O12" s="447">
        <v>1.0222222222222221</v>
      </c>
      <c r="P12" s="426">
        <v>113</v>
      </c>
    </row>
    <row r="13" spans="1:16" ht="14.4" customHeight="1" x14ac:dyDescent="0.3">
      <c r="A13" s="421" t="s">
        <v>1457</v>
      </c>
      <c r="B13" s="422" t="s">
        <v>1458</v>
      </c>
      <c r="C13" s="422" t="s">
        <v>1466</v>
      </c>
      <c r="D13" s="422"/>
      <c r="E13" s="425"/>
      <c r="F13" s="425"/>
      <c r="G13" s="422"/>
      <c r="H13" s="422"/>
      <c r="I13" s="425">
        <v>1</v>
      </c>
      <c r="J13" s="425">
        <v>132</v>
      </c>
      <c r="K13" s="422"/>
      <c r="L13" s="422">
        <v>132</v>
      </c>
      <c r="M13" s="425"/>
      <c r="N13" s="425"/>
      <c r="O13" s="447"/>
      <c r="P13" s="426"/>
    </row>
    <row r="14" spans="1:16" ht="14.4" customHeight="1" x14ac:dyDescent="0.3">
      <c r="A14" s="421" t="s">
        <v>1457</v>
      </c>
      <c r="B14" s="422" t="s">
        <v>1458</v>
      </c>
      <c r="C14" s="422" t="s">
        <v>1467</v>
      </c>
      <c r="D14" s="422"/>
      <c r="E14" s="425">
        <v>4</v>
      </c>
      <c r="F14" s="425">
        <v>876</v>
      </c>
      <c r="G14" s="422">
        <v>1</v>
      </c>
      <c r="H14" s="422">
        <v>219</v>
      </c>
      <c r="I14" s="425">
        <v>2</v>
      </c>
      <c r="J14" s="425">
        <v>438</v>
      </c>
      <c r="K14" s="422">
        <v>0.5</v>
      </c>
      <c r="L14" s="422">
        <v>219</v>
      </c>
      <c r="M14" s="425">
        <v>11</v>
      </c>
      <c r="N14" s="425">
        <v>2409</v>
      </c>
      <c r="O14" s="447">
        <v>2.75</v>
      </c>
      <c r="P14" s="426">
        <v>219</v>
      </c>
    </row>
    <row r="15" spans="1:16" ht="14.4" customHeight="1" x14ac:dyDescent="0.3">
      <c r="A15" s="421" t="s">
        <v>1457</v>
      </c>
      <c r="B15" s="422" t="s">
        <v>1458</v>
      </c>
      <c r="C15" s="422" t="s">
        <v>1468</v>
      </c>
      <c r="D15" s="422"/>
      <c r="E15" s="425">
        <v>2</v>
      </c>
      <c r="F15" s="425">
        <v>472</v>
      </c>
      <c r="G15" s="422">
        <v>1</v>
      </c>
      <c r="H15" s="422">
        <v>236</v>
      </c>
      <c r="I15" s="425">
        <v>7</v>
      </c>
      <c r="J15" s="425">
        <v>1652</v>
      </c>
      <c r="K15" s="422">
        <v>3.5</v>
      </c>
      <c r="L15" s="422">
        <v>236</v>
      </c>
      <c r="M15" s="425">
        <v>9</v>
      </c>
      <c r="N15" s="425">
        <v>2124</v>
      </c>
      <c r="O15" s="447">
        <v>4.5</v>
      </c>
      <c r="P15" s="426">
        <v>236</v>
      </c>
    </row>
    <row r="16" spans="1:16" ht="14.4" customHeight="1" x14ac:dyDescent="0.3">
      <c r="A16" s="421" t="s">
        <v>1457</v>
      </c>
      <c r="B16" s="422" t="s">
        <v>1458</v>
      </c>
      <c r="C16" s="422" t="s">
        <v>1469</v>
      </c>
      <c r="D16" s="422"/>
      <c r="E16" s="425">
        <v>16</v>
      </c>
      <c r="F16" s="425">
        <v>2496</v>
      </c>
      <c r="G16" s="422">
        <v>1</v>
      </c>
      <c r="H16" s="422">
        <v>156</v>
      </c>
      <c r="I16" s="425">
        <v>21</v>
      </c>
      <c r="J16" s="425">
        <v>3276</v>
      </c>
      <c r="K16" s="422">
        <v>1.3125</v>
      </c>
      <c r="L16" s="422">
        <v>156</v>
      </c>
      <c r="M16" s="425">
        <v>19</v>
      </c>
      <c r="N16" s="425">
        <v>2964</v>
      </c>
      <c r="O16" s="447">
        <v>1.1875</v>
      </c>
      <c r="P16" s="426">
        <v>156</v>
      </c>
    </row>
    <row r="17" spans="1:16" ht="14.4" customHeight="1" x14ac:dyDescent="0.3">
      <c r="A17" s="421" t="s">
        <v>1457</v>
      </c>
      <c r="B17" s="422" t="s">
        <v>1458</v>
      </c>
      <c r="C17" s="422" t="s">
        <v>1470</v>
      </c>
      <c r="D17" s="422"/>
      <c r="E17" s="425">
        <v>13</v>
      </c>
      <c r="F17" s="425">
        <v>2470</v>
      </c>
      <c r="G17" s="422">
        <v>1</v>
      </c>
      <c r="H17" s="422">
        <v>190</v>
      </c>
      <c r="I17" s="425">
        <v>9</v>
      </c>
      <c r="J17" s="425">
        <v>950</v>
      </c>
      <c r="K17" s="422">
        <v>0.38461538461538464</v>
      </c>
      <c r="L17" s="422">
        <v>105.55555555555556</v>
      </c>
      <c r="M17" s="425">
        <v>9</v>
      </c>
      <c r="N17" s="425">
        <v>1710</v>
      </c>
      <c r="O17" s="447">
        <v>0.69230769230769229</v>
      </c>
      <c r="P17" s="426">
        <v>190</v>
      </c>
    </row>
    <row r="18" spans="1:16" ht="14.4" customHeight="1" x14ac:dyDescent="0.3">
      <c r="A18" s="421" t="s">
        <v>1457</v>
      </c>
      <c r="B18" s="422" t="s">
        <v>1458</v>
      </c>
      <c r="C18" s="422" t="s">
        <v>1471</v>
      </c>
      <c r="D18" s="422"/>
      <c r="E18" s="425">
        <v>1</v>
      </c>
      <c r="F18" s="425">
        <v>84</v>
      </c>
      <c r="G18" s="422">
        <v>1</v>
      </c>
      <c r="H18" s="422">
        <v>84</v>
      </c>
      <c r="I18" s="425">
        <v>2</v>
      </c>
      <c r="J18" s="425">
        <v>168</v>
      </c>
      <c r="K18" s="422">
        <v>2</v>
      </c>
      <c r="L18" s="422">
        <v>84</v>
      </c>
      <c r="M18" s="425">
        <v>6</v>
      </c>
      <c r="N18" s="425">
        <v>504</v>
      </c>
      <c r="O18" s="447">
        <v>6</v>
      </c>
      <c r="P18" s="426">
        <v>84</v>
      </c>
    </row>
    <row r="19" spans="1:16" ht="14.4" customHeight="1" x14ac:dyDescent="0.3">
      <c r="A19" s="421" t="s">
        <v>1457</v>
      </c>
      <c r="B19" s="422" t="s">
        <v>1458</v>
      </c>
      <c r="C19" s="422" t="s">
        <v>1472</v>
      </c>
      <c r="D19" s="422"/>
      <c r="E19" s="425">
        <v>4</v>
      </c>
      <c r="F19" s="425">
        <v>420</v>
      </c>
      <c r="G19" s="422">
        <v>1</v>
      </c>
      <c r="H19" s="422">
        <v>105</v>
      </c>
      <c r="I19" s="425">
        <v>5</v>
      </c>
      <c r="J19" s="425">
        <v>525</v>
      </c>
      <c r="K19" s="422">
        <v>1.25</v>
      </c>
      <c r="L19" s="422">
        <v>105</v>
      </c>
      <c r="M19" s="425">
        <v>3</v>
      </c>
      <c r="N19" s="425">
        <v>315</v>
      </c>
      <c r="O19" s="447">
        <v>0.75</v>
      </c>
      <c r="P19" s="426">
        <v>105</v>
      </c>
    </row>
    <row r="20" spans="1:16" ht="14.4" customHeight="1" x14ac:dyDescent="0.3">
      <c r="A20" s="421" t="s">
        <v>1457</v>
      </c>
      <c r="B20" s="422" t="s">
        <v>1458</v>
      </c>
      <c r="C20" s="422" t="s">
        <v>1473</v>
      </c>
      <c r="D20" s="422"/>
      <c r="E20" s="425">
        <v>48</v>
      </c>
      <c r="F20" s="425">
        <v>28608</v>
      </c>
      <c r="G20" s="422">
        <v>1</v>
      </c>
      <c r="H20" s="422">
        <v>596</v>
      </c>
      <c r="I20" s="425">
        <v>66</v>
      </c>
      <c r="J20" s="425">
        <v>39336</v>
      </c>
      <c r="K20" s="422">
        <v>1.375</v>
      </c>
      <c r="L20" s="422">
        <v>596</v>
      </c>
      <c r="M20" s="425">
        <v>49</v>
      </c>
      <c r="N20" s="425">
        <v>29204</v>
      </c>
      <c r="O20" s="447">
        <v>1.0208333333333333</v>
      </c>
      <c r="P20" s="426">
        <v>596</v>
      </c>
    </row>
    <row r="21" spans="1:16" ht="14.4" customHeight="1" x14ac:dyDescent="0.3">
      <c r="A21" s="421" t="s">
        <v>1457</v>
      </c>
      <c r="B21" s="422" t="s">
        <v>1458</v>
      </c>
      <c r="C21" s="422" t="s">
        <v>1474</v>
      </c>
      <c r="D21" s="422"/>
      <c r="E21" s="425">
        <v>22</v>
      </c>
      <c r="F21" s="425">
        <v>14652</v>
      </c>
      <c r="G21" s="422">
        <v>1</v>
      </c>
      <c r="H21" s="422">
        <v>666</v>
      </c>
      <c r="I21" s="425">
        <v>18</v>
      </c>
      <c r="J21" s="425">
        <v>11988</v>
      </c>
      <c r="K21" s="422">
        <v>0.81818181818181823</v>
      </c>
      <c r="L21" s="422">
        <v>666</v>
      </c>
      <c r="M21" s="425">
        <v>7</v>
      </c>
      <c r="N21" s="425">
        <v>4662</v>
      </c>
      <c r="O21" s="447">
        <v>0.31818181818181818</v>
      </c>
      <c r="P21" s="426">
        <v>666</v>
      </c>
    </row>
    <row r="22" spans="1:16" ht="14.4" customHeight="1" x14ac:dyDescent="0.3">
      <c r="A22" s="421" t="s">
        <v>1457</v>
      </c>
      <c r="B22" s="422" t="s">
        <v>1458</v>
      </c>
      <c r="C22" s="422" t="s">
        <v>1475</v>
      </c>
      <c r="D22" s="422"/>
      <c r="E22" s="425">
        <v>1</v>
      </c>
      <c r="F22" s="425">
        <v>770</v>
      </c>
      <c r="G22" s="422">
        <v>1</v>
      </c>
      <c r="H22" s="422">
        <v>770</v>
      </c>
      <c r="I22" s="425">
        <v>1</v>
      </c>
      <c r="J22" s="425">
        <v>770</v>
      </c>
      <c r="K22" s="422">
        <v>1</v>
      </c>
      <c r="L22" s="422">
        <v>770</v>
      </c>
      <c r="M22" s="425"/>
      <c r="N22" s="425"/>
      <c r="O22" s="447"/>
      <c r="P22" s="426"/>
    </row>
    <row r="23" spans="1:16" ht="14.4" customHeight="1" x14ac:dyDescent="0.3">
      <c r="A23" s="421" t="s">
        <v>1457</v>
      </c>
      <c r="B23" s="422" t="s">
        <v>1458</v>
      </c>
      <c r="C23" s="422" t="s">
        <v>1476</v>
      </c>
      <c r="D23" s="422"/>
      <c r="E23" s="425">
        <v>24</v>
      </c>
      <c r="F23" s="425">
        <v>28128</v>
      </c>
      <c r="G23" s="422">
        <v>1</v>
      </c>
      <c r="H23" s="422">
        <v>1172</v>
      </c>
      <c r="I23" s="425">
        <v>37</v>
      </c>
      <c r="J23" s="425">
        <v>43364</v>
      </c>
      <c r="K23" s="422">
        <v>1.5416666666666667</v>
      </c>
      <c r="L23" s="422">
        <v>1172</v>
      </c>
      <c r="M23" s="425">
        <v>33</v>
      </c>
      <c r="N23" s="425">
        <v>38676</v>
      </c>
      <c r="O23" s="447">
        <v>1.375</v>
      </c>
      <c r="P23" s="426">
        <v>1172</v>
      </c>
    </row>
    <row r="24" spans="1:16" ht="14.4" customHeight="1" x14ac:dyDescent="0.3">
      <c r="A24" s="421" t="s">
        <v>1457</v>
      </c>
      <c r="B24" s="422" t="s">
        <v>1458</v>
      </c>
      <c r="C24" s="422" t="s">
        <v>1477</v>
      </c>
      <c r="D24" s="422"/>
      <c r="E24" s="425">
        <v>28</v>
      </c>
      <c r="F24" s="425">
        <v>22400</v>
      </c>
      <c r="G24" s="422">
        <v>1</v>
      </c>
      <c r="H24" s="422">
        <v>800</v>
      </c>
      <c r="I24" s="425">
        <v>27</v>
      </c>
      <c r="J24" s="425">
        <v>21600</v>
      </c>
      <c r="K24" s="422">
        <v>0.9642857142857143</v>
      </c>
      <c r="L24" s="422">
        <v>800</v>
      </c>
      <c r="M24" s="425">
        <v>32</v>
      </c>
      <c r="N24" s="425">
        <v>25600</v>
      </c>
      <c r="O24" s="447">
        <v>1.1428571428571428</v>
      </c>
      <c r="P24" s="426">
        <v>800</v>
      </c>
    </row>
    <row r="25" spans="1:16" ht="14.4" customHeight="1" x14ac:dyDescent="0.3">
      <c r="A25" s="421" t="s">
        <v>1457</v>
      </c>
      <c r="B25" s="422" t="s">
        <v>1458</v>
      </c>
      <c r="C25" s="422" t="s">
        <v>1478</v>
      </c>
      <c r="D25" s="422"/>
      <c r="E25" s="425"/>
      <c r="F25" s="425"/>
      <c r="G25" s="422"/>
      <c r="H25" s="422"/>
      <c r="I25" s="425">
        <v>12</v>
      </c>
      <c r="J25" s="425">
        <v>8940</v>
      </c>
      <c r="K25" s="422"/>
      <c r="L25" s="422">
        <v>745</v>
      </c>
      <c r="M25" s="425">
        <v>8</v>
      </c>
      <c r="N25" s="425">
        <v>5960</v>
      </c>
      <c r="O25" s="447"/>
      <c r="P25" s="426">
        <v>745</v>
      </c>
    </row>
    <row r="26" spans="1:16" ht="14.4" customHeight="1" x14ac:dyDescent="0.3">
      <c r="A26" s="421" t="s">
        <v>1457</v>
      </c>
      <c r="B26" s="422" t="s">
        <v>1458</v>
      </c>
      <c r="C26" s="422" t="s">
        <v>1479</v>
      </c>
      <c r="D26" s="422"/>
      <c r="E26" s="425">
        <v>20</v>
      </c>
      <c r="F26" s="425">
        <v>14900</v>
      </c>
      <c r="G26" s="422">
        <v>1</v>
      </c>
      <c r="H26" s="422">
        <v>745</v>
      </c>
      <c r="I26" s="425">
        <v>19</v>
      </c>
      <c r="J26" s="425">
        <v>14155</v>
      </c>
      <c r="K26" s="422">
        <v>0.95</v>
      </c>
      <c r="L26" s="422">
        <v>745</v>
      </c>
      <c r="M26" s="425">
        <v>29</v>
      </c>
      <c r="N26" s="425">
        <v>21605</v>
      </c>
      <c r="O26" s="447">
        <v>1.45</v>
      </c>
      <c r="P26" s="426">
        <v>745</v>
      </c>
    </row>
    <row r="27" spans="1:16" ht="14.4" customHeight="1" x14ac:dyDescent="0.3">
      <c r="A27" s="421" t="s">
        <v>1457</v>
      </c>
      <c r="B27" s="422" t="s">
        <v>1458</v>
      </c>
      <c r="C27" s="422" t="s">
        <v>1480</v>
      </c>
      <c r="D27" s="422"/>
      <c r="E27" s="425">
        <v>2</v>
      </c>
      <c r="F27" s="425">
        <v>1122</v>
      </c>
      <c r="G27" s="422">
        <v>1</v>
      </c>
      <c r="H27" s="422">
        <v>561</v>
      </c>
      <c r="I27" s="425"/>
      <c r="J27" s="425"/>
      <c r="K27" s="422"/>
      <c r="L27" s="422"/>
      <c r="M27" s="425"/>
      <c r="N27" s="425"/>
      <c r="O27" s="447"/>
      <c r="P27" s="426"/>
    </row>
    <row r="28" spans="1:16" ht="14.4" customHeight="1" x14ac:dyDescent="0.3">
      <c r="A28" s="421" t="s">
        <v>1457</v>
      </c>
      <c r="B28" s="422" t="s">
        <v>1458</v>
      </c>
      <c r="C28" s="422" t="s">
        <v>1481</v>
      </c>
      <c r="D28" s="422"/>
      <c r="E28" s="425">
        <v>9</v>
      </c>
      <c r="F28" s="425">
        <v>5328</v>
      </c>
      <c r="G28" s="422">
        <v>1</v>
      </c>
      <c r="H28" s="422">
        <v>592</v>
      </c>
      <c r="I28" s="425">
        <v>6</v>
      </c>
      <c r="J28" s="425">
        <v>3552</v>
      </c>
      <c r="K28" s="422">
        <v>0.66666666666666663</v>
      </c>
      <c r="L28" s="422">
        <v>592</v>
      </c>
      <c r="M28" s="425">
        <v>3</v>
      </c>
      <c r="N28" s="425">
        <v>1776</v>
      </c>
      <c r="O28" s="447">
        <v>0.33333333333333331</v>
      </c>
      <c r="P28" s="426">
        <v>592</v>
      </c>
    </row>
    <row r="29" spans="1:16" ht="14.4" customHeight="1" x14ac:dyDescent="0.3">
      <c r="A29" s="421" t="s">
        <v>1457</v>
      </c>
      <c r="B29" s="422" t="s">
        <v>1458</v>
      </c>
      <c r="C29" s="422" t="s">
        <v>1482</v>
      </c>
      <c r="D29" s="422"/>
      <c r="E29" s="425">
        <v>80</v>
      </c>
      <c r="F29" s="425">
        <v>44880</v>
      </c>
      <c r="G29" s="422">
        <v>1</v>
      </c>
      <c r="H29" s="422">
        <v>561</v>
      </c>
      <c r="I29" s="425">
        <v>71</v>
      </c>
      <c r="J29" s="425">
        <v>39831</v>
      </c>
      <c r="K29" s="422">
        <v>0.88749999999999996</v>
      </c>
      <c r="L29" s="422">
        <v>561</v>
      </c>
      <c r="M29" s="425">
        <v>78</v>
      </c>
      <c r="N29" s="425">
        <v>43758</v>
      </c>
      <c r="O29" s="447">
        <v>0.97499999999999998</v>
      </c>
      <c r="P29" s="426">
        <v>561</v>
      </c>
    </row>
    <row r="30" spans="1:16" ht="14.4" customHeight="1" x14ac:dyDescent="0.3">
      <c r="A30" s="421" t="s">
        <v>1457</v>
      </c>
      <c r="B30" s="422" t="s">
        <v>1458</v>
      </c>
      <c r="C30" s="422" t="s">
        <v>1483</v>
      </c>
      <c r="D30" s="422"/>
      <c r="E30" s="425">
        <v>70</v>
      </c>
      <c r="F30" s="425">
        <v>36330</v>
      </c>
      <c r="G30" s="422">
        <v>1</v>
      </c>
      <c r="H30" s="422">
        <v>519</v>
      </c>
      <c r="I30" s="425">
        <v>75</v>
      </c>
      <c r="J30" s="425">
        <v>38925</v>
      </c>
      <c r="K30" s="422">
        <v>1.0714285714285714</v>
      </c>
      <c r="L30" s="422">
        <v>519</v>
      </c>
      <c r="M30" s="425">
        <v>75</v>
      </c>
      <c r="N30" s="425">
        <v>38925</v>
      </c>
      <c r="O30" s="447">
        <v>1.0714285714285714</v>
      </c>
      <c r="P30" s="426">
        <v>519</v>
      </c>
    </row>
    <row r="31" spans="1:16" ht="14.4" customHeight="1" x14ac:dyDescent="0.3">
      <c r="A31" s="421" t="s">
        <v>1457</v>
      </c>
      <c r="B31" s="422" t="s">
        <v>1458</v>
      </c>
      <c r="C31" s="422" t="s">
        <v>1484</v>
      </c>
      <c r="D31" s="422"/>
      <c r="E31" s="425">
        <v>5</v>
      </c>
      <c r="F31" s="425">
        <v>1605</v>
      </c>
      <c r="G31" s="422">
        <v>1</v>
      </c>
      <c r="H31" s="422">
        <v>321</v>
      </c>
      <c r="I31" s="425">
        <v>6</v>
      </c>
      <c r="J31" s="425">
        <v>1926</v>
      </c>
      <c r="K31" s="422">
        <v>1.2</v>
      </c>
      <c r="L31" s="422">
        <v>321</v>
      </c>
      <c r="M31" s="425">
        <v>6</v>
      </c>
      <c r="N31" s="425">
        <v>1926</v>
      </c>
      <c r="O31" s="447">
        <v>1.2</v>
      </c>
      <c r="P31" s="426">
        <v>321</v>
      </c>
    </row>
    <row r="32" spans="1:16" ht="14.4" customHeight="1" x14ac:dyDescent="0.3">
      <c r="A32" s="421" t="s">
        <v>1457</v>
      </c>
      <c r="B32" s="422" t="s">
        <v>1458</v>
      </c>
      <c r="C32" s="422" t="s">
        <v>1485</v>
      </c>
      <c r="D32" s="422"/>
      <c r="E32" s="425">
        <v>4</v>
      </c>
      <c r="F32" s="425">
        <v>1284</v>
      </c>
      <c r="G32" s="422">
        <v>1</v>
      </c>
      <c r="H32" s="422">
        <v>321</v>
      </c>
      <c r="I32" s="425">
        <v>7</v>
      </c>
      <c r="J32" s="425">
        <v>2247</v>
      </c>
      <c r="K32" s="422">
        <v>1.75</v>
      </c>
      <c r="L32" s="422">
        <v>321</v>
      </c>
      <c r="M32" s="425">
        <v>10</v>
      </c>
      <c r="N32" s="425">
        <v>3210</v>
      </c>
      <c r="O32" s="447">
        <v>2.5</v>
      </c>
      <c r="P32" s="426">
        <v>321</v>
      </c>
    </row>
    <row r="33" spans="1:16" ht="14.4" customHeight="1" x14ac:dyDescent="0.3">
      <c r="A33" s="421" t="s">
        <v>1457</v>
      </c>
      <c r="B33" s="422" t="s">
        <v>1458</v>
      </c>
      <c r="C33" s="422" t="s">
        <v>1486</v>
      </c>
      <c r="D33" s="422"/>
      <c r="E33" s="425">
        <v>53</v>
      </c>
      <c r="F33" s="425">
        <v>17013</v>
      </c>
      <c r="G33" s="422">
        <v>1</v>
      </c>
      <c r="H33" s="422">
        <v>321</v>
      </c>
      <c r="I33" s="425">
        <v>57</v>
      </c>
      <c r="J33" s="425">
        <v>18297</v>
      </c>
      <c r="K33" s="422">
        <v>1.0754716981132075</v>
      </c>
      <c r="L33" s="422">
        <v>321</v>
      </c>
      <c r="M33" s="425">
        <v>43</v>
      </c>
      <c r="N33" s="425">
        <v>13803</v>
      </c>
      <c r="O33" s="447">
        <v>0.81132075471698117</v>
      </c>
      <c r="P33" s="426">
        <v>321</v>
      </c>
    </row>
    <row r="34" spans="1:16" ht="14.4" customHeight="1" x14ac:dyDescent="0.3">
      <c r="A34" s="421" t="s">
        <v>1457</v>
      </c>
      <c r="B34" s="422" t="s">
        <v>1458</v>
      </c>
      <c r="C34" s="422" t="s">
        <v>1487</v>
      </c>
      <c r="D34" s="422"/>
      <c r="E34" s="425">
        <v>1</v>
      </c>
      <c r="F34" s="425">
        <v>1230</v>
      </c>
      <c r="G34" s="422">
        <v>1</v>
      </c>
      <c r="H34" s="422">
        <v>1230</v>
      </c>
      <c r="I34" s="425">
        <v>4</v>
      </c>
      <c r="J34" s="425">
        <v>4920</v>
      </c>
      <c r="K34" s="422">
        <v>4</v>
      </c>
      <c r="L34" s="422">
        <v>1230</v>
      </c>
      <c r="M34" s="425">
        <v>2</v>
      </c>
      <c r="N34" s="425">
        <v>2460</v>
      </c>
      <c r="O34" s="447">
        <v>2</v>
      </c>
      <c r="P34" s="426">
        <v>1230</v>
      </c>
    </row>
    <row r="35" spans="1:16" ht="14.4" customHeight="1" x14ac:dyDescent="0.3">
      <c r="A35" s="421" t="s">
        <v>1457</v>
      </c>
      <c r="B35" s="422" t="s">
        <v>1458</v>
      </c>
      <c r="C35" s="422" t="s">
        <v>1488</v>
      </c>
      <c r="D35" s="422"/>
      <c r="E35" s="425">
        <v>67</v>
      </c>
      <c r="F35" s="425">
        <v>18894</v>
      </c>
      <c r="G35" s="422">
        <v>1</v>
      </c>
      <c r="H35" s="422">
        <v>282</v>
      </c>
      <c r="I35" s="425">
        <v>94</v>
      </c>
      <c r="J35" s="425">
        <v>25380</v>
      </c>
      <c r="K35" s="422">
        <v>1.3432835820895523</v>
      </c>
      <c r="L35" s="422">
        <v>270</v>
      </c>
      <c r="M35" s="425">
        <v>73</v>
      </c>
      <c r="N35" s="425">
        <v>20586</v>
      </c>
      <c r="O35" s="447">
        <v>1.0895522388059702</v>
      </c>
      <c r="P35" s="426">
        <v>282</v>
      </c>
    </row>
    <row r="36" spans="1:16" ht="14.4" customHeight="1" x14ac:dyDescent="0.3">
      <c r="A36" s="421" t="s">
        <v>1457</v>
      </c>
      <c r="B36" s="422" t="s">
        <v>1458</v>
      </c>
      <c r="C36" s="422" t="s">
        <v>1489</v>
      </c>
      <c r="D36" s="422"/>
      <c r="E36" s="425">
        <v>41</v>
      </c>
      <c r="F36" s="425">
        <v>27839</v>
      </c>
      <c r="G36" s="422">
        <v>1</v>
      </c>
      <c r="H36" s="422">
        <v>679</v>
      </c>
      <c r="I36" s="425">
        <v>29</v>
      </c>
      <c r="J36" s="425">
        <v>19691</v>
      </c>
      <c r="K36" s="422">
        <v>0.70731707317073167</v>
      </c>
      <c r="L36" s="422">
        <v>679</v>
      </c>
      <c r="M36" s="425">
        <v>34</v>
      </c>
      <c r="N36" s="425">
        <v>23086</v>
      </c>
      <c r="O36" s="447">
        <v>0.82926829268292679</v>
      </c>
      <c r="P36" s="426">
        <v>679</v>
      </c>
    </row>
    <row r="37" spans="1:16" ht="14.4" customHeight="1" x14ac:dyDescent="0.3">
      <c r="A37" s="421" t="s">
        <v>1457</v>
      </c>
      <c r="B37" s="422" t="s">
        <v>1458</v>
      </c>
      <c r="C37" s="422" t="s">
        <v>1490</v>
      </c>
      <c r="D37" s="422"/>
      <c r="E37" s="425">
        <v>20</v>
      </c>
      <c r="F37" s="425">
        <v>18580</v>
      </c>
      <c r="G37" s="422">
        <v>1</v>
      </c>
      <c r="H37" s="422">
        <v>929</v>
      </c>
      <c r="I37" s="425">
        <v>10</v>
      </c>
      <c r="J37" s="425">
        <v>9290</v>
      </c>
      <c r="K37" s="422">
        <v>0.5</v>
      </c>
      <c r="L37" s="422">
        <v>929</v>
      </c>
      <c r="M37" s="425">
        <v>19</v>
      </c>
      <c r="N37" s="425">
        <v>17651</v>
      </c>
      <c r="O37" s="447">
        <v>0.95</v>
      </c>
      <c r="P37" s="426">
        <v>929</v>
      </c>
    </row>
    <row r="38" spans="1:16" ht="14.4" customHeight="1" x14ac:dyDescent="0.3">
      <c r="A38" s="421" t="s">
        <v>1457</v>
      </c>
      <c r="B38" s="422" t="s">
        <v>1458</v>
      </c>
      <c r="C38" s="422" t="s">
        <v>1491</v>
      </c>
      <c r="D38" s="422"/>
      <c r="E38" s="425">
        <v>2</v>
      </c>
      <c r="F38" s="425">
        <v>416</v>
      </c>
      <c r="G38" s="422">
        <v>1</v>
      </c>
      <c r="H38" s="422">
        <v>208</v>
      </c>
      <c r="I38" s="425">
        <v>5</v>
      </c>
      <c r="J38" s="425">
        <v>1040</v>
      </c>
      <c r="K38" s="422">
        <v>2.5</v>
      </c>
      <c r="L38" s="422">
        <v>208</v>
      </c>
      <c r="M38" s="425">
        <v>2</v>
      </c>
      <c r="N38" s="425">
        <v>416</v>
      </c>
      <c r="O38" s="447">
        <v>1</v>
      </c>
      <c r="P38" s="426">
        <v>208</v>
      </c>
    </row>
    <row r="39" spans="1:16" ht="14.4" customHeight="1" x14ac:dyDescent="0.3">
      <c r="A39" s="421" t="s">
        <v>1457</v>
      </c>
      <c r="B39" s="422" t="s">
        <v>1458</v>
      </c>
      <c r="C39" s="422" t="s">
        <v>1492</v>
      </c>
      <c r="D39" s="422"/>
      <c r="E39" s="425"/>
      <c r="F39" s="425"/>
      <c r="G39" s="422"/>
      <c r="H39" s="422"/>
      <c r="I39" s="425"/>
      <c r="J39" s="425"/>
      <c r="K39" s="422"/>
      <c r="L39" s="422"/>
      <c r="M39" s="425">
        <v>1</v>
      </c>
      <c r="N39" s="425">
        <v>508</v>
      </c>
      <c r="O39" s="447"/>
      <c r="P39" s="426">
        <v>508</v>
      </c>
    </row>
    <row r="40" spans="1:16" ht="14.4" customHeight="1" x14ac:dyDescent="0.3">
      <c r="A40" s="421" t="s">
        <v>1457</v>
      </c>
      <c r="B40" s="422" t="s">
        <v>1458</v>
      </c>
      <c r="C40" s="422" t="s">
        <v>1493</v>
      </c>
      <c r="D40" s="422"/>
      <c r="E40" s="425">
        <v>16</v>
      </c>
      <c r="F40" s="425">
        <v>27840</v>
      </c>
      <c r="G40" s="422">
        <v>1</v>
      </c>
      <c r="H40" s="422">
        <v>1740</v>
      </c>
      <c r="I40" s="425">
        <v>14</v>
      </c>
      <c r="J40" s="425">
        <v>24360</v>
      </c>
      <c r="K40" s="422">
        <v>0.875</v>
      </c>
      <c r="L40" s="422">
        <v>1740</v>
      </c>
      <c r="M40" s="425">
        <v>36</v>
      </c>
      <c r="N40" s="425">
        <v>62640</v>
      </c>
      <c r="O40" s="447">
        <v>2.25</v>
      </c>
      <c r="P40" s="426">
        <v>1740</v>
      </c>
    </row>
    <row r="41" spans="1:16" ht="14.4" customHeight="1" x14ac:dyDescent="0.3">
      <c r="A41" s="421" t="s">
        <v>1457</v>
      </c>
      <c r="B41" s="422" t="s">
        <v>1458</v>
      </c>
      <c r="C41" s="422" t="s">
        <v>1494</v>
      </c>
      <c r="D41" s="422"/>
      <c r="E41" s="425">
        <v>12</v>
      </c>
      <c r="F41" s="425">
        <v>24288</v>
      </c>
      <c r="G41" s="422">
        <v>1</v>
      </c>
      <c r="H41" s="422">
        <v>2024</v>
      </c>
      <c r="I41" s="425">
        <v>11</v>
      </c>
      <c r="J41" s="425">
        <v>22264</v>
      </c>
      <c r="K41" s="422">
        <v>0.91666666666666663</v>
      </c>
      <c r="L41" s="422">
        <v>2024</v>
      </c>
      <c r="M41" s="425">
        <v>16</v>
      </c>
      <c r="N41" s="425">
        <v>32384</v>
      </c>
      <c r="O41" s="447">
        <v>1.3333333333333333</v>
      </c>
      <c r="P41" s="426">
        <v>2024</v>
      </c>
    </row>
    <row r="42" spans="1:16" ht="14.4" customHeight="1" x14ac:dyDescent="0.3">
      <c r="A42" s="421" t="s">
        <v>1457</v>
      </c>
      <c r="B42" s="422" t="s">
        <v>1458</v>
      </c>
      <c r="C42" s="422" t="s">
        <v>1495</v>
      </c>
      <c r="D42" s="422"/>
      <c r="E42" s="425">
        <v>1</v>
      </c>
      <c r="F42" s="425">
        <v>2010</v>
      </c>
      <c r="G42" s="422">
        <v>1</v>
      </c>
      <c r="H42" s="422">
        <v>2010</v>
      </c>
      <c r="I42" s="425"/>
      <c r="J42" s="425"/>
      <c r="K42" s="422"/>
      <c r="L42" s="422"/>
      <c r="M42" s="425">
        <v>7</v>
      </c>
      <c r="N42" s="425">
        <v>14070</v>
      </c>
      <c r="O42" s="447">
        <v>7</v>
      </c>
      <c r="P42" s="426">
        <v>2010</v>
      </c>
    </row>
    <row r="43" spans="1:16" ht="14.4" customHeight="1" x14ac:dyDescent="0.3">
      <c r="A43" s="421" t="s">
        <v>1457</v>
      </c>
      <c r="B43" s="422" t="s">
        <v>1458</v>
      </c>
      <c r="C43" s="422" t="s">
        <v>1496</v>
      </c>
      <c r="D43" s="422"/>
      <c r="E43" s="425">
        <v>5</v>
      </c>
      <c r="F43" s="425">
        <v>10730</v>
      </c>
      <c r="G43" s="422">
        <v>1</v>
      </c>
      <c r="H43" s="422">
        <v>2146</v>
      </c>
      <c r="I43" s="425">
        <v>4</v>
      </c>
      <c r="J43" s="425">
        <v>8584</v>
      </c>
      <c r="K43" s="422">
        <v>0.8</v>
      </c>
      <c r="L43" s="422">
        <v>2146</v>
      </c>
      <c r="M43" s="425">
        <v>7</v>
      </c>
      <c r="N43" s="425">
        <v>15022</v>
      </c>
      <c r="O43" s="447">
        <v>1.4</v>
      </c>
      <c r="P43" s="426">
        <v>2146</v>
      </c>
    </row>
    <row r="44" spans="1:16" ht="14.4" customHeight="1" x14ac:dyDescent="0.3">
      <c r="A44" s="421" t="s">
        <v>1457</v>
      </c>
      <c r="B44" s="422" t="s">
        <v>1458</v>
      </c>
      <c r="C44" s="422" t="s">
        <v>1497</v>
      </c>
      <c r="D44" s="422"/>
      <c r="E44" s="425">
        <v>1</v>
      </c>
      <c r="F44" s="425">
        <v>2490</v>
      </c>
      <c r="G44" s="422">
        <v>1</v>
      </c>
      <c r="H44" s="422">
        <v>2490</v>
      </c>
      <c r="I44" s="425"/>
      <c r="J44" s="425"/>
      <c r="K44" s="422"/>
      <c r="L44" s="422"/>
      <c r="M44" s="425"/>
      <c r="N44" s="425"/>
      <c r="O44" s="447"/>
      <c r="P44" s="426"/>
    </row>
    <row r="45" spans="1:16" ht="14.4" customHeight="1" x14ac:dyDescent="0.3">
      <c r="A45" s="421" t="s">
        <v>1457</v>
      </c>
      <c r="B45" s="422" t="s">
        <v>1458</v>
      </c>
      <c r="C45" s="422" t="s">
        <v>1498</v>
      </c>
      <c r="D45" s="422"/>
      <c r="E45" s="425">
        <v>3</v>
      </c>
      <c r="F45" s="425">
        <v>3738</v>
      </c>
      <c r="G45" s="422">
        <v>1</v>
      </c>
      <c r="H45" s="422">
        <v>1246</v>
      </c>
      <c r="I45" s="425">
        <v>2</v>
      </c>
      <c r="J45" s="425">
        <v>2492</v>
      </c>
      <c r="K45" s="422">
        <v>0.66666666666666663</v>
      </c>
      <c r="L45" s="422">
        <v>1246</v>
      </c>
      <c r="M45" s="425">
        <v>2</v>
      </c>
      <c r="N45" s="425">
        <v>2492</v>
      </c>
      <c r="O45" s="447">
        <v>0.66666666666666663</v>
      </c>
      <c r="P45" s="426">
        <v>1246</v>
      </c>
    </row>
    <row r="46" spans="1:16" ht="14.4" customHeight="1" x14ac:dyDescent="0.3">
      <c r="A46" s="421" t="s">
        <v>1457</v>
      </c>
      <c r="B46" s="422" t="s">
        <v>1458</v>
      </c>
      <c r="C46" s="422" t="s">
        <v>1499</v>
      </c>
      <c r="D46" s="422"/>
      <c r="E46" s="425">
        <v>2</v>
      </c>
      <c r="F46" s="425">
        <v>2690</v>
      </c>
      <c r="G46" s="422">
        <v>1</v>
      </c>
      <c r="H46" s="422">
        <v>1345</v>
      </c>
      <c r="I46" s="425">
        <v>2</v>
      </c>
      <c r="J46" s="425">
        <v>2690</v>
      </c>
      <c r="K46" s="422">
        <v>1</v>
      </c>
      <c r="L46" s="422">
        <v>1345</v>
      </c>
      <c r="M46" s="425">
        <v>1</v>
      </c>
      <c r="N46" s="425">
        <v>1345</v>
      </c>
      <c r="O46" s="447">
        <v>0.5</v>
      </c>
      <c r="P46" s="426">
        <v>1345</v>
      </c>
    </row>
    <row r="47" spans="1:16" ht="14.4" customHeight="1" x14ac:dyDescent="0.3">
      <c r="A47" s="421" t="s">
        <v>1457</v>
      </c>
      <c r="B47" s="422" t="s">
        <v>1458</v>
      </c>
      <c r="C47" s="422" t="s">
        <v>1500</v>
      </c>
      <c r="D47" s="422"/>
      <c r="E47" s="425">
        <v>48</v>
      </c>
      <c r="F47" s="425">
        <v>170592</v>
      </c>
      <c r="G47" s="422">
        <v>1</v>
      </c>
      <c r="H47" s="422">
        <v>3554</v>
      </c>
      <c r="I47" s="425">
        <v>50</v>
      </c>
      <c r="J47" s="425">
        <v>177700</v>
      </c>
      <c r="K47" s="422">
        <v>1.0416666666666667</v>
      </c>
      <c r="L47" s="422">
        <v>3554</v>
      </c>
      <c r="M47" s="425">
        <v>58</v>
      </c>
      <c r="N47" s="425">
        <v>206132</v>
      </c>
      <c r="O47" s="447">
        <v>1.2083333333333333</v>
      </c>
      <c r="P47" s="426">
        <v>3554</v>
      </c>
    </row>
    <row r="48" spans="1:16" ht="14.4" customHeight="1" x14ac:dyDescent="0.3">
      <c r="A48" s="421" t="s">
        <v>1457</v>
      </c>
      <c r="B48" s="422" t="s">
        <v>1458</v>
      </c>
      <c r="C48" s="422" t="s">
        <v>1501</v>
      </c>
      <c r="D48" s="422"/>
      <c r="E48" s="425">
        <v>24</v>
      </c>
      <c r="F48" s="425">
        <v>86808</v>
      </c>
      <c r="G48" s="422">
        <v>1</v>
      </c>
      <c r="H48" s="422">
        <v>3617</v>
      </c>
      <c r="I48" s="425">
        <v>23</v>
      </c>
      <c r="J48" s="425">
        <v>83191</v>
      </c>
      <c r="K48" s="422">
        <v>0.95833333333333337</v>
      </c>
      <c r="L48" s="422">
        <v>3617</v>
      </c>
      <c r="M48" s="425">
        <v>37</v>
      </c>
      <c r="N48" s="425">
        <v>133829</v>
      </c>
      <c r="O48" s="447">
        <v>1.5416666666666667</v>
      </c>
      <c r="P48" s="426">
        <v>3617</v>
      </c>
    </row>
    <row r="49" spans="1:16" ht="14.4" customHeight="1" x14ac:dyDescent="0.3">
      <c r="A49" s="421" t="s">
        <v>1457</v>
      </c>
      <c r="B49" s="422" t="s">
        <v>1458</v>
      </c>
      <c r="C49" s="422" t="s">
        <v>1502</v>
      </c>
      <c r="D49" s="422"/>
      <c r="E49" s="425">
        <v>4</v>
      </c>
      <c r="F49" s="425">
        <v>5404</v>
      </c>
      <c r="G49" s="422">
        <v>1</v>
      </c>
      <c r="H49" s="422">
        <v>1351</v>
      </c>
      <c r="I49" s="425">
        <v>5</v>
      </c>
      <c r="J49" s="425">
        <v>4053</v>
      </c>
      <c r="K49" s="422">
        <v>0.75</v>
      </c>
      <c r="L49" s="422">
        <v>810.6</v>
      </c>
      <c r="M49" s="425">
        <v>3</v>
      </c>
      <c r="N49" s="425">
        <v>4053</v>
      </c>
      <c r="O49" s="447">
        <v>0.75</v>
      </c>
      <c r="P49" s="426">
        <v>1351</v>
      </c>
    </row>
    <row r="50" spans="1:16" ht="14.4" customHeight="1" x14ac:dyDescent="0.3">
      <c r="A50" s="421" t="s">
        <v>1457</v>
      </c>
      <c r="B50" s="422" t="s">
        <v>1458</v>
      </c>
      <c r="C50" s="422" t="s">
        <v>1503</v>
      </c>
      <c r="D50" s="422"/>
      <c r="E50" s="425">
        <v>3</v>
      </c>
      <c r="F50" s="425">
        <v>492</v>
      </c>
      <c r="G50" s="422">
        <v>1</v>
      </c>
      <c r="H50" s="422">
        <v>164</v>
      </c>
      <c r="I50" s="425">
        <v>8</v>
      </c>
      <c r="J50" s="425">
        <v>1312</v>
      </c>
      <c r="K50" s="422">
        <v>2.6666666666666665</v>
      </c>
      <c r="L50" s="422">
        <v>164</v>
      </c>
      <c r="M50" s="425">
        <v>9</v>
      </c>
      <c r="N50" s="425">
        <v>1476</v>
      </c>
      <c r="O50" s="447">
        <v>3</v>
      </c>
      <c r="P50" s="426">
        <v>164</v>
      </c>
    </row>
    <row r="51" spans="1:16" ht="14.4" customHeight="1" x14ac:dyDescent="0.3">
      <c r="A51" s="421" t="s">
        <v>1457</v>
      </c>
      <c r="B51" s="422" t="s">
        <v>1458</v>
      </c>
      <c r="C51" s="422" t="s">
        <v>1504</v>
      </c>
      <c r="D51" s="422"/>
      <c r="E51" s="425">
        <v>27</v>
      </c>
      <c r="F51" s="425">
        <v>6075</v>
      </c>
      <c r="G51" s="422">
        <v>1</v>
      </c>
      <c r="H51" s="422">
        <v>225</v>
      </c>
      <c r="I51" s="425">
        <v>35</v>
      </c>
      <c r="J51" s="425">
        <v>7875</v>
      </c>
      <c r="K51" s="422">
        <v>1.2962962962962963</v>
      </c>
      <c r="L51" s="422">
        <v>225</v>
      </c>
      <c r="M51" s="425">
        <v>33</v>
      </c>
      <c r="N51" s="425">
        <v>7425</v>
      </c>
      <c r="O51" s="447">
        <v>1.2222222222222223</v>
      </c>
      <c r="P51" s="426">
        <v>225</v>
      </c>
    </row>
    <row r="52" spans="1:16" ht="14.4" customHeight="1" x14ac:dyDescent="0.3">
      <c r="A52" s="421" t="s">
        <v>1457</v>
      </c>
      <c r="B52" s="422" t="s">
        <v>1458</v>
      </c>
      <c r="C52" s="422" t="s">
        <v>1505</v>
      </c>
      <c r="D52" s="422"/>
      <c r="E52" s="425">
        <v>12</v>
      </c>
      <c r="F52" s="425">
        <v>4356</v>
      </c>
      <c r="G52" s="422">
        <v>1</v>
      </c>
      <c r="H52" s="422">
        <v>363</v>
      </c>
      <c r="I52" s="425">
        <v>10</v>
      </c>
      <c r="J52" s="425">
        <v>3630</v>
      </c>
      <c r="K52" s="422">
        <v>0.83333333333333337</v>
      </c>
      <c r="L52" s="422">
        <v>363</v>
      </c>
      <c r="M52" s="425">
        <v>10</v>
      </c>
      <c r="N52" s="425">
        <v>3630</v>
      </c>
      <c r="O52" s="447">
        <v>0.83333333333333337</v>
      </c>
      <c r="P52" s="426">
        <v>363</v>
      </c>
    </row>
    <row r="53" spans="1:16" ht="14.4" customHeight="1" x14ac:dyDescent="0.3">
      <c r="A53" s="421" t="s">
        <v>1457</v>
      </c>
      <c r="B53" s="422" t="s">
        <v>1458</v>
      </c>
      <c r="C53" s="422" t="s">
        <v>1506</v>
      </c>
      <c r="D53" s="422"/>
      <c r="E53" s="425">
        <v>24</v>
      </c>
      <c r="F53" s="425">
        <v>14088</v>
      </c>
      <c r="G53" s="422">
        <v>1</v>
      </c>
      <c r="H53" s="422">
        <v>587</v>
      </c>
      <c r="I53" s="425">
        <v>21</v>
      </c>
      <c r="J53" s="425">
        <v>12327</v>
      </c>
      <c r="K53" s="422">
        <v>0.875</v>
      </c>
      <c r="L53" s="422">
        <v>587</v>
      </c>
      <c r="M53" s="425">
        <v>19</v>
      </c>
      <c r="N53" s="425">
        <v>11153</v>
      </c>
      <c r="O53" s="447">
        <v>0.79166666666666663</v>
      </c>
      <c r="P53" s="426">
        <v>587</v>
      </c>
    </row>
    <row r="54" spans="1:16" ht="14.4" customHeight="1" x14ac:dyDescent="0.3">
      <c r="A54" s="421" t="s">
        <v>1457</v>
      </c>
      <c r="B54" s="422" t="s">
        <v>1458</v>
      </c>
      <c r="C54" s="422" t="s">
        <v>1507</v>
      </c>
      <c r="D54" s="422"/>
      <c r="E54" s="425">
        <v>2</v>
      </c>
      <c r="F54" s="425">
        <v>1200</v>
      </c>
      <c r="G54" s="422">
        <v>1</v>
      </c>
      <c r="H54" s="422">
        <v>600</v>
      </c>
      <c r="I54" s="425"/>
      <c r="J54" s="425"/>
      <c r="K54" s="422"/>
      <c r="L54" s="422"/>
      <c r="M54" s="425">
        <v>4</v>
      </c>
      <c r="N54" s="425">
        <v>2400</v>
      </c>
      <c r="O54" s="447">
        <v>2</v>
      </c>
      <c r="P54" s="426">
        <v>600</v>
      </c>
    </row>
    <row r="55" spans="1:16" ht="14.4" customHeight="1" x14ac:dyDescent="0.3">
      <c r="A55" s="421" t="s">
        <v>1457</v>
      </c>
      <c r="B55" s="422" t="s">
        <v>1458</v>
      </c>
      <c r="C55" s="422" t="s">
        <v>1508</v>
      </c>
      <c r="D55" s="422"/>
      <c r="E55" s="425"/>
      <c r="F55" s="425"/>
      <c r="G55" s="422"/>
      <c r="H55" s="422"/>
      <c r="I55" s="425"/>
      <c r="J55" s="425"/>
      <c r="K55" s="422"/>
      <c r="L55" s="422"/>
      <c r="M55" s="425">
        <v>1</v>
      </c>
      <c r="N55" s="425">
        <v>4359</v>
      </c>
      <c r="O55" s="447"/>
      <c r="P55" s="426">
        <v>4359</v>
      </c>
    </row>
    <row r="56" spans="1:16" ht="14.4" customHeight="1" x14ac:dyDescent="0.3">
      <c r="A56" s="421" t="s">
        <v>1457</v>
      </c>
      <c r="B56" s="422" t="s">
        <v>1458</v>
      </c>
      <c r="C56" s="422" t="s">
        <v>1509</v>
      </c>
      <c r="D56" s="422"/>
      <c r="E56" s="425">
        <v>3</v>
      </c>
      <c r="F56" s="425">
        <v>3024</v>
      </c>
      <c r="G56" s="422">
        <v>1</v>
      </c>
      <c r="H56" s="422">
        <v>1008</v>
      </c>
      <c r="I56" s="425"/>
      <c r="J56" s="425"/>
      <c r="K56" s="422"/>
      <c r="L56" s="422"/>
      <c r="M56" s="425"/>
      <c r="N56" s="425"/>
      <c r="O56" s="447"/>
      <c r="P56" s="426"/>
    </row>
    <row r="57" spans="1:16" ht="14.4" customHeight="1" x14ac:dyDescent="0.3">
      <c r="A57" s="421" t="s">
        <v>1457</v>
      </c>
      <c r="B57" s="422" t="s">
        <v>1458</v>
      </c>
      <c r="C57" s="422" t="s">
        <v>1510</v>
      </c>
      <c r="D57" s="422"/>
      <c r="E57" s="425">
        <v>1</v>
      </c>
      <c r="F57" s="425">
        <v>745</v>
      </c>
      <c r="G57" s="422">
        <v>1</v>
      </c>
      <c r="H57" s="422">
        <v>745</v>
      </c>
      <c r="I57" s="425">
        <v>4</v>
      </c>
      <c r="J57" s="425">
        <v>2980</v>
      </c>
      <c r="K57" s="422">
        <v>4</v>
      </c>
      <c r="L57" s="422">
        <v>745</v>
      </c>
      <c r="M57" s="425"/>
      <c r="N57" s="425"/>
      <c r="O57" s="447"/>
      <c r="P57" s="426"/>
    </row>
    <row r="58" spans="1:16" ht="14.4" customHeight="1" x14ac:dyDescent="0.3">
      <c r="A58" s="421" t="s">
        <v>1457</v>
      </c>
      <c r="B58" s="422" t="s">
        <v>1458</v>
      </c>
      <c r="C58" s="422" t="s">
        <v>1511</v>
      </c>
      <c r="D58" s="422"/>
      <c r="E58" s="425">
        <v>8</v>
      </c>
      <c r="F58" s="425">
        <v>4488</v>
      </c>
      <c r="G58" s="422">
        <v>1</v>
      </c>
      <c r="H58" s="422">
        <v>561</v>
      </c>
      <c r="I58" s="425">
        <v>13</v>
      </c>
      <c r="J58" s="425">
        <v>7293</v>
      </c>
      <c r="K58" s="422">
        <v>1.625</v>
      </c>
      <c r="L58" s="422">
        <v>561</v>
      </c>
      <c r="M58" s="425">
        <v>3</v>
      </c>
      <c r="N58" s="425">
        <v>1683</v>
      </c>
      <c r="O58" s="447">
        <v>0.375</v>
      </c>
      <c r="P58" s="426">
        <v>561</v>
      </c>
    </row>
    <row r="59" spans="1:16" ht="14.4" customHeight="1" x14ac:dyDescent="0.3">
      <c r="A59" s="421" t="s">
        <v>1457</v>
      </c>
      <c r="B59" s="422" t="s">
        <v>1458</v>
      </c>
      <c r="C59" s="422" t="s">
        <v>1512</v>
      </c>
      <c r="D59" s="422"/>
      <c r="E59" s="425"/>
      <c r="F59" s="425"/>
      <c r="G59" s="422"/>
      <c r="H59" s="422"/>
      <c r="I59" s="425">
        <v>1</v>
      </c>
      <c r="J59" s="425">
        <v>369</v>
      </c>
      <c r="K59" s="422"/>
      <c r="L59" s="422">
        <v>369</v>
      </c>
      <c r="M59" s="425"/>
      <c r="N59" s="425"/>
      <c r="O59" s="447"/>
      <c r="P59" s="426"/>
    </row>
    <row r="60" spans="1:16" ht="14.4" customHeight="1" x14ac:dyDescent="0.3">
      <c r="A60" s="421" t="s">
        <v>1457</v>
      </c>
      <c r="B60" s="422" t="s">
        <v>1458</v>
      </c>
      <c r="C60" s="422" t="s">
        <v>1513</v>
      </c>
      <c r="D60" s="422"/>
      <c r="E60" s="425"/>
      <c r="F60" s="425"/>
      <c r="G60" s="422"/>
      <c r="H60" s="422"/>
      <c r="I60" s="425">
        <v>1</v>
      </c>
      <c r="J60" s="425">
        <v>258</v>
      </c>
      <c r="K60" s="422"/>
      <c r="L60" s="422">
        <v>258</v>
      </c>
      <c r="M60" s="425">
        <v>1</v>
      </c>
      <c r="N60" s="425">
        <v>258</v>
      </c>
      <c r="O60" s="447"/>
      <c r="P60" s="426">
        <v>258</v>
      </c>
    </row>
    <row r="61" spans="1:16" ht="14.4" customHeight="1" x14ac:dyDescent="0.3">
      <c r="A61" s="421" t="s">
        <v>1457</v>
      </c>
      <c r="B61" s="422" t="s">
        <v>1458</v>
      </c>
      <c r="C61" s="422" t="s">
        <v>1514</v>
      </c>
      <c r="D61" s="422"/>
      <c r="E61" s="425"/>
      <c r="F61" s="425"/>
      <c r="G61" s="422"/>
      <c r="H61" s="422"/>
      <c r="I61" s="425">
        <v>2</v>
      </c>
      <c r="J61" s="425">
        <v>2244</v>
      </c>
      <c r="K61" s="422"/>
      <c r="L61" s="422">
        <v>1122</v>
      </c>
      <c r="M61" s="425"/>
      <c r="N61" s="425"/>
      <c r="O61" s="447"/>
      <c r="P61" s="426"/>
    </row>
    <row r="62" spans="1:16" ht="14.4" customHeight="1" x14ac:dyDescent="0.3">
      <c r="A62" s="421" t="s">
        <v>1457</v>
      </c>
      <c r="B62" s="422" t="s">
        <v>1458</v>
      </c>
      <c r="C62" s="422" t="s">
        <v>1515</v>
      </c>
      <c r="D62" s="422"/>
      <c r="E62" s="425">
        <v>11</v>
      </c>
      <c r="F62" s="425">
        <v>9537</v>
      </c>
      <c r="G62" s="422">
        <v>1</v>
      </c>
      <c r="H62" s="422">
        <v>867</v>
      </c>
      <c r="I62" s="425">
        <v>8</v>
      </c>
      <c r="J62" s="425">
        <v>6936</v>
      </c>
      <c r="K62" s="422">
        <v>0.72727272727272729</v>
      </c>
      <c r="L62" s="422">
        <v>867</v>
      </c>
      <c r="M62" s="425">
        <v>7</v>
      </c>
      <c r="N62" s="425">
        <v>6069</v>
      </c>
      <c r="O62" s="447">
        <v>0.63636363636363635</v>
      </c>
      <c r="P62" s="426">
        <v>867</v>
      </c>
    </row>
    <row r="63" spans="1:16" ht="14.4" customHeight="1" x14ac:dyDescent="0.3">
      <c r="A63" s="421" t="s">
        <v>1457</v>
      </c>
      <c r="B63" s="422" t="s">
        <v>1458</v>
      </c>
      <c r="C63" s="422" t="s">
        <v>1516</v>
      </c>
      <c r="D63" s="422"/>
      <c r="E63" s="425">
        <v>12</v>
      </c>
      <c r="F63" s="425">
        <v>6600</v>
      </c>
      <c r="G63" s="422">
        <v>1</v>
      </c>
      <c r="H63" s="422">
        <v>550</v>
      </c>
      <c r="I63" s="425">
        <v>9</v>
      </c>
      <c r="J63" s="425">
        <v>4950</v>
      </c>
      <c r="K63" s="422">
        <v>0.75</v>
      </c>
      <c r="L63" s="422">
        <v>550</v>
      </c>
      <c r="M63" s="425">
        <v>3</v>
      </c>
      <c r="N63" s="425">
        <v>1650</v>
      </c>
      <c r="O63" s="447">
        <v>0.25</v>
      </c>
      <c r="P63" s="426">
        <v>550</v>
      </c>
    </row>
    <row r="64" spans="1:16" ht="14.4" customHeight="1" x14ac:dyDescent="0.3">
      <c r="A64" s="421" t="s">
        <v>1457</v>
      </c>
      <c r="B64" s="422" t="s">
        <v>1458</v>
      </c>
      <c r="C64" s="422" t="s">
        <v>1517</v>
      </c>
      <c r="D64" s="422"/>
      <c r="E64" s="425"/>
      <c r="F64" s="425"/>
      <c r="G64" s="422"/>
      <c r="H64" s="422"/>
      <c r="I64" s="425"/>
      <c r="J64" s="425"/>
      <c r="K64" s="422"/>
      <c r="L64" s="422"/>
      <c r="M64" s="425">
        <v>1</v>
      </c>
      <c r="N64" s="425">
        <v>1395</v>
      </c>
      <c r="O64" s="447"/>
      <c r="P64" s="426">
        <v>1395</v>
      </c>
    </row>
    <row r="65" spans="1:16" ht="14.4" customHeight="1" x14ac:dyDescent="0.3">
      <c r="A65" s="421" t="s">
        <v>1457</v>
      </c>
      <c r="B65" s="422" t="s">
        <v>1458</v>
      </c>
      <c r="C65" s="422" t="s">
        <v>1518</v>
      </c>
      <c r="D65" s="422"/>
      <c r="E65" s="425">
        <v>3</v>
      </c>
      <c r="F65" s="425">
        <v>1557</v>
      </c>
      <c r="G65" s="422">
        <v>1</v>
      </c>
      <c r="H65" s="422">
        <v>519</v>
      </c>
      <c r="I65" s="425">
        <v>2</v>
      </c>
      <c r="J65" s="425">
        <v>1038</v>
      </c>
      <c r="K65" s="422">
        <v>0.66666666666666663</v>
      </c>
      <c r="L65" s="422">
        <v>519</v>
      </c>
      <c r="M65" s="425">
        <v>2</v>
      </c>
      <c r="N65" s="425">
        <v>1038</v>
      </c>
      <c r="O65" s="447">
        <v>0.66666666666666663</v>
      </c>
      <c r="P65" s="426">
        <v>519</v>
      </c>
    </row>
    <row r="66" spans="1:16" ht="14.4" customHeight="1" x14ac:dyDescent="0.3">
      <c r="A66" s="421" t="s">
        <v>1457</v>
      </c>
      <c r="B66" s="422" t="s">
        <v>1458</v>
      </c>
      <c r="C66" s="422" t="s">
        <v>1519</v>
      </c>
      <c r="D66" s="422"/>
      <c r="E66" s="425"/>
      <c r="F66" s="425"/>
      <c r="G66" s="422"/>
      <c r="H66" s="422"/>
      <c r="I66" s="425">
        <v>1</v>
      </c>
      <c r="J66" s="425">
        <v>470</v>
      </c>
      <c r="K66" s="422"/>
      <c r="L66" s="422">
        <v>470</v>
      </c>
      <c r="M66" s="425"/>
      <c r="N66" s="425"/>
      <c r="O66" s="447"/>
      <c r="P66" s="426"/>
    </row>
    <row r="67" spans="1:16" ht="14.4" customHeight="1" x14ac:dyDescent="0.3">
      <c r="A67" s="421" t="s">
        <v>1457</v>
      </c>
      <c r="B67" s="422" t="s">
        <v>1458</v>
      </c>
      <c r="C67" s="422" t="s">
        <v>1520</v>
      </c>
      <c r="D67" s="422"/>
      <c r="E67" s="425"/>
      <c r="F67" s="425"/>
      <c r="G67" s="422"/>
      <c r="H67" s="422"/>
      <c r="I67" s="425">
        <v>5</v>
      </c>
      <c r="J67" s="425">
        <v>3978</v>
      </c>
      <c r="K67" s="422"/>
      <c r="L67" s="422">
        <v>795.6</v>
      </c>
      <c r="M67" s="425">
        <v>1</v>
      </c>
      <c r="N67" s="425">
        <v>1326</v>
      </c>
      <c r="O67" s="447"/>
      <c r="P67" s="426">
        <v>1326</v>
      </c>
    </row>
    <row r="68" spans="1:16" ht="14.4" customHeight="1" x14ac:dyDescent="0.3">
      <c r="A68" s="421" t="s">
        <v>1457</v>
      </c>
      <c r="B68" s="422" t="s">
        <v>1458</v>
      </c>
      <c r="C68" s="422" t="s">
        <v>1521</v>
      </c>
      <c r="D68" s="422"/>
      <c r="E68" s="425"/>
      <c r="F68" s="425"/>
      <c r="G68" s="422"/>
      <c r="H68" s="422"/>
      <c r="I68" s="425">
        <v>0</v>
      </c>
      <c r="J68" s="425">
        <v>0</v>
      </c>
      <c r="K68" s="422"/>
      <c r="L68" s="422"/>
      <c r="M68" s="425">
        <v>1</v>
      </c>
      <c r="N68" s="425">
        <v>0</v>
      </c>
      <c r="O68" s="447"/>
      <c r="P68" s="426">
        <v>0</v>
      </c>
    </row>
    <row r="69" spans="1:16" ht="14.4" customHeight="1" x14ac:dyDescent="0.3">
      <c r="A69" s="421" t="s">
        <v>1457</v>
      </c>
      <c r="B69" s="422" t="s">
        <v>1458</v>
      </c>
      <c r="C69" s="422" t="s">
        <v>1522</v>
      </c>
      <c r="D69" s="422"/>
      <c r="E69" s="425"/>
      <c r="F69" s="425"/>
      <c r="G69" s="422"/>
      <c r="H69" s="422"/>
      <c r="I69" s="425"/>
      <c r="J69" s="425"/>
      <c r="K69" s="422"/>
      <c r="L69" s="422"/>
      <c r="M69" s="425">
        <v>3</v>
      </c>
      <c r="N69" s="425">
        <v>1215</v>
      </c>
      <c r="O69" s="447"/>
      <c r="P69" s="426">
        <v>405</v>
      </c>
    </row>
    <row r="70" spans="1:16" ht="14.4" customHeight="1" x14ac:dyDescent="0.3">
      <c r="A70" s="421" t="s">
        <v>1457</v>
      </c>
      <c r="B70" s="422" t="s">
        <v>1458</v>
      </c>
      <c r="C70" s="422" t="s">
        <v>1523</v>
      </c>
      <c r="D70" s="422"/>
      <c r="E70" s="425"/>
      <c r="F70" s="425"/>
      <c r="G70" s="422"/>
      <c r="H70" s="422"/>
      <c r="I70" s="425">
        <v>1</v>
      </c>
      <c r="J70" s="425">
        <v>940</v>
      </c>
      <c r="K70" s="422"/>
      <c r="L70" s="422">
        <v>940</v>
      </c>
      <c r="M70" s="425">
        <v>2</v>
      </c>
      <c r="N70" s="425">
        <v>1880</v>
      </c>
      <c r="O70" s="447"/>
      <c r="P70" s="426">
        <v>940</v>
      </c>
    </row>
    <row r="71" spans="1:16" ht="14.4" customHeight="1" x14ac:dyDescent="0.3">
      <c r="A71" s="421" t="s">
        <v>1457</v>
      </c>
      <c r="B71" s="422" t="s">
        <v>1458</v>
      </c>
      <c r="C71" s="422" t="s">
        <v>1524</v>
      </c>
      <c r="D71" s="422"/>
      <c r="E71" s="425"/>
      <c r="F71" s="425"/>
      <c r="G71" s="422"/>
      <c r="H71" s="422"/>
      <c r="I71" s="425">
        <v>1</v>
      </c>
      <c r="J71" s="425">
        <v>742</v>
      </c>
      <c r="K71" s="422"/>
      <c r="L71" s="422">
        <v>742</v>
      </c>
      <c r="M71" s="425"/>
      <c r="N71" s="425"/>
      <c r="O71" s="447"/>
      <c r="P71" s="426"/>
    </row>
    <row r="72" spans="1:16" ht="14.4" customHeight="1" x14ac:dyDescent="0.3">
      <c r="A72" s="421" t="s">
        <v>1457</v>
      </c>
      <c r="B72" s="422" t="s">
        <v>1458</v>
      </c>
      <c r="C72" s="422" t="s">
        <v>1525</v>
      </c>
      <c r="D72" s="422"/>
      <c r="E72" s="425">
        <v>4</v>
      </c>
      <c r="F72" s="425">
        <v>2200</v>
      </c>
      <c r="G72" s="422">
        <v>1</v>
      </c>
      <c r="H72" s="422">
        <v>550</v>
      </c>
      <c r="I72" s="425"/>
      <c r="J72" s="425"/>
      <c r="K72" s="422"/>
      <c r="L72" s="422"/>
      <c r="M72" s="425">
        <v>11</v>
      </c>
      <c r="N72" s="425">
        <v>6050</v>
      </c>
      <c r="O72" s="447">
        <v>2.75</v>
      </c>
      <c r="P72" s="426">
        <v>550</v>
      </c>
    </row>
    <row r="73" spans="1:16" ht="14.4" customHeight="1" x14ac:dyDescent="0.3">
      <c r="A73" s="421" t="s">
        <v>1457</v>
      </c>
      <c r="B73" s="422" t="s">
        <v>1458</v>
      </c>
      <c r="C73" s="422" t="s">
        <v>1526</v>
      </c>
      <c r="D73" s="422"/>
      <c r="E73" s="425"/>
      <c r="F73" s="425"/>
      <c r="G73" s="422"/>
      <c r="H73" s="422"/>
      <c r="I73" s="425"/>
      <c r="J73" s="425"/>
      <c r="K73" s="422"/>
      <c r="L73" s="422"/>
      <c r="M73" s="425">
        <v>1</v>
      </c>
      <c r="N73" s="425">
        <v>1260</v>
      </c>
      <c r="O73" s="447"/>
      <c r="P73" s="426">
        <v>1260</v>
      </c>
    </row>
    <row r="74" spans="1:16" ht="14.4" customHeight="1" x14ac:dyDescent="0.3">
      <c r="A74" s="421" t="s">
        <v>1457</v>
      </c>
      <c r="B74" s="422" t="s">
        <v>1458</v>
      </c>
      <c r="C74" s="422" t="s">
        <v>1527</v>
      </c>
      <c r="D74" s="422"/>
      <c r="E74" s="425"/>
      <c r="F74" s="425"/>
      <c r="G74" s="422"/>
      <c r="H74" s="422"/>
      <c r="I74" s="425"/>
      <c r="J74" s="425"/>
      <c r="K74" s="422"/>
      <c r="L74" s="422"/>
      <c r="M74" s="425">
        <v>1</v>
      </c>
      <c r="N74" s="425">
        <v>1281</v>
      </c>
      <c r="O74" s="447"/>
      <c r="P74" s="426">
        <v>1281</v>
      </c>
    </row>
    <row r="75" spans="1:16" ht="14.4" customHeight="1" x14ac:dyDescent="0.3">
      <c r="A75" s="421" t="s">
        <v>1457</v>
      </c>
      <c r="B75" s="422" t="s">
        <v>1458</v>
      </c>
      <c r="C75" s="422" t="s">
        <v>1528</v>
      </c>
      <c r="D75" s="422"/>
      <c r="E75" s="425"/>
      <c r="F75" s="425"/>
      <c r="G75" s="422"/>
      <c r="H75" s="422"/>
      <c r="I75" s="425"/>
      <c r="J75" s="425"/>
      <c r="K75" s="422"/>
      <c r="L75" s="422"/>
      <c r="M75" s="425">
        <v>8</v>
      </c>
      <c r="N75" s="425">
        <v>6024</v>
      </c>
      <c r="O75" s="447"/>
      <c r="P75" s="426">
        <v>753</v>
      </c>
    </row>
    <row r="76" spans="1:16" ht="14.4" customHeight="1" x14ac:dyDescent="0.3">
      <c r="A76" s="421" t="s">
        <v>1457</v>
      </c>
      <c r="B76" s="422" t="s">
        <v>1458</v>
      </c>
      <c r="C76" s="422" t="s">
        <v>1529</v>
      </c>
      <c r="D76" s="422"/>
      <c r="E76" s="425"/>
      <c r="F76" s="425"/>
      <c r="G76" s="422"/>
      <c r="H76" s="422"/>
      <c r="I76" s="425"/>
      <c r="J76" s="425"/>
      <c r="K76" s="422"/>
      <c r="L76" s="422"/>
      <c r="M76" s="425">
        <v>1</v>
      </c>
      <c r="N76" s="425">
        <v>0</v>
      </c>
      <c r="O76" s="447"/>
      <c r="P76" s="426">
        <v>0</v>
      </c>
    </row>
    <row r="77" spans="1:16" ht="14.4" customHeight="1" x14ac:dyDescent="0.3">
      <c r="A77" s="421" t="s">
        <v>1457</v>
      </c>
      <c r="B77" s="422" t="s">
        <v>1530</v>
      </c>
      <c r="C77" s="422" t="s">
        <v>1531</v>
      </c>
      <c r="D77" s="422" t="s">
        <v>1532</v>
      </c>
      <c r="E77" s="425">
        <v>72</v>
      </c>
      <c r="F77" s="425">
        <v>31840</v>
      </c>
      <c r="G77" s="422">
        <v>1</v>
      </c>
      <c r="H77" s="422">
        <v>442.22222222222223</v>
      </c>
      <c r="I77" s="425">
        <v>58</v>
      </c>
      <c r="J77" s="425">
        <v>25648.87</v>
      </c>
      <c r="K77" s="422">
        <v>0.80555496231155777</v>
      </c>
      <c r="L77" s="422">
        <v>442.22189655172411</v>
      </c>
      <c r="M77" s="425">
        <v>107</v>
      </c>
      <c r="N77" s="425">
        <v>47317.78</v>
      </c>
      <c r="O77" s="447">
        <v>1.4861111809045227</v>
      </c>
      <c r="P77" s="426">
        <v>442.22224299065419</v>
      </c>
    </row>
    <row r="78" spans="1:16" ht="14.4" customHeight="1" x14ac:dyDescent="0.3">
      <c r="A78" s="421" t="s">
        <v>1457</v>
      </c>
      <c r="B78" s="422" t="s">
        <v>1530</v>
      </c>
      <c r="C78" s="422" t="s">
        <v>1533</v>
      </c>
      <c r="D78" s="422" t="s">
        <v>1534</v>
      </c>
      <c r="E78" s="425">
        <v>815</v>
      </c>
      <c r="F78" s="425">
        <v>333244.45000000007</v>
      </c>
      <c r="G78" s="422">
        <v>1</v>
      </c>
      <c r="H78" s="422">
        <v>408.88889570552158</v>
      </c>
      <c r="I78" s="425">
        <v>740</v>
      </c>
      <c r="J78" s="425">
        <v>302577.77</v>
      </c>
      <c r="K78" s="422">
        <v>0.90797542164618184</v>
      </c>
      <c r="L78" s="422">
        <v>408.88887837837842</v>
      </c>
      <c r="M78" s="425">
        <v>644</v>
      </c>
      <c r="N78" s="425">
        <v>293377.8</v>
      </c>
      <c r="O78" s="447">
        <v>0.8803681501672419</v>
      </c>
      <c r="P78" s="426">
        <v>455.55559006211178</v>
      </c>
    </row>
    <row r="79" spans="1:16" ht="14.4" customHeight="1" x14ac:dyDescent="0.3">
      <c r="A79" s="421" t="s">
        <v>1457</v>
      </c>
      <c r="B79" s="422" t="s">
        <v>1530</v>
      </c>
      <c r="C79" s="422" t="s">
        <v>1535</v>
      </c>
      <c r="D79" s="422" t="s">
        <v>1536</v>
      </c>
      <c r="E79" s="425">
        <v>690</v>
      </c>
      <c r="F79" s="425">
        <v>72833.34</v>
      </c>
      <c r="G79" s="422">
        <v>1</v>
      </c>
      <c r="H79" s="422">
        <v>105.5555652173913</v>
      </c>
      <c r="I79" s="425">
        <v>743</v>
      </c>
      <c r="J79" s="425">
        <v>78427.77</v>
      </c>
      <c r="K79" s="422">
        <v>1.0768113888502162</v>
      </c>
      <c r="L79" s="422">
        <v>105.55554508748318</v>
      </c>
      <c r="M79" s="425">
        <v>636</v>
      </c>
      <c r="N79" s="425">
        <v>67133.320000000007</v>
      </c>
      <c r="O79" s="447">
        <v>0.9217388629987312</v>
      </c>
      <c r="P79" s="426">
        <v>105.55553459119498</v>
      </c>
    </row>
    <row r="80" spans="1:16" ht="14.4" customHeight="1" x14ac:dyDescent="0.3">
      <c r="A80" s="421" t="s">
        <v>1457</v>
      </c>
      <c r="B80" s="422" t="s">
        <v>1530</v>
      </c>
      <c r="C80" s="422" t="s">
        <v>1537</v>
      </c>
      <c r="D80" s="422" t="s">
        <v>1538</v>
      </c>
      <c r="E80" s="425">
        <v>2699</v>
      </c>
      <c r="F80" s="425">
        <v>209922.21000000005</v>
      </c>
      <c r="G80" s="422">
        <v>1</v>
      </c>
      <c r="H80" s="422">
        <v>77.777773249351625</v>
      </c>
      <c r="I80" s="425">
        <v>3019</v>
      </c>
      <c r="J80" s="425">
        <v>234500.01999999996</v>
      </c>
      <c r="K80" s="422">
        <v>1.1170805604609437</v>
      </c>
      <c r="L80" s="422">
        <v>77.674733355415682</v>
      </c>
      <c r="M80" s="425">
        <v>2963</v>
      </c>
      <c r="N80" s="425">
        <v>230455.59000000008</v>
      </c>
      <c r="O80" s="447">
        <v>1.0978142331866649</v>
      </c>
      <c r="P80" s="426">
        <v>77.777789402632493</v>
      </c>
    </row>
    <row r="81" spans="1:16" ht="14.4" customHeight="1" x14ac:dyDescent="0.3">
      <c r="A81" s="421" t="s">
        <v>1457</v>
      </c>
      <c r="B81" s="422" t="s">
        <v>1530</v>
      </c>
      <c r="C81" s="422" t="s">
        <v>1539</v>
      </c>
      <c r="D81" s="422" t="s">
        <v>1540</v>
      </c>
      <c r="E81" s="425">
        <v>20</v>
      </c>
      <c r="F81" s="425">
        <v>5000</v>
      </c>
      <c r="G81" s="422">
        <v>1</v>
      </c>
      <c r="H81" s="422">
        <v>250</v>
      </c>
      <c r="I81" s="425">
        <v>16</v>
      </c>
      <c r="J81" s="425">
        <v>4000</v>
      </c>
      <c r="K81" s="422">
        <v>0.8</v>
      </c>
      <c r="L81" s="422">
        <v>250</v>
      </c>
      <c r="M81" s="425">
        <v>8</v>
      </c>
      <c r="N81" s="425">
        <v>2000</v>
      </c>
      <c r="O81" s="447">
        <v>0.4</v>
      </c>
      <c r="P81" s="426">
        <v>250</v>
      </c>
    </row>
    <row r="82" spans="1:16" ht="14.4" customHeight="1" x14ac:dyDescent="0.3">
      <c r="A82" s="421" t="s">
        <v>1457</v>
      </c>
      <c r="B82" s="422" t="s">
        <v>1530</v>
      </c>
      <c r="C82" s="422" t="s">
        <v>1541</v>
      </c>
      <c r="D82" s="422" t="s">
        <v>1542</v>
      </c>
      <c r="E82" s="425"/>
      <c r="F82" s="425"/>
      <c r="G82" s="422"/>
      <c r="H82" s="422"/>
      <c r="I82" s="425">
        <v>3</v>
      </c>
      <c r="J82" s="425">
        <v>900</v>
      </c>
      <c r="K82" s="422"/>
      <c r="L82" s="422">
        <v>300</v>
      </c>
      <c r="M82" s="425"/>
      <c r="N82" s="425"/>
      <c r="O82" s="447"/>
      <c r="P82" s="426"/>
    </row>
    <row r="83" spans="1:16" ht="14.4" customHeight="1" x14ac:dyDescent="0.3">
      <c r="A83" s="421" t="s">
        <v>1457</v>
      </c>
      <c r="B83" s="422" t="s">
        <v>1530</v>
      </c>
      <c r="C83" s="422" t="s">
        <v>1543</v>
      </c>
      <c r="D83" s="422" t="s">
        <v>1544</v>
      </c>
      <c r="E83" s="425">
        <v>1204</v>
      </c>
      <c r="F83" s="425">
        <v>133777.77000000002</v>
      </c>
      <c r="G83" s="422">
        <v>1</v>
      </c>
      <c r="H83" s="422">
        <v>111.1111046511628</v>
      </c>
      <c r="I83" s="425">
        <v>1352</v>
      </c>
      <c r="J83" s="425">
        <v>150000</v>
      </c>
      <c r="K83" s="422">
        <v>1.1212625236614422</v>
      </c>
      <c r="L83" s="422">
        <v>110.94674556213018</v>
      </c>
      <c r="M83" s="425">
        <v>1293</v>
      </c>
      <c r="N83" s="425">
        <v>143666.67000000001</v>
      </c>
      <c r="O83" s="447">
        <v>1.0739203531349042</v>
      </c>
      <c r="P83" s="426">
        <v>111.11111368909513</v>
      </c>
    </row>
    <row r="84" spans="1:16" ht="14.4" customHeight="1" x14ac:dyDescent="0.3">
      <c r="A84" s="421" t="s">
        <v>1457</v>
      </c>
      <c r="B84" s="422" t="s">
        <v>1530</v>
      </c>
      <c r="C84" s="422" t="s">
        <v>1545</v>
      </c>
      <c r="D84" s="422" t="s">
        <v>1546</v>
      </c>
      <c r="E84" s="425">
        <v>114</v>
      </c>
      <c r="F84" s="425">
        <v>39900</v>
      </c>
      <c r="G84" s="422">
        <v>1</v>
      </c>
      <c r="H84" s="422">
        <v>350</v>
      </c>
      <c r="I84" s="425">
        <v>78</v>
      </c>
      <c r="J84" s="425">
        <v>27300</v>
      </c>
      <c r="K84" s="422">
        <v>0.68421052631578949</v>
      </c>
      <c r="L84" s="422">
        <v>350</v>
      </c>
      <c r="M84" s="425">
        <v>69</v>
      </c>
      <c r="N84" s="425">
        <v>24150</v>
      </c>
      <c r="O84" s="447">
        <v>0.60526315789473684</v>
      </c>
      <c r="P84" s="426">
        <v>350</v>
      </c>
    </row>
    <row r="85" spans="1:16" ht="14.4" customHeight="1" x14ac:dyDescent="0.3">
      <c r="A85" s="421" t="s">
        <v>1457</v>
      </c>
      <c r="B85" s="422" t="s">
        <v>1530</v>
      </c>
      <c r="C85" s="422" t="s">
        <v>1547</v>
      </c>
      <c r="D85" s="422" t="s">
        <v>1548</v>
      </c>
      <c r="E85" s="425">
        <v>2440</v>
      </c>
      <c r="F85" s="425">
        <v>596444.42000000004</v>
      </c>
      <c r="G85" s="422">
        <v>1</v>
      </c>
      <c r="H85" s="422">
        <v>244.44443442622952</v>
      </c>
      <c r="I85" s="425">
        <v>2351</v>
      </c>
      <c r="J85" s="425">
        <v>600013.32999999984</v>
      </c>
      <c r="K85" s="422">
        <v>1.005983642197541</v>
      </c>
      <c r="L85" s="422">
        <v>255.21621863036998</v>
      </c>
      <c r="M85" s="425">
        <v>1982</v>
      </c>
      <c r="N85" s="425">
        <v>532937.78999999992</v>
      </c>
      <c r="O85" s="447">
        <v>0.8935246472756001</v>
      </c>
      <c r="P85" s="426">
        <v>268.88889505549946</v>
      </c>
    </row>
    <row r="86" spans="1:16" ht="14.4" customHeight="1" x14ac:dyDescent="0.3">
      <c r="A86" s="421" t="s">
        <v>1457</v>
      </c>
      <c r="B86" s="422" t="s">
        <v>1530</v>
      </c>
      <c r="C86" s="422" t="s">
        <v>1549</v>
      </c>
      <c r="D86" s="422" t="s">
        <v>1550</v>
      </c>
      <c r="E86" s="425">
        <v>486</v>
      </c>
      <c r="F86" s="425">
        <v>143099.99000000002</v>
      </c>
      <c r="G86" s="422">
        <v>1</v>
      </c>
      <c r="H86" s="422">
        <v>294.44442386831281</v>
      </c>
      <c r="I86" s="425">
        <v>644</v>
      </c>
      <c r="J86" s="425">
        <v>189622.22000000003</v>
      </c>
      <c r="K86" s="422">
        <v>1.3251029577290676</v>
      </c>
      <c r="L86" s="422">
        <v>294.44444099378887</v>
      </c>
      <c r="M86" s="425">
        <v>435</v>
      </c>
      <c r="N86" s="425">
        <v>128083.3</v>
      </c>
      <c r="O86" s="447">
        <v>0.89506155800569931</v>
      </c>
      <c r="P86" s="426">
        <v>294.44436781609198</v>
      </c>
    </row>
    <row r="87" spans="1:16" ht="14.4" customHeight="1" x14ac:dyDescent="0.3">
      <c r="A87" s="421" t="s">
        <v>1457</v>
      </c>
      <c r="B87" s="422" t="s">
        <v>1530</v>
      </c>
      <c r="C87" s="422" t="s">
        <v>1551</v>
      </c>
      <c r="D87" s="422" t="s">
        <v>1552</v>
      </c>
      <c r="E87" s="425">
        <v>2340</v>
      </c>
      <c r="F87" s="425">
        <v>1819999.9899999998</v>
      </c>
      <c r="G87" s="422">
        <v>1</v>
      </c>
      <c r="H87" s="422">
        <v>777.77777350427345</v>
      </c>
      <c r="I87" s="425">
        <v>2280</v>
      </c>
      <c r="J87" s="425">
        <v>1767111.1</v>
      </c>
      <c r="K87" s="422">
        <v>0.97094017017000112</v>
      </c>
      <c r="L87" s="422">
        <v>775.04872807017546</v>
      </c>
      <c r="M87" s="425">
        <v>2094</v>
      </c>
      <c r="N87" s="425">
        <v>1628666.67</v>
      </c>
      <c r="O87" s="447">
        <v>0.89487180162017477</v>
      </c>
      <c r="P87" s="426">
        <v>777.77777936962752</v>
      </c>
    </row>
    <row r="88" spans="1:16" ht="14.4" customHeight="1" x14ac:dyDescent="0.3">
      <c r="A88" s="421" t="s">
        <v>1457</v>
      </c>
      <c r="B88" s="422" t="s">
        <v>1530</v>
      </c>
      <c r="C88" s="422" t="s">
        <v>1553</v>
      </c>
      <c r="D88" s="422" t="s">
        <v>1554</v>
      </c>
      <c r="E88" s="425">
        <v>1156</v>
      </c>
      <c r="F88" s="425">
        <v>107893.33</v>
      </c>
      <c r="G88" s="422">
        <v>1</v>
      </c>
      <c r="H88" s="422">
        <v>93.333330449826988</v>
      </c>
      <c r="I88" s="425">
        <v>2875</v>
      </c>
      <c r="J88" s="425">
        <v>267026.67</v>
      </c>
      <c r="K88" s="422">
        <v>2.4749136021661391</v>
      </c>
      <c r="L88" s="422">
        <v>92.878841739130422</v>
      </c>
      <c r="M88" s="425">
        <v>1489</v>
      </c>
      <c r="N88" s="425">
        <v>138973.32999999999</v>
      </c>
      <c r="O88" s="447">
        <v>1.2880622926366254</v>
      </c>
      <c r="P88" s="426">
        <v>93.333331094694415</v>
      </c>
    </row>
    <row r="89" spans="1:16" ht="14.4" customHeight="1" x14ac:dyDescent="0.3">
      <c r="A89" s="421" t="s">
        <v>1457</v>
      </c>
      <c r="B89" s="422" t="s">
        <v>1530</v>
      </c>
      <c r="C89" s="422" t="s">
        <v>1555</v>
      </c>
      <c r="D89" s="422" t="s">
        <v>1556</v>
      </c>
      <c r="E89" s="425">
        <v>39</v>
      </c>
      <c r="F89" s="425">
        <v>26000</v>
      </c>
      <c r="G89" s="422">
        <v>1</v>
      </c>
      <c r="H89" s="422">
        <v>666.66666666666663</v>
      </c>
      <c r="I89" s="425">
        <v>27</v>
      </c>
      <c r="J89" s="425">
        <v>18000</v>
      </c>
      <c r="K89" s="422">
        <v>0.69230769230769229</v>
      </c>
      <c r="L89" s="422">
        <v>666.66666666666663</v>
      </c>
      <c r="M89" s="425">
        <v>38</v>
      </c>
      <c r="N89" s="425">
        <v>25333.33</v>
      </c>
      <c r="O89" s="447">
        <v>0.97435884615384627</v>
      </c>
      <c r="P89" s="426">
        <v>666.66657894736852</v>
      </c>
    </row>
    <row r="90" spans="1:16" ht="14.4" customHeight="1" x14ac:dyDescent="0.3">
      <c r="A90" s="421" t="s">
        <v>1457</v>
      </c>
      <c r="B90" s="422" t="s">
        <v>1530</v>
      </c>
      <c r="C90" s="422" t="s">
        <v>1557</v>
      </c>
      <c r="D90" s="422" t="s">
        <v>1558</v>
      </c>
      <c r="E90" s="425">
        <v>135</v>
      </c>
      <c r="F90" s="425">
        <v>105000</v>
      </c>
      <c r="G90" s="422">
        <v>1</v>
      </c>
      <c r="H90" s="422">
        <v>777.77777777777783</v>
      </c>
      <c r="I90" s="425">
        <v>206</v>
      </c>
      <c r="J90" s="425">
        <v>158666.66999999998</v>
      </c>
      <c r="K90" s="422">
        <v>1.5111111428571427</v>
      </c>
      <c r="L90" s="422">
        <v>770.22655339805817</v>
      </c>
      <c r="M90" s="425">
        <v>164</v>
      </c>
      <c r="N90" s="425">
        <v>127555.56</v>
      </c>
      <c r="O90" s="447">
        <v>1.2148148571428572</v>
      </c>
      <c r="P90" s="426">
        <v>777.77780487804876</v>
      </c>
    </row>
    <row r="91" spans="1:16" ht="14.4" customHeight="1" x14ac:dyDescent="0.3">
      <c r="A91" s="421" t="s">
        <v>1457</v>
      </c>
      <c r="B91" s="422" t="s">
        <v>1530</v>
      </c>
      <c r="C91" s="422" t="s">
        <v>1559</v>
      </c>
      <c r="D91" s="422" t="s">
        <v>1560</v>
      </c>
      <c r="E91" s="425">
        <v>105</v>
      </c>
      <c r="F91" s="425">
        <v>35000</v>
      </c>
      <c r="G91" s="422">
        <v>1</v>
      </c>
      <c r="H91" s="422">
        <v>333.33333333333331</v>
      </c>
      <c r="I91" s="425">
        <v>71</v>
      </c>
      <c r="J91" s="425">
        <v>23666.67</v>
      </c>
      <c r="K91" s="422">
        <v>0.67619057142857142</v>
      </c>
      <c r="L91" s="422">
        <v>333.3333802816901</v>
      </c>
      <c r="M91" s="425">
        <v>70</v>
      </c>
      <c r="N91" s="425">
        <v>23333.339999999997</v>
      </c>
      <c r="O91" s="447">
        <v>0.66666685714285701</v>
      </c>
      <c r="P91" s="426">
        <v>333.3334285714285</v>
      </c>
    </row>
    <row r="92" spans="1:16" ht="14.4" customHeight="1" x14ac:dyDescent="0.3">
      <c r="A92" s="421" t="s">
        <v>1457</v>
      </c>
      <c r="B92" s="422" t="s">
        <v>1530</v>
      </c>
      <c r="C92" s="422" t="s">
        <v>1561</v>
      </c>
      <c r="D92" s="422" t="s">
        <v>1562</v>
      </c>
      <c r="E92" s="425"/>
      <c r="F92" s="425"/>
      <c r="G92" s="422"/>
      <c r="H92" s="422"/>
      <c r="I92" s="425">
        <v>1</v>
      </c>
      <c r="J92" s="425">
        <v>11.11</v>
      </c>
      <c r="K92" s="422"/>
      <c r="L92" s="422">
        <v>11.11</v>
      </c>
      <c r="M92" s="425">
        <v>69</v>
      </c>
      <c r="N92" s="425">
        <v>766.66000000000008</v>
      </c>
      <c r="O92" s="447"/>
      <c r="P92" s="426">
        <v>11.111014492753624</v>
      </c>
    </row>
    <row r="93" spans="1:16" ht="14.4" customHeight="1" x14ac:dyDescent="0.3">
      <c r="A93" s="421" t="s">
        <v>1457</v>
      </c>
      <c r="B93" s="422" t="s">
        <v>1530</v>
      </c>
      <c r="C93" s="422" t="s">
        <v>1563</v>
      </c>
      <c r="D93" s="422" t="s">
        <v>1534</v>
      </c>
      <c r="E93" s="425">
        <v>2129</v>
      </c>
      <c r="F93" s="425">
        <v>794826.64999999991</v>
      </c>
      <c r="G93" s="422">
        <v>1</v>
      </c>
      <c r="H93" s="422">
        <v>373.33332550493185</v>
      </c>
      <c r="I93" s="425">
        <v>2211</v>
      </c>
      <c r="J93" s="425">
        <v>823946.68000000017</v>
      </c>
      <c r="K93" s="422">
        <v>1.0366369572535097</v>
      </c>
      <c r="L93" s="422">
        <v>372.65792853912262</v>
      </c>
      <c r="M93" s="425">
        <v>2115</v>
      </c>
      <c r="N93" s="425">
        <v>789599.99</v>
      </c>
      <c r="O93" s="447">
        <v>0.99342415103972681</v>
      </c>
      <c r="P93" s="426">
        <v>373.33332860520096</v>
      </c>
    </row>
    <row r="94" spans="1:16" ht="14.4" customHeight="1" x14ac:dyDescent="0.3">
      <c r="A94" s="421" t="s">
        <v>1457</v>
      </c>
      <c r="B94" s="422" t="s">
        <v>1530</v>
      </c>
      <c r="C94" s="422" t="s">
        <v>1564</v>
      </c>
      <c r="D94" s="422" t="s">
        <v>1565</v>
      </c>
      <c r="E94" s="425">
        <v>407</v>
      </c>
      <c r="F94" s="425">
        <v>75973.349999999991</v>
      </c>
      <c r="G94" s="422">
        <v>1</v>
      </c>
      <c r="H94" s="422">
        <v>186.66670761670758</v>
      </c>
      <c r="I94" s="425">
        <v>373</v>
      </c>
      <c r="J94" s="425">
        <v>67760</v>
      </c>
      <c r="K94" s="422">
        <v>0.8918916962329555</v>
      </c>
      <c r="L94" s="422">
        <v>181.6621983914209</v>
      </c>
      <c r="M94" s="425">
        <v>305</v>
      </c>
      <c r="N94" s="425">
        <v>56933.34</v>
      </c>
      <c r="O94" s="447">
        <v>0.74938567273919077</v>
      </c>
      <c r="P94" s="426">
        <v>186.66668852459014</v>
      </c>
    </row>
    <row r="95" spans="1:16" ht="14.4" customHeight="1" x14ac:dyDescent="0.3">
      <c r="A95" s="421" t="s">
        <v>1457</v>
      </c>
      <c r="B95" s="422" t="s">
        <v>1530</v>
      </c>
      <c r="C95" s="422" t="s">
        <v>1566</v>
      </c>
      <c r="D95" s="422" t="s">
        <v>1567</v>
      </c>
      <c r="E95" s="425">
        <v>155</v>
      </c>
      <c r="F95" s="425">
        <v>90416.67</v>
      </c>
      <c r="G95" s="422">
        <v>1</v>
      </c>
      <c r="H95" s="422">
        <v>583.33335483870962</v>
      </c>
      <c r="I95" s="425">
        <v>108</v>
      </c>
      <c r="J95" s="425">
        <v>60666.66</v>
      </c>
      <c r="K95" s="422">
        <v>0.67096764346663074</v>
      </c>
      <c r="L95" s="422">
        <v>561.72833333333335</v>
      </c>
      <c r="M95" s="425">
        <v>133</v>
      </c>
      <c r="N95" s="425">
        <v>77583.33</v>
      </c>
      <c r="O95" s="447">
        <v>0.8580644476289605</v>
      </c>
      <c r="P95" s="426">
        <v>583.33330827067675</v>
      </c>
    </row>
    <row r="96" spans="1:16" ht="14.4" customHeight="1" x14ac:dyDescent="0.3">
      <c r="A96" s="421" t="s">
        <v>1457</v>
      </c>
      <c r="B96" s="422" t="s">
        <v>1530</v>
      </c>
      <c r="C96" s="422" t="s">
        <v>1568</v>
      </c>
      <c r="D96" s="422" t="s">
        <v>1569</v>
      </c>
      <c r="E96" s="425">
        <v>160</v>
      </c>
      <c r="F96" s="425">
        <v>74666.66</v>
      </c>
      <c r="G96" s="422">
        <v>1</v>
      </c>
      <c r="H96" s="422">
        <v>466.66662500000001</v>
      </c>
      <c r="I96" s="425">
        <v>245</v>
      </c>
      <c r="J96" s="425">
        <v>114333.32</v>
      </c>
      <c r="K96" s="422">
        <v>1.5312499581473178</v>
      </c>
      <c r="L96" s="422">
        <v>466.66661224489798</v>
      </c>
      <c r="M96" s="425">
        <v>286</v>
      </c>
      <c r="N96" s="425">
        <v>133466.65</v>
      </c>
      <c r="O96" s="447">
        <v>1.7874999363839228</v>
      </c>
      <c r="P96" s="426">
        <v>466.66660839160835</v>
      </c>
    </row>
    <row r="97" spans="1:16" ht="14.4" customHeight="1" x14ac:dyDescent="0.3">
      <c r="A97" s="421" t="s">
        <v>1457</v>
      </c>
      <c r="B97" s="422" t="s">
        <v>1530</v>
      </c>
      <c r="C97" s="422" t="s">
        <v>1570</v>
      </c>
      <c r="D97" s="422" t="s">
        <v>1569</v>
      </c>
      <c r="E97" s="425">
        <v>51</v>
      </c>
      <c r="F97" s="425">
        <v>51000</v>
      </c>
      <c r="G97" s="422">
        <v>1</v>
      </c>
      <c r="H97" s="422">
        <v>1000</v>
      </c>
      <c r="I97" s="425">
        <v>46</v>
      </c>
      <c r="J97" s="425">
        <v>46000</v>
      </c>
      <c r="K97" s="422">
        <v>0.90196078431372551</v>
      </c>
      <c r="L97" s="422">
        <v>1000</v>
      </c>
      <c r="M97" s="425">
        <v>43</v>
      </c>
      <c r="N97" s="425">
        <v>43000</v>
      </c>
      <c r="O97" s="447">
        <v>0.84313725490196079</v>
      </c>
      <c r="P97" s="426">
        <v>1000</v>
      </c>
    </row>
    <row r="98" spans="1:16" ht="14.4" customHeight="1" x14ac:dyDescent="0.3">
      <c r="A98" s="421" t="s">
        <v>1457</v>
      </c>
      <c r="B98" s="422" t="s">
        <v>1530</v>
      </c>
      <c r="C98" s="422" t="s">
        <v>1571</v>
      </c>
      <c r="D98" s="422" t="s">
        <v>1572</v>
      </c>
      <c r="E98" s="425">
        <v>517</v>
      </c>
      <c r="F98" s="425">
        <v>25850</v>
      </c>
      <c r="G98" s="422">
        <v>1</v>
      </c>
      <c r="H98" s="422">
        <v>50</v>
      </c>
      <c r="I98" s="425">
        <v>535</v>
      </c>
      <c r="J98" s="425">
        <v>26650</v>
      </c>
      <c r="K98" s="422">
        <v>1.0309477756286267</v>
      </c>
      <c r="L98" s="422">
        <v>49.813084112149532</v>
      </c>
      <c r="M98" s="425">
        <v>562</v>
      </c>
      <c r="N98" s="425">
        <v>28100</v>
      </c>
      <c r="O98" s="447">
        <v>1.0870406189555126</v>
      </c>
      <c r="P98" s="426">
        <v>50</v>
      </c>
    </row>
    <row r="99" spans="1:16" ht="14.4" customHeight="1" x14ac:dyDescent="0.3">
      <c r="A99" s="421" t="s">
        <v>1457</v>
      </c>
      <c r="B99" s="422" t="s">
        <v>1530</v>
      </c>
      <c r="C99" s="422" t="s">
        <v>1573</v>
      </c>
      <c r="D99" s="422" t="s">
        <v>1574</v>
      </c>
      <c r="E99" s="425">
        <v>250</v>
      </c>
      <c r="F99" s="425">
        <v>25277.769999999997</v>
      </c>
      <c r="G99" s="422">
        <v>1</v>
      </c>
      <c r="H99" s="422">
        <v>101.11107999999999</v>
      </c>
      <c r="I99" s="425">
        <v>135</v>
      </c>
      <c r="J99" s="425">
        <v>13650</v>
      </c>
      <c r="K99" s="422">
        <v>0.54000016615389734</v>
      </c>
      <c r="L99" s="422">
        <v>101.11111111111111</v>
      </c>
      <c r="M99" s="425">
        <v>189</v>
      </c>
      <c r="N99" s="425">
        <v>19110.009999999998</v>
      </c>
      <c r="O99" s="447">
        <v>0.7560006282199736</v>
      </c>
      <c r="P99" s="426">
        <v>101.11116402116402</v>
      </c>
    </row>
    <row r="100" spans="1:16" ht="14.4" customHeight="1" x14ac:dyDescent="0.3">
      <c r="A100" s="421" t="s">
        <v>1457</v>
      </c>
      <c r="B100" s="422" t="s">
        <v>1530</v>
      </c>
      <c r="C100" s="422" t="s">
        <v>1575</v>
      </c>
      <c r="D100" s="422" t="s">
        <v>1576</v>
      </c>
      <c r="E100" s="425">
        <v>60</v>
      </c>
      <c r="F100" s="425">
        <v>4600</v>
      </c>
      <c r="G100" s="422">
        <v>1</v>
      </c>
      <c r="H100" s="422">
        <v>76.666666666666671</v>
      </c>
      <c r="I100" s="425">
        <v>41</v>
      </c>
      <c r="J100" s="425">
        <v>3143.33</v>
      </c>
      <c r="K100" s="422">
        <v>0.68333260869565216</v>
      </c>
      <c r="L100" s="422">
        <v>76.666585365853663</v>
      </c>
      <c r="M100" s="425">
        <v>62</v>
      </c>
      <c r="N100" s="425">
        <v>4753.33</v>
      </c>
      <c r="O100" s="447">
        <v>1.0333326086956522</v>
      </c>
      <c r="P100" s="426">
        <v>76.666612903225811</v>
      </c>
    </row>
    <row r="101" spans="1:16" ht="14.4" customHeight="1" x14ac:dyDescent="0.3">
      <c r="A101" s="421" t="s">
        <v>1457</v>
      </c>
      <c r="B101" s="422" t="s">
        <v>1530</v>
      </c>
      <c r="C101" s="422" t="s">
        <v>1577</v>
      </c>
      <c r="D101" s="422" t="s">
        <v>1578</v>
      </c>
      <c r="E101" s="425">
        <v>8</v>
      </c>
      <c r="F101" s="425">
        <v>0</v>
      </c>
      <c r="G101" s="422"/>
      <c r="H101" s="422">
        <v>0</v>
      </c>
      <c r="I101" s="425">
        <v>8</v>
      </c>
      <c r="J101" s="425">
        <v>0</v>
      </c>
      <c r="K101" s="422"/>
      <c r="L101" s="422">
        <v>0</v>
      </c>
      <c r="M101" s="425">
        <v>2</v>
      </c>
      <c r="N101" s="425">
        <v>0</v>
      </c>
      <c r="O101" s="447"/>
      <c r="P101" s="426">
        <v>0</v>
      </c>
    </row>
    <row r="102" spans="1:16" ht="14.4" customHeight="1" x14ac:dyDescent="0.3">
      <c r="A102" s="421" t="s">
        <v>1457</v>
      </c>
      <c r="B102" s="422" t="s">
        <v>1530</v>
      </c>
      <c r="C102" s="422" t="s">
        <v>1579</v>
      </c>
      <c r="D102" s="422" t="s">
        <v>1580</v>
      </c>
      <c r="E102" s="425">
        <v>521</v>
      </c>
      <c r="F102" s="425">
        <v>0</v>
      </c>
      <c r="G102" s="422"/>
      <c r="H102" s="422">
        <v>0</v>
      </c>
      <c r="I102" s="425">
        <v>587</v>
      </c>
      <c r="J102" s="425">
        <v>0</v>
      </c>
      <c r="K102" s="422"/>
      <c r="L102" s="422">
        <v>0</v>
      </c>
      <c r="M102" s="425">
        <v>614</v>
      </c>
      <c r="N102" s="425">
        <v>0</v>
      </c>
      <c r="O102" s="447"/>
      <c r="P102" s="426">
        <v>0</v>
      </c>
    </row>
    <row r="103" spans="1:16" ht="14.4" customHeight="1" x14ac:dyDescent="0.3">
      <c r="A103" s="421" t="s">
        <v>1457</v>
      </c>
      <c r="B103" s="422" t="s">
        <v>1530</v>
      </c>
      <c r="C103" s="422" t="s">
        <v>1581</v>
      </c>
      <c r="D103" s="422" t="s">
        <v>1582</v>
      </c>
      <c r="E103" s="425">
        <v>1406</v>
      </c>
      <c r="F103" s="425">
        <v>429611.12999999995</v>
      </c>
      <c r="G103" s="422">
        <v>1</v>
      </c>
      <c r="H103" s="422">
        <v>305.55556899004262</v>
      </c>
      <c r="I103" s="425">
        <v>1312</v>
      </c>
      <c r="J103" s="425">
        <v>400277.79000000004</v>
      </c>
      <c r="K103" s="422">
        <v>0.93172118236322254</v>
      </c>
      <c r="L103" s="422">
        <v>305.08977896341469</v>
      </c>
      <c r="M103" s="425">
        <v>1165</v>
      </c>
      <c r="N103" s="425">
        <v>355972.23</v>
      </c>
      <c r="O103" s="447">
        <v>0.82859173131757557</v>
      </c>
      <c r="P103" s="426">
        <v>305.55556223175967</v>
      </c>
    </row>
    <row r="104" spans="1:16" ht="14.4" customHeight="1" x14ac:dyDescent="0.3">
      <c r="A104" s="421" t="s">
        <v>1457</v>
      </c>
      <c r="B104" s="422" t="s">
        <v>1530</v>
      </c>
      <c r="C104" s="422" t="s">
        <v>1583</v>
      </c>
      <c r="D104" s="422" t="s">
        <v>1584</v>
      </c>
      <c r="E104" s="425">
        <v>2914</v>
      </c>
      <c r="F104" s="425">
        <v>0</v>
      </c>
      <c r="G104" s="422"/>
      <c r="H104" s="422">
        <v>0</v>
      </c>
      <c r="I104" s="425">
        <v>3600</v>
      </c>
      <c r="J104" s="425">
        <v>0</v>
      </c>
      <c r="K104" s="422"/>
      <c r="L104" s="422">
        <v>0</v>
      </c>
      <c r="M104" s="425">
        <v>3053</v>
      </c>
      <c r="N104" s="425">
        <v>56933.33</v>
      </c>
      <c r="O104" s="447"/>
      <c r="P104" s="426">
        <v>18.648322961021947</v>
      </c>
    </row>
    <row r="105" spans="1:16" ht="14.4" customHeight="1" x14ac:dyDescent="0.3">
      <c r="A105" s="421" t="s">
        <v>1457</v>
      </c>
      <c r="B105" s="422" t="s">
        <v>1530</v>
      </c>
      <c r="C105" s="422" t="s">
        <v>1585</v>
      </c>
      <c r="D105" s="422" t="s">
        <v>1586</v>
      </c>
      <c r="E105" s="425">
        <v>1786</v>
      </c>
      <c r="F105" s="425">
        <v>813622.23</v>
      </c>
      <c r="G105" s="422">
        <v>1</v>
      </c>
      <c r="H105" s="422">
        <v>455.55555991041433</v>
      </c>
      <c r="I105" s="425">
        <v>1755</v>
      </c>
      <c r="J105" s="425">
        <v>791300</v>
      </c>
      <c r="K105" s="422">
        <v>0.97256438040047166</v>
      </c>
      <c r="L105" s="422">
        <v>450.88319088319088</v>
      </c>
      <c r="M105" s="425">
        <v>1683</v>
      </c>
      <c r="N105" s="425">
        <v>766700</v>
      </c>
      <c r="O105" s="447">
        <v>0.94232921831548289</v>
      </c>
      <c r="P105" s="426">
        <v>455.55555555555554</v>
      </c>
    </row>
    <row r="106" spans="1:16" ht="14.4" customHeight="1" x14ac:dyDescent="0.3">
      <c r="A106" s="421" t="s">
        <v>1457</v>
      </c>
      <c r="B106" s="422" t="s">
        <v>1530</v>
      </c>
      <c r="C106" s="422" t="s">
        <v>1587</v>
      </c>
      <c r="D106" s="422" t="s">
        <v>1588</v>
      </c>
      <c r="E106" s="425">
        <v>67</v>
      </c>
      <c r="F106" s="425">
        <v>3945.55</v>
      </c>
      <c r="G106" s="422">
        <v>1</v>
      </c>
      <c r="H106" s="422">
        <v>58.888805970149257</v>
      </c>
      <c r="I106" s="425">
        <v>137</v>
      </c>
      <c r="J106" s="425">
        <v>7950.01</v>
      </c>
      <c r="K106" s="422">
        <v>2.0149307447630873</v>
      </c>
      <c r="L106" s="422">
        <v>58.029270072992702</v>
      </c>
      <c r="M106" s="425">
        <v>102</v>
      </c>
      <c r="N106" s="425">
        <v>6006.66</v>
      </c>
      <c r="O106" s="447">
        <v>1.522388513641951</v>
      </c>
      <c r="P106" s="426">
        <v>58.888823529411766</v>
      </c>
    </row>
    <row r="107" spans="1:16" ht="14.4" customHeight="1" x14ac:dyDescent="0.3">
      <c r="A107" s="421" t="s">
        <v>1457</v>
      </c>
      <c r="B107" s="422" t="s">
        <v>1530</v>
      </c>
      <c r="C107" s="422" t="s">
        <v>1589</v>
      </c>
      <c r="D107" s="422" t="s">
        <v>1590</v>
      </c>
      <c r="E107" s="425">
        <v>1507</v>
      </c>
      <c r="F107" s="425">
        <v>117211.11</v>
      </c>
      <c r="G107" s="422">
        <v>1</v>
      </c>
      <c r="H107" s="422">
        <v>77.777777040477773</v>
      </c>
      <c r="I107" s="425">
        <v>1414</v>
      </c>
      <c r="J107" s="425">
        <v>109822.21</v>
      </c>
      <c r="K107" s="422">
        <v>0.93696075397630829</v>
      </c>
      <c r="L107" s="422">
        <v>77.667758132956152</v>
      </c>
      <c r="M107" s="425">
        <v>1296</v>
      </c>
      <c r="N107" s="425">
        <v>100800.01</v>
      </c>
      <c r="O107" s="447">
        <v>0.85998682206831756</v>
      </c>
      <c r="P107" s="426">
        <v>77.777785493827153</v>
      </c>
    </row>
    <row r="108" spans="1:16" ht="14.4" customHeight="1" x14ac:dyDescent="0.3">
      <c r="A108" s="421" t="s">
        <v>1457</v>
      </c>
      <c r="B108" s="422" t="s">
        <v>1530</v>
      </c>
      <c r="C108" s="422" t="s">
        <v>1591</v>
      </c>
      <c r="D108" s="422" t="s">
        <v>1592</v>
      </c>
      <c r="E108" s="425">
        <v>39</v>
      </c>
      <c r="F108" s="425">
        <v>27300</v>
      </c>
      <c r="G108" s="422">
        <v>1</v>
      </c>
      <c r="H108" s="422">
        <v>700</v>
      </c>
      <c r="I108" s="425">
        <v>29</v>
      </c>
      <c r="J108" s="425">
        <v>18900</v>
      </c>
      <c r="K108" s="422">
        <v>0.69230769230769229</v>
      </c>
      <c r="L108" s="422">
        <v>651.72413793103453</v>
      </c>
      <c r="M108" s="425">
        <v>23</v>
      </c>
      <c r="N108" s="425">
        <v>16100</v>
      </c>
      <c r="O108" s="447">
        <v>0.58974358974358976</v>
      </c>
      <c r="P108" s="426">
        <v>700</v>
      </c>
    </row>
    <row r="109" spans="1:16" ht="14.4" customHeight="1" x14ac:dyDescent="0.3">
      <c r="A109" s="421" t="s">
        <v>1457</v>
      </c>
      <c r="B109" s="422" t="s">
        <v>1530</v>
      </c>
      <c r="C109" s="422" t="s">
        <v>1593</v>
      </c>
      <c r="D109" s="422" t="s">
        <v>1594</v>
      </c>
      <c r="E109" s="425">
        <v>129</v>
      </c>
      <c r="F109" s="425">
        <v>143333.33000000002</v>
      </c>
      <c r="G109" s="422">
        <v>1</v>
      </c>
      <c r="H109" s="422">
        <v>1111.111085271318</v>
      </c>
      <c r="I109" s="425">
        <v>109</v>
      </c>
      <c r="J109" s="425">
        <v>118888.89</v>
      </c>
      <c r="K109" s="422">
        <v>0.82945739138272989</v>
      </c>
      <c r="L109" s="422">
        <v>1090.72376146789</v>
      </c>
      <c r="M109" s="425">
        <v>150</v>
      </c>
      <c r="N109" s="425">
        <v>166666.66999999998</v>
      </c>
      <c r="O109" s="447">
        <v>1.1627907479718775</v>
      </c>
      <c r="P109" s="426">
        <v>1111.1111333333333</v>
      </c>
    </row>
    <row r="110" spans="1:16" ht="14.4" customHeight="1" x14ac:dyDescent="0.3">
      <c r="A110" s="421" t="s">
        <v>1457</v>
      </c>
      <c r="B110" s="422" t="s">
        <v>1530</v>
      </c>
      <c r="C110" s="422" t="s">
        <v>1595</v>
      </c>
      <c r="D110" s="422" t="s">
        <v>1596</v>
      </c>
      <c r="E110" s="425">
        <v>0</v>
      </c>
      <c r="F110" s="425">
        <v>0</v>
      </c>
      <c r="G110" s="422"/>
      <c r="H110" s="422"/>
      <c r="I110" s="425"/>
      <c r="J110" s="425"/>
      <c r="K110" s="422"/>
      <c r="L110" s="422"/>
      <c r="M110" s="425">
        <v>0</v>
      </c>
      <c r="N110" s="425">
        <v>0</v>
      </c>
      <c r="O110" s="447"/>
      <c r="P110" s="426"/>
    </row>
    <row r="111" spans="1:16" ht="14.4" customHeight="1" x14ac:dyDescent="0.3">
      <c r="A111" s="421" t="s">
        <v>1457</v>
      </c>
      <c r="B111" s="422" t="s">
        <v>1530</v>
      </c>
      <c r="C111" s="422" t="s">
        <v>1597</v>
      </c>
      <c r="D111" s="422" t="s">
        <v>1598</v>
      </c>
      <c r="E111" s="425">
        <v>238</v>
      </c>
      <c r="F111" s="425">
        <v>64260</v>
      </c>
      <c r="G111" s="422">
        <v>1</v>
      </c>
      <c r="H111" s="422">
        <v>270</v>
      </c>
      <c r="I111" s="425">
        <v>230</v>
      </c>
      <c r="J111" s="425">
        <v>62100</v>
      </c>
      <c r="K111" s="422">
        <v>0.96638655462184875</v>
      </c>
      <c r="L111" s="422">
        <v>270</v>
      </c>
      <c r="M111" s="425">
        <v>175</v>
      </c>
      <c r="N111" s="425">
        <v>47250</v>
      </c>
      <c r="O111" s="447">
        <v>0.73529411764705888</v>
      </c>
      <c r="P111" s="426">
        <v>270</v>
      </c>
    </row>
    <row r="112" spans="1:16" ht="14.4" customHeight="1" x14ac:dyDescent="0.3">
      <c r="A112" s="421" t="s">
        <v>1457</v>
      </c>
      <c r="B112" s="422" t="s">
        <v>1530</v>
      </c>
      <c r="C112" s="422" t="s">
        <v>1599</v>
      </c>
      <c r="D112" s="422" t="s">
        <v>1600</v>
      </c>
      <c r="E112" s="425">
        <v>1848</v>
      </c>
      <c r="F112" s="425">
        <v>164266.66999999998</v>
      </c>
      <c r="G112" s="422">
        <v>1</v>
      </c>
      <c r="H112" s="422">
        <v>88.888890692640686</v>
      </c>
      <c r="I112" s="425">
        <v>2302</v>
      </c>
      <c r="J112" s="425">
        <v>203555.57</v>
      </c>
      <c r="K112" s="422">
        <v>1.2391775519647414</v>
      </c>
      <c r="L112" s="422">
        <v>88.42552997393571</v>
      </c>
      <c r="M112" s="425">
        <v>1948</v>
      </c>
      <c r="N112" s="425">
        <v>173155.54</v>
      </c>
      <c r="O112" s="447">
        <v>1.054112438025316</v>
      </c>
      <c r="P112" s="426">
        <v>88.888880903490758</v>
      </c>
    </row>
    <row r="113" spans="1:16" ht="14.4" customHeight="1" x14ac:dyDescent="0.3">
      <c r="A113" s="421" t="s">
        <v>1457</v>
      </c>
      <c r="B113" s="422" t="s">
        <v>1530</v>
      </c>
      <c r="C113" s="422" t="s">
        <v>1601</v>
      </c>
      <c r="D113" s="422" t="s">
        <v>1602</v>
      </c>
      <c r="E113" s="425">
        <v>157</v>
      </c>
      <c r="F113" s="425">
        <v>6803.33</v>
      </c>
      <c r="G113" s="422">
        <v>1</v>
      </c>
      <c r="H113" s="422">
        <v>43.333312101910828</v>
      </c>
      <c r="I113" s="425">
        <v>160</v>
      </c>
      <c r="J113" s="425">
        <v>6933.33</v>
      </c>
      <c r="K113" s="422">
        <v>1.0191082896169963</v>
      </c>
      <c r="L113" s="422">
        <v>43.333312499999998</v>
      </c>
      <c r="M113" s="425">
        <v>152</v>
      </c>
      <c r="N113" s="425">
        <v>6586.66</v>
      </c>
      <c r="O113" s="447">
        <v>0.96815236068219535</v>
      </c>
      <c r="P113" s="426">
        <v>43.333289473684211</v>
      </c>
    </row>
    <row r="114" spans="1:16" ht="14.4" customHeight="1" x14ac:dyDescent="0.3">
      <c r="A114" s="421" t="s">
        <v>1457</v>
      </c>
      <c r="B114" s="422" t="s">
        <v>1530</v>
      </c>
      <c r="C114" s="422" t="s">
        <v>1603</v>
      </c>
      <c r="D114" s="422" t="s">
        <v>1604</v>
      </c>
      <c r="E114" s="425">
        <v>470</v>
      </c>
      <c r="F114" s="425">
        <v>45433.33</v>
      </c>
      <c r="G114" s="422">
        <v>1</v>
      </c>
      <c r="H114" s="422">
        <v>96.666659574468085</v>
      </c>
      <c r="I114" s="425">
        <v>575</v>
      </c>
      <c r="J114" s="425">
        <v>55390</v>
      </c>
      <c r="K114" s="422">
        <v>1.2191490256162161</v>
      </c>
      <c r="L114" s="422">
        <v>96.330434782608691</v>
      </c>
      <c r="M114" s="425">
        <v>527</v>
      </c>
      <c r="N114" s="425">
        <v>50943.33</v>
      </c>
      <c r="O114" s="447">
        <v>1.1212766046424507</v>
      </c>
      <c r="P114" s="426">
        <v>96.666660341555982</v>
      </c>
    </row>
    <row r="115" spans="1:16" ht="14.4" customHeight="1" x14ac:dyDescent="0.3">
      <c r="A115" s="421" t="s">
        <v>1457</v>
      </c>
      <c r="B115" s="422" t="s">
        <v>1530</v>
      </c>
      <c r="C115" s="422" t="s">
        <v>1605</v>
      </c>
      <c r="D115" s="422" t="s">
        <v>1606</v>
      </c>
      <c r="E115" s="425">
        <v>7</v>
      </c>
      <c r="F115" s="425">
        <v>1407.7800000000002</v>
      </c>
      <c r="G115" s="422">
        <v>1</v>
      </c>
      <c r="H115" s="422">
        <v>201.1114285714286</v>
      </c>
      <c r="I115" s="425"/>
      <c r="J115" s="425"/>
      <c r="K115" s="422"/>
      <c r="L115" s="422"/>
      <c r="M115" s="425"/>
      <c r="N115" s="425"/>
      <c r="O115" s="447"/>
      <c r="P115" s="426"/>
    </row>
    <row r="116" spans="1:16" ht="14.4" customHeight="1" x14ac:dyDescent="0.3">
      <c r="A116" s="421" t="s">
        <v>1457</v>
      </c>
      <c r="B116" s="422" t="s">
        <v>1530</v>
      </c>
      <c r="C116" s="422" t="s">
        <v>1607</v>
      </c>
      <c r="D116" s="422" t="s">
        <v>1608</v>
      </c>
      <c r="E116" s="425">
        <v>938</v>
      </c>
      <c r="F116" s="425">
        <v>131320</v>
      </c>
      <c r="G116" s="422">
        <v>1</v>
      </c>
      <c r="H116" s="422">
        <v>140</v>
      </c>
      <c r="I116" s="425">
        <v>864</v>
      </c>
      <c r="J116" s="425">
        <v>120960</v>
      </c>
      <c r="K116" s="422">
        <v>0.9211087420042644</v>
      </c>
      <c r="L116" s="422">
        <v>140</v>
      </c>
      <c r="M116" s="425">
        <v>629</v>
      </c>
      <c r="N116" s="425">
        <v>88060</v>
      </c>
      <c r="O116" s="447">
        <v>0.67057569296375263</v>
      </c>
      <c r="P116" s="426">
        <v>140</v>
      </c>
    </row>
    <row r="117" spans="1:16" ht="14.4" customHeight="1" x14ac:dyDescent="0.3">
      <c r="A117" s="421" t="s">
        <v>1457</v>
      </c>
      <c r="B117" s="422" t="s">
        <v>1530</v>
      </c>
      <c r="C117" s="422" t="s">
        <v>1609</v>
      </c>
      <c r="D117" s="422" t="s">
        <v>1610</v>
      </c>
      <c r="E117" s="425">
        <v>793</v>
      </c>
      <c r="F117" s="425">
        <v>59915.55</v>
      </c>
      <c r="G117" s="422">
        <v>1</v>
      </c>
      <c r="H117" s="422">
        <v>75.555548549810851</v>
      </c>
      <c r="I117" s="425">
        <v>798</v>
      </c>
      <c r="J117" s="425">
        <v>59688.880000000005</v>
      </c>
      <c r="K117" s="422">
        <v>0.99621684187160098</v>
      </c>
      <c r="L117" s="422">
        <v>74.798095238095243</v>
      </c>
      <c r="M117" s="425">
        <v>761</v>
      </c>
      <c r="N117" s="425">
        <v>57497.78</v>
      </c>
      <c r="O117" s="447">
        <v>0.95964703653725947</v>
      </c>
      <c r="P117" s="426">
        <v>75.555558475689878</v>
      </c>
    </row>
    <row r="118" spans="1:16" ht="14.4" customHeight="1" x14ac:dyDescent="0.3">
      <c r="A118" s="421" t="s">
        <v>1457</v>
      </c>
      <c r="B118" s="422" t="s">
        <v>1530</v>
      </c>
      <c r="C118" s="422" t="s">
        <v>1611</v>
      </c>
      <c r="D118" s="422" t="s">
        <v>1612</v>
      </c>
      <c r="E118" s="425">
        <v>42</v>
      </c>
      <c r="F118" s="425">
        <v>53900.009999999995</v>
      </c>
      <c r="G118" s="422">
        <v>1</v>
      </c>
      <c r="H118" s="422">
        <v>1283.3335714285713</v>
      </c>
      <c r="I118" s="425">
        <v>67</v>
      </c>
      <c r="J118" s="425">
        <v>85983.33</v>
      </c>
      <c r="K118" s="422">
        <v>1.595237737432702</v>
      </c>
      <c r="L118" s="422">
        <v>1283.3332835820895</v>
      </c>
      <c r="M118" s="425">
        <v>85</v>
      </c>
      <c r="N118" s="425">
        <v>109083.32</v>
      </c>
      <c r="O118" s="447">
        <v>2.0238089009630986</v>
      </c>
      <c r="P118" s="426">
        <v>1283.3331764705883</v>
      </c>
    </row>
    <row r="119" spans="1:16" ht="14.4" customHeight="1" x14ac:dyDescent="0.3">
      <c r="A119" s="421" t="s">
        <v>1457</v>
      </c>
      <c r="B119" s="422" t="s">
        <v>1530</v>
      </c>
      <c r="C119" s="422" t="s">
        <v>1613</v>
      </c>
      <c r="D119" s="422" t="s">
        <v>1614</v>
      </c>
      <c r="E119" s="425">
        <v>9</v>
      </c>
      <c r="F119" s="425">
        <v>1050.01</v>
      </c>
      <c r="G119" s="422">
        <v>1</v>
      </c>
      <c r="H119" s="422">
        <v>116.66777777777777</v>
      </c>
      <c r="I119" s="425">
        <v>22</v>
      </c>
      <c r="J119" s="425">
        <v>2566.67</v>
      </c>
      <c r="K119" s="422">
        <v>2.4444243388158209</v>
      </c>
      <c r="L119" s="422">
        <v>116.66681818181819</v>
      </c>
      <c r="M119" s="425">
        <v>15</v>
      </c>
      <c r="N119" s="425">
        <v>1750.0100000000002</v>
      </c>
      <c r="O119" s="447">
        <v>1.6666603175207857</v>
      </c>
      <c r="P119" s="426">
        <v>116.66733333333335</v>
      </c>
    </row>
    <row r="120" spans="1:16" ht="14.4" customHeight="1" x14ac:dyDescent="0.3">
      <c r="A120" s="421" t="s">
        <v>1457</v>
      </c>
      <c r="B120" s="422" t="s">
        <v>1530</v>
      </c>
      <c r="C120" s="422" t="s">
        <v>1615</v>
      </c>
      <c r="D120" s="422" t="s">
        <v>1616</v>
      </c>
      <c r="E120" s="425">
        <v>67</v>
      </c>
      <c r="F120" s="425">
        <v>3275.55</v>
      </c>
      <c r="G120" s="422">
        <v>1</v>
      </c>
      <c r="H120" s="422">
        <v>48.888805970149257</v>
      </c>
      <c r="I120" s="425">
        <v>29</v>
      </c>
      <c r="J120" s="425">
        <v>1417.79</v>
      </c>
      <c r="K120" s="422">
        <v>0.43284028636412203</v>
      </c>
      <c r="L120" s="422">
        <v>48.889310344827585</v>
      </c>
      <c r="M120" s="425">
        <v>56</v>
      </c>
      <c r="N120" s="425">
        <v>2737.7799999999997</v>
      </c>
      <c r="O120" s="447">
        <v>0.83582299155866946</v>
      </c>
      <c r="P120" s="426">
        <v>48.888928571428565</v>
      </c>
    </row>
    <row r="121" spans="1:16" ht="14.4" customHeight="1" x14ac:dyDescent="0.3">
      <c r="A121" s="421" t="s">
        <v>1457</v>
      </c>
      <c r="B121" s="422" t="s">
        <v>1530</v>
      </c>
      <c r="C121" s="422" t="s">
        <v>1617</v>
      </c>
      <c r="D121" s="422" t="s">
        <v>1618</v>
      </c>
      <c r="E121" s="425">
        <v>4</v>
      </c>
      <c r="F121" s="425">
        <v>1866.66</v>
      </c>
      <c r="G121" s="422">
        <v>1</v>
      </c>
      <c r="H121" s="422">
        <v>466.66500000000002</v>
      </c>
      <c r="I121" s="425">
        <v>3</v>
      </c>
      <c r="J121" s="425">
        <v>1400.01</v>
      </c>
      <c r="K121" s="422">
        <v>0.7500080357429848</v>
      </c>
      <c r="L121" s="422">
        <v>466.67</v>
      </c>
      <c r="M121" s="425">
        <v>7</v>
      </c>
      <c r="N121" s="425">
        <v>3266.66</v>
      </c>
      <c r="O121" s="447">
        <v>1.7500026785809948</v>
      </c>
      <c r="P121" s="426">
        <v>466.66571428571427</v>
      </c>
    </row>
    <row r="122" spans="1:16" ht="14.4" customHeight="1" x14ac:dyDescent="0.3">
      <c r="A122" s="421" t="s">
        <v>1457</v>
      </c>
      <c r="B122" s="422" t="s">
        <v>1530</v>
      </c>
      <c r="C122" s="422" t="s">
        <v>1619</v>
      </c>
      <c r="D122" s="422" t="s">
        <v>1620</v>
      </c>
      <c r="E122" s="425">
        <v>2</v>
      </c>
      <c r="F122" s="425">
        <v>655.56</v>
      </c>
      <c r="G122" s="422">
        <v>1</v>
      </c>
      <c r="H122" s="422">
        <v>327.78</v>
      </c>
      <c r="I122" s="425">
        <v>31</v>
      </c>
      <c r="J122" s="425">
        <v>10161.120000000001</v>
      </c>
      <c r="K122" s="422">
        <v>15.499908475196781</v>
      </c>
      <c r="L122" s="422">
        <v>327.77806451612906</v>
      </c>
      <c r="M122" s="425">
        <v>4</v>
      </c>
      <c r="N122" s="425">
        <v>1311.12</v>
      </c>
      <c r="O122" s="447">
        <v>2</v>
      </c>
      <c r="P122" s="426">
        <v>327.78</v>
      </c>
    </row>
    <row r="123" spans="1:16" ht="14.4" customHeight="1" x14ac:dyDescent="0.3">
      <c r="A123" s="421" t="s">
        <v>1457</v>
      </c>
      <c r="B123" s="422" t="s">
        <v>1530</v>
      </c>
      <c r="C123" s="422" t="s">
        <v>1621</v>
      </c>
      <c r="D123" s="422" t="s">
        <v>1622</v>
      </c>
      <c r="E123" s="425">
        <v>16</v>
      </c>
      <c r="F123" s="425">
        <v>7466.68</v>
      </c>
      <c r="G123" s="422">
        <v>1</v>
      </c>
      <c r="H123" s="422">
        <v>466.66750000000002</v>
      </c>
      <c r="I123" s="425">
        <v>72</v>
      </c>
      <c r="J123" s="425">
        <v>33600.01</v>
      </c>
      <c r="K123" s="422">
        <v>4.4999933035833868</v>
      </c>
      <c r="L123" s="422">
        <v>466.66680555555558</v>
      </c>
      <c r="M123" s="425">
        <v>134</v>
      </c>
      <c r="N123" s="425">
        <v>62533.33</v>
      </c>
      <c r="O123" s="447">
        <v>8.3749845982417881</v>
      </c>
      <c r="P123" s="426">
        <v>466.66664179104481</v>
      </c>
    </row>
    <row r="124" spans="1:16" ht="14.4" customHeight="1" x14ac:dyDescent="0.3">
      <c r="A124" s="421" t="s">
        <v>1457</v>
      </c>
      <c r="B124" s="422" t="s">
        <v>1530</v>
      </c>
      <c r="C124" s="422" t="s">
        <v>1623</v>
      </c>
      <c r="D124" s="422" t="s">
        <v>1624</v>
      </c>
      <c r="E124" s="425">
        <v>19</v>
      </c>
      <c r="F124" s="425">
        <v>1857.7899999999997</v>
      </c>
      <c r="G124" s="422">
        <v>1</v>
      </c>
      <c r="H124" s="422">
        <v>97.778421052631572</v>
      </c>
      <c r="I124" s="425">
        <v>26</v>
      </c>
      <c r="J124" s="425">
        <v>2346.67</v>
      </c>
      <c r="K124" s="422">
        <v>1.263151378788776</v>
      </c>
      <c r="L124" s="422">
        <v>90.256538461538469</v>
      </c>
      <c r="M124" s="425">
        <v>20</v>
      </c>
      <c r="N124" s="425">
        <v>1955.5599999999997</v>
      </c>
      <c r="O124" s="447">
        <v>1.0526270461139311</v>
      </c>
      <c r="P124" s="426">
        <v>97.777999999999992</v>
      </c>
    </row>
    <row r="125" spans="1:16" ht="14.4" customHeight="1" x14ac:dyDescent="0.3">
      <c r="A125" s="421" t="s">
        <v>1457</v>
      </c>
      <c r="B125" s="422" t="s">
        <v>1530</v>
      </c>
      <c r="C125" s="422" t="s">
        <v>1625</v>
      </c>
      <c r="D125" s="422" t="s">
        <v>1626</v>
      </c>
      <c r="E125" s="425">
        <v>1</v>
      </c>
      <c r="F125" s="425">
        <v>292.22000000000003</v>
      </c>
      <c r="G125" s="422">
        <v>1</v>
      </c>
      <c r="H125" s="422">
        <v>292.22000000000003</v>
      </c>
      <c r="I125" s="425"/>
      <c r="J125" s="425"/>
      <c r="K125" s="422"/>
      <c r="L125" s="422"/>
      <c r="M125" s="425">
        <v>3</v>
      </c>
      <c r="N125" s="425">
        <v>876.66000000000008</v>
      </c>
      <c r="O125" s="447">
        <v>3</v>
      </c>
      <c r="P125" s="426">
        <v>292.22000000000003</v>
      </c>
    </row>
    <row r="126" spans="1:16" ht="14.4" customHeight="1" x14ac:dyDescent="0.3">
      <c r="A126" s="421" t="s">
        <v>1457</v>
      </c>
      <c r="B126" s="422" t="s">
        <v>1530</v>
      </c>
      <c r="C126" s="422" t="s">
        <v>1627</v>
      </c>
      <c r="D126" s="422" t="s">
        <v>1628</v>
      </c>
      <c r="E126" s="425">
        <v>2</v>
      </c>
      <c r="F126" s="425">
        <v>1291.1099999999999</v>
      </c>
      <c r="G126" s="422">
        <v>1</v>
      </c>
      <c r="H126" s="422">
        <v>645.55499999999995</v>
      </c>
      <c r="I126" s="425"/>
      <c r="J126" s="425"/>
      <c r="K126" s="422"/>
      <c r="L126" s="422"/>
      <c r="M126" s="425"/>
      <c r="N126" s="425"/>
      <c r="O126" s="447"/>
      <c r="P126" s="426"/>
    </row>
    <row r="127" spans="1:16" ht="14.4" customHeight="1" x14ac:dyDescent="0.3">
      <c r="A127" s="421" t="s">
        <v>1457</v>
      </c>
      <c r="B127" s="422" t="s">
        <v>1530</v>
      </c>
      <c r="C127" s="422" t="s">
        <v>1629</v>
      </c>
      <c r="D127" s="422" t="s">
        <v>1630</v>
      </c>
      <c r="E127" s="425">
        <v>1</v>
      </c>
      <c r="F127" s="425">
        <v>222.22</v>
      </c>
      <c r="G127" s="422">
        <v>1</v>
      </c>
      <c r="H127" s="422">
        <v>222.22</v>
      </c>
      <c r="I127" s="425"/>
      <c r="J127" s="425"/>
      <c r="K127" s="422"/>
      <c r="L127" s="422"/>
      <c r="M127" s="425"/>
      <c r="N127" s="425"/>
      <c r="O127" s="447"/>
      <c r="P127" s="426"/>
    </row>
    <row r="128" spans="1:16" ht="14.4" customHeight="1" x14ac:dyDescent="0.3">
      <c r="A128" s="421" t="s">
        <v>1457</v>
      </c>
      <c r="B128" s="422" t="s">
        <v>1530</v>
      </c>
      <c r="C128" s="422" t="s">
        <v>1631</v>
      </c>
      <c r="D128" s="422" t="s">
        <v>1632</v>
      </c>
      <c r="E128" s="425">
        <v>2</v>
      </c>
      <c r="F128" s="425">
        <v>233.33</v>
      </c>
      <c r="G128" s="422">
        <v>1</v>
      </c>
      <c r="H128" s="422">
        <v>116.66500000000001</v>
      </c>
      <c r="I128" s="425">
        <v>1</v>
      </c>
      <c r="J128" s="425">
        <v>116.67</v>
      </c>
      <c r="K128" s="422">
        <v>0.50002142887755541</v>
      </c>
      <c r="L128" s="422">
        <v>116.67</v>
      </c>
      <c r="M128" s="425"/>
      <c r="N128" s="425"/>
      <c r="O128" s="447"/>
      <c r="P128" s="426"/>
    </row>
    <row r="129" spans="1:16" ht="14.4" customHeight="1" x14ac:dyDescent="0.3">
      <c r="A129" s="421" t="s">
        <v>1457</v>
      </c>
      <c r="B129" s="422" t="s">
        <v>1530</v>
      </c>
      <c r="C129" s="422" t="s">
        <v>1633</v>
      </c>
      <c r="D129" s="422" t="s">
        <v>1634</v>
      </c>
      <c r="E129" s="425"/>
      <c r="F129" s="425"/>
      <c r="G129" s="422"/>
      <c r="H129" s="422"/>
      <c r="I129" s="425"/>
      <c r="J129" s="425"/>
      <c r="K129" s="422"/>
      <c r="L129" s="422"/>
      <c r="M129" s="425">
        <v>1</v>
      </c>
      <c r="N129" s="425">
        <v>195.56</v>
      </c>
      <c r="O129" s="447"/>
      <c r="P129" s="426">
        <v>195.56</v>
      </c>
    </row>
    <row r="130" spans="1:16" ht="14.4" customHeight="1" x14ac:dyDescent="0.3">
      <c r="A130" s="421" t="s">
        <v>1457</v>
      </c>
      <c r="B130" s="422" t="s">
        <v>1530</v>
      </c>
      <c r="C130" s="422" t="s">
        <v>1635</v>
      </c>
      <c r="D130" s="422" t="s">
        <v>1636</v>
      </c>
      <c r="E130" s="425"/>
      <c r="F130" s="425"/>
      <c r="G130" s="422"/>
      <c r="H130" s="422"/>
      <c r="I130" s="425">
        <v>1</v>
      </c>
      <c r="J130" s="425">
        <v>358.89</v>
      </c>
      <c r="K130" s="422"/>
      <c r="L130" s="422">
        <v>358.89</v>
      </c>
      <c r="M130" s="425">
        <v>4</v>
      </c>
      <c r="N130" s="425">
        <v>1435.56</v>
      </c>
      <c r="O130" s="447"/>
      <c r="P130" s="426">
        <v>358.89</v>
      </c>
    </row>
    <row r="131" spans="1:16" ht="14.4" customHeight="1" x14ac:dyDescent="0.3">
      <c r="A131" s="421" t="s">
        <v>1637</v>
      </c>
      <c r="B131" s="422" t="s">
        <v>1458</v>
      </c>
      <c r="C131" s="422" t="s">
        <v>1638</v>
      </c>
      <c r="D131" s="422"/>
      <c r="E131" s="425">
        <v>2</v>
      </c>
      <c r="F131" s="425">
        <v>226</v>
      </c>
      <c r="G131" s="422">
        <v>1</v>
      </c>
      <c r="H131" s="422">
        <v>113</v>
      </c>
      <c r="I131" s="425">
        <v>2</v>
      </c>
      <c r="J131" s="425">
        <v>226</v>
      </c>
      <c r="K131" s="422">
        <v>1</v>
      </c>
      <c r="L131" s="422">
        <v>113</v>
      </c>
      <c r="M131" s="425">
        <v>6</v>
      </c>
      <c r="N131" s="425">
        <v>678</v>
      </c>
      <c r="O131" s="447">
        <v>3</v>
      </c>
      <c r="P131" s="426">
        <v>113</v>
      </c>
    </row>
    <row r="132" spans="1:16" ht="14.4" customHeight="1" x14ac:dyDescent="0.3">
      <c r="A132" s="421" t="s">
        <v>1637</v>
      </c>
      <c r="B132" s="422" t="s">
        <v>1458</v>
      </c>
      <c r="C132" s="422" t="s">
        <v>1461</v>
      </c>
      <c r="D132" s="422"/>
      <c r="E132" s="425">
        <v>2</v>
      </c>
      <c r="F132" s="425">
        <v>3314</v>
      </c>
      <c r="G132" s="422">
        <v>1</v>
      </c>
      <c r="H132" s="422">
        <v>1657</v>
      </c>
      <c r="I132" s="425">
        <v>2</v>
      </c>
      <c r="J132" s="425">
        <v>3314</v>
      </c>
      <c r="K132" s="422">
        <v>1</v>
      </c>
      <c r="L132" s="422">
        <v>1657</v>
      </c>
      <c r="M132" s="425"/>
      <c r="N132" s="425"/>
      <c r="O132" s="447"/>
      <c r="P132" s="426"/>
    </row>
    <row r="133" spans="1:16" ht="14.4" customHeight="1" x14ac:dyDescent="0.3">
      <c r="A133" s="421" t="s">
        <v>1637</v>
      </c>
      <c r="B133" s="422" t="s">
        <v>1458</v>
      </c>
      <c r="C133" s="422" t="s">
        <v>1639</v>
      </c>
      <c r="D133" s="422"/>
      <c r="E133" s="425">
        <v>2</v>
      </c>
      <c r="F133" s="425">
        <v>2016</v>
      </c>
      <c r="G133" s="422">
        <v>1</v>
      </c>
      <c r="H133" s="422">
        <v>1008</v>
      </c>
      <c r="I133" s="425">
        <v>1</v>
      </c>
      <c r="J133" s="425">
        <v>1008</v>
      </c>
      <c r="K133" s="422">
        <v>0.5</v>
      </c>
      <c r="L133" s="422">
        <v>1008</v>
      </c>
      <c r="M133" s="425">
        <v>8</v>
      </c>
      <c r="N133" s="425">
        <v>8064</v>
      </c>
      <c r="O133" s="447">
        <v>4</v>
      </c>
      <c r="P133" s="426">
        <v>1008</v>
      </c>
    </row>
    <row r="134" spans="1:16" ht="14.4" customHeight="1" x14ac:dyDescent="0.3">
      <c r="A134" s="421" t="s">
        <v>1637</v>
      </c>
      <c r="B134" s="422" t="s">
        <v>1458</v>
      </c>
      <c r="C134" s="422" t="s">
        <v>1640</v>
      </c>
      <c r="D134" s="422"/>
      <c r="E134" s="425">
        <v>184</v>
      </c>
      <c r="F134" s="425">
        <v>39928</v>
      </c>
      <c r="G134" s="422">
        <v>1</v>
      </c>
      <c r="H134" s="422">
        <v>217</v>
      </c>
      <c r="I134" s="425">
        <v>272</v>
      </c>
      <c r="J134" s="425">
        <v>59024</v>
      </c>
      <c r="K134" s="422">
        <v>1.4782608695652173</v>
      </c>
      <c r="L134" s="422">
        <v>217</v>
      </c>
      <c r="M134" s="425">
        <v>259</v>
      </c>
      <c r="N134" s="425">
        <v>56203</v>
      </c>
      <c r="O134" s="447">
        <v>1.4076086956521738</v>
      </c>
      <c r="P134" s="426">
        <v>217</v>
      </c>
    </row>
    <row r="135" spans="1:16" ht="14.4" customHeight="1" x14ac:dyDescent="0.3">
      <c r="A135" s="421" t="s">
        <v>1637</v>
      </c>
      <c r="B135" s="422" t="s">
        <v>1458</v>
      </c>
      <c r="C135" s="422" t="s">
        <v>1641</v>
      </c>
      <c r="D135" s="422"/>
      <c r="E135" s="425">
        <v>2</v>
      </c>
      <c r="F135" s="425">
        <v>2578</v>
      </c>
      <c r="G135" s="422">
        <v>1</v>
      </c>
      <c r="H135" s="422">
        <v>1289</v>
      </c>
      <c r="I135" s="425"/>
      <c r="J135" s="425"/>
      <c r="K135" s="422"/>
      <c r="L135" s="422"/>
      <c r="M135" s="425">
        <v>1</v>
      </c>
      <c r="N135" s="425">
        <v>1289</v>
      </c>
      <c r="O135" s="447">
        <v>0.5</v>
      </c>
      <c r="P135" s="426">
        <v>1289</v>
      </c>
    </row>
    <row r="136" spans="1:16" ht="14.4" customHeight="1" x14ac:dyDescent="0.3">
      <c r="A136" s="421" t="s">
        <v>1637</v>
      </c>
      <c r="B136" s="422" t="s">
        <v>1458</v>
      </c>
      <c r="C136" s="422" t="s">
        <v>1642</v>
      </c>
      <c r="D136" s="422"/>
      <c r="E136" s="425">
        <v>1</v>
      </c>
      <c r="F136" s="425">
        <v>806</v>
      </c>
      <c r="G136" s="422">
        <v>1</v>
      </c>
      <c r="H136" s="422">
        <v>806</v>
      </c>
      <c r="I136" s="425"/>
      <c r="J136" s="425"/>
      <c r="K136" s="422"/>
      <c r="L136" s="422"/>
      <c r="M136" s="425"/>
      <c r="N136" s="425"/>
      <c r="O136" s="447"/>
      <c r="P136" s="426"/>
    </row>
    <row r="137" spans="1:16" ht="14.4" customHeight="1" x14ac:dyDescent="0.3">
      <c r="A137" s="421" t="s">
        <v>1637</v>
      </c>
      <c r="B137" s="422" t="s">
        <v>1458</v>
      </c>
      <c r="C137" s="422" t="s">
        <v>1643</v>
      </c>
      <c r="D137" s="422"/>
      <c r="E137" s="425"/>
      <c r="F137" s="425"/>
      <c r="G137" s="422"/>
      <c r="H137" s="422"/>
      <c r="I137" s="425">
        <v>1</v>
      </c>
      <c r="J137" s="425">
        <v>1770</v>
      </c>
      <c r="K137" s="422"/>
      <c r="L137" s="422">
        <v>1770</v>
      </c>
      <c r="M137" s="425"/>
      <c r="N137" s="425"/>
      <c r="O137" s="447"/>
      <c r="P137" s="426"/>
    </row>
    <row r="138" spans="1:16" ht="14.4" customHeight="1" x14ac:dyDescent="0.3">
      <c r="A138" s="421" t="s">
        <v>1637</v>
      </c>
      <c r="B138" s="422" t="s">
        <v>1458</v>
      </c>
      <c r="C138" s="422" t="s">
        <v>1644</v>
      </c>
      <c r="D138" s="422"/>
      <c r="E138" s="425">
        <v>1</v>
      </c>
      <c r="F138" s="425">
        <v>2450</v>
      </c>
      <c r="G138" s="422">
        <v>1</v>
      </c>
      <c r="H138" s="422">
        <v>2450</v>
      </c>
      <c r="I138" s="425">
        <v>2</v>
      </c>
      <c r="J138" s="425">
        <v>4900</v>
      </c>
      <c r="K138" s="422">
        <v>2</v>
      </c>
      <c r="L138" s="422">
        <v>2450</v>
      </c>
      <c r="M138" s="425">
        <v>3</v>
      </c>
      <c r="N138" s="425">
        <v>7350</v>
      </c>
      <c r="O138" s="447">
        <v>3</v>
      </c>
      <c r="P138" s="426">
        <v>2450</v>
      </c>
    </row>
    <row r="139" spans="1:16" ht="14.4" customHeight="1" x14ac:dyDescent="0.3">
      <c r="A139" s="421" t="s">
        <v>1637</v>
      </c>
      <c r="B139" s="422" t="s">
        <v>1458</v>
      </c>
      <c r="C139" s="422" t="s">
        <v>1645</v>
      </c>
      <c r="D139" s="422"/>
      <c r="E139" s="425"/>
      <c r="F139" s="425"/>
      <c r="G139" s="422"/>
      <c r="H139" s="422"/>
      <c r="I139" s="425"/>
      <c r="J139" s="425"/>
      <c r="K139" s="422"/>
      <c r="L139" s="422"/>
      <c r="M139" s="425">
        <v>2</v>
      </c>
      <c r="N139" s="425">
        <v>2606</v>
      </c>
      <c r="O139" s="447"/>
      <c r="P139" s="426">
        <v>1303</v>
      </c>
    </row>
    <row r="140" spans="1:16" ht="14.4" customHeight="1" x14ac:dyDescent="0.3">
      <c r="A140" s="421" t="s">
        <v>1637</v>
      </c>
      <c r="B140" s="422" t="s">
        <v>1458</v>
      </c>
      <c r="C140" s="422" t="s">
        <v>1646</v>
      </c>
      <c r="D140" s="422"/>
      <c r="E140" s="425">
        <v>107</v>
      </c>
      <c r="F140" s="425">
        <v>111601</v>
      </c>
      <c r="G140" s="422">
        <v>1</v>
      </c>
      <c r="H140" s="422">
        <v>1043</v>
      </c>
      <c r="I140" s="425">
        <v>126</v>
      </c>
      <c r="J140" s="425">
        <v>131418</v>
      </c>
      <c r="K140" s="422">
        <v>1.1775700934579438</v>
      </c>
      <c r="L140" s="422">
        <v>1043</v>
      </c>
      <c r="M140" s="425">
        <v>112</v>
      </c>
      <c r="N140" s="425">
        <v>116816</v>
      </c>
      <c r="O140" s="447">
        <v>1.0467289719626167</v>
      </c>
      <c r="P140" s="426">
        <v>1043</v>
      </c>
    </row>
    <row r="141" spans="1:16" ht="14.4" customHeight="1" x14ac:dyDescent="0.3">
      <c r="A141" s="421" t="s">
        <v>1637</v>
      </c>
      <c r="B141" s="422" t="s">
        <v>1458</v>
      </c>
      <c r="C141" s="422" t="s">
        <v>1647</v>
      </c>
      <c r="D141" s="422"/>
      <c r="E141" s="425">
        <v>1</v>
      </c>
      <c r="F141" s="425">
        <v>1654</v>
      </c>
      <c r="G141" s="422">
        <v>1</v>
      </c>
      <c r="H141" s="422">
        <v>1654</v>
      </c>
      <c r="I141" s="425"/>
      <c r="J141" s="425"/>
      <c r="K141" s="422"/>
      <c r="L141" s="422"/>
      <c r="M141" s="425"/>
      <c r="N141" s="425"/>
      <c r="O141" s="447"/>
      <c r="P141" s="426"/>
    </row>
    <row r="142" spans="1:16" ht="14.4" customHeight="1" x14ac:dyDescent="0.3">
      <c r="A142" s="421" t="s">
        <v>1637</v>
      </c>
      <c r="B142" s="422" t="s">
        <v>1458</v>
      </c>
      <c r="C142" s="422" t="s">
        <v>1648</v>
      </c>
      <c r="D142" s="422"/>
      <c r="E142" s="425">
        <v>15</v>
      </c>
      <c r="F142" s="425">
        <v>19845</v>
      </c>
      <c r="G142" s="422">
        <v>1</v>
      </c>
      <c r="H142" s="422">
        <v>1323</v>
      </c>
      <c r="I142" s="425">
        <v>29</v>
      </c>
      <c r="J142" s="425">
        <v>38367</v>
      </c>
      <c r="K142" s="422">
        <v>1.9333333333333333</v>
      </c>
      <c r="L142" s="422">
        <v>1323</v>
      </c>
      <c r="M142" s="425">
        <v>17</v>
      </c>
      <c r="N142" s="425">
        <v>22491</v>
      </c>
      <c r="O142" s="447">
        <v>1.1333333333333333</v>
      </c>
      <c r="P142" s="426">
        <v>1323</v>
      </c>
    </row>
    <row r="143" spans="1:16" ht="14.4" customHeight="1" x14ac:dyDescent="0.3">
      <c r="A143" s="421" t="s">
        <v>1637</v>
      </c>
      <c r="B143" s="422" t="s">
        <v>1458</v>
      </c>
      <c r="C143" s="422" t="s">
        <v>1649</v>
      </c>
      <c r="D143" s="422"/>
      <c r="E143" s="425">
        <v>2</v>
      </c>
      <c r="F143" s="425">
        <v>3866</v>
      </c>
      <c r="G143" s="422">
        <v>1</v>
      </c>
      <c r="H143" s="422">
        <v>1933</v>
      </c>
      <c r="I143" s="425">
        <v>3</v>
      </c>
      <c r="J143" s="425">
        <v>5799</v>
      </c>
      <c r="K143" s="422">
        <v>1.5</v>
      </c>
      <c r="L143" s="422">
        <v>1933</v>
      </c>
      <c r="M143" s="425">
        <v>4</v>
      </c>
      <c r="N143" s="425">
        <v>7732</v>
      </c>
      <c r="O143" s="447">
        <v>2</v>
      </c>
      <c r="P143" s="426">
        <v>1933</v>
      </c>
    </row>
    <row r="144" spans="1:16" ht="14.4" customHeight="1" x14ac:dyDescent="0.3">
      <c r="A144" s="421" t="s">
        <v>1637</v>
      </c>
      <c r="B144" s="422" t="s">
        <v>1458</v>
      </c>
      <c r="C144" s="422" t="s">
        <v>1650</v>
      </c>
      <c r="D144" s="422"/>
      <c r="E144" s="425">
        <v>1</v>
      </c>
      <c r="F144" s="425">
        <v>678</v>
      </c>
      <c r="G144" s="422">
        <v>1</v>
      </c>
      <c r="H144" s="422">
        <v>678</v>
      </c>
      <c r="I144" s="425"/>
      <c r="J144" s="425"/>
      <c r="K144" s="422"/>
      <c r="L144" s="422"/>
      <c r="M144" s="425"/>
      <c r="N144" s="425"/>
      <c r="O144" s="447"/>
      <c r="P144" s="426"/>
    </row>
    <row r="145" spans="1:16" ht="14.4" customHeight="1" x14ac:dyDescent="0.3">
      <c r="A145" s="421" t="s">
        <v>1637</v>
      </c>
      <c r="B145" s="422" t="s">
        <v>1458</v>
      </c>
      <c r="C145" s="422" t="s">
        <v>1651</v>
      </c>
      <c r="D145" s="422"/>
      <c r="E145" s="425">
        <v>58</v>
      </c>
      <c r="F145" s="425">
        <v>31436</v>
      </c>
      <c r="G145" s="422">
        <v>1</v>
      </c>
      <c r="H145" s="422">
        <v>542</v>
      </c>
      <c r="I145" s="425">
        <v>61</v>
      </c>
      <c r="J145" s="425">
        <v>33062</v>
      </c>
      <c r="K145" s="422">
        <v>1.0517241379310345</v>
      </c>
      <c r="L145" s="422">
        <v>542</v>
      </c>
      <c r="M145" s="425">
        <v>57</v>
      </c>
      <c r="N145" s="425">
        <v>30894</v>
      </c>
      <c r="O145" s="447">
        <v>0.98275862068965514</v>
      </c>
      <c r="P145" s="426">
        <v>542</v>
      </c>
    </row>
    <row r="146" spans="1:16" ht="14.4" customHeight="1" x14ac:dyDescent="0.3">
      <c r="A146" s="421" t="s">
        <v>1637</v>
      </c>
      <c r="B146" s="422" t="s">
        <v>1458</v>
      </c>
      <c r="C146" s="422" t="s">
        <v>1652</v>
      </c>
      <c r="D146" s="422"/>
      <c r="E146" s="425"/>
      <c r="F146" s="425"/>
      <c r="G146" s="422"/>
      <c r="H146" s="422"/>
      <c r="I146" s="425">
        <v>1</v>
      </c>
      <c r="J146" s="425">
        <v>298</v>
      </c>
      <c r="K146" s="422"/>
      <c r="L146" s="422">
        <v>298</v>
      </c>
      <c r="M146" s="425"/>
      <c r="N146" s="425"/>
      <c r="O146" s="447"/>
      <c r="P146" s="426"/>
    </row>
    <row r="147" spans="1:16" ht="14.4" customHeight="1" x14ac:dyDescent="0.3">
      <c r="A147" s="421" t="s">
        <v>1637</v>
      </c>
      <c r="B147" s="422" t="s">
        <v>1458</v>
      </c>
      <c r="C147" s="422" t="s">
        <v>1653</v>
      </c>
      <c r="D147" s="422"/>
      <c r="E147" s="425">
        <v>27</v>
      </c>
      <c r="F147" s="425">
        <v>15633</v>
      </c>
      <c r="G147" s="422">
        <v>1</v>
      </c>
      <c r="H147" s="422">
        <v>579</v>
      </c>
      <c r="I147" s="425">
        <v>30</v>
      </c>
      <c r="J147" s="425">
        <v>17370</v>
      </c>
      <c r="K147" s="422">
        <v>1.1111111111111112</v>
      </c>
      <c r="L147" s="422">
        <v>579</v>
      </c>
      <c r="M147" s="425">
        <v>28</v>
      </c>
      <c r="N147" s="425">
        <v>16212</v>
      </c>
      <c r="O147" s="447">
        <v>1.037037037037037</v>
      </c>
      <c r="P147" s="426">
        <v>579</v>
      </c>
    </row>
    <row r="148" spans="1:16" ht="14.4" customHeight="1" x14ac:dyDescent="0.3">
      <c r="A148" s="421" t="s">
        <v>1637</v>
      </c>
      <c r="B148" s="422" t="s">
        <v>1458</v>
      </c>
      <c r="C148" s="422" t="s">
        <v>1465</v>
      </c>
      <c r="D148" s="422"/>
      <c r="E148" s="425">
        <v>2</v>
      </c>
      <c r="F148" s="425">
        <v>226</v>
      </c>
      <c r="G148" s="422">
        <v>1</v>
      </c>
      <c r="H148" s="422">
        <v>113</v>
      </c>
      <c r="I148" s="425">
        <v>10</v>
      </c>
      <c r="J148" s="425">
        <v>1130</v>
      </c>
      <c r="K148" s="422">
        <v>5</v>
      </c>
      <c r="L148" s="422">
        <v>113</v>
      </c>
      <c r="M148" s="425">
        <v>13</v>
      </c>
      <c r="N148" s="425">
        <v>1469</v>
      </c>
      <c r="O148" s="447">
        <v>6.5</v>
      </c>
      <c r="P148" s="426">
        <v>113</v>
      </c>
    </row>
    <row r="149" spans="1:16" ht="14.4" customHeight="1" x14ac:dyDescent="0.3">
      <c r="A149" s="421" t="s">
        <v>1637</v>
      </c>
      <c r="B149" s="422" t="s">
        <v>1458</v>
      </c>
      <c r="C149" s="422" t="s">
        <v>1466</v>
      </c>
      <c r="D149" s="422"/>
      <c r="E149" s="425"/>
      <c r="F149" s="425"/>
      <c r="G149" s="422"/>
      <c r="H149" s="422"/>
      <c r="I149" s="425"/>
      <c r="J149" s="425"/>
      <c r="K149" s="422"/>
      <c r="L149" s="422"/>
      <c r="M149" s="425">
        <v>3</v>
      </c>
      <c r="N149" s="425">
        <v>396</v>
      </c>
      <c r="O149" s="447"/>
      <c r="P149" s="426">
        <v>132</v>
      </c>
    </row>
    <row r="150" spans="1:16" ht="14.4" customHeight="1" x14ac:dyDescent="0.3">
      <c r="A150" s="421" t="s">
        <v>1637</v>
      </c>
      <c r="B150" s="422" t="s">
        <v>1458</v>
      </c>
      <c r="C150" s="422" t="s">
        <v>1654</v>
      </c>
      <c r="D150" s="422"/>
      <c r="E150" s="425"/>
      <c r="F150" s="425"/>
      <c r="G150" s="422"/>
      <c r="H150" s="422"/>
      <c r="I150" s="425"/>
      <c r="J150" s="425"/>
      <c r="K150" s="422"/>
      <c r="L150" s="422"/>
      <c r="M150" s="425">
        <v>2</v>
      </c>
      <c r="N150" s="425">
        <v>312</v>
      </c>
      <c r="O150" s="447"/>
      <c r="P150" s="426">
        <v>156</v>
      </c>
    </row>
    <row r="151" spans="1:16" ht="14.4" customHeight="1" x14ac:dyDescent="0.3">
      <c r="A151" s="421" t="s">
        <v>1637</v>
      </c>
      <c r="B151" s="422" t="s">
        <v>1458</v>
      </c>
      <c r="C151" s="422" t="s">
        <v>1493</v>
      </c>
      <c r="D151" s="422"/>
      <c r="E151" s="425">
        <v>5</v>
      </c>
      <c r="F151" s="425">
        <v>8700</v>
      </c>
      <c r="G151" s="422">
        <v>1</v>
      </c>
      <c r="H151" s="422">
        <v>1740</v>
      </c>
      <c r="I151" s="425">
        <v>3</v>
      </c>
      <c r="J151" s="425">
        <v>5220</v>
      </c>
      <c r="K151" s="422">
        <v>0.6</v>
      </c>
      <c r="L151" s="422">
        <v>1740</v>
      </c>
      <c r="M151" s="425">
        <v>4</v>
      </c>
      <c r="N151" s="425">
        <v>6960</v>
      </c>
      <c r="O151" s="447">
        <v>0.8</v>
      </c>
      <c r="P151" s="426">
        <v>1740</v>
      </c>
    </row>
    <row r="152" spans="1:16" ht="14.4" customHeight="1" x14ac:dyDescent="0.3">
      <c r="A152" s="421" t="s">
        <v>1637</v>
      </c>
      <c r="B152" s="422" t="s">
        <v>1458</v>
      </c>
      <c r="C152" s="422" t="s">
        <v>1509</v>
      </c>
      <c r="D152" s="422"/>
      <c r="E152" s="425">
        <v>5</v>
      </c>
      <c r="F152" s="425">
        <v>5040</v>
      </c>
      <c r="G152" s="422">
        <v>1</v>
      </c>
      <c r="H152" s="422">
        <v>1008</v>
      </c>
      <c r="I152" s="425">
        <v>1</v>
      </c>
      <c r="J152" s="425">
        <v>1008</v>
      </c>
      <c r="K152" s="422">
        <v>0.2</v>
      </c>
      <c r="L152" s="422">
        <v>1008</v>
      </c>
      <c r="M152" s="425"/>
      <c r="N152" s="425"/>
      <c r="O152" s="447"/>
      <c r="P152" s="426"/>
    </row>
    <row r="153" spans="1:16" ht="14.4" customHeight="1" x14ac:dyDescent="0.3">
      <c r="A153" s="421" t="s">
        <v>1637</v>
      </c>
      <c r="B153" s="422" t="s">
        <v>1458</v>
      </c>
      <c r="C153" s="422" t="s">
        <v>1655</v>
      </c>
      <c r="D153" s="422"/>
      <c r="E153" s="425">
        <v>131</v>
      </c>
      <c r="F153" s="425">
        <v>28427</v>
      </c>
      <c r="G153" s="422">
        <v>1</v>
      </c>
      <c r="H153" s="422">
        <v>217</v>
      </c>
      <c r="I153" s="425">
        <v>132</v>
      </c>
      <c r="J153" s="425">
        <v>28644</v>
      </c>
      <c r="K153" s="422">
        <v>1.0076335877862594</v>
      </c>
      <c r="L153" s="422">
        <v>217</v>
      </c>
      <c r="M153" s="425">
        <v>121</v>
      </c>
      <c r="N153" s="425">
        <v>26257</v>
      </c>
      <c r="O153" s="447">
        <v>0.92366412213740456</v>
      </c>
      <c r="P153" s="426">
        <v>217</v>
      </c>
    </row>
    <row r="154" spans="1:16" ht="14.4" customHeight="1" x14ac:dyDescent="0.3">
      <c r="A154" s="421" t="s">
        <v>1637</v>
      </c>
      <c r="B154" s="422" t="s">
        <v>1458</v>
      </c>
      <c r="C154" s="422" t="s">
        <v>1656</v>
      </c>
      <c r="D154" s="422"/>
      <c r="E154" s="425">
        <v>99</v>
      </c>
      <c r="F154" s="425">
        <v>103257</v>
      </c>
      <c r="G154" s="422">
        <v>1</v>
      </c>
      <c r="H154" s="422">
        <v>1043</v>
      </c>
      <c r="I154" s="425">
        <v>106</v>
      </c>
      <c r="J154" s="425">
        <v>110558</v>
      </c>
      <c r="K154" s="422">
        <v>1.0707070707070707</v>
      </c>
      <c r="L154" s="422">
        <v>1043</v>
      </c>
      <c r="M154" s="425">
        <v>76</v>
      </c>
      <c r="N154" s="425">
        <v>79268</v>
      </c>
      <c r="O154" s="447">
        <v>0.76767676767676762</v>
      </c>
      <c r="P154" s="426">
        <v>1043</v>
      </c>
    </row>
    <row r="155" spans="1:16" ht="14.4" customHeight="1" x14ac:dyDescent="0.3">
      <c r="A155" s="421" t="s">
        <v>1637</v>
      </c>
      <c r="B155" s="422" t="s">
        <v>1458</v>
      </c>
      <c r="C155" s="422" t="s">
        <v>1657</v>
      </c>
      <c r="D155" s="422"/>
      <c r="E155" s="425">
        <v>4</v>
      </c>
      <c r="F155" s="425">
        <v>5292</v>
      </c>
      <c r="G155" s="422">
        <v>1</v>
      </c>
      <c r="H155" s="422">
        <v>1323</v>
      </c>
      <c r="I155" s="425">
        <v>1</v>
      </c>
      <c r="J155" s="425">
        <v>1323</v>
      </c>
      <c r="K155" s="422">
        <v>0.25</v>
      </c>
      <c r="L155" s="422">
        <v>1323</v>
      </c>
      <c r="M155" s="425">
        <v>2</v>
      </c>
      <c r="N155" s="425">
        <v>2646</v>
      </c>
      <c r="O155" s="447">
        <v>0.5</v>
      </c>
      <c r="P155" s="426">
        <v>1323</v>
      </c>
    </row>
    <row r="156" spans="1:16" ht="14.4" customHeight="1" x14ac:dyDescent="0.3">
      <c r="A156" s="421" t="s">
        <v>1637</v>
      </c>
      <c r="B156" s="422" t="s">
        <v>1458</v>
      </c>
      <c r="C156" s="422" t="s">
        <v>1658</v>
      </c>
      <c r="D156" s="422"/>
      <c r="E156" s="425">
        <v>1</v>
      </c>
      <c r="F156" s="425">
        <v>965</v>
      </c>
      <c r="G156" s="422">
        <v>1</v>
      </c>
      <c r="H156" s="422">
        <v>965</v>
      </c>
      <c r="I156" s="425"/>
      <c r="J156" s="425"/>
      <c r="K156" s="422"/>
      <c r="L156" s="422"/>
      <c r="M156" s="425"/>
      <c r="N156" s="425"/>
      <c r="O156" s="447"/>
      <c r="P156" s="426"/>
    </row>
    <row r="157" spans="1:16" ht="14.4" customHeight="1" x14ac:dyDescent="0.3">
      <c r="A157" s="421" t="s">
        <v>1637</v>
      </c>
      <c r="B157" s="422" t="s">
        <v>1458</v>
      </c>
      <c r="C157" s="422" t="s">
        <v>1659</v>
      </c>
      <c r="D157" s="422"/>
      <c r="E157" s="425">
        <v>1</v>
      </c>
      <c r="F157" s="425">
        <v>1933</v>
      </c>
      <c r="G157" s="422">
        <v>1</v>
      </c>
      <c r="H157" s="422">
        <v>1933</v>
      </c>
      <c r="I157" s="425"/>
      <c r="J157" s="425"/>
      <c r="K157" s="422"/>
      <c r="L157" s="422"/>
      <c r="M157" s="425"/>
      <c r="N157" s="425"/>
      <c r="O157" s="447"/>
      <c r="P157" s="426"/>
    </row>
    <row r="158" spans="1:16" ht="14.4" customHeight="1" x14ac:dyDescent="0.3">
      <c r="A158" s="421" t="s">
        <v>1637</v>
      </c>
      <c r="B158" s="422" t="s">
        <v>1458</v>
      </c>
      <c r="C158" s="422" t="s">
        <v>1660</v>
      </c>
      <c r="D158" s="422"/>
      <c r="E158" s="425">
        <v>16</v>
      </c>
      <c r="F158" s="425">
        <v>8672</v>
      </c>
      <c r="G158" s="422">
        <v>1</v>
      </c>
      <c r="H158" s="422">
        <v>542</v>
      </c>
      <c r="I158" s="425">
        <v>19</v>
      </c>
      <c r="J158" s="425">
        <v>10298</v>
      </c>
      <c r="K158" s="422">
        <v>1.1875</v>
      </c>
      <c r="L158" s="422">
        <v>542</v>
      </c>
      <c r="M158" s="425">
        <v>13</v>
      </c>
      <c r="N158" s="425">
        <v>7046</v>
      </c>
      <c r="O158" s="447">
        <v>0.8125</v>
      </c>
      <c r="P158" s="426">
        <v>542</v>
      </c>
    </row>
    <row r="159" spans="1:16" ht="14.4" customHeight="1" x14ac:dyDescent="0.3">
      <c r="A159" s="421" t="s">
        <v>1637</v>
      </c>
      <c r="B159" s="422" t="s">
        <v>1458</v>
      </c>
      <c r="C159" s="422" t="s">
        <v>1661</v>
      </c>
      <c r="D159" s="422"/>
      <c r="E159" s="425">
        <v>1</v>
      </c>
      <c r="F159" s="425">
        <v>298</v>
      </c>
      <c r="G159" s="422">
        <v>1</v>
      </c>
      <c r="H159" s="422">
        <v>298</v>
      </c>
      <c r="I159" s="425"/>
      <c r="J159" s="425"/>
      <c r="K159" s="422"/>
      <c r="L159" s="422"/>
      <c r="M159" s="425"/>
      <c r="N159" s="425"/>
      <c r="O159" s="447"/>
      <c r="P159" s="426"/>
    </row>
    <row r="160" spans="1:16" ht="14.4" customHeight="1" x14ac:dyDescent="0.3">
      <c r="A160" s="421" t="s">
        <v>1637</v>
      </c>
      <c r="B160" s="422" t="s">
        <v>1458</v>
      </c>
      <c r="C160" s="422" t="s">
        <v>1662</v>
      </c>
      <c r="D160" s="422"/>
      <c r="E160" s="425">
        <v>40</v>
      </c>
      <c r="F160" s="425">
        <v>23160</v>
      </c>
      <c r="G160" s="422">
        <v>1</v>
      </c>
      <c r="H160" s="422">
        <v>579</v>
      </c>
      <c r="I160" s="425">
        <v>39</v>
      </c>
      <c r="J160" s="425">
        <v>22581</v>
      </c>
      <c r="K160" s="422">
        <v>0.97499999999999998</v>
      </c>
      <c r="L160" s="422">
        <v>579</v>
      </c>
      <c r="M160" s="425">
        <v>50</v>
      </c>
      <c r="N160" s="425">
        <v>28950</v>
      </c>
      <c r="O160" s="447">
        <v>1.25</v>
      </c>
      <c r="P160" s="426">
        <v>579</v>
      </c>
    </row>
    <row r="161" spans="1:16" ht="14.4" customHeight="1" x14ac:dyDescent="0.3">
      <c r="A161" s="421" t="s">
        <v>1637</v>
      </c>
      <c r="B161" s="422" t="s">
        <v>1458</v>
      </c>
      <c r="C161" s="422" t="s">
        <v>1663</v>
      </c>
      <c r="D161" s="422"/>
      <c r="E161" s="425"/>
      <c r="F161" s="425"/>
      <c r="G161" s="422"/>
      <c r="H161" s="422"/>
      <c r="I161" s="425"/>
      <c r="J161" s="425"/>
      <c r="K161" s="422"/>
      <c r="L161" s="422"/>
      <c r="M161" s="425">
        <v>1</v>
      </c>
      <c r="N161" s="425">
        <v>678</v>
      </c>
      <c r="O161" s="447"/>
      <c r="P161" s="426">
        <v>678</v>
      </c>
    </row>
    <row r="162" spans="1:16" ht="14.4" customHeight="1" x14ac:dyDescent="0.3">
      <c r="A162" s="421" t="s">
        <v>1637</v>
      </c>
      <c r="B162" s="422" t="s">
        <v>1458</v>
      </c>
      <c r="C162" s="422" t="s">
        <v>1664</v>
      </c>
      <c r="D162" s="422"/>
      <c r="E162" s="425"/>
      <c r="F162" s="425"/>
      <c r="G162" s="422"/>
      <c r="H162" s="422"/>
      <c r="I162" s="425"/>
      <c r="J162" s="425"/>
      <c r="K162" s="422"/>
      <c r="L162" s="422"/>
      <c r="M162" s="425">
        <v>3</v>
      </c>
      <c r="N162" s="425">
        <v>3909</v>
      </c>
      <c r="O162" s="447"/>
      <c r="P162" s="426">
        <v>1303</v>
      </c>
    </row>
    <row r="163" spans="1:16" ht="14.4" customHeight="1" x14ac:dyDescent="0.3">
      <c r="A163" s="421" t="s">
        <v>1637</v>
      </c>
      <c r="B163" s="422" t="s">
        <v>1530</v>
      </c>
      <c r="C163" s="422" t="s">
        <v>1537</v>
      </c>
      <c r="D163" s="422" t="s">
        <v>1538</v>
      </c>
      <c r="E163" s="425">
        <v>7</v>
      </c>
      <c r="F163" s="425">
        <v>544.45000000000005</v>
      </c>
      <c r="G163" s="422">
        <v>1</v>
      </c>
      <c r="H163" s="422">
        <v>77.778571428571439</v>
      </c>
      <c r="I163" s="425">
        <v>8</v>
      </c>
      <c r="J163" s="425">
        <v>622.23</v>
      </c>
      <c r="K163" s="422">
        <v>1.1428597667370741</v>
      </c>
      <c r="L163" s="422">
        <v>77.778750000000002</v>
      </c>
      <c r="M163" s="425">
        <v>14</v>
      </c>
      <c r="N163" s="425">
        <v>1088.9000000000001</v>
      </c>
      <c r="O163" s="447">
        <v>2</v>
      </c>
      <c r="P163" s="426">
        <v>77.778571428571439</v>
      </c>
    </row>
    <row r="164" spans="1:16" ht="14.4" customHeight="1" x14ac:dyDescent="0.3">
      <c r="A164" s="421" t="s">
        <v>1637</v>
      </c>
      <c r="B164" s="422" t="s">
        <v>1530</v>
      </c>
      <c r="C164" s="422" t="s">
        <v>1539</v>
      </c>
      <c r="D164" s="422" t="s">
        <v>1540</v>
      </c>
      <c r="E164" s="425">
        <v>38</v>
      </c>
      <c r="F164" s="425">
        <v>9500</v>
      </c>
      <c r="G164" s="422">
        <v>1</v>
      </c>
      <c r="H164" s="422">
        <v>250</v>
      </c>
      <c r="I164" s="425">
        <v>29</v>
      </c>
      <c r="J164" s="425">
        <v>7250</v>
      </c>
      <c r="K164" s="422">
        <v>0.76315789473684215</v>
      </c>
      <c r="L164" s="422">
        <v>250</v>
      </c>
      <c r="M164" s="425">
        <v>28</v>
      </c>
      <c r="N164" s="425">
        <v>7000</v>
      </c>
      <c r="O164" s="447">
        <v>0.73684210526315785</v>
      </c>
      <c r="P164" s="426">
        <v>250</v>
      </c>
    </row>
    <row r="165" spans="1:16" ht="14.4" customHeight="1" x14ac:dyDescent="0.3">
      <c r="A165" s="421" t="s">
        <v>1637</v>
      </c>
      <c r="B165" s="422" t="s">
        <v>1530</v>
      </c>
      <c r="C165" s="422" t="s">
        <v>1541</v>
      </c>
      <c r="D165" s="422" t="s">
        <v>1542</v>
      </c>
      <c r="E165" s="425">
        <v>291</v>
      </c>
      <c r="F165" s="425">
        <v>87300</v>
      </c>
      <c r="G165" s="422">
        <v>1</v>
      </c>
      <c r="H165" s="422">
        <v>300</v>
      </c>
      <c r="I165" s="425">
        <v>386</v>
      </c>
      <c r="J165" s="425">
        <v>115800</v>
      </c>
      <c r="K165" s="422">
        <v>1.3264604810996563</v>
      </c>
      <c r="L165" s="422">
        <v>300</v>
      </c>
      <c r="M165" s="425">
        <v>365</v>
      </c>
      <c r="N165" s="425">
        <v>109500</v>
      </c>
      <c r="O165" s="447">
        <v>1.2542955326460481</v>
      </c>
      <c r="P165" s="426">
        <v>300</v>
      </c>
    </row>
    <row r="166" spans="1:16" ht="14.4" customHeight="1" x14ac:dyDescent="0.3">
      <c r="A166" s="421" t="s">
        <v>1637</v>
      </c>
      <c r="B166" s="422" t="s">
        <v>1530</v>
      </c>
      <c r="C166" s="422" t="s">
        <v>1665</v>
      </c>
      <c r="D166" s="422" t="s">
        <v>1666</v>
      </c>
      <c r="E166" s="425">
        <v>144</v>
      </c>
      <c r="F166" s="425">
        <v>96000</v>
      </c>
      <c r="G166" s="422">
        <v>1</v>
      </c>
      <c r="H166" s="422">
        <v>666.66666666666663</v>
      </c>
      <c r="I166" s="425">
        <v>228</v>
      </c>
      <c r="J166" s="425">
        <v>152000</v>
      </c>
      <c r="K166" s="422">
        <v>1.5833333333333333</v>
      </c>
      <c r="L166" s="422">
        <v>666.66666666666663</v>
      </c>
      <c r="M166" s="425">
        <v>214</v>
      </c>
      <c r="N166" s="425">
        <v>142666.67000000001</v>
      </c>
      <c r="O166" s="447">
        <v>1.4861111458333334</v>
      </c>
      <c r="P166" s="426">
        <v>666.66668224299076</v>
      </c>
    </row>
    <row r="167" spans="1:16" ht="14.4" customHeight="1" x14ac:dyDescent="0.3">
      <c r="A167" s="421" t="s">
        <v>1637</v>
      </c>
      <c r="B167" s="422" t="s">
        <v>1530</v>
      </c>
      <c r="C167" s="422" t="s">
        <v>1667</v>
      </c>
      <c r="D167" s="422" t="s">
        <v>1668</v>
      </c>
      <c r="E167" s="425">
        <v>276</v>
      </c>
      <c r="F167" s="425">
        <v>64400</v>
      </c>
      <c r="G167" s="422">
        <v>1</v>
      </c>
      <c r="H167" s="422">
        <v>233.33333333333334</v>
      </c>
      <c r="I167" s="425">
        <v>256</v>
      </c>
      <c r="J167" s="425">
        <v>59733.33</v>
      </c>
      <c r="K167" s="422">
        <v>0.92753618012422367</v>
      </c>
      <c r="L167" s="422">
        <v>233.33332031250001</v>
      </c>
      <c r="M167" s="425">
        <v>321</v>
      </c>
      <c r="N167" s="425">
        <v>74899.989999999991</v>
      </c>
      <c r="O167" s="447">
        <v>1.1630433229813664</v>
      </c>
      <c r="P167" s="426">
        <v>233.33330218068534</v>
      </c>
    </row>
    <row r="168" spans="1:16" ht="14.4" customHeight="1" x14ac:dyDescent="0.3">
      <c r="A168" s="421" t="s">
        <v>1637</v>
      </c>
      <c r="B168" s="422" t="s">
        <v>1530</v>
      </c>
      <c r="C168" s="422" t="s">
        <v>1669</v>
      </c>
      <c r="D168" s="422" t="s">
        <v>1670</v>
      </c>
      <c r="E168" s="425">
        <v>224</v>
      </c>
      <c r="F168" s="425">
        <v>174222.22</v>
      </c>
      <c r="G168" s="422">
        <v>1</v>
      </c>
      <c r="H168" s="422">
        <v>777.77776785714286</v>
      </c>
      <c r="I168" s="425">
        <v>232</v>
      </c>
      <c r="J168" s="425">
        <v>180444.45</v>
      </c>
      <c r="K168" s="422">
        <v>1.0357143308126828</v>
      </c>
      <c r="L168" s="422">
        <v>777.77780172413793</v>
      </c>
      <c r="M168" s="425">
        <v>200</v>
      </c>
      <c r="N168" s="425">
        <v>155555.56</v>
      </c>
      <c r="O168" s="447">
        <v>0.89285717975583134</v>
      </c>
      <c r="P168" s="426">
        <v>777.77779999999996</v>
      </c>
    </row>
    <row r="169" spans="1:16" ht="14.4" customHeight="1" x14ac:dyDescent="0.3">
      <c r="A169" s="421" t="s">
        <v>1637</v>
      </c>
      <c r="B169" s="422" t="s">
        <v>1530</v>
      </c>
      <c r="C169" s="422" t="s">
        <v>1671</v>
      </c>
      <c r="D169" s="422" t="s">
        <v>1672</v>
      </c>
      <c r="E169" s="425">
        <v>774</v>
      </c>
      <c r="F169" s="425">
        <v>189200</v>
      </c>
      <c r="G169" s="422">
        <v>1</v>
      </c>
      <c r="H169" s="422">
        <v>244.44444444444446</v>
      </c>
      <c r="I169" s="425">
        <v>750</v>
      </c>
      <c r="J169" s="425">
        <v>182355.53999999998</v>
      </c>
      <c r="K169" s="422">
        <v>0.96382420718816053</v>
      </c>
      <c r="L169" s="422">
        <v>243.14071999999996</v>
      </c>
      <c r="M169" s="425">
        <v>722</v>
      </c>
      <c r="N169" s="425">
        <v>176488.88999999998</v>
      </c>
      <c r="O169" s="447">
        <v>0.93281654334038044</v>
      </c>
      <c r="P169" s="426">
        <v>244.44444598337947</v>
      </c>
    </row>
    <row r="170" spans="1:16" ht="14.4" customHeight="1" x14ac:dyDescent="0.3">
      <c r="A170" s="421" t="s">
        <v>1637</v>
      </c>
      <c r="B170" s="422" t="s">
        <v>1530</v>
      </c>
      <c r="C170" s="422" t="s">
        <v>1673</v>
      </c>
      <c r="D170" s="422" t="s">
        <v>1674</v>
      </c>
      <c r="E170" s="425">
        <v>4</v>
      </c>
      <c r="F170" s="425">
        <v>2102.2299999999996</v>
      </c>
      <c r="G170" s="422">
        <v>1</v>
      </c>
      <c r="H170" s="422">
        <v>525.55749999999989</v>
      </c>
      <c r="I170" s="425">
        <v>6</v>
      </c>
      <c r="J170" s="425">
        <v>3153.33</v>
      </c>
      <c r="K170" s="422">
        <v>1.4999928647198455</v>
      </c>
      <c r="L170" s="422">
        <v>525.55499999999995</v>
      </c>
      <c r="M170" s="425">
        <v>7</v>
      </c>
      <c r="N170" s="425">
        <v>3678.8899999999994</v>
      </c>
      <c r="O170" s="447">
        <v>1.7499940539332044</v>
      </c>
      <c r="P170" s="426">
        <v>525.5557142857142</v>
      </c>
    </row>
    <row r="171" spans="1:16" ht="14.4" customHeight="1" x14ac:dyDescent="0.3">
      <c r="A171" s="421" t="s">
        <v>1637</v>
      </c>
      <c r="B171" s="422" t="s">
        <v>1530</v>
      </c>
      <c r="C171" s="422" t="s">
        <v>1675</v>
      </c>
      <c r="D171" s="422" t="s">
        <v>1676</v>
      </c>
      <c r="E171" s="425">
        <v>4</v>
      </c>
      <c r="F171" s="425">
        <v>4000</v>
      </c>
      <c r="G171" s="422">
        <v>1</v>
      </c>
      <c r="H171" s="422">
        <v>1000</v>
      </c>
      <c r="I171" s="425"/>
      <c r="J171" s="425"/>
      <c r="K171" s="422"/>
      <c r="L171" s="422"/>
      <c r="M171" s="425">
        <v>4</v>
      </c>
      <c r="N171" s="425">
        <v>4000</v>
      </c>
      <c r="O171" s="447">
        <v>1</v>
      </c>
      <c r="P171" s="426">
        <v>1000</v>
      </c>
    </row>
    <row r="172" spans="1:16" ht="14.4" customHeight="1" x14ac:dyDescent="0.3">
      <c r="A172" s="421" t="s">
        <v>1637</v>
      </c>
      <c r="B172" s="422" t="s">
        <v>1530</v>
      </c>
      <c r="C172" s="422" t="s">
        <v>1577</v>
      </c>
      <c r="D172" s="422" t="s">
        <v>1578</v>
      </c>
      <c r="E172" s="425">
        <v>6</v>
      </c>
      <c r="F172" s="425">
        <v>0</v>
      </c>
      <c r="G172" s="422"/>
      <c r="H172" s="422">
        <v>0</v>
      </c>
      <c r="I172" s="425">
        <v>13</v>
      </c>
      <c r="J172" s="425">
        <v>0</v>
      </c>
      <c r="K172" s="422"/>
      <c r="L172" s="422">
        <v>0</v>
      </c>
      <c r="M172" s="425">
        <v>3</v>
      </c>
      <c r="N172" s="425">
        <v>0</v>
      </c>
      <c r="O172" s="447"/>
      <c r="P172" s="426">
        <v>0</v>
      </c>
    </row>
    <row r="173" spans="1:16" ht="14.4" customHeight="1" x14ac:dyDescent="0.3">
      <c r="A173" s="421" t="s">
        <v>1637</v>
      </c>
      <c r="B173" s="422" t="s">
        <v>1530</v>
      </c>
      <c r="C173" s="422" t="s">
        <v>1579</v>
      </c>
      <c r="D173" s="422" t="s">
        <v>1580</v>
      </c>
      <c r="E173" s="425">
        <v>506</v>
      </c>
      <c r="F173" s="425">
        <v>0</v>
      </c>
      <c r="G173" s="422"/>
      <c r="H173" s="422">
        <v>0</v>
      </c>
      <c r="I173" s="425">
        <v>616</v>
      </c>
      <c r="J173" s="425">
        <v>0</v>
      </c>
      <c r="K173" s="422"/>
      <c r="L173" s="422">
        <v>0</v>
      </c>
      <c r="M173" s="425">
        <v>594</v>
      </c>
      <c r="N173" s="425">
        <v>0</v>
      </c>
      <c r="O173" s="447"/>
      <c r="P173" s="426">
        <v>0</v>
      </c>
    </row>
    <row r="174" spans="1:16" ht="14.4" customHeight="1" x14ac:dyDescent="0.3">
      <c r="A174" s="421" t="s">
        <v>1637</v>
      </c>
      <c r="B174" s="422" t="s">
        <v>1530</v>
      </c>
      <c r="C174" s="422" t="s">
        <v>1581</v>
      </c>
      <c r="D174" s="422" t="s">
        <v>1582</v>
      </c>
      <c r="E174" s="425">
        <v>382</v>
      </c>
      <c r="F174" s="425">
        <v>116722.21</v>
      </c>
      <c r="G174" s="422">
        <v>1</v>
      </c>
      <c r="H174" s="422">
        <v>305.55552356020945</v>
      </c>
      <c r="I174" s="425">
        <v>439</v>
      </c>
      <c r="J174" s="425">
        <v>134138.89000000001</v>
      </c>
      <c r="K174" s="422">
        <v>1.1492147895417677</v>
      </c>
      <c r="L174" s="422">
        <v>305.55555808656038</v>
      </c>
      <c r="M174" s="425">
        <v>441</v>
      </c>
      <c r="N174" s="425">
        <v>134750.01</v>
      </c>
      <c r="O174" s="447">
        <v>1.1544504683384593</v>
      </c>
      <c r="P174" s="426">
        <v>305.55557823129254</v>
      </c>
    </row>
    <row r="175" spans="1:16" ht="14.4" customHeight="1" x14ac:dyDescent="0.3">
      <c r="A175" s="421" t="s">
        <v>1637</v>
      </c>
      <c r="B175" s="422" t="s">
        <v>1530</v>
      </c>
      <c r="C175" s="422" t="s">
        <v>1583</v>
      </c>
      <c r="D175" s="422" t="s">
        <v>1584</v>
      </c>
      <c r="E175" s="425">
        <v>1023</v>
      </c>
      <c r="F175" s="425">
        <v>0</v>
      </c>
      <c r="G175" s="422"/>
      <c r="H175" s="422">
        <v>0</v>
      </c>
      <c r="I175" s="425">
        <v>1157</v>
      </c>
      <c r="J175" s="425">
        <v>0</v>
      </c>
      <c r="K175" s="422"/>
      <c r="L175" s="422">
        <v>0</v>
      </c>
      <c r="M175" s="425">
        <v>831</v>
      </c>
      <c r="N175" s="425">
        <v>15500</v>
      </c>
      <c r="O175" s="447"/>
      <c r="P175" s="426">
        <v>18.652226233453671</v>
      </c>
    </row>
    <row r="176" spans="1:16" ht="14.4" customHeight="1" x14ac:dyDescent="0.3">
      <c r="A176" s="421" t="s">
        <v>1637</v>
      </c>
      <c r="B176" s="422" t="s">
        <v>1530</v>
      </c>
      <c r="C176" s="422" t="s">
        <v>1585</v>
      </c>
      <c r="D176" s="422" t="s">
        <v>1586</v>
      </c>
      <c r="E176" s="425">
        <v>339</v>
      </c>
      <c r="F176" s="425">
        <v>154433.34</v>
      </c>
      <c r="G176" s="422">
        <v>1</v>
      </c>
      <c r="H176" s="422">
        <v>455.55557522123894</v>
      </c>
      <c r="I176" s="425">
        <v>443</v>
      </c>
      <c r="J176" s="425">
        <v>199988.9</v>
      </c>
      <c r="K176" s="422">
        <v>1.2949852667824189</v>
      </c>
      <c r="L176" s="422">
        <v>451.44221218961621</v>
      </c>
      <c r="M176" s="425">
        <v>403</v>
      </c>
      <c r="N176" s="425">
        <v>183588.89</v>
      </c>
      <c r="O176" s="447">
        <v>1.1887905163483483</v>
      </c>
      <c r="P176" s="426">
        <v>455.55555831265514</v>
      </c>
    </row>
    <row r="177" spans="1:16" ht="14.4" customHeight="1" x14ac:dyDescent="0.3">
      <c r="A177" s="421" t="s">
        <v>1637</v>
      </c>
      <c r="B177" s="422" t="s">
        <v>1530</v>
      </c>
      <c r="C177" s="422" t="s">
        <v>1589</v>
      </c>
      <c r="D177" s="422" t="s">
        <v>1590</v>
      </c>
      <c r="E177" s="425">
        <v>392</v>
      </c>
      <c r="F177" s="425">
        <v>30488.89</v>
      </c>
      <c r="G177" s="422">
        <v>1</v>
      </c>
      <c r="H177" s="422">
        <v>77.777780612244896</v>
      </c>
      <c r="I177" s="425">
        <v>453</v>
      </c>
      <c r="J177" s="425">
        <v>35233.340000000004</v>
      </c>
      <c r="K177" s="422">
        <v>1.1556124214426962</v>
      </c>
      <c r="L177" s="422">
        <v>77.777792494481247</v>
      </c>
      <c r="M177" s="425">
        <v>469</v>
      </c>
      <c r="N177" s="425">
        <v>36477.79</v>
      </c>
      <c r="O177" s="447">
        <v>1.1964289287015697</v>
      </c>
      <c r="P177" s="426">
        <v>77.777803837953087</v>
      </c>
    </row>
    <row r="178" spans="1:16" ht="14.4" customHeight="1" x14ac:dyDescent="0.3">
      <c r="A178" s="421" t="s">
        <v>1637</v>
      </c>
      <c r="B178" s="422" t="s">
        <v>1530</v>
      </c>
      <c r="C178" s="422" t="s">
        <v>1677</v>
      </c>
      <c r="D178" s="422" t="s">
        <v>1678</v>
      </c>
      <c r="E178" s="425">
        <v>253</v>
      </c>
      <c r="F178" s="425">
        <v>365444.43999999994</v>
      </c>
      <c r="G178" s="422">
        <v>1</v>
      </c>
      <c r="H178" s="422">
        <v>1444.4444268774701</v>
      </c>
      <c r="I178" s="425">
        <v>230</v>
      </c>
      <c r="J178" s="425">
        <v>332222.23000000004</v>
      </c>
      <c r="K178" s="422">
        <v>0.90909094143011204</v>
      </c>
      <c r="L178" s="422">
        <v>1444.4444782608698</v>
      </c>
      <c r="M178" s="425">
        <v>223</v>
      </c>
      <c r="N178" s="425">
        <v>322111.11</v>
      </c>
      <c r="O178" s="447">
        <v>0.8814229325803945</v>
      </c>
      <c r="P178" s="426">
        <v>1444.4444394618833</v>
      </c>
    </row>
    <row r="179" spans="1:16" ht="14.4" customHeight="1" x14ac:dyDescent="0.3">
      <c r="A179" s="421" t="s">
        <v>1637</v>
      </c>
      <c r="B179" s="422" t="s">
        <v>1530</v>
      </c>
      <c r="C179" s="422" t="s">
        <v>1603</v>
      </c>
      <c r="D179" s="422" t="s">
        <v>1604</v>
      </c>
      <c r="E179" s="425">
        <v>4</v>
      </c>
      <c r="F179" s="425">
        <v>386.66</v>
      </c>
      <c r="G179" s="422">
        <v>1</v>
      </c>
      <c r="H179" s="422">
        <v>96.665000000000006</v>
      </c>
      <c r="I179" s="425">
        <v>2</v>
      </c>
      <c r="J179" s="425">
        <v>193.34</v>
      </c>
      <c r="K179" s="422">
        <v>0.50002586251487091</v>
      </c>
      <c r="L179" s="422">
        <v>96.67</v>
      </c>
      <c r="M179" s="425">
        <v>2</v>
      </c>
      <c r="N179" s="425">
        <v>193.34</v>
      </c>
      <c r="O179" s="447">
        <v>0.50002586251487091</v>
      </c>
      <c r="P179" s="426">
        <v>96.67</v>
      </c>
    </row>
    <row r="180" spans="1:16" ht="14.4" customHeight="1" x14ac:dyDescent="0.3">
      <c r="A180" s="421" t="s">
        <v>1637</v>
      </c>
      <c r="B180" s="422" t="s">
        <v>1530</v>
      </c>
      <c r="C180" s="422" t="s">
        <v>1679</v>
      </c>
      <c r="D180" s="422" t="s">
        <v>1680</v>
      </c>
      <c r="E180" s="425">
        <v>193</v>
      </c>
      <c r="F180" s="425">
        <v>67550</v>
      </c>
      <c r="G180" s="422">
        <v>1</v>
      </c>
      <c r="H180" s="422">
        <v>350</v>
      </c>
      <c r="I180" s="425">
        <v>272</v>
      </c>
      <c r="J180" s="425">
        <v>95200</v>
      </c>
      <c r="K180" s="422">
        <v>1.4093264248704662</v>
      </c>
      <c r="L180" s="422">
        <v>350</v>
      </c>
      <c r="M180" s="425">
        <v>264</v>
      </c>
      <c r="N180" s="425">
        <v>92400</v>
      </c>
      <c r="O180" s="447">
        <v>1.3678756476683938</v>
      </c>
      <c r="P180" s="426">
        <v>350</v>
      </c>
    </row>
    <row r="181" spans="1:16" ht="14.4" customHeight="1" x14ac:dyDescent="0.3">
      <c r="A181" s="421" t="s">
        <v>1637</v>
      </c>
      <c r="B181" s="422" t="s">
        <v>1530</v>
      </c>
      <c r="C181" s="422" t="s">
        <v>1681</v>
      </c>
      <c r="D181" s="422" t="s">
        <v>1682</v>
      </c>
      <c r="E181" s="425">
        <v>37</v>
      </c>
      <c r="F181" s="425">
        <v>2178.89</v>
      </c>
      <c r="G181" s="422">
        <v>1</v>
      </c>
      <c r="H181" s="422">
        <v>58.888918918918918</v>
      </c>
      <c r="I181" s="425">
        <v>29</v>
      </c>
      <c r="J181" s="425">
        <v>1707.7800000000002</v>
      </c>
      <c r="K181" s="422">
        <v>0.78378440398551574</v>
      </c>
      <c r="L181" s="422">
        <v>58.888965517241388</v>
      </c>
      <c r="M181" s="425">
        <v>24</v>
      </c>
      <c r="N181" s="425">
        <v>1413.34</v>
      </c>
      <c r="O181" s="447">
        <v>0.64865137753626845</v>
      </c>
      <c r="P181" s="426">
        <v>58.889166666666661</v>
      </c>
    </row>
    <row r="182" spans="1:16" ht="14.4" customHeight="1" x14ac:dyDescent="0.3">
      <c r="A182" s="421" t="s">
        <v>1637</v>
      </c>
      <c r="B182" s="422" t="s">
        <v>1530</v>
      </c>
      <c r="C182" s="422" t="s">
        <v>1683</v>
      </c>
      <c r="D182" s="422" t="s">
        <v>1684</v>
      </c>
      <c r="E182" s="425">
        <v>291</v>
      </c>
      <c r="F182" s="425">
        <v>37506.67</v>
      </c>
      <c r="G182" s="422">
        <v>1</v>
      </c>
      <c r="H182" s="422">
        <v>128.8889003436426</v>
      </c>
      <c r="I182" s="425">
        <v>386</v>
      </c>
      <c r="J182" s="425">
        <v>49751.119999999995</v>
      </c>
      <c r="K182" s="422">
        <v>1.3264606002079096</v>
      </c>
      <c r="L182" s="422">
        <v>128.88891191709843</v>
      </c>
      <c r="M182" s="425">
        <v>364</v>
      </c>
      <c r="N182" s="425">
        <v>46915.55</v>
      </c>
      <c r="O182" s="447">
        <v>1.2508588472397044</v>
      </c>
      <c r="P182" s="426">
        <v>128.88887362637362</v>
      </c>
    </row>
    <row r="183" spans="1:16" ht="14.4" customHeight="1" x14ac:dyDescent="0.3">
      <c r="A183" s="421" t="s">
        <v>1637</v>
      </c>
      <c r="B183" s="422" t="s">
        <v>1530</v>
      </c>
      <c r="C183" s="422" t="s">
        <v>1615</v>
      </c>
      <c r="D183" s="422" t="s">
        <v>1616</v>
      </c>
      <c r="E183" s="425">
        <v>953</v>
      </c>
      <c r="F183" s="425">
        <v>46591.11</v>
      </c>
      <c r="G183" s="422">
        <v>1</v>
      </c>
      <c r="H183" s="422">
        <v>48.888887722980066</v>
      </c>
      <c r="I183" s="425">
        <v>1082</v>
      </c>
      <c r="J183" s="425">
        <v>52897.789999999994</v>
      </c>
      <c r="K183" s="422">
        <v>1.1353623040962104</v>
      </c>
      <c r="L183" s="422">
        <v>48.888900184842875</v>
      </c>
      <c r="M183" s="425">
        <v>960</v>
      </c>
      <c r="N183" s="425">
        <v>46933.33</v>
      </c>
      <c r="O183" s="447">
        <v>1.0073451780822564</v>
      </c>
      <c r="P183" s="426">
        <v>48.888885416666668</v>
      </c>
    </row>
    <row r="184" spans="1:16" ht="14.4" customHeight="1" x14ac:dyDescent="0.3">
      <c r="A184" s="421" t="s">
        <v>1637</v>
      </c>
      <c r="B184" s="422" t="s">
        <v>1530</v>
      </c>
      <c r="C184" s="422" t="s">
        <v>1685</v>
      </c>
      <c r="D184" s="422" t="s">
        <v>1686</v>
      </c>
      <c r="E184" s="425">
        <v>1416</v>
      </c>
      <c r="F184" s="425">
        <v>1258666.6600000001</v>
      </c>
      <c r="G184" s="422">
        <v>1</v>
      </c>
      <c r="H184" s="422">
        <v>888.88888418079102</v>
      </c>
      <c r="I184" s="425">
        <v>1300</v>
      </c>
      <c r="J184" s="425">
        <v>1153777.78</v>
      </c>
      <c r="K184" s="422">
        <v>0.91666667328742935</v>
      </c>
      <c r="L184" s="422">
        <v>887.52136923076921</v>
      </c>
      <c r="M184" s="425">
        <v>1277</v>
      </c>
      <c r="N184" s="425">
        <v>1135111.1100000001</v>
      </c>
      <c r="O184" s="447">
        <v>0.9018361620859966</v>
      </c>
      <c r="P184" s="426">
        <v>888.88888801879409</v>
      </c>
    </row>
    <row r="185" spans="1:16" ht="14.4" customHeight="1" thickBot="1" x14ac:dyDescent="0.35">
      <c r="A185" s="427" t="s">
        <v>1637</v>
      </c>
      <c r="B185" s="428" t="s">
        <v>1530</v>
      </c>
      <c r="C185" s="428" t="s">
        <v>1687</v>
      </c>
      <c r="D185" s="428" t="s">
        <v>1688</v>
      </c>
      <c r="E185" s="431">
        <v>38</v>
      </c>
      <c r="F185" s="431">
        <v>12666.67</v>
      </c>
      <c r="G185" s="428">
        <v>1</v>
      </c>
      <c r="H185" s="428">
        <v>333.33342105263159</v>
      </c>
      <c r="I185" s="431">
        <v>35</v>
      </c>
      <c r="J185" s="431">
        <v>11666.67</v>
      </c>
      <c r="K185" s="428">
        <v>0.92105265235456513</v>
      </c>
      <c r="L185" s="428">
        <v>333.33342857142856</v>
      </c>
      <c r="M185" s="431">
        <v>20</v>
      </c>
      <c r="N185" s="431">
        <v>6666.67</v>
      </c>
      <c r="O185" s="439">
        <v>0.52631591412739098</v>
      </c>
      <c r="P185" s="432">
        <v>333.33350000000002</v>
      </c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4" bestFit="1" customWidth="1"/>
    <col min="2" max="2" width="11.6640625" style="134" hidden="1" customWidth="1"/>
    <col min="3" max="4" width="11" style="136" customWidth="1"/>
    <col min="5" max="5" width="11" style="137" customWidth="1"/>
    <col min="6" max="16384" width="8.88671875" style="134"/>
  </cols>
  <sheetData>
    <row r="1" spans="1:5" ht="18.600000000000001" thickBot="1" x14ac:dyDescent="0.4">
      <c r="A1" s="302" t="s">
        <v>104</v>
      </c>
      <c r="B1" s="302"/>
      <c r="C1" s="303"/>
      <c r="D1" s="303"/>
      <c r="E1" s="303"/>
    </row>
    <row r="2" spans="1:5" ht="14.4" customHeight="1" thickBot="1" x14ac:dyDescent="0.35">
      <c r="A2" s="212" t="s">
        <v>255</v>
      </c>
      <c r="B2" s="135"/>
    </row>
    <row r="3" spans="1:5" ht="14.4" customHeight="1" thickBot="1" x14ac:dyDescent="0.35">
      <c r="A3" s="138"/>
      <c r="C3" s="139" t="s">
        <v>92</v>
      </c>
      <c r="D3" s="140" t="s">
        <v>60</v>
      </c>
      <c r="E3" s="141" t="s">
        <v>62</v>
      </c>
    </row>
    <row r="4" spans="1:5" ht="14.4" customHeight="1" thickBot="1" x14ac:dyDescent="0.35">
      <c r="A4" s="142" t="str">
        <f>HYPERLINK("#HI!A1","NÁKLADY CELKEM (v tisících Kč)")</f>
        <v>NÁKLADY CELKEM (v tisících Kč)</v>
      </c>
      <c r="B4" s="143"/>
      <c r="C4" s="144">
        <f ca="1">IF(ISERROR(VLOOKUP("Náklady celkem",INDIRECT("HI!$A:$G"),6,0)),0,VLOOKUP("Náklady celkem",INDIRECT("HI!$A:$G"),6,0))</f>
        <v>17513.946296289334</v>
      </c>
      <c r="D4" s="144">
        <f ca="1">IF(ISERROR(VLOOKUP("Náklady celkem",INDIRECT("HI!$A:$G"),5,0)),0,VLOOKUP("Náklady celkem",INDIRECT("HI!$A:$G"),5,0))</f>
        <v>15243.368450000013</v>
      </c>
      <c r="E4" s="145">
        <f ca="1">IF(C4=0,0,D4/C4)</f>
        <v>0.8703560118389545</v>
      </c>
    </row>
    <row r="5" spans="1:5" ht="14.4" customHeight="1" x14ac:dyDescent="0.3">
      <c r="A5" s="146" t="s">
        <v>126</v>
      </c>
      <c r="B5" s="147"/>
      <c r="C5" s="148"/>
      <c r="D5" s="148"/>
      <c r="E5" s="149"/>
    </row>
    <row r="6" spans="1:5" ht="14.4" customHeight="1" x14ac:dyDescent="0.3">
      <c r="A6" s="150" t="s">
        <v>131</v>
      </c>
      <c r="B6" s="151"/>
      <c r="C6" s="152"/>
      <c r="D6" s="152"/>
      <c r="E6" s="149"/>
    </row>
    <row r="7" spans="1:5" ht="14.4" customHeight="1" x14ac:dyDescent="0.3">
      <c r="A7" s="15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1" t="s">
        <v>96</v>
      </c>
      <c r="C7" s="152">
        <f>IF(ISERROR(HI!F5),"",HI!F5)</f>
        <v>127.23989935796958</v>
      </c>
      <c r="D7" s="152">
        <f>IF(ISERROR(HI!E5),"",HI!E5)</f>
        <v>151.70755</v>
      </c>
      <c r="E7" s="149">
        <f t="shared" ref="E7:E13" si="0">IF(C7=0,0,D7/C7)</f>
        <v>1.192295425927637</v>
      </c>
    </row>
    <row r="8" spans="1:5" ht="14.4" customHeight="1" x14ac:dyDescent="0.3">
      <c r="A8" s="153" t="str">
        <f>HYPERLINK("#'LŽ PL'!A1","% plnění pozitivního listu")</f>
        <v>% plnění pozitivního listu</v>
      </c>
      <c r="B8" s="151" t="s">
        <v>124</v>
      </c>
      <c r="C8" s="154">
        <v>0.9</v>
      </c>
      <c r="D8" s="154">
        <f>IF(ISERROR(VLOOKUP("celkem",'LŽ PL'!$A:$F,5,0)),0,VLOOKUP("celkem",'LŽ PL'!$A:$F,5,0))</f>
        <v>1</v>
      </c>
      <c r="E8" s="149">
        <f t="shared" si="0"/>
        <v>1.1111111111111112</v>
      </c>
    </row>
    <row r="9" spans="1:5" ht="14.4" customHeight="1" x14ac:dyDescent="0.3">
      <c r="A9" s="289" t="str">
        <f>HYPERLINK("#'LŽ Statim'!A1","% podíl statimových žádanek")</f>
        <v>% podíl statimových žádanek</v>
      </c>
      <c r="B9" s="287" t="s">
        <v>228</v>
      </c>
      <c r="C9" s="288">
        <v>0.3</v>
      </c>
      <c r="D9" s="288">
        <f>IF('LŽ Statim'!G3="",0,'LŽ Statim'!G3)</f>
        <v>0</v>
      </c>
      <c r="E9" s="149">
        <f>IF(C9=0,0,D9/C9)</f>
        <v>0</v>
      </c>
    </row>
    <row r="10" spans="1:5" ht="14.4" customHeight="1" x14ac:dyDescent="0.3">
      <c r="A10" s="155" t="s">
        <v>127</v>
      </c>
      <c r="B10" s="151"/>
      <c r="C10" s="152"/>
      <c r="D10" s="152"/>
      <c r="E10" s="149"/>
    </row>
    <row r="11" spans="1:5" ht="14.4" customHeight="1" x14ac:dyDescent="0.3">
      <c r="A11" s="155" t="s">
        <v>128</v>
      </c>
      <c r="B11" s="151"/>
      <c r="C11" s="152"/>
      <c r="D11" s="152"/>
      <c r="E11" s="149"/>
    </row>
    <row r="12" spans="1:5" ht="14.4" customHeight="1" x14ac:dyDescent="0.3">
      <c r="A12" s="156" t="s">
        <v>132</v>
      </c>
      <c r="B12" s="151"/>
      <c r="C12" s="148"/>
      <c r="D12" s="148"/>
      <c r="E12" s="149"/>
    </row>
    <row r="13" spans="1:5" ht="14.4" customHeight="1" x14ac:dyDescent="0.3">
      <c r="A13" s="1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1" t="s">
        <v>96</v>
      </c>
      <c r="C13" s="152">
        <f>IF(ISERROR(HI!F6),"",HI!F6)</f>
        <v>1619.9062948102082</v>
      </c>
      <c r="D13" s="152">
        <f>IF(ISERROR(HI!E6),"",HI!E6)</f>
        <v>1526.2504300000012</v>
      </c>
      <c r="E13" s="149">
        <f t="shared" si="0"/>
        <v>0.94218439356013495</v>
      </c>
    </row>
    <row r="14" spans="1:5" ht="14.4" customHeight="1" thickBot="1" x14ac:dyDescent="0.35">
      <c r="A14" s="158" t="str">
        <f>HYPERLINK("#HI!A1","Osobní náklady")</f>
        <v>Osobní náklady</v>
      </c>
      <c r="B14" s="151"/>
      <c r="C14" s="148">
        <f ca="1">IF(ISERROR(VLOOKUP("Osobní náklady (Kč) *",INDIRECT("HI!$A:$G"),6,0)),0,VLOOKUP("Osobní náklady (Kč) *",INDIRECT("HI!$A:$G"),6,0))</f>
        <v>11922.916293748496</v>
      </c>
      <c r="D14" s="148">
        <f ca="1">IF(ISERROR(VLOOKUP("Osobní náklady (Kč) *",INDIRECT("HI!$A:$G"),5,0)),0,VLOOKUP("Osobní náklady (Kč) *",INDIRECT("HI!$A:$G"),5,0))</f>
        <v>10852.13103</v>
      </c>
      <c r="E14" s="149">
        <f ca="1">IF(C14=0,0,D14/C14)</f>
        <v>0.91019099376635415</v>
      </c>
    </row>
    <row r="15" spans="1:5" ht="14.4" customHeight="1" thickBot="1" x14ac:dyDescent="0.35">
      <c r="A15" s="162"/>
      <c r="B15" s="163"/>
      <c r="C15" s="164"/>
      <c r="D15" s="164"/>
      <c r="E15" s="165"/>
    </row>
    <row r="16" spans="1:5" ht="14.4" customHeight="1" thickBot="1" x14ac:dyDescent="0.35">
      <c r="A16" s="166" t="str">
        <f>HYPERLINK("#HI!A1","VÝNOSY CELKEM (v tisících)")</f>
        <v>VÝNOSY CELKEM (v tisících)</v>
      </c>
      <c r="B16" s="167"/>
      <c r="C16" s="168">
        <f ca="1">IF(ISERROR(VLOOKUP("Výnosy celkem",INDIRECT("HI!$A:$G"),6,0)),0,VLOOKUP("Výnosy celkem",INDIRECT("HI!$A:$G"),6,0))</f>
        <v>9603.0121900000013</v>
      </c>
      <c r="D16" s="168">
        <f ca="1">IF(ISERROR(VLOOKUP("Výnosy celkem",INDIRECT("HI!$A:$G"),5,0)),0,VLOOKUP("Výnosy celkem",INDIRECT("HI!$A:$G"),5,0))</f>
        <v>9341.0555999999979</v>
      </c>
      <c r="E16" s="169">
        <f t="shared" ref="E16:E18" ca="1" si="1">IF(C16=0,0,D16/C16)</f>
        <v>0.97272141440445226</v>
      </c>
    </row>
    <row r="17" spans="1:5" ht="14.4" customHeight="1" x14ac:dyDescent="0.3">
      <c r="A17" s="170" t="str">
        <f>HYPERLINK("#HI!A1","Ambulance (body za výkony + Kč za ZUM a ZULP)")</f>
        <v>Ambulance (body za výkony + Kč za ZUM a ZULP)</v>
      </c>
      <c r="B17" s="147"/>
      <c r="C17" s="148">
        <f ca="1">IF(ISERROR(VLOOKUP("Ambulance *",INDIRECT("HI!$A:$G"),6,0)),0,VLOOKUP("Ambulance *",INDIRECT("HI!$A:$G"),6,0))</f>
        <v>9603.0121900000013</v>
      </c>
      <c r="D17" s="148">
        <f ca="1">IF(ISERROR(VLOOKUP("Ambulance *",INDIRECT("HI!$A:$G"),5,0)),0,VLOOKUP("Ambulance *",INDIRECT("HI!$A:$G"),5,0))</f>
        <v>9341.0555999999979</v>
      </c>
      <c r="E17" s="149">
        <f t="shared" ca="1" si="1"/>
        <v>0.97272141440445226</v>
      </c>
    </row>
    <row r="18" spans="1:5" ht="14.4" customHeight="1" x14ac:dyDescent="0.3">
      <c r="A18" s="171" t="str">
        <f>HYPERLINK("#'ZV Vykáz.-A'!A1","Zdravotní výkony vykázané u ambulantních pacientů (min. 100 %)")</f>
        <v>Zdravotní výkony vykázané u ambulantních pacientů (min. 100 %)</v>
      </c>
      <c r="B18" s="134" t="s">
        <v>106</v>
      </c>
      <c r="C18" s="154">
        <v>1</v>
      </c>
      <c r="D18" s="154">
        <f>IF(ISERROR(VLOOKUP("Celkem:",'ZV Vykáz.-A'!$A:$S,7,0)),"",VLOOKUP("Celkem:",'ZV Vykáz.-A'!$A:$S,7,0))</f>
        <v>0.97272141440445226</v>
      </c>
      <c r="E18" s="149">
        <f t="shared" si="1"/>
        <v>0.97272141440445226</v>
      </c>
    </row>
    <row r="19" spans="1:5" ht="14.4" customHeight="1" x14ac:dyDescent="0.3">
      <c r="A19" s="172" t="str">
        <f>HYPERLINK("#HI!A1","Hospitalizace (casemix * 30000)")</f>
        <v>Hospitalizace (casemix * 30000)</v>
      </c>
      <c r="B19" s="151"/>
      <c r="C19" s="148">
        <f ca="1">IF(ISERROR(VLOOKUP("Hospitalizace *",INDIRECT("HI!$A:$G"),6,0)),0,VLOOKUP("Hospitalizace *",INDIRECT("HI!$A:$G"),6,0))</f>
        <v>0</v>
      </c>
      <c r="D19" s="148">
        <f ca="1">IF(ISERROR(VLOOKUP("Hospitalizace *",INDIRECT("HI!$A:$G"),5,0)),0,VLOOKUP("Hospitalizace *",INDIRECT("HI!$A:$G"),5,0))</f>
        <v>0</v>
      </c>
      <c r="E19" s="149">
        <f ca="1">IF(C19=0,0,D19/C19)</f>
        <v>0</v>
      </c>
    </row>
    <row r="20" spans="1:5" ht="14.4" customHeight="1" thickBot="1" x14ac:dyDescent="0.35">
      <c r="A20" s="173" t="s">
        <v>129</v>
      </c>
      <c r="B20" s="159"/>
      <c r="C20" s="160"/>
      <c r="D20" s="160"/>
      <c r="E20" s="161"/>
    </row>
    <row r="21" spans="1:5" ht="14.4" customHeight="1" thickBot="1" x14ac:dyDescent="0.35">
      <c r="A21" s="174"/>
      <c r="B21" s="175"/>
      <c r="C21" s="176"/>
      <c r="D21" s="176"/>
      <c r="E21" s="177"/>
    </row>
    <row r="22" spans="1:5" ht="14.4" customHeight="1" thickBot="1" x14ac:dyDescent="0.35">
      <c r="A22" s="178" t="s">
        <v>130</v>
      </c>
      <c r="B22" s="179"/>
      <c r="C22" s="180"/>
      <c r="D22" s="180"/>
      <c r="E22" s="181"/>
    </row>
  </sheetData>
  <mergeCells count="1">
    <mergeCell ref="A1:E1"/>
  </mergeCells>
  <conditionalFormatting sqref="E5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1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49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48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7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cellIs" dxfId="46" priority="20" operator="lessThan">
      <formula>1</formula>
    </cfRule>
  </conditionalFormatting>
  <conditionalFormatting sqref="E9">
    <cfRule type="cellIs" dxfId="45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4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15" bestFit="1" customWidth="1"/>
    <col min="2" max="3" width="9.5546875" style="115" customWidth="1"/>
    <col min="4" max="4" width="2.21875" style="115" customWidth="1"/>
    <col min="5" max="8" width="9.5546875" style="115" customWidth="1"/>
    <col min="9" max="16384" width="8.88671875" style="115"/>
  </cols>
  <sheetData>
    <row r="1" spans="1:8" ht="18.600000000000001" customHeight="1" thickBot="1" x14ac:dyDescent="0.4">
      <c r="A1" s="302" t="s">
        <v>117</v>
      </c>
      <c r="B1" s="302"/>
      <c r="C1" s="302"/>
      <c r="D1" s="302"/>
      <c r="E1" s="302"/>
      <c r="F1" s="302"/>
      <c r="G1" s="303"/>
      <c r="H1" s="303"/>
    </row>
    <row r="2" spans="1:8" ht="14.4" customHeight="1" thickBot="1" x14ac:dyDescent="0.35">
      <c r="A2" s="212" t="s">
        <v>255</v>
      </c>
      <c r="B2" s="96"/>
      <c r="C2" s="96"/>
      <c r="D2" s="96"/>
      <c r="E2" s="96"/>
      <c r="F2" s="96"/>
    </row>
    <row r="3" spans="1:8" ht="14.4" customHeight="1" x14ac:dyDescent="0.3">
      <c r="A3" s="304"/>
      <c r="B3" s="92">
        <v>2013</v>
      </c>
      <c r="C3" s="40">
        <v>2014</v>
      </c>
      <c r="D3" s="7"/>
      <c r="E3" s="308">
        <v>2015</v>
      </c>
      <c r="F3" s="309"/>
      <c r="G3" s="309"/>
      <c r="H3" s="310"/>
    </row>
    <row r="4" spans="1:8" ht="14.4" customHeight="1" thickBot="1" x14ac:dyDescent="0.35">
      <c r="A4" s="305"/>
      <c r="B4" s="306" t="s">
        <v>60</v>
      </c>
      <c r="C4" s="307"/>
      <c r="D4" s="7"/>
      <c r="E4" s="113" t="s">
        <v>60</v>
      </c>
      <c r="F4" s="94" t="s">
        <v>61</v>
      </c>
      <c r="G4" s="94" t="s">
        <v>55</v>
      </c>
      <c r="H4" s="95" t="s">
        <v>62</v>
      </c>
    </row>
    <row r="5" spans="1:8" ht="14.4" customHeight="1" x14ac:dyDescent="0.3">
      <c r="A5" s="97" t="str">
        <f>HYPERLINK("#'Léky Žádanky'!A1","Léky (Kč)")</f>
        <v>Léky (Kč)</v>
      </c>
      <c r="B5" s="27">
        <v>97.021889999999999</v>
      </c>
      <c r="C5" s="29">
        <v>114.98582</v>
      </c>
      <c r="D5" s="8"/>
      <c r="E5" s="102">
        <v>151.70755</v>
      </c>
      <c r="F5" s="28">
        <v>127.23989935796958</v>
      </c>
      <c r="G5" s="101">
        <f>E5-F5</f>
        <v>24.467650642030421</v>
      </c>
      <c r="H5" s="107">
        <f>IF(F5&lt;0.00000001,"",E5/F5)</f>
        <v>1.192295425927637</v>
      </c>
    </row>
    <row r="6" spans="1:8" ht="14.4" customHeight="1" x14ac:dyDescent="0.3">
      <c r="A6" s="97" t="str">
        <f>HYPERLINK("#'Materiál Žádanky'!A1","Materiál - SZM (Kč)")</f>
        <v>Materiál - SZM (Kč)</v>
      </c>
      <c r="B6" s="10">
        <v>1592.2573500000001</v>
      </c>
      <c r="C6" s="31">
        <v>1597.3836600000009</v>
      </c>
      <c r="D6" s="8"/>
      <c r="E6" s="103">
        <v>1526.2504300000012</v>
      </c>
      <c r="F6" s="30">
        <v>1619.9062948102082</v>
      </c>
      <c r="G6" s="104">
        <f>E6-F6</f>
        <v>-93.655864810207049</v>
      </c>
      <c r="H6" s="108">
        <f>IF(F6&lt;0.00000001,"",E6/F6)</f>
        <v>0.94218439356013495</v>
      </c>
    </row>
    <row r="7" spans="1:8" ht="14.4" customHeight="1" x14ac:dyDescent="0.3">
      <c r="A7" s="97" t="str">
        <f>HYPERLINK("#'Osobní náklady'!A1","Osobní náklady (Kč) *")</f>
        <v>Osobní náklady (Kč) *</v>
      </c>
      <c r="B7" s="10">
        <v>10338.48964</v>
      </c>
      <c r="C7" s="31">
        <v>10408.483040000012</v>
      </c>
      <c r="D7" s="8"/>
      <c r="E7" s="103">
        <v>10852.13103</v>
      </c>
      <c r="F7" s="30">
        <v>11922.916293748496</v>
      </c>
      <c r="G7" s="104">
        <f>E7-F7</f>
        <v>-1070.7852637484957</v>
      </c>
      <c r="H7" s="108">
        <f>IF(F7&lt;0.00000001,"",E7/F7)</f>
        <v>0.91019099376635415</v>
      </c>
    </row>
    <row r="8" spans="1:8" ht="14.4" customHeight="1" thickBot="1" x14ac:dyDescent="0.35">
      <c r="A8" s="1" t="s">
        <v>63</v>
      </c>
      <c r="B8" s="11">
        <v>3082.2049200000001</v>
      </c>
      <c r="C8" s="33">
        <v>2731.6511100000012</v>
      </c>
      <c r="D8" s="8"/>
      <c r="E8" s="105">
        <v>2713.2794400000112</v>
      </c>
      <c r="F8" s="32">
        <v>3843.8838083726596</v>
      </c>
      <c r="G8" s="106">
        <f>E8-F8</f>
        <v>-1130.6043683726484</v>
      </c>
      <c r="H8" s="109">
        <f>IF(F8&lt;0.00000001,"",E8/F8)</f>
        <v>0.7058692653742572</v>
      </c>
    </row>
    <row r="9" spans="1:8" ht="14.4" customHeight="1" thickBot="1" x14ac:dyDescent="0.35">
      <c r="A9" s="2" t="s">
        <v>64</v>
      </c>
      <c r="B9" s="3">
        <v>15109.9738</v>
      </c>
      <c r="C9" s="35">
        <v>14852.503630000014</v>
      </c>
      <c r="D9" s="8"/>
      <c r="E9" s="3">
        <v>15243.368450000013</v>
      </c>
      <c r="F9" s="34">
        <v>17513.946296289334</v>
      </c>
      <c r="G9" s="34">
        <f>E9-F9</f>
        <v>-2270.5778462893213</v>
      </c>
      <c r="H9" s="110">
        <f>IF(F9&lt;0.00000001,"",E9/F9)</f>
        <v>0.8703560118389545</v>
      </c>
    </row>
    <row r="10" spans="1:8" ht="14.4" customHeight="1" thickBot="1" x14ac:dyDescent="0.35">
      <c r="A10" s="12"/>
      <c r="B10" s="12"/>
      <c r="C10" s="93"/>
      <c r="D10" s="8"/>
      <c r="E10" s="12"/>
      <c r="F10" s="13"/>
    </row>
    <row r="11" spans="1:8" ht="14.4" customHeight="1" x14ac:dyDescent="0.3">
      <c r="A11" s="118" t="str">
        <f>HYPERLINK("#'ZV Vykáz.-A'!A1","Ambulance *")</f>
        <v>Ambulance *</v>
      </c>
      <c r="B11" s="9">
        <f>IF(ISERROR(VLOOKUP("Celkem:",'ZV Vykáz.-A'!A:F,2,0)),0,VLOOKUP("Celkem:",'ZV Vykáz.-A'!A:F,2,0)/1000)</f>
        <v>9603.0121900000013</v>
      </c>
      <c r="C11" s="29">
        <f>IF(ISERROR(VLOOKUP("Celkem:",'ZV Vykáz.-A'!A:F,4,0)),0,VLOOKUP("Celkem:",'ZV Vykáz.-A'!A:F,4,0)/1000)</f>
        <v>9865.476749999998</v>
      </c>
      <c r="D11" s="8"/>
      <c r="E11" s="102">
        <f>IF(ISERROR(VLOOKUP("Celkem:",'ZV Vykáz.-A'!A:F,6,0)),0,VLOOKUP("Celkem:",'ZV Vykáz.-A'!A:F,6,0)/1000)</f>
        <v>9341.0555999999979</v>
      </c>
      <c r="F11" s="28">
        <f>B11</f>
        <v>9603.0121900000013</v>
      </c>
      <c r="G11" s="101">
        <f>E11-F11</f>
        <v>-261.95659000000342</v>
      </c>
      <c r="H11" s="107">
        <f>IF(F11&lt;0.00000001,"",E11/F11)</f>
        <v>0.97272141440445226</v>
      </c>
    </row>
    <row r="12" spans="1:8" ht="14.4" customHeight="1" thickBot="1" x14ac:dyDescent="0.3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5">
        <f>IF(ISERROR(VLOOKUP("Celkem",#REF!,4,0)),0,VLOOKUP("Celkem",#REF!,4,0)*30)</f>
        <v>0</v>
      </c>
      <c r="F12" s="32">
        <f>B12</f>
        <v>0</v>
      </c>
      <c r="G12" s="106">
        <f>E12-F12</f>
        <v>0</v>
      </c>
      <c r="H12" s="109" t="str">
        <f>IF(F12&lt;0.00000001,"",E12/F12)</f>
        <v/>
      </c>
    </row>
    <row r="13" spans="1:8" ht="14.4" customHeight="1" thickBot="1" x14ac:dyDescent="0.35">
      <c r="A13" s="4" t="s">
        <v>67</v>
      </c>
      <c r="B13" s="5">
        <f>SUM(B11:B12)</f>
        <v>9603.0121900000013</v>
      </c>
      <c r="C13" s="37">
        <f>SUM(C11:C12)</f>
        <v>9865.476749999998</v>
      </c>
      <c r="D13" s="8"/>
      <c r="E13" s="5">
        <f>SUM(E11:E12)</f>
        <v>9341.0555999999979</v>
      </c>
      <c r="F13" s="36">
        <f>SUM(F11:F12)</f>
        <v>9603.0121900000013</v>
      </c>
      <c r="G13" s="36">
        <f>E13-F13</f>
        <v>-261.95659000000342</v>
      </c>
      <c r="H13" s="111">
        <f>IF(F13&lt;0.00000001,"",E13/F13)</f>
        <v>0.97272141440445226</v>
      </c>
    </row>
    <row r="14" spans="1:8" ht="14.4" customHeight="1" thickBot="1" x14ac:dyDescent="0.35">
      <c r="A14" s="12"/>
      <c r="B14" s="12"/>
      <c r="C14" s="93"/>
      <c r="D14" s="8"/>
      <c r="E14" s="12"/>
      <c r="F14" s="13"/>
    </row>
    <row r="15" spans="1:8" ht="14.4" customHeight="1" thickBot="1" x14ac:dyDescent="0.35">
      <c r="A15" s="120" t="str">
        <f>HYPERLINK("#'HI Graf'!A1","Hospodářský index (Výnosy / Náklady) *")</f>
        <v>Hospodářský index (Výnosy / Náklady) *</v>
      </c>
      <c r="B15" s="6">
        <f>IF(B9=0,"",B13/B9)</f>
        <v>0.63554128664339582</v>
      </c>
      <c r="C15" s="39">
        <f>IF(C9=0,"",C13/C9)</f>
        <v>0.66422988310691888</v>
      </c>
      <c r="D15" s="8"/>
      <c r="E15" s="6">
        <f>IF(E9=0,"",E13/E9)</f>
        <v>0.61279471336271418</v>
      </c>
      <c r="F15" s="38">
        <f>IF(F9=0,"",F13/F9)</f>
        <v>0.54830659107562663</v>
      </c>
      <c r="G15" s="38">
        <f>IF(ISERROR(F15-E15),"",E15-F15)</f>
        <v>6.4488122287087557E-2</v>
      </c>
      <c r="H15" s="112">
        <f>IF(ISERROR(F15-E15),"",IF(F15&lt;0.00000001,"",E15/F15))</f>
        <v>1.1176132538559853</v>
      </c>
    </row>
    <row r="17" spans="1:8" ht="14.4" customHeight="1" x14ac:dyDescent="0.3">
      <c r="A17" s="98" t="s">
        <v>134</v>
      </c>
    </row>
    <row r="18" spans="1:8" ht="14.4" customHeight="1" x14ac:dyDescent="0.3">
      <c r="A18" s="265" t="s">
        <v>175</v>
      </c>
      <c r="B18" s="266"/>
      <c r="C18" s="266"/>
      <c r="D18" s="266"/>
      <c r="E18" s="266"/>
      <c r="F18" s="266"/>
      <c r="G18" s="266"/>
      <c r="H18" s="266"/>
    </row>
    <row r="19" spans="1:8" x14ac:dyDescent="0.3">
      <c r="A19" s="264" t="s">
        <v>174</v>
      </c>
      <c r="B19" s="266"/>
      <c r="C19" s="266"/>
      <c r="D19" s="266"/>
      <c r="E19" s="266"/>
      <c r="F19" s="266"/>
      <c r="G19" s="266"/>
      <c r="H19" s="266"/>
    </row>
    <row r="20" spans="1:8" ht="14.4" customHeight="1" x14ac:dyDescent="0.3">
      <c r="A20" s="99" t="s">
        <v>229</v>
      </c>
    </row>
    <row r="21" spans="1:8" ht="14.4" customHeight="1" x14ac:dyDescent="0.3">
      <c r="A21" s="99" t="s">
        <v>135</v>
      </c>
    </row>
    <row r="22" spans="1:8" ht="14.4" customHeight="1" x14ac:dyDescent="0.3">
      <c r="A22" s="100" t="s">
        <v>136</v>
      </c>
    </row>
    <row r="23" spans="1:8" ht="14.4" customHeight="1" x14ac:dyDescent="0.3">
      <c r="A23" s="100" t="s">
        <v>137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4" operator="greaterThan">
      <formula>0</formula>
    </cfRule>
  </conditionalFormatting>
  <conditionalFormatting sqref="G11:G13 G15">
    <cfRule type="cellIs" dxfId="42" priority="3" operator="lessThan">
      <formula>0</formula>
    </cfRule>
  </conditionalFormatting>
  <conditionalFormatting sqref="H5:H9">
    <cfRule type="cellIs" dxfId="41" priority="2" operator="greaterThan">
      <formula>1</formula>
    </cfRule>
  </conditionalFormatting>
  <conditionalFormatting sqref="H11:H13 H15">
    <cfRule type="cellIs" dxfId="4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5"/>
    <col min="2" max="13" width="8.88671875" style="115" customWidth="1"/>
    <col min="14" max="16384" width="8.88671875" style="115"/>
  </cols>
  <sheetData>
    <row r="1" spans="1:13" ht="18.600000000000001" customHeight="1" thickBot="1" x14ac:dyDescent="0.4">
      <c r="A1" s="302" t="s">
        <v>90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</row>
    <row r="2" spans="1:13" ht="14.4" customHeight="1" x14ac:dyDescent="0.3">
      <c r="A2" s="212" t="s">
        <v>255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" customHeight="1" x14ac:dyDescent="0.3">
      <c r="A3" s="182"/>
      <c r="B3" s="183" t="s">
        <v>69</v>
      </c>
      <c r="C3" s="184" t="s">
        <v>70</v>
      </c>
      <c r="D3" s="184" t="s">
        <v>71</v>
      </c>
      <c r="E3" s="183" t="s">
        <v>72</v>
      </c>
      <c r="F3" s="184" t="s">
        <v>73</v>
      </c>
      <c r="G3" s="184" t="s">
        <v>74</v>
      </c>
      <c r="H3" s="184" t="s">
        <v>75</v>
      </c>
      <c r="I3" s="184" t="s">
        <v>76</v>
      </c>
      <c r="J3" s="184" t="s">
        <v>77</v>
      </c>
      <c r="K3" s="184" t="s">
        <v>78</v>
      </c>
      <c r="L3" s="184" t="s">
        <v>79</v>
      </c>
      <c r="M3" s="184" t="s">
        <v>80</v>
      </c>
    </row>
    <row r="4" spans="1:13" ht="14.4" customHeight="1" x14ac:dyDescent="0.3">
      <c r="A4" s="182" t="s">
        <v>68</v>
      </c>
      <c r="B4" s="185">
        <f>(B10+B8)/B6</f>
        <v>0.58769306080482286</v>
      </c>
      <c r="C4" s="185">
        <f t="shared" ref="C4:M4" si="0">(C10+C8)/C6</f>
        <v>0.62258025623064783</v>
      </c>
      <c r="D4" s="185">
        <f t="shared" si="0"/>
        <v>0.61636259921877179</v>
      </c>
      <c r="E4" s="185">
        <f t="shared" si="0"/>
        <v>0.65161849464012334</v>
      </c>
      <c r="F4" s="185">
        <f t="shared" si="0"/>
        <v>0.61279475469216227</v>
      </c>
      <c r="G4" s="185">
        <f t="shared" si="0"/>
        <v>0.61279475469216227</v>
      </c>
      <c r="H4" s="185">
        <f t="shared" si="0"/>
        <v>0.61279475469216227</v>
      </c>
      <c r="I4" s="185">
        <f t="shared" si="0"/>
        <v>0.61279475469216227</v>
      </c>
      <c r="J4" s="185">
        <f t="shared" si="0"/>
        <v>0.61279475469216227</v>
      </c>
      <c r="K4" s="185">
        <f t="shared" si="0"/>
        <v>0.61279475469216227</v>
      </c>
      <c r="L4" s="185">
        <f t="shared" si="0"/>
        <v>0.61279475469216227</v>
      </c>
      <c r="M4" s="185">
        <f t="shared" si="0"/>
        <v>0.61279475469216227</v>
      </c>
    </row>
    <row r="5" spans="1:13" ht="14.4" customHeight="1" x14ac:dyDescent="0.3">
      <c r="A5" s="186" t="s">
        <v>40</v>
      </c>
      <c r="B5" s="185">
        <f>IF(ISERROR(VLOOKUP($A5,'Man Tab'!$A:$Q,COLUMN()+2,0)),0,VLOOKUP($A5,'Man Tab'!$A:$Q,COLUMN()+2,0))</f>
        <v>3001.3290400000001</v>
      </c>
      <c r="C5" s="185">
        <f>IF(ISERROR(VLOOKUP($A5,'Man Tab'!$A:$Q,COLUMN()+2,0)),0,VLOOKUP($A5,'Man Tab'!$A:$Q,COLUMN()+2,0))</f>
        <v>2959.68073000001</v>
      </c>
      <c r="D5" s="185">
        <f>IF(ISERROR(VLOOKUP($A5,'Man Tab'!$A:$Q,COLUMN()+2,0)),0,VLOOKUP($A5,'Man Tab'!$A:$Q,COLUMN()+2,0))</f>
        <v>3390.9931700000002</v>
      </c>
      <c r="E5" s="185">
        <f>IF(ISERROR(VLOOKUP($A5,'Man Tab'!$A:$Q,COLUMN()+2,0)),0,VLOOKUP($A5,'Man Tab'!$A:$Q,COLUMN()+2,0))</f>
        <v>2905.2109599999999</v>
      </c>
      <c r="F5" s="185">
        <f>IF(ISERROR(VLOOKUP($A5,'Man Tab'!$A:$Q,COLUMN()+2,0)),0,VLOOKUP($A5,'Man Tab'!$A:$Q,COLUMN()+2,0))</f>
        <v>2986.1545500000002</v>
      </c>
      <c r="G5" s="185">
        <f>IF(ISERROR(VLOOKUP($A5,'Man Tab'!$A:$Q,COLUMN()+2,0)),0,VLOOKUP($A5,'Man Tab'!$A:$Q,COLUMN()+2,0))</f>
        <v>0</v>
      </c>
      <c r="H5" s="185">
        <f>IF(ISERROR(VLOOKUP($A5,'Man Tab'!$A:$Q,COLUMN()+2,0)),0,VLOOKUP($A5,'Man Tab'!$A:$Q,COLUMN()+2,0))</f>
        <v>0</v>
      </c>
      <c r="I5" s="185">
        <f>IF(ISERROR(VLOOKUP($A5,'Man Tab'!$A:$Q,COLUMN()+2,0)),0,VLOOKUP($A5,'Man Tab'!$A:$Q,COLUMN()+2,0))</f>
        <v>0</v>
      </c>
      <c r="J5" s="185">
        <f>IF(ISERROR(VLOOKUP($A5,'Man Tab'!$A:$Q,COLUMN()+2,0)),0,VLOOKUP($A5,'Man Tab'!$A:$Q,COLUMN()+2,0))</f>
        <v>0</v>
      </c>
      <c r="K5" s="185">
        <f>IF(ISERROR(VLOOKUP($A5,'Man Tab'!$A:$Q,COLUMN()+2,0)),0,VLOOKUP($A5,'Man Tab'!$A:$Q,COLUMN()+2,0))</f>
        <v>0</v>
      </c>
      <c r="L5" s="185">
        <f>IF(ISERROR(VLOOKUP($A5,'Man Tab'!$A:$Q,COLUMN()+2,0)),0,VLOOKUP($A5,'Man Tab'!$A:$Q,COLUMN()+2,0))</f>
        <v>0</v>
      </c>
      <c r="M5" s="185">
        <f>IF(ISERROR(VLOOKUP($A5,'Man Tab'!$A:$Q,COLUMN()+2,0)),0,VLOOKUP($A5,'Man Tab'!$A:$Q,COLUMN()+2,0))</f>
        <v>0</v>
      </c>
    </row>
    <row r="6" spans="1:13" ht="14.4" customHeight="1" x14ac:dyDescent="0.3">
      <c r="A6" s="186" t="s">
        <v>64</v>
      </c>
      <c r="B6" s="187">
        <f>B5</f>
        <v>3001.3290400000001</v>
      </c>
      <c r="C6" s="187">
        <f t="shared" ref="C6:M6" si="1">C5+B6</f>
        <v>5961.0097700000097</v>
      </c>
      <c r="D6" s="187">
        <f t="shared" si="1"/>
        <v>9352.0029400000094</v>
      </c>
      <c r="E6" s="187">
        <f t="shared" si="1"/>
        <v>12257.21390000001</v>
      </c>
      <c r="F6" s="187">
        <f t="shared" si="1"/>
        <v>15243.368450000009</v>
      </c>
      <c r="G6" s="187">
        <f t="shared" si="1"/>
        <v>15243.368450000009</v>
      </c>
      <c r="H6" s="187">
        <f t="shared" si="1"/>
        <v>15243.368450000009</v>
      </c>
      <c r="I6" s="187">
        <f t="shared" si="1"/>
        <v>15243.368450000009</v>
      </c>
      <c r="J6" s="187">
        <f t="shared" si="1"/>
        <v>15243.368450000009</v>
      </c>
      <c r="K6" s="187">
        <f t="shared" si="1"/>
        <v>15243.368450000009</v>
      </c>
      <c r="L6" s="187">
        <f t="shared" si="1"/>
        <v>15243.368450000009</v>
      </c>
      <c r="M6" s="187">
        <f t="shared" si="1"/>
        <v>15243.368450000009</v>
      </c>
    </row>
    <row r="7" spans="1:13" ht="14.4" customHeight="1" x14ac:dyDescent="0.3">
      <c r="A7" s="186" t="s">
        <v>88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ht="14.4" customHeight="1" x14ac:dyDescent="0.3">
      <c r="A8" s="186" t="s">
        <v>65</v>
      </c>
      <c r="B8" s="187">
        <f>B7*30</f>
        <v>0</v>
      </c>
      <c r="C8" s="187">
        <f t="shared" ref="C8:M8" si="2">C7*30</f>
        <v>0</v>
      </c>
      <c r="D8" s="187">
        <f t="shared" si="2"/>
        <v>0</v>
      </c>
      <c r="E8" s="187">
        <f t="shared" si="2"/>
        <v>0</v>
      </c>
      <c r="F8" s="187">
        <f t="shared" si="2"/>
        <v>0</v>
      </c>
      <c r="G8" s="187">
        <f t="shared" si="2"/>
        <v>0</v>
      </c>
      <c r="H8" s="187">
        <f t="shared" si="2"/>
        <v>0</v>
      </c>
      <c r="I8" s="187">
        <f t="shared" si="2"/>
        <v>0</v>
      </c>
      <c r="J8" s="187">
        <f t="shared" si="2"/>
        <v>0</v>
      </c>
      <c r="K8" s="187">
        <f t="shared" si="2"/>
        <v>0</v>
      </c>
      <c r="L8" s="187">
        <f t="shared" si="2"/>
        <v>0</v>
      </c>
      <c r="M8" s="187">
        <f t="shared" si="2"/>
        <v>0</v>
      </c>
    </row>
    <row r="9" spans="1:13" ht="14.4" customHeight="1" x14ac:dyDescent="0.3">
      <c r="A9" s="186" t="s">
        <v>89</v>
      </c>
      <c r="B9" s="186">
        <v>1763860.2500000007</v>
      </c>
      <c r="C9" s="186">
        <v>1947346.7400000005</v>
      </c>
      <c r="D9" s="186">
        <v>2053017.8499999994</v>
      </c>
      <c r="E9" s="186">
        <v>2222802.4300000006</v>
      </c>
      <c r="F9" s="186">
        <v>1354028.96</v>
      </c>
      <c r="G9" s="186">
        <v>0</v>
      </c>
      <c r="H9" s="186">
        <v>0</v>
      </c>
      <c r="I9" s="186">
        <v>0</v>
      </c>
      <c r="J9" s="186">
        <v>0</v>
      </c>
      <c r="K9" s="186">
        <v>0</v>
      </c>
      <c r="L9" s="186">
        <v>0</v>
      </c>
      <c r="M9" s="186">
        <v>0</v>
      </c>
    </row>
    <row r="10" spans="1:13" ht="14.4" customHeight="1" x14ac:dyDescent="0.3">
      <c r="A10" s="186" t="s">
        <v>66</v>
      </c>
      <c r="B10" s="187">
        <f>B9/1000</f>
        <v>1763.8602500000006</v>
      </c>
      <c r="C10" s="187">
        <f t="shared" ref="C10:M10" si="3">C9/1000+B10</f>
        <v>3711.206990000001</v>
      </c>
      <c r="D10" s="187">
        <f t="shared" si="3"/>
        <v>5764.2248400000008</v>
      </c>
      <c r="E10" s="187">
        <f t="shared" si="3"/>
        <v>7987.0272700000014</v>
      </c>
      <c r="F10" s="187">
        <f t="shared" si="3"/>
        <v>9341.056230000002</v>
      </c>
      <c r="G10" s="187">
        <f t="shared" si="3"/>
        <v>9341.056230000002</v>
      </c>
      <c r="H10" s="187">
        <f t="shared" si="3"/>
        <v>9341.056230000002</v>
      </c>
      <c r="I10" s="187">
        <f t="shared" si="3"/>
        <v>9341.056230000002</v>
      </c>
      <c r="J10" s="187">
        <f t="shared" si="3"/>
        <v>9341.056230000002</v>
      </c>
      <c r="K10" s="187">
        <f t="shared" si="3"/>
        <v>9341.056230000002</v>
      </c>
      <c r="L10" s="187">
        <f t="shared" si="3"/>
        <v>9341.056230000002</v>
      </c>
      <c r="M10" s="187">
        <f t="shared" si="3"/>
        <v>9341.056230000002</v>
      </c>
    </row>
    <row r="11" spans="1:13" ht="14.4" customHeight="1" x14ac:dyDescent="0.3">
      <c r="A11" s="182"/>
      <c r="B11" s="182" t="s">
        <v>81</v>
      </c>
      <c r="C11" s="182">
        <f ca="1">IF(MONTH(TODAY())=1,12,MONTH(TODAY())-1)</f>
        <v>5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</row>
    <row r="12" spans="1:13" ht="14.4" customHeight="1" x14ac:dyDescent="0.3">
      <c r="A12" s="182">
        <v>0</v>
      </c>
      <c r="B12" s="185">
        <f>IF(ISERROR(HI!F15),#REF!,HI!F15)</f>
        <v>0.54830659107562663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</row>
    <row r="13" spans="1:13" ht="14.4" customHeight="1" x14ac:dyDescent="0.3">
      <c r="A13" s="182">
        <v>1</v>
      </c>
      <c r="B13" s="185">
        <f>IF(ISERROR(HI!F15),#REF!,HI!F15)</f>
        <v>0.54830659107562663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5" bestFit="1" customWidth="1"/>
    <col min="2" max="2" width="12.77734375" style="115" bestFit="1" customWidth="1"/>
    <col min="3" max="3" width="13.6640625" style="115" bestFit="1" customWidth="1"/>
    <col min="4" max="15" width="7.77734375" style="115" bestFit="1" customWidth="1"/>
    <col min="16" max="16" width="8.88671875" style="115" customWidth="1"/>
    <col min="17" max="17" width="6.6640625" style="115" bestFit="1" customWidth="1"/>
    <col min="18" max="16384" width="8.88671875" style="115"/>
  </cols>
  <sheetData>
    <row r="1" spans="1:17" s="188" customFormat="1" ht="18.600000000000001" customHeight="1" thickBot="1" x14ac:dyDescent="0.4">
      <c r="A1" s="311" t="s">
        <v>257</v>
      </c>
      <c r="B1" s="311"/>
      <c r="C1" s="311"/>
      <c r="D1" s="311"/>
      <c r="E1" s="311"/>
      <c r="F1" s="311"/>
      <c r="G1" s="311"/>
      <c r="H1" s="302"/>
      <c r="I1" s="302"/>
      <c r="J1" s="302"/>
      <c r="K1" s="302"/>
      <c r="L1" s="302"/>
      <c r="M1" s="302"/>
      <c r="N1" s="302"/>
      <c r="O1" s="302"/>
      <c r="P1" s="302"/>
      <c r="Q1" s="302"/>
    </row>
    <row r="2" spans="1:17" s="188" customFormat="1" ht="14.4" customHeight="1" thickBot="1" x14ac:dyDescent="0.3">
      <c r="A2" s="212" t="s">
        <v>255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7" ht="14.4" customHeight="1" x14ac:dyDescent="0.3">
      <c r="A3" s="68"/>
      <c r="B3" s="312" t="s">
        <v>16</v>
      </c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123"/>
      <c r="Q3" s="125"/>
    </row>
    <row r="4" spans="1:17" ht="14.4" customHeight="1" x14ac:dyDescent="0.3">
      <c r="A4" s="69"/>
      <c r="B4" s="20">
        <v>2015</v>
      </c>
      <c r="C4" s="124" t="s">
        <v>17</v>
      </c>
      <c r="D4" s="114" t="s">
        <v>232</v>
      </c>
      <c r="E4" s="114" t="s">
        <v>233</v>
      </c>
      <c r="F4" s="114" t="s">
        <v>234</v>
      </c>
      <c r="G4" s="114" t="s">
        <v>235</v>
      </c>
      <c r="H4" s="114" t="s">
        <v>236</v>
      </c>
      <c r="I4" s="114" t="s">
        <v>237</v>
      </c>
      <c r="J4" s="114" t="s">
        <v>238</v>
      </c>
      <c r="K4" s="114" t="s">
        <v>239</v>
      </c>
      <c r="L4" s="114" t="s">
        <v>240</v>
      </c>
      <c r="M4" s="114" t="s">
        <v>241</v>
      </c>
      <c r="N4" s="114" t="s">
        <v>242</v>
      </c>
      <c r="O4" s="114" t="s">
        <v>243</v>
      </c>
      <c r="P4" s="314" t="s">
        <v>3</v>
      </c>
      <c r="Q4" s="315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256</v>
      </c>
    </row>
    <row r="7" spans="1:17" ht="14.4" customHeight="1" x14ac:dyDescent="0.3">
      <c r="A7" s="15" t="s">
        <v>22</v>
      </c>
      <c r="B7" s="51">
        <v>305.37575845912698</v>
      </c>
      <c r="C7" s="52">
        <v>25.447979871592999</v>
      </c>
      <c r="D7" s="52">
        <v>28.224019999999999</v>
      </c>
      <c r="E7" s="52">
        <v>25.475149999999999</v>
      </c>
      <c r="F7" s="52">
        <v>39.456000000000003</v>
      </c>
      <c r="G7" s="52">
        <v>13.895519999999999</v>
      </c>
      <c r="H7" s="52">
        <v>44.656860000000002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151.70755</v>
      </c>
      <c r="Q7" s="81">
        <v>1.192295425927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256</v>
      </c>
    </row>
    <row r="9" spans="1:17" ht="14.4" customHeight="1" x14ac:dyDescent="0.3">
      <c r="A9" s="15" t="s">
        <v>24</v>
      </c>
      <c r="B9" s="51">
        <v>3887.7751075444999</v>
      </c>
      <c r="C9" s="52">
        <v>323.98125896204198</v>
      </c>
      <c r="D9" s="52">
        <v>266.19839999999999</v>
      </c>
      <c r="E9" s="52">
        <v>225.83394000000101</v>
      </c>
      <c r="F9" s="52">
        <v>430.37824000000001</v>
      </c>
      <c r="G9" s="52">
        <v>300.71794</v>
      </c>
      <c r="H9" s="52">
        <v>303.12191000000001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1526.2504300000001</v>
      </c>
      <c r="Q9" s="81">
        <v>0.94218439356000006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256</v>
      </c>
    </row>
    <row r="11" spans="1:17" ht="14.4" customHeight="1" x14ac:dyDescent="0.3">
      <c r="A11" s="15" t="s">
        <v>26</v>
      </c>
      <c r="B11" s="51">
        <v>505.02884351081298</v>
      </c>
      <c r="C11" s="52">
        <v>42.085736959233998</v>
      </c>
      <c r="D11" s="52">
        <v>47.029960000000003</v>
      </c>
      <c r="E11" s="52">
        <v>64.373909999999995</v>
      </c>
      <c r="F11" s="52">
        <v>29.69313</v>
      </c>
      <c r="G11" s="52">
        <v>43.394889999999997</v>
      </c>
      <c r="H11" s="52">
        <v>39.217700000000001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223.70958999999999</v>
      </c>
      <c r="Q11" s="81">
        <v>1.0631135684590001</v>
      </c>
    </row>
    <row r="12" spans="1:17" ht="14.4" customHeight="1" x14ac:dyDescent="0.3">
      <c r="A12" s="15" t="s">
        <v>27</v>
      </c>
      <c r="B12" s="51">
        <v>41.383601235020997</v>
      </c>
      <c r="C12" s="52">
        <v>3.4486334362509998</v>
      </c>
      <c r="D12" s="52">
        <v>2.8283999999999998</v>
      </c>
      <c r="E12" s="52">
        <v>7.5080499999999999</v>
      </c>
      <c r="F12" s="52">
        <v>3.1823000000000001</v>
      </c>
      <c r="G12" s="52">
        <v>2.5409999999999999</v>
      </c>
      <c r="H12" s="52">
        <v>1.694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17.75375</v>
      </c>
      <c r="Q12" s="81">
        <v>1.0296107329569999</v>
      </c>
    </row>
    <row r="13" spans="1:17" ht="14.4" customHeight="1" x14ac:dyDescent="0.3">
      <c r="A13" s="15" t="s">
        <v>28</v>
      </c>
      <c r="B13" s="51">
        <v>121.999996157295</v>
      </c>
      <c r="C13" s="52">
        <v>10.166666346441</v>
      </c>
      <c r="D13" s="52">
        <v>8.4880999999999993</v>
      </c>
      <c r="E13" s="52">
        <v>8.4623399999999993</v>
      </c>
      <c r="F13" s="52">
        <v>6.3129299999999997</v>
      </c>
      <c r="G13" s="52">
        <v>8.5094899999999996</v>
      </c>
      <c r="H13" s="52">
        <v>6.1792800000000003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37.95214</v>
      </c>
      <c r="Q13" s="81">
        <v>0.74659949892499999</v>
      </c>
    </row>
    <row r="14" spans="1:17" ht="14.4" customHeight="1" x14ac:dyDescent="0.3">
      <c r="A14" s="15" t="s">
        <v>29</v>
      </c>
      <c r="B14" s="51">
        <v>1437.00516722561</v>
      </c>
      <c r="C14" s="52">
        <v>119.750430602134</v>
      </c>
      <c r="D14" s="52">
        <v>169.251</v>
      </c>
      <c r="E14" s="52">
        <v>192.857</v>
      </c>
      <c r="F14" s="52">
        <v>166.85900000000001</v>
      </c>
      <c r="G14" s="52">
        <v>141.11099999999999</v>
      </c>
      <c r="H14" s="52">
        <v>97.324830000000006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767.40282999999999</v>
      </c>
      <c r="Q14" s="81">
        <v>1.2816702639669999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256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256</v>
      </c>
    </row>
    <row r="17" spans="1:17" ht="14.4" customHeight="1" x14ac:dyDescent="0.3">
      <c r="A17" s="15" t="s">
        <v>32</v>
      </c>
      <c r="B17" s="51">
        <v>3620.0084035507898</v>
      </c>
      <c r="C17" s="52">
        <v>301.66736696256601</v>
      </c>
      <c r="D17" s="52">
        <v>20.84601</v>
      </c>
      <c r="E17" s="52">
        <v>39.393470000000001</v>
      </c>
      <c r="F17" s="52">
        <v>159.72253000000001</v>
      </c>
      <c r="G17" s="52">
        <v>23.46143</v>
      </c>
      <c r="H17" s="52">
        <v>16.47165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259.89508999999998</v>
      </c>
      <c r="Q17" s="81">
        <v>0.172305737022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0</v>
      </c>
      <c r="F18" s="52">
        <v>0.66100000000000003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0.66100000000000003</v>
      </c>
      <c r="Q18" s="81" t="s">
        <v>256</v>
      </c>
    </row>
    <row r="19" spans="1:17" ht="14.4" customHeight="1" x14ac:dyDescent="0.3">
      <c r="A19" s="15" t="s">
        <v>34</v>
      </c>
      <c r="B19" s="51">
        <v>2689.7931447584901</v>
      </c>
      <c r="C19" s="52">
        <v>224.14942872987399</v>
      </c>
      <c r="D19" s="52">
        <v>137.61770000000001</v>
      </c>
      <c r="E19" s="52">
        <v>114.69521</v>
      </c>
      <c r="F19" s="52">
        <v>310.25722000000002</v>
      </c>
      <c r="G19" s="52">
        <v>170.56649999999999</v>
      </c>
      <c r="H19" s="52">
        <v>253.77673999999999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986.91336999999999</v>
      </c>
      <c r="Q19" s="81">
        <v>0.88058521995100003</v>
      </c>
    </row>
    <row r="20" spans="1:17" ht="14.4" customHeight="1" x14ac:dyDescent="0.3">
      <c r="A20" s="15" t="s">
        <v>35</v>
      </c>
      <c r="B20" s="51">
        <v>28614.999104996401</v>
      </c>
      <c r="C20" s="52">
        <v>2384.5832587496998</v>
      </c>
      <c r="D20" s="52">
        <v>2246.0469699999999</v>
      </c>
      <c r="E20" s="52">
        <v>2206.94110000001</v>
      </c>
      <c r="F20" s="52">
        <v>2157.59926</v>
      </c>
      <c r="G20" s="52">
        <v>2124.7285700000002</v>
      </c>
      <c r="H20" s="52">
        <v>2116.81513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10852.13103</v>
      </c>
      <c r="Q20" s="81">
        <v>0.91019099376599999</v>
      </c>
    </row>
    <row r="21" spans="1:17" ht="14.4" customHeight="1" x14ac:dyDescent="0.3">
      <c r="A21" s="16" t="s">
        <v>36</v>
      </c>
      <c r="B21" s="51">
        <v>809.99997448694501</v>
      </c>
      <c r="C21" s="52">
        <v>67.499997873911994</v>
      </c>
      <c r="D21" s="52">
        <v>74.69</v>
      </c>
      <c r="E21" s="52">
        <v>70.950999999999993</v>
      </c>
      <c r="F21" s="52">
        <v>86.522000000000006</v>
      </c>
      <c r="G21" s="52">
        <v>70.287000000000006</v>
      </c>
      <c r="H21" s="52">
        <v>72.826999999999998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375.27699999999999</v>
      </c>
      <c r="Q21" s="81">
        <v>1.1119318868750001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0</v>
      </c>
      <c r="E22" s="52">
        <v>3.19</v>
      </c>
      <c r="F22" s="52">
        <v>0</v>
      </c>
      <c r="G22" s="52">
        <v>0</v>
      </c>
      <c r="H22" s="52">
        <v>33.9405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37.130499999999998</v>
      </c>
      <c r="Q22" s="81" t="s">
        <v>256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/>
    </row>
    <row r="24" spans="1:17" ht="14.4" customHeight="1" x14ac:dyDescent="0.3">
      <c r="A24" s="16" t="s">
        <v>39</v>
      </c>
      <c r="B24" s="51">
        <v>0.102009169451</v>
      </c>
      <c r="C24" s="52">
        <v>8.5007641200000005E-3</v>
      </c>
      <c r="D24" s="52">
        <v>0.108479999999</v>
      </c>
      <c r="E24" s="52">
        <v>-4.3999999900000002E-4</v>
      </c>
      <c r="F24" s="52">
        <v>0.349559999999</v>
      </c>
      <c r="G24" s="52">
        <v>5.9976199999990003</v>
      </c>
      <c r="H24" s="52">
        <v>0.128949999998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6.5841699999980001</v>
      </c>
      <c r="Q24" s="81"/>
    </row>
    <row r="25" spans="1:17" ht="14.4" customHeight="1" x14ac:dyDescent="0.3">
      <c r="A25" s="17" t="s">
        <v>40</v>
      </c>
      <c r="B25" s="54">
        <v>42033.471111094397</v>
      </c>
      <c r="C25" s="55">
        <v>3502.7892592578701</v>
      </c>
      <c r="D25" s="55">
        <v>3001.3290400000001</v>
      </c>
      <c r="E25" s="55">
        <v>2959.68073000001</v>
      </c>
      <c r="F25" s="55">
        <v>3390.9931700000002</v>
      </c>
      <c r="G25" s="55">
        <v>2905.2109599999999</v>
      </c>
      <c r="H25" s="55">
        <v>2986.1545500000002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15243.36845</v>
      </c>
      <c r="Q25" s="82">
        <v>0.87035601183800004</v>
      </c>
    </row>
    <row r="26" spans="1:17" ht="14.4" customHeight="1" x14ac:dyDescent="0.3">
      <c r="A26" s="15" t="s">
        <v>41</v>
      </c>
      <c r="B26" s="51">
        <v>0</v>
      </c>
      <c r="C26" s="52">
        <v>0</v>
      </c>
      <c r="D26" s="52">
        <v>252.90146000000101</v>
      </c>
      <c r="E26" s="52">
        <v>297.85706000000101</v>
      </c>
      <c r="F26" s="52">
        <v>305.51240000000098</v>
      </c>
      <c r="G26" s="52">
        <v>273.50362000000098</v>
      </c>
      <c r="H26" s="52">
        <v>246.054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1375.82854</v>
      </c>
      <c r="Q26" s="81" t="s">
        <v>256</v>
      </c>
    </row>
    <row r="27" spans="1:17" ht="14.4" customHeight="1" x14ac:dyDescent="0.3">
      <c r="A27" s="18" t="s">
        <v>42</v>
      </c>
      <c r="B27" s="54">
        <v>42033.471111094397</v>
      </c>
      <c r="C27" s="55">
        <v>3502.7892592578701</v>
      </c>
      <c r="D27" s="55">
        <v>3254.2305000000001</v>
      </c>
      <c r="E27" s="55">
        <v>3257.5377900000099</v>
      </c>
      <c r="F27" s="55">
        <v>3696.5055699999998</v>
      </c>
      <c r="G27" s="55">
        <v>3178.7145799999998</v>
      </c>
      <c r="H27" s="55">
        <v>3232.2085499999998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16619.19699</v>
      </c>
      <c r="Q27" s="82">
        <v>0.94891218168900004</v>
      </c>
    </row>
    <row r="28" spans="1:17" ht="14.4" customHeight="1" x14ac:dyDescent="0.3">
      <c r="A28" s="16" t="s">
        <v>43</v>
      </c>
      <c r="B28" s="51">
        <v>10544.551229000799</v>
      </c>
      <c r="C28" s="52">
        <v>878.71260241673497</v>
      </c>
      <c r="D28" s="52">
        <v>573.98527999999999</v>
      </c>
      <c r="E28" s="52">
        <v>708.24627999999996</v>
      </c>
      <c r="F28" s="52">
        <v>1310.97012</v>
      </c>
      <c r="G28" s="52">
        <v>1328.35148</v>
      </c>
      <c r="H28" s="52">
        <v>912.62627999999995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4834.1794399999999</v>
      </c>
      <c r="Q28" s="81">
        <v>1.100286812025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256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256</v>
      </c>
    </row>
    <row r="32" spans="1:17" ht="14.4" customHeight="1" x14ac:dyDescent="0.3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" customHeight="1" x14ac:dyDescent="0.3">
      <c r="A33" s="98" t="s">
        <v>134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" customHeight="1" x14ac:dyDescent="0.3">
      <c r="A34" s="121" t="s">
        <v>252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" customHeight="1" x14ac:dyDescent="0.3">
      <c r="A35" s="122" t="s">
        <v>47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5" customWidth="1"/>
    <col min="2" max="11" width="10" style="115" customWidth="1"/>
    <col min="12" max="16384" width="8.88671875" style="115"/>
  </cols>
  <sheetData>
    <row r="1" spans="1:11" s="60" customFormat="1" ht="18.600000000000001" customHeight="1" thickBot="1" x14ac:dyDescent="0.4">
      <c r="A1" s="311" t="s">
        <v>48</v>
      </c>
      <c r="B1" s="311"/>
      <c r="C1" s="311"/>
      <c r="D1" s="311"/>
      <c r="E1" s="311"/>
      <c r="F1" s="311"/>
      <c r="G1" s="311"/>
      <c r="H1" s="316"/>
      <c r="I1" s="316"/>
      <c r="J1" s="316"/>
      <c r="K1" s="316"/>
    </row>
    <row r="2" spans="1:11" s="60" customFormat="1" ht="14.4" customHeight="1" thickBot="1" x14ac:dyDescent="0.35">
      <c r="A2" s="212" t="s">
        <v>255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12" t="s">
        <v>49</v>
      </c>
      <c r="C3" s="313"/>
      <c r="D3" s="313"/>
      <c r="E3" s="313"/>
      <c r="F3" s="319" t="s">
        <v>50</v>
      </c>
      <c r="G3" s="313"/>
      <c r="H3" s="313"/>
      <c r="I3" s="313"/>
      <c r="J3" s="313"/>
      <c r="K3" s="320"/>
    </row>
    <row r="4" spans="1:11" ht="14.4" customHeight="1" x14ac:dyDescent="0.3">
      <c r="A4" s="69"/>
      <c r="B4" s="317"/>
      <c r="C4" s="318"/>
      <c r="D4" s="318"/>
      <c r="E4" s="318"/>
      <c r="F4" s="321" t="s">
        <v>248</v>
      </c>
      <c r="G4" s="323" t="s">
        <v>51</v>
      </c>
      <c r="H4" s="126" t="s">
        <v>121</v>
      </c>
      <c r="I4" s="321" t="s">
        <v>52</v>
      </c>
      <c r="J4" s="323" t="s">
        <v>250</v>
      </c>
      <c r="K4" s="324" t="s">
        <v>251</v>
      </c>
    </row>
    <row r="5" spans="1:11" ht="42" thickBot="1" x14ac:dyDescent="0.35">
      <c r="A5" s="70"/>
      <c r="B5" s="24" t="s">
        <v>244</v>
      </c>
      <c r="C5" s="25" t="s">
        <v>245</v>
      </c>
      <c r="D5" s="26" t="s">
        <v>246</v>
      </c>
      <c r="E5" s="26" t="s">
        <v>247</v>
      </c>
      <c r="F5" s="322"/>
      <c r="G5" s="322"/>
      <c r="H5" s="25" t="s">
        <v>249</v>
      </c>
      <c r="I5" s="322"/>
      <c r="J5" s="322"/>
      <c r="K5" s="325"/>
    </row>
    <row r="6" spans="1:11" ht="14.4" customHeight="1" thickBot="1" x14ac:dyDescent="0.35">
      <c r="A6" s="393" t="s">
        <v>258</v>
      </c>
      <c r="B6" s="375">
        <v>39241.978518844197</v>
      </c>
      <c r="C6" s="375">
        <v>38262.041570000001</v>
      </c>
      <c r="D6" s="376">
        <v>-979.93694884414401</v>
      </c>
      <c r="E6" s="377">
        <v>0.97502835010199995</v>
      </c>
      <c r="F6" s="375">
        <v>42033.471111094397</v>
      </c>
      <c r="G6" s="376">
        <v>17513.946296289301</v>
      </c>
      <c r="H6" s="378">
        <v>2986.1545500000002</v>
      </c>
      <c r="I6" s="375">
        <v>15243.36845</v>
      </c>
      <c r="J6" s="376">
        <v>-2270.57784628934</v>
      </c>
      <c r="K6" s="379">
        <v>0.36264833826600001</v>
      </c>
    </row>
    <row r="7" spans="1:11" ht="14.4" customHeight="1" thickBot="1" x14ac:dyDescent="0.35">
      <c r="A7" s="394" t="s">
        <v>259</v>
      </c>
      <c r="B7" s="375">
        <v>7008.8365489464804</v>
      </c>
      <c r="C7" s="375">
        <v>6369.9066599999996</v>
      </c>
      <c r="D7" s="376">
        <v>-638.92988894647897</v>
      </c>
      <c r="E7" s="377">
        <v>0.90883937947600002</v>
      </c>
      <c r="F7" s="375">
        <v>6298.5684741323703</v>
      </c>
      <c r="G7" s="376">
        <v>2624.40353088849</v>
      </c>
      <c r="H7" s="378">
        <v>492.19177999999999</v>
      </c>
      <c r="I7" s="375">
        <v>2724.7669099999998</v>
      </c>
      <c r="J7" s="376">
        <v>100.363379111512</v>
      </c>
      <c r="K7" s="379">
        <v>0.43260098245900003</v>
      </c>
    </row>
    <row r="8" spans="1:11" ht="14.4" customHeight="1" thickBot="1" x14ac:dyDescent="0.35">
      <c r="A8" s="395" t="s">
        <v>260</v>
      </c>
      <c r="B8" s="375">
        <v>5008.3498227577402</v>
      </c>
      <c r="C8" s="375">
        <v>4889.4956599999996</v>
      </c>
      <c r="D8" s="376">
        <v>-118.85416275774</v>
      </c>
      <c r="E8" s="377">
        <v>0.97626879771499997</v>
      </c>
      <c r="F8" s="375">
        <v>4861.5633069067599</v>
      </c>
      <c r="G8" s="376">
        <v>2025.6513778778201</v>
      </c>
      <c r="H8" s="378">
        <v>394.86694999999997</v>
      </c>
      <c r="I8" s="375">
        <v>1957.3640800000001</v>
      </c>
      <c r="J8" s="376">
        <v>-68.287297877816002</v>
      </c>
      <c r="K8" s="379">
        <v>0.40262030059699999</v>
      </c>
    </row>
    <row r="9" spans="1:11" ht="14.4" customHeight="1" thickBot="1" x14ac:dyDescent="0.35">
      <c r="A9" s="396" t="s">
        <v>261</v>
      </c>
      <c r="B9" s="380">
        <v>0</v>
      </c>
      <c r="C9" s="380">
        <v>-3.2899999999999999E-2</v>
      </c>
      <c r="D9" s="381">
        <v>-3.2899999999999999E-2</v>
      </c>
      <c r="E9" s="382" t="s">
        <v>256</v>
      </c>
      <c r="F9" s="380">
        <v>0</v>
      </c>
      <c r="G9" s="381">
        <v>0</v>
      </c>
      <c r="H9" s="383">
        <v>-2.8E-3</v>
      </c>
      <c r="I9" s="380">
        <v>-9.3799999999999994E-3</v>
      </c>
      <c r="J9" s="381">
        <v>-9.3799999999999994E-3</v>
      </c>
      <c r="K9" s="384" t="s">
        <v>256</v>
      </c>
    </row>
    <row r="10" spans="1:11" ht="14.4" customHeight="1" thickBot="1" x14ac:dyDescent="0.35">
      <c r="A10" s="397" t="s">
        <v>262</v>
      </c>
      <c r="B10" s="375">
        <v>0</v>
      </c>
      <c r="C10" s="375">
        <v>-3.2899999999999999E-2</v>
      </c>
      <c r="D10" s="376">
        <v>-3.2899999999999999E-2</v>
      </c>
      <c r="E10" s="385" t="s">
        <v>256</v>
      </c>
      <c r="F10" s="375">
        <v>0</v>
      </c>
      <c r="G10" s="376">
        <v>0</v>
      </c>
      <c r="H10" s="378">
        <v>-2.8E-3</v>
      </c>
      <c r="I10" s="375">
        <v>-9.3799999999999994E-3</v>
      </c>
      <c r="J10" s="376">
        <v>-9.3799999999999994E-3</v>
      </c>
      <c r="K10" s="386" t="s">
        <v>256</v>
      </c>
    </row>
    <row r="11" spans="1:11" ht="14.4" customHeight="1" thickBot="1" x14ac:dyDescent="0.35">
      <c r="A11" s="396" t="s">
        <v>263</v>
      </c>
      <c r="B11" s="380">
        <v>275.76606941463501</v>
      </c>
      <c r="C11" s="380">
        <v>294.83587999999997</v>
      </c>
      <c r="D11" s="381">
        <v>19.069810585365001</v>
      </c>
      <c r="E11" s="387">
        <v>1.069152128199</v>
      </c>
      <c r="F11" s="380">
        <v>305.37575845912698</v>
      </c>
      <c r="G11" s="381">
        <v>127.23989935797</v>
      </c>
      <c r="H11" s="383">
        <v>44.656860000000002</v>
      </c>
      <c r="I11" s="380">
        <v>151.70755</v>
      </c>
      <c r="J11" s="381">
        <v>24.467650642030002</v>
      </c>
      <c r="K11" s="388">
        <v>0.49678976080300002</v>
      </c>
    </row>
    <row r="12" spans="1:11" ht="14.4" customHeight="1" thickBot="1" x14ac:dyDescent="0.35">
      <c r="A12" s="397" t="s">
        <v>264</v>
      </c>
      <c r="B12" s="375">
        <v>254.21004598163501</v>
      </c>
      <c r="C12" s="375">
        <v>249.32192000000001</v>
      </c>
      <c r="D12" s="376">
        <v>-4.8881259816349996</v>
      </c>
      <c r="E12" s="377">
        <v>0.98077131073699997</v>
      </c>
      <c r="F12" s="375">
        <v>255.99999193662001</v>
      </c>
      <c r="G12" s="376">
        <v>106.666663306925</v>
      </c>
      <c r="H12" s="378">
        <v>36.719700000000003</v>
      </c>
      <c r="I12" s="375">
        <v>119.64163000000001</v>
      </c>
      <c r="J12" s="376">
        <v>12.974966693074</v>
      </c>
      <c r="K12" s="379">
        <v>0.46735013190699998</v>
      </c>
    </row>
    <row r="13" spans="1:11" ht="14.4" customHeight="1" thickBot="1" x14ac:dyDescent="0.35">
      <c r="A13" s="397" t="s">
        <v>265</v>
      </c>
      <c r="B13" s="375">
        <v>3.9215472014869999</v>
      </c>
      <c r="C13" s="375">
        <v>1.69896</v>
      </c>
      <c r="D13" s="376">
        <v>-2.2225872014869998</v>
      </c>
      <c r="E13" s="377">
        <v>0.43323716704300003</v>
      </c>
      <c r="F13" s="375">
        <v>1.2833468323720001</v>
      </c>
      <c r="G13" s="376">
        <v>0.53472784682100005</v>
      </c>
      <c r="H13" s="378">
        <v>0.34716000000000002</v>
      </c>
      <c r="I13" s="375">
        <v>0.98777000000000004</v>
      </c>
      <c r="J13" s="376">
        <v>0.45304215317800001</v>
      </c>
      <c r="K13" s="379">
        <v>0.76968281300300001</v>
      </c>
    </row>
    <row r="14" spans="1:11" ht="14.4" customHeight="1" thickBot="1" x14ac:dyDescent="0.35">
      <c r="A14" s="397" t="s">
        <v>266</v>
      </c>
      <c r="B14" s="375">
        <v>0</v>
      </c>
      <c r="C14" s="375">
        <v>0</v>
      </c>
      <c r="D14" s="376">
        <v>0</v>
      </c>
      <c r="E14" s="377">
        <v>1</v>
      </c>
      <c r="F14" s="375">
        <v>0</v>
      </c>
      <c r="G14" s="376">
        <v>0</v>
      </c>
      <c r="H14" s="378">
        <v>0</v>
      </c>
      <c r="I14" s="375">
        <v>0.10105</v>
      </c>
      <c r="J14" s="376">
        <v>0.10105</v>
      </c>
      <c r="K14" s="386" t="s">
        <v>267</v>
      </c>
    </row>
    <row r="15" spans="1:11" ht="14.4" customHeight="1" thickBot="1" x14ac:dyDescent="0.35">
      <c r="A15" s="397" t="s">
        <v>268</v>
      </c>
      <c r="B15" s="375">
        <v>17.634476231511002</v>
      </c>
      <c r="C15" s="375">
        <v>43.814999999999998</v>
      </c>
      <c r="D15" s="376">
        <v>26.180523768488001</v>
      </c>
      <c r="E15" s="377">
        <v>2.4846215688390001</v>
      </c>
      <c r="F15" s="375">
        <v>48.092419690134001</v>
      </c>
      <c r="G15" s="376">
        <v>20.038508204222001</v>
      </c>
      <c r="H15" s="378">
        <v>7.59</v>
      </c>
      <c r="I15" s="375">
        <v>30.9771</v>
      </c>
      <c r="J15" s="376">
        <v>10.938591795777</v>
      </c>
      <c r="K15" s="379">
        <v>0.64411606235600005</v>
      </c>
    </row>
    <row r="16" spans="1:11" ht="14.4" customHeight="1" thickBot="1" x14ac:dyDescent="0.35">
      <c r="A16" s="396" t="s">
        <v>269</v>
      </c>
      <c r="B16" s="380">
        <v>3908.1860427184201</v>
      </c>
      <c r="C16" s="380">
        <v>3858.9077299999999</v>
      </c>
      <c r="D16" s="381">
        <v>-49.278312718414</v>
      </c>
      <c r="E16" s="387">
        <v>0.98739100130299995</v>
      </c>
      <c r="F16" s="380">
        <v>3887.7751075444999</v>
      </c>
      <c r="G16" s="381">
        <v>1619.9062948102101</v>
      </c>
      <c r="H16" s="383">
        <v>303.12191000000001</v>
      </c>
      <c r="I16" s="380">
        <v>1526.2504300000001</v>
      </c>
      <c r="J16" s="381">
        <v>-93.655864810208996</v>
      </c>
      <c r="K16" s="388">
        <v>0.39257683064999999</v>
      </c>
    </row>
    <row r="17" spans="1:11" ht="14.4" customHeight="1" thickBot="1" x14ac:dyDescent="0.35">
      <c r="A17" s="397" t="s">
        <v>270</v>
      </c>
      <c r="B17" s="375">
        <v>2.9999989231200002</v>
      </c>
      <c r="C17" s="375">
        <v>0</v>
      </c>
      <c r="D17" s="376">
        <v>-2.9999989231200002</v>
      </c>
      <c r="E17" s="377">
        <v>0</v>
      </c>
      <c r="F17" s="375">
        <v>0</v>
      </c>
      <c r="G17" s="376">
        <v>0</v>
      </c>
      <c r="H17" s="378">
        <v>0</v>
      </c>
      <c r="I17" s="375">
        <v>0</v>
      </c>
      <c r="J17" s="376">
        <v>0</v>
      </c>
      <c r="K17" s="379">
        <v>0</v>
      </c>
    </row>
    <row r="18" spans="1:11" ht="14.4" customHeight="1" thickBot="1" x14ac:dyDescent="0.35">
      <c r="A18" s="397" t="s">
        <v>271</v>
      </c>
      <c r="B18" s="375">
        <v>0.22645976014399999</v>
      </c>
      <c r="C18" s="375">
        <v>0</v>
      </c>
      <c r="D18" s="376">
        <v>-0.22645976014399999</v>
      </c>
      <c r="E18" s="377">
        <v>0</v>
      </c>
      <c r="F18" s="375">
        <v>0</v>
      </c>
      <c r="G18" s="376">
        <v>0</v>
      </c>
      <c r="H18" s="378">
        <v>0</v>
      </c>
      <c r="I18" s="375">
        <v>0</v>
      </c>
      <c r="J18" s="376">
        <v>0</v>
      </c>
      <c r="K18" s="379">
        <v>0</v>
      </c>
    </row>
    <row r="19" spans="1:11" ht="14.4" customHeight="1" thickBot="1" x14ac:dyDescent="0.35">
      <c r="A19" s="397" t="s">
        <v>272</v>
      </c>
      <c r="B19" s="375">
        <v>1.3877245097040001</v>
      </c>
      <c r="C19" s="375">
        <v>0.77522999999999997</v>
      </c>
      <c r="D19" s="376">
        <v>-0.61249450970399999</v>
      </c>
      <c r="E19" s="377">
        <v>0.55863393244000004</v>
      </c>
      <c r="F19" s="375">
        <v>0.77522997558200002</v>
      </c>
      <c r="G19" s="376">
        <v>0.32301248982500003</v>
      </c>
      <c r="H19" s="378">
        <v>0</v>
      </c>
      <c r="I19" s="375">
        <v>0</v>
      </c>
      <c r="J19" s="376">
        <v>-0.32301248982500003</v>
      </c>
      <c r="K19" s="379">
        <v>0</v>
      </c>
    </row>
    <row r="20" spans="1:11" ht="14.4" customHeight="1" thickBot="1" x14ac:dyDescent="0.35">
      <c r="A20" s="397" t="s">
        <v>273</v>
      </c>
      <c r="B20" s="375">
        <v>54.200525703906003</v>
      </c>
      <c r="C20" s="375">
        <v>58.391559999999998</v>
      </c>
      <c r="D20" s="376">
        <v>4.191034296093</v>
      </c>
      <c r="E20" s="377">
        <v>1.077324606019</v>
      </c>
      <c r="F20" s="375">
        <v>60.999998078647003</v>
      </c>
      <c r="G20" s="376">
        <v>25.416665866102999</v>
      </c>
      <c r="H20" s="378">
        <v>7.0526</v>
      </c>
      <c r="I20" s="375">
        <v>30.67624</v>
      </c>
      <c r="J20" s="376">
        <v>5.2595741338959998</v>
      </c>
      <c r="K20" s="379">
        <v>0.50288919616700001</v>
      </c>
    </row>
    <row r="21" spans="1:11" ht="14.4" customHeight="1" thickBot="1" x14ac:dyDescent="0.35">
      <c r="A21" s="397" t="s">
        <v>274</v>
      </c>
      <c r="B21" s="375">
        <v>74.822096011097997</v>
      </c>
      <c r="C21" s="375">
        <v>83.550460000000001</v>
      </c>
      <c r="D21" s="376">
        <v>8.7283639889020002</v>
      </c>
      <c r="E21" s="377">
        <v>1.1166548981410001</v>
      </c>
      <c r="F21" s="375">
        <v>87.999997228213005</v>
      </c>
      <c r="G21" s="376">
        <v>36.666665511754999</v>
      </c>
      <c r="H21" s="378">
        <v>11.79759</v>
      </c>
      <c r="I21" s="375">
        <v>27.831029999999998</v>
      </c>
      <c r="J21" s="376">
        <v>-8.8356355117549992</v>
      </c>
      <c r="K21" s="379">
        <v>0.31626171450599999</v>
      </c>
    </row>
    <row r="22" spans="1:11" ht="14.4" customHeight="1" thickBot="1" x14ac:dyDescent="0.35">
      <c r="A22" s="397" t="s">
        <v>275</v>
      </c>
      <c r="B22" s="375">
        <v>71.585487819205994</v>
      </c>
      <c r="C22" s="375">
        <v>73.231430000000003</v>
      </c>
      <c r="D22" s="376">
        <v>1.6459421807929999</v>
      </c>
      <c r="E22" s="377">
        <v>1.0229926795349999</v>
      </c>
      <c r="F22" s="375">
        <v>74.999997637681005</v>
      </c>
      <c r="G22" s="376">
        <v>31.249999015699998</v>
      </c>
      <c r="H22" s="378">
        <v>6.8147599999999997</v>
      </c>
      <c r="I22" s="375">
        <v>32.707009999999997</v>
      </c>
      <c r="J22" s="376">
        <v>1.457010984299</v>
      </c>
      <c r="K22" s="379">
        <v>0.43609348040200002</v>
      </c>
    </row>
    <row r="23" spans="1:11" ht="14.4" customHeight="1" thickBot="1" x14ac:dyDescent="0.35">
      <c r="A23" s="397" t="s">
        <v>276</v>
      </c>
      <c r="B23" s="375">
        <v>5.9938415171989998</v>
      </c>
      <c r="C23" s="375">
        <v>5.9203900000000003</v>
      </c>
      <c r="D23" s="376">
        <v>-7.3451517199000005E-2</v>
      </c>
      <c r="E23" s="377">
        <v>0.987745502281</v>
      </c>
      <c r="F23" s="375">
        <v>5.9999998110139998</v>
      </c>
      <c r="G23" s="376">
        <v>2.4999999212559998</v>
      </c>
      <c r="H23" s="378">
        <v>0.81</v>
      </c>
      <c r="I23" s="375">
        <v>2.7123499999999998</v>
      </c>
      <c r="J23" s="376">
        <v>0.21235007874299999</v>
      </c>
      <c r="K23" s="379">
        <v>0.45205834757199997</v>
      </c>
    </row>
    <row r="24" spans="1:11" ht="14.4" customHeight="1" thickBot="1" x14ac:dyDescent="0.35">
      <c r="A24" s="397" t="s">
        <v>277</v>
      </c>
      <c r="B24" s="375">
        <v>165.03610098861901</v>
      </c>
      <c r="C24" s="375">
        <v>181.35649000000001</v>
      </c>
      <c r="D24" s="376">
        <v>16.320389011381</v>
      </c>
      <c r="E24" s="377">
        <v>1.098889812069</v>
      </c>
      <c r="F24" s="375">
        <v>178.999994361934</v>
      </c>
      <c r="G24" s="376">
        <v>74.583330984138996</v>
      </c>
      <c r="H24" s="378">
        <v>20.573250000000002</v>
      </c>
      <c r="I24" s="375">
        <v>87.14358</v>
      </c>
      <c r="J24" s="376">
        <v>12.56024901586</v>
      </c>
      <c r="K24" s="379">
        <v>0.486835657792</v>
      </c>
    </row>
    <row r="25" spans="1:11" ht="14.4" customHeight="1" thickBot="1" x14ac:dyDescent="0.35">
      <c r="A25" s="397" t="s">
        <v>278</v>
      </c>
      <c r="B25" s="375">
        <v>0</v>
      </c>
      <c r="C25" s="375">
        <v>0</v>
      </c>
      <c r="D25" s="376">
        <v>0</v>
      </c>
      <c r="E25" s="377">
        <v>1</v>
      </c>
      <c r="F25" s="375">
        <v>0</v>
      </c>
      <c r="G25" s="376">
        <v>0</v>
      </c>
      <c r="H25" s="378">
        <v>0</v>
      </c>
      <c r="I25" s="375">
        <v>7.4749999999999997E-2</v>
      </c>
      <c r="J25" s="376">
        <v>7.4749999999999997E-2</v>
      </c>
      <c r="K25" s="386" t="s">
        <v>267</v>
      </c>
    </row>
    <row r="26" spans="1:11" ht="14.4" customHeight="1" thickBot="1" x14ac:dyDescent="0.35">
      <c r="A26" s="397" t="s">
        <v>279</v>
      </c>
      <c r="B26" s="375">
        <v>3531.9338074854199</v>
      </c>
      <c r="C26" s="375">
        <v>3455.68217</v>
      </c>
      <c r="D26" s="376">
        <v>-76.251637485415003</v>
      </c>
      <c r="E26" s="377">
        <v>0.97841079656499996</v>
      </c>
      <c r="F26" s="375">
        <v>3477.99989045143</v>
      </c>
      <c r="G26" s="376">
        <v>1449.16662102143</v>
      </c>
      <c r="H26" s="378">
        <v>256.07371000000001</v>
      </c>
      <c r="I26" s="375">
        <v>1345.10547</v>
      </c>
      <c r="J26" s="376">
        <v>-104.061151021429</v>
      </c>
      <c r="K26" s="379">
        <v>0.38674684081799998</v>
      </c>
    </row>
    <row r="27" spans="1:11" ht="14.4" customHeight="1" thickBot="1" x14ac:dyDescent="0.35">
      <c r="A27" s="396" t="s">
        <v>280</v>
      </c>
      <c r="B27" s="380">
        <v>0</v>
      </c>
      <c r="C27" s="380">
        <v>2.1897000000000002</v>
      </c>
      <c r="D27" s="381">
        <v>2.1897000000000002</v>
      </c>
      <c r="E27" s="382" t="s">
        <v>256</v>
      </c>
      <c r="F27" s="380">
        <v>0</v>
      </c>
      <c r="G27" s="381">
        <v>0</v>
      </c>
      <c r="H27" s="383">
        <v>0</v>
      </c>
      <c r="I27" s="380">
        <v>0</v>
      </c>
      <c r="J27" s="381">
        <v>0</v>
      </c>
      <c r="K27" s="384" t="s">
        <v>256</v>
      </c>
    </row>
    <row r="28" spans="1:11" ht="14.4" customHeight="1" thickBot="1" x14ac:dyDescent="0.35">
      <c r="A28" s="397" t="s">
        <v>281</v>
      </c>
      <c r="B28" s="375">
        <v>0</v>
      </c>
      <c r="C28" s="375">
        <v>2.1897000000000002</v>
      </c>
      <c r="D28" s="376">
        <v>2.1897000000000002</v>
      </c>
      <c r="E28" s="385" t="s">
        <v>256</v>
      </c>
      <c r="F28" s="375">
        <v>0</v>
      </c>
      <c r="G28" s="376">
        <v>0</v>
      </c>
      <c r="H28" s="378">
        <v>0</v>
      </c>
      <c r="I28" s="375">
        <v>0</v>
      </c>
      <c r="J28" s="376">
        <v>0</v>
      </c>
      <c r="K28" s="386" t="s">
        <v>256</v>
      </c>
    </row>
    <row r="29" spans="1:11" ht="14.4" customHeight="1" thickBot="1" x14ac:dyDescent="0.35">
      <c r="A29" s="396" t="s">
        <v>282</v>
      </c>
      <c r="B29" s="380">
        <v>633.99054647967</v>
      </c>
      <c r="C29" s="380">
        <v>552.97370000000001</v>
      </c>
      <c r="D29" s="381">
        <v>-81.016846479668999</v>
      </c>
      <c r="E29" s="387">
        <v>0.87221127045199998</v>
      </c>
      <c r="F29" s="380">
        <v>505.02884351081298</v>
      </c>
      <c r="G29" s="381">
        <v>210.42868479617201</v>
      </c>
      <c r="H29" s="383">
        <v>39.217700000000001</v>
      </c>
      <c r="I29" s="380">
        <v>223.70958999999999</v>
      </c>
      <c r="J29" s="381">
        <v>13.280905203827</v>
      </c>
      <c r="K29" s="388">
        <v>0.44296398685799998</v>
      </c>
    </row>
    <row r="30" spans="1:11" ht="14.4" customHeight="1" thickBot="1" x14ac:dyDescent="0.35">
      <c r="A30" s="397" t="s">
        <v>283</v>
      </c>
      <c r="B30" s="375">
        <v>8.6984907783719994</v>
      </c>
      <c r="C30" s="375">
        <v>5.1700699999989999</v>
      </c>
      <c r="D30" s="376">
        <v>-3.5284207783719999</v>
      </c>
      <c r="E30" s="377">
        <v>0.59436402609600003</v>
      </c>
      <c r="F30" s="375">
        <v>6.8951855880900004</v>
      </c>
      <c r="G30" s="376">
        <v>2.872993995037</v>
      </c>
      <c r="H30" s="378">
        <v>0</v>
      </c>
      <c r="I30" s="375">
        <v>2.7850000000000001</v>
      </c>
      <c r="J30" s="376">
        <v>-8.7993995037000006E-2</v>
      </c>
      <c r="K30" s="379">
        <v>0.40390500943300001</v>
      </c>
    </row>
    <row r="31" spans="1:11" ht="14.4" customHeight="1" thickBot="1" x14ac:dyDescent="0.35">
      <c r="A31" s="397" t="s">
        <v>284</v>
      </c>
      <c r="B31" s="375">
        <v>7.7343111015010004</v>
      </c>
      <c r="C31" s="375">
        <v>10.28407</v>
      </c>
      <c r="D31" s="376">
        <v>2.5497588984980002</v>
      </c>
      <c r="E31" s="377">
        <v>1.329668520574</v>
      </c>
      <c r="F31" s="375">
        <v>8.9999997165209997</v>
      </c>
      <c r="G31" s="376">
        <v>3.7499998818839999</v>
      </c>
      <c r="H31" s="378">
        <v>0.54164000000000001</v>
      </c>
      <c r="I31" s="375">
        <v>4.2480200000000004</v>
      </c>
      <c r="J31" s="376">
        <v>0.49802011811500002</v>
      </c>
      <c r="K31" s="379">
        <v>0.47200223708900002</v>
      </c>
    </row>
    <row r="32" spans="1:11" ht="14.4" customHeight="1" thickBot="1" x14ac:dyDescent="0.35">
      <c r="A32" s="397" t="s">
        <v>285</v>
      </c>
      <c r="B32" s="375">
        <v>250.50493545676201</v>
      </c>
      <c r="C32" s="375">
        <v>202.44847999999999</v>
      </c>
      <c r="D32" s="376">
        <v>-48.056455456761</v>
      </c>
      <c r="E32" s="377">
        <v>0.80816164212800001</v>
      </c>
      <c r="F32" s="375">
        <v>184.12453938459001</v>
      </c>
      <c r="G32" s="376">
        <v>76.718558076912004</v>
      </c>
      <c r="H32" s="378">
        <v>21.342079999999999</v>
      </c>
      <c r="I32" s="375">
        <v>104.7812</v>
      </c>
      <c r="J32" s="376">
        <v>28.062641923087</v>
      </c>
      <c r="K32" s="379">
        <v>0.56907786626400003</v>
      </c>
    </row>
    <row r="33" spans="1:11" ht="14.4" customHeight="1" thickBot="1" x14ac:dyDescent="0.35">
      <c r="A33" s="397" t="s">
        <v>286</v>
      </c>
      <c r="B33" s="375">
        <v>62.995975792518998</v>
      </c>
      <c r="C33" s="375">
        <v>37.376100000000001</v>
      </c>
      <c r="D33" s="376">
        <v>-25.619875792519</v>
      </c>
      <c r="E33" s="377">
        <v>0.59330932698100003</v>
      </c>
      <c r="F33" s="375">
        <v>45.999998551110998</v>
      </c>
      <c r="G33" s="376">
        <v>19.166666062962999</v>
      </c>
      <c r="H33" s="378">
        <v>3.0845899999999999</v>
      </c>
      <c r="I33" s="375">
        <v>17.08719</v>
      </c>
      <c r="J33" s="376">
        <v>-2.0794760629629998</v>
      </c>
      <c r="K33" s="379">
        <v>0.37146066387400001</v>
      </c>
    </row>
    <row r="34" spans="1:11" ht="14.4" customHeight="1" thickBot="1" x14ac:dyDescent="0.35">
      <c r="A34" s="397" t="s">
        <v>287</v>
      </c>
      <c r="B34" s="375">
        <v>18.998460503922999</v>
      </c>
      <c r="C34" s="375">
        <v>27.142130000000002</v>
      </c>
      <c r="D34" s="376">
        <v>8.1436694960770009</v>
      </c>
      <c r="E34" s="377">
        <v>1.4286489157569999</v>
      </c>
      <c r="F34" s="375">
        <v>19.999999370047998</v>
      </c>
      <c r="G34" s="376">
        <v>8.3333330708529996</v>
      </c>
      <c r="H34" s="378">
        <v>3.2739999999999998E-2</v>
      </c>
      <c r="I34" s="375">
        <v>8.7090300000000003</v>
      </c>
      <c r="J34" s="376">
        <v>0.375696929146</v>
      </c>
      <c r="K34" s="379">
        <v>0.43545151371500002</v>
      </c>
    </row>
    <row r="35" spans="1:11" ht="14.4" customHeight="1" thickBot="1" x14ac:dyDescent="0.35">
      <c r="A35" s="397" t="s">
        <v>288</v>
      </c>
      <c r="B35" s="375">
        <v>0.40808617724200003</v>
      </c>
      <c r="C35" s="375">
        <v>0.19900000000000001</v>
      </c>
      <c r="D35" s="376">
        <v>-0.20908617724199999</v>
      </c>
      <c r="E35" s="377">
        <v>0.48764209889299998</v>
      </c>
      <c r="F35" s="375">
        <v>0.22232651379099999</v>
      </c>
      <c r="G35" s="376">
        <v>9.2636047412999994E-2</v>
      </c>
      <c r="H35" s="378">
        <v>0</v>
      </c>
      <c r="I35" s="375">
        <v>0</v>
      </c>
      <c r="J35" s="376">
        <v>-9.2636047412999994E-2</v>
      </c>
      <c r="K35" s="379">
        <v>0</v>
      </c>
    </row>
    <row r="36" spans="1:11" ht="14.4" customHeight="1" thickBot="1" x14ac:dyDescent="0.35">
      <c r="A36" s="397" t="s">
        <v>289</v>
      </c>
      <c r="B36" s="375">
        <v>0.37213232892499998</v>
      </c>
      <c r="C36" s="375">
        <v>1.51824</v>
      </c>
      <c r="D36" s="376">
        <v>1.1461076710739999</v>
      </c>
      <c r="E36" s="377">
        <v>4.0798390303370002</v>
      </c>
      <c r="F36" s="375">
        <v>2.302442247029</v>
      </c>
      <c r="G36" s="376">
        <v>0.95935093626199996</v>
      </c>
      <c r="H36" s="378">
        <v>0</v>
      </c>
      <c r="I36" s="375">
        <v>0.51905000000000001</v>
      </c>
      <c r="J36" s="376">
        <v>-0.44030093626200001</v>
      </c>
      <c r="K36" s="379">
        <v>0.22543453616199999</v>
      </c>
    </row>
    <row r="37" spans="1:11" ht="14.4" customHeight="1" thickBot="1" x14ac:dyDescent="0.35">
      <c r="A37" s="397" t="s">
        <v>290</v>
      </c>
      <c r="B37" s="375">
        <v>156.983850996256</v>
      </c>
      <c r="C37" s="375">
        <v>154.4667</v>
      </c>
      <c r="D37" s="376">
        <v>-2.5171509962559999</v>
      </c>
      <c r="E37" s="377">
        <v>0.983965541803</v>
      </c>
      <c r="F37" s="375">
        <v>139.99999559033901</v>
      </c>
      <c r="G37" s="376">
        <v>58.333331495974001</v>
      </c>
      <c r="H37" s="378">
        <v>3.6223999999999998</v>
      </c>
      <c r="I37" s="375">
        <v>37.340260000000001</v>
      </c>
      <c r="J37" s="376">
        <v>-20.993071495974</v>
      </c>
      <c r="K37" s="379">
        <v>0.26671615125800002</v>
      </c>
    </row>
    <row r="38" spans="1:11" ht="14.4" customHeight="1" thickBot="1" x14ac:dyDescent="0.35">
      <c r="A38" s="397" t="s">
        <v>291</v>
      </c>
      <c r="B38" s="375">
        <v>69.299227268392002</v>
      </c>
      <c r="C38" s="375">
        <v>33.330370000000002</v>
      </c>
      <c r="D38" s="376">
        <v>-35.968857268392</v>
      </c>
      <c r="E38" s="377">
        <v>0.48096308305000002</v>
      </c>
      <c r="F38" s="375">
        <v>36.484358439144998</v>
      </c>
      <c r="G38" s="376">
        <v>15.20181601631</v>
      </c>
      <c r="H38" s="378">
        <v>1.0648</v>
      </c>
      <c r="I38" s="375">
        <v>7.0561400000000001</v>
      </c>
      <c r="J38" s="376">
        <v>-8.1456760163100004</v>
      </c>
      <c r="K38" s="379">
        <v>0.19340178371899999</v>
      </c>
    </row>
    <row r="39" spans="1:11" ht="14.4" customHeight="1" thickBot="1" x14ac:dyDescent="0.35">
      <c r="A39" s="397" t="s">
        <v>292</v>
      </c>
      <c r="B39" s="375">
        <v>0</v>
      </c>
      <c r="C39" s="375">
        <v>4.1230000000000002</v>
      </c>
      <c r="D39" s="376">
        <v>4.1230000000000002</v>
      </c>
      <c r="E39" s="385" t="s">
        <v>256</v>
      </c>
      <c r="F39" s="375">
        <v>0</v>
      </c>
      <c r="G39" s="376">
        <v>0</v>
      </c>
      <c r="H39" s="378">
        <v>0</v>
      </c>
      <c r="I39" s="375">
        <v>0</v>
      </c>
      <c r="J39" s="376">
        <v>0</v>
      </c>
      <c r="K39" s="386" t="s">
        <v>256</v>
      </c>
    </row>
    <row r="40" spans="1:11" ht="14.4" customHeight="1" thickBot="1" x14ac:dyDescent="0.35">
      <c r="A40" s="397" t="s">
        <v>293</v>
      </c>
      <c r="B40" s="375">
        <v>57.995076075775003</v>
      </c>
      <c r="C40" s="375">
        <v>76.915539999999993</v>
      </c>
      <c r="D40" s="376">
        <v>18.920463924225</v>
      </c>
      <c r="E40" s="377">
        <v>1.32624259169</v>
      </c>
      <c r="F40" s="375">
        <v>59.999998110145</v>
      </c>
      <c r="G40" s="376">
        <v>24.999999212559999</v>
      </c>
      <c r="H40" s="378">
        <v>9.5294500000000006</v>
      </c>
      <c r="I40" s="375">
        <v>41.183700000000002</v>
      </c>
      <c r="J40" s="376">
        <v>16.183700787439001</v>
      </c>
      <c r="K40" s="379">
        <v>0.68639502161900001</v>
      </c>
    </row>
    <row r="41" spans="1:11" ht="14.4" customHeight="1" thickBot="1" x14ac:dyDescent="0.35">
      <c r="A41" s="396" t="s">
        <v>294</v>
      </c>
      <c r="B41" s="380">
        <v>59.435216117666002</v>
      </c>
      <c r="C41" s="380">
        <v>69.268010000000004</v>
      </c>
      <c r="D41" s="381">
        <v>9.8327938823330001</v>
      </c>
      <c r="E41" s="387">
        <v>1.1654371688130001</v>
      </c>
      <c r="F41" s="380">
        <v>41.383601235020997</v>
      </c>
      <c r="G41" s="381">
        <v>17.243167181259</v>
      </c>
      <c r="H41" s="383">
        <v>1.694</v>
      </c>
      <c r="I41" s="380">
        <v>17.75375</v>
      </c>
      <c r="J41" s="381">
        <v>0.51058281874</v>
      </c>
      <c r="K41" s="388">
        <v>0.42900447206499998</v>
      </c>
    </row>
    <row r="42" spans="1:11" ht="14.4" customHeight="1" thickBot="1" x14ac:dyDescent="0.35">
      <c r="A42" s="397" t="s">
        <v>295</v>
      </c>
      <c r="B42" s="375">
        <v>0</v>
      </c>
      <c r="C42" s="375">
        <v>43.899149999999999</v>
      </c>
      <c r="D42" s="376">
        <v>43.899149999999999</v>
      </c>
      <c r="E42" s="385" t="s">
        <v>256</v>
      </c>
      <c r="F42" s="375">
        <v>0</v>
      </c>
      <c r="G42" s="376">
        <v>0</v>
      </c>
      <c r="H42" s="378">
        <v>1.694</v>
      </c>
      <c r="I42" s="375">
        <v>15.97805</v>
      </c>
      <c r="J42" s="376">
        <v>15.97805</v>
      </c>
      <c r="K42" s="386" t="s">
        <v>256</v>
      </c>
    </row>
    <row r="43" spans="1:11" ht="14.4" customHeight="1" thickBot="1" x14ac:dyDescent="0.35">
      <c r="A43" s="397" t="s">
        <v>296</v>
      </c>
      <c r="B43" s="375">
        <v>48.159195307303001</v>
      </c>
      <c r="C43" s="375">
        <v>0.17</v>
      </c>
      <c r="D43" s="376">
        <v>-47.989195307303</v>
      </c>
      <c r="E43" s="377">
        <v>3.5299593130000001E-3</v>
      </c>
      <c r="F43" s="375">
        <v>0.30668451326200002</v>
      </c>
      <c r="G43" s="376">
        <v>0.12778521385899999</v>
      </c>
      <c r="H43" s="378">
        <v>0</v>
      </c>
      <c r="I43" s="375">
        <v>0</v>
      </c>
      <c r="J43" s="376">
        <v>-0.12778521385899999</v>
      </c>
      <c r="K43" s="379">
        <v>0</v>
      </c>
    </row>
    <row r="44" spans="1:11" ht="14.4" customHeight="1" thickBot="1" x14ac:dyDescent="0.35">
      <c r="A44" s="397" t="s">
        <v>297</v>
      </c>
      <c r="B44" s="375">
        <v>0.27396933219800002</v>
      </c>
      <c r="C44" s="375">
        <v>21.0975</v>
      </c>
      <c r="D44" s="376">
        <v>20.823530667800998</v>
      </c>
      <c r="E44" s="377">
        <v>77.006794266799005</v>
      </c>
      <c r="F44" s="375">
        <v>36.076916879247001</v>
      </c>
      <c r="G44" s="376">
        <v>15.032048699685999</v>
      </c>
      <c r="H44" s="378">
        <v>0</v>
      </c>
      <c r="I44" s="375">
        <v>0</v>
      </c>
      <c r="J44" s="376">
        <v>-15.032048699685999</v>
      </c>
      <c r="K44" s="379">
        <v>0</v>
      </c>
    </row>
    <row r="45" spans="1:11" ht="14.4" customHeight="1" thickBot="1" x14ac:dyDescent="0.35">
      <c r="A45" s="397" t="s">
        <v>298</v>
      </c>
      <c r="B45" s="375">
        <v>0</v>
      </c>
      <c r="C45" s="375">
        <v>0</v>
      </c>
      <c r="D45" s="376">
        <v>0</v>
      </c>
      <c r="E45" s="377">
        <v>1</v>
      </c>
      <c r="F45" s="375">
        <v>0</v>
      </c>
      <c r="G45" s="376">
        <v>0</v>
      </c>
      <c r="H45" s="378">
        <v>0</v>
      </c>
      <c r="I45" s="375">
        <v>1.4883</v>
      </c>
      <c r="J45" s="376">
        <v>1.4883</v>
      </c>
      <c r="K45" s="386" t="s">
        <v>267</v>
      </c>
    </row>
    <row r="46" spans="1:11" ht="14.4" customHeight="1" thickBot="1" x14ac:dyDescent="0.35">
      <c r="A46" s="397" t="s">
        <v>299</v>
      </c>
      <c r="B46" s="375">
        <v>11.002051478165001</v>
      </c>
      <c r="C46" s="375">
        <v>4.1013599999999997</v>
      </c>
      <c r="D46" s="376">
        <v>-6.9006914781640001</v>
      </c>
      <c r="E46" s="377">
        <v>0.37278138610200001</v>
      </c>
      <c r="F46" s="375">
        <v>4.9999998425119996</v>
      </c>
      <c r="G46" s="376">
        <v>2.0833332677129999</v>
      </c>
      <c r="H46" s="378">
        <v>0</v>
      </c>
      <c r="I46" s="375">
        <v>0.28739999999999999</v>
      </c>
      <c r="J46" s="376">
        <v>-1.795933267713</v>
      </c>
      <c r="K46" s="379">
        <v>5.748000181E-2</v>
      </c>
    </row>
    <row r="47" spans="1:11" ht="14.4" customHeight="1" thickBot="1" x14ac:dyDescent="0.35">
      <c r="A47" s="396" t="s">
        <v>300</v>
      </c>
      <c r="B47" s="380">
        <v>130.97194802735399</v>
      </c>
      <c r="C47" s="380">
        <v>111.35354</v>
      </c>
      <c r="D47" s="381">
        <v>-19.618408027352999</v>
      </c>
      <c r="E47" s="387">
        <v>0.85020908428899999</v>
      </c>
      <c r="F47" s="380">
        <v>121.999996157295</v>
      </c>
      <c r="G47" s="381">
        <v>50.833331732205998</v>
      </c>
      <c r="H47" s="383">
        <v>6.1792800000000003</v>
      </c>
      <c r="I47" s="380">
        <v>37.95214</v>
      </c>
      <c r="J47" s="381">
        <v>-12.881191732206</v>
      </c>
      <c r="K47" s="388">
        <v>0.31108312455199999</v>
      </c>
    </row>
    <row r="48" spans="1:11" ht="14.4" customHeight="1" thickBot="1" x14ac:dyDescent="0.35">
      <c r="A48" s="397" t="s">
        <v>301</v>
      </c>
      <c r="B48" s="375">
        <v>28.978374727725999</v>
      </c>
      <c r="C48" s="375">
        <v>21.3643</v>
      </c>
      <c r="D48" s="376">
        <v>-7.6140747277259999</v>
      </c>
      <c r="E48" s="377">
        <v>0.73724976644499995</v>
      </c>
      <c r="F48" s="375">
        <v>22.999999275554998</v>
      </c>
      <c r="G48" s="376">
        <v>9.5833330314810006</v>
      </c>
      <c r="H48" s="378">
        <v>1.7690699999999999</v>
      </c>
      <c r="I48" s="375">
        <v>5.6508099999999999</v>
      </c>
      <c r="J48" s="376">
        <v>-3.9325230314809998</v>
      </c>
      <c r="K48" s="379">
        <v>0.24568739904199999</v>
      </c>
    </row>
    <row r="49" spans="1:11" ht="14.4" customHeight="1" thickBot="1" x14ac:dyDescent="0.35">
      <c r="A49" s="397" t="s">
        <v>302</v>
      </c>
      <c r="B49" s="375">
        <v>0</v>
      </c>
      <c r="C49" s="375">
        <v>1.32</v>
      </c>
      <c r="D49" s="376">
        <v>1.32</v>
      </c>
      <c r="E49" s="385" t="s">
        <v>256</v>
      </c>
      <c r="F49" s="375">
        <v>0.99999996850200001</v>
      </c>
      <c r="G49" s="376">
        <v>0.416666653542</v>
      </c>
      <c r="H49" s="378">
        <v>0</v>
      </c>
      <c r="I49" s="375">
        <v>0</v>
      </c>
      <c r="J49" s="376">
        <v>-0.416666653542</v>
      </c>
      <c r="K49" s="379">
        <v>0</v>
      </c>
    </row>
    <row r="50" spans="1:11" ht="14.4" customHeight="1" thickBot="1" x14ac:dyDescent="0.35">
      <c r="A50" s="397" t="s">
        <v>303</v>
      </c>
      <c r="B50" s="375">
        <v>22.002116269260998</v>
      </c>
      <c r="C50" s="375">
        <v>18.633150000000001</v>
      </c>
      <c r="D50" s="376">
        <v>-3.36896626926</v>
      </c>
      <c r="E50" s="377">
        <v>0.84687989882199999</v>
      </c>
      <c r="F50" s="375">
        <v>21.999999307052999</v>
      </c>
      <c r="G50" s="376">
        <v>9.1666663779380002</v>
      </c>
      <c r="H50" s="378">
        <v>2.2450199999999998</v>
      </c>
      <c r="I50" s="375">
        <v>9.6766900000000007</v>
      </c>
      <c r="J50" s="376">
        <v>0.51002362206100005</v>
      </c>
      <c r="K50" s="379">
        <v>0.43984955930800002</v>
      </c>
    </row>
    <row r="51" spans="1:11" ht="14.4" customHeight="1" thickBot="1" x14ac:dyDescent="0.35">
      <c r="A51" s="397" t="s">
        <v>304</v>
      </c>
      <c r="B51" s="375">
        <v>19.999611650733002</v>
      </c>
      <c r="C51" s="375">
        <v>28.609190000000002</v>
      </c>
      <c r="D51" s="376">
        <v>8.6095783492670002</v>
      </c>
      <c r="E51" s="377">
        <v>1.430487276434</v>
      </c>
      <c r="F51" s="375">
        <v>29.999999055071999</v>
      </c>
      <c r="G51" s="376">
        <v>12.499999606279999</v>
      </c>
      <c r="H51" s="378">
        <v>1.72719</v>
      </c>
      <c r="I51" s="375">
        <v>10.05864</v>
      </c>
      <c r="J51" s="376">
        <v>-2.4413596062799998</v>
      </c>
      <c r="K51" s="379">
        <v>0.33528801056000002</v>
      </c>
    </row>
    <row r="52" spans="1:11" ht="14.4" customHeight="1" thickBot="1" x14ac:dyDescent="0.35">
      <c r="A52" s="397" t="s">
        <v>305</v>
      </c>
      <c r="B52" s="375">
        <v>59.991845379632998</v>
      </c>
      <c r="C52" s="375">
        <v>41.426900000000003</v>
      </c>
      <c r="D52" s="376">
        <v>-18.564945379632999</v>
      </c>
      <c r="E52" s="377">
        <v>0.69054218515599997</v>
      </c>
      <c r="F52" s="375">
        <v>45.999998551110998</v>
      </c>
      <c r="G52" s="376">
        <v>19.166666062962999</v>
      </c>
      <c r="H52" s="378">
        <v>0.438</v>
      </c>
      <c r="I52" s="375">
        <v>12.566000000000001</v>
      </c>
      <c r="J52" s="376">
        <v>-6.6006660629629996</v>
      </c>
      <c r="K52" s="379">
        <v>0.273173921647</v>
      </c>
    </row>
    <row r="53" spans="1:11" ht="14.4" customHeight="1" thickBot="1" x14ac:dyDescent="0.35">
      <c r="A53" s="395" t="s">
        <v>29</v>
      </c>
      <c r="B53" s="375">
        <v>2000.48672618874</v>
      </c>
      <c r="C53" s="375">
        <v>1480.4110000000001</v>
      </c>
      <c r="D53" s="376">
        <v>-520.07572618873996</v>
      </c>
      <c r="E53" s="377">
        <v>0.74002540512699999</v>
      </c>
      <c r="F53" s="375">
        <v>1437.00516722561</v>
      </c>
      <c r="G53" s="376">
        <v>598.75215301067203</v>
      </c>
      <c r="H53" s="378">
        <v>97.324830000000006</v>
      </c>
      <c r="I53" s="375">
        <v>767.40282999999999</v>
      </c>
      <c r="J53" s="376">
        <v>168.65067698932799</v>
      </c>
      <c r="K53" s="379">
        <v>0.53402927665199995</v>
      </c>
    </row>
    <row r="54" spans="1:11" ht="14.4" customHeight="1" thickBot="1" x14ac:dyDescent="0.35">
      <c r="A54" s="396" t="s">
        <v>306</v>
      </c>
      <c r="B54" s="380">
        <v>2000.48672618874</v>
      </c>
      <c r="C54" s="380">
        <v>1480.4110000000001</v>
      </c>
      <c r="D54" s="381">
        <v>-520.07572618873996</v>
      </c>
      <c r="E54" s="387">
        <v>0.74002540512699999</v>
      </c>
      <c r="F54" s="380">
        <v>1437.00516722561</v>
      </c>
      <c r="G54" s="381">
        <v>598.75215301067203</v>
      </c>
      <c r="H54" s="383">
        <v>97.324830000000006</v>
      </c>
      <c r="I54" s="380">
        <v>767.40282999999999</v>
      </c>
      <c r="J54" s="381">
        <v>168.65067698932799</v>
      </c>
      <c r="K54" s="388">
        <v>0.53402927665199995</v>
      </c>
    </row>
    <row r="55" spans="1:11" ht="14.4" customHeight="1" thickBot="1" x14ac:dyDescent="0.35">
      <c r="A55" s="397" t="s">
        <v>307</v>
      </c>
      <c r="B55" s="375">
        <v>689.69753160715197</v>
      </c>
      <c r="C55" s="375">
        <v>554.50699999999995</v>
      </c>
      <c r="D55" s="376">
        <v>-135.190531607152</v>
      </c>
      <c r="E55" s="377">
        <v>0.80398576852600001</v>
      </c>
      <c r="F55" s="375">
        <v>525.99998343227696</v>
      </c>
      <c r="G55" s="376">
        <v>219.16665976344899</v>
      </c>
      <c r="H55" s="378">
        <v>49.965000000000003</v>
      </c>
      <c r="I55" s="375">
        <v>195.024</v>
      </c>
      <c r="J55" s="376">
        <v>-24.142659763447998</v>
      </c>
      <c r="K55" s="379">
        <v>0.37076807251400001</v>
      </c>
    </row>
    <row r="56" spans="1:11" ht="14.4" customHeight="1" thickBot="1" x14ac:dyDescent="0.35">
      <c r="A56" s="397" t="s">
        <v>308</v>
      </c>
      <c r="B56" s="375">
        <v>220.00149025923901</v>
      </c>
      <c r="C56" s="375">
        <v>201.333</v>
      </c>
      <c r="D56" s="376">
        <v>-18.668490259239</v>
      </c>
      <c r="E56" s="377">
        <v>0.91514380090199998</v>
      </c>
      <c r="F56" s="375">
        <v>219.99999307053301</v>
      </c>
      <c r="G56" s="376">
        <v>91.666663779388003</v>
      </c>
      <c r="H56" s="378">
        <v>16.77</v>
      </c>
      <c r="I56" s="375">
        <v>86.605999999999995</v>
      </c>
      <c r="J56" s="376">
        <v>-5.0606637793880003</v>
      </c>
      <c r="K56" s="379">
        <v>0.39366364876299997</v>
      </c>
    </row>
    <row r="57" spans="1:11" ht="14.4" customHeight="1" thickBot="1" x14ac:dyDescent="0.35">
      <c r="A57" s="397" t="s">
        <v>309</v>
      </c>
      <c r="B57" s="375">
        <v>1071.2745011321499</v>
      </c>
      <c r="C57" s="375">
        <v>719.82700000000102</v>
      </c>
      <c r="D57" s="376">
        <v>-351.44750113214502</v>
      </c>
      <c r="E57" s="377">
        <v>0.67193515689799999</v>
      </c>
      <c r="F57" s="375">
        <v>675.99997870764196</v>
      </c>
      <c r="G57" s="376">
        <v>281.66665779485101</v>
      </c>
      <c r="H57" s="378">
        <v>29.38983</v>
      </c>
      <c r="I57" s="375">
        <v>480.97282999999999</v>
      </c>
      <c r="J57" s="376">
        <v>199.30617220515001</v>
      </c>
      <c r="K57" s="379">
        <v>0.71149829164099998</v>
      </c>
    </row>
    <row r="58" spans="1:11" ht="14.4" customHeight="1" thickBot="1" x14ac:dyDescent="0.35">
      <c r="A58" s="397" t="s">
        <v>310</v>
      </c>
      <c r="B58" s="375">
        <v>19.513203190203999</v>
      </c>
      <c r="C58" s="375">
        <v>4.7439999999999998</v>
      </c>
      <c r="D58" s="376">
        <v>-14.769203190203999</v>
      </c>
      <c r="E58" s="377">
        <v>0.243117439702</v>
      </c>
      <c r="F58" s="375">
        <v>15.005212015161</v>
      </c>
      <c r="G58" s="376">
        <v>6.2521716729839998</v>
      </c>
      <c r="H58" s="378">
        <v>1.2</v>
      </c>
      <c r="I58" s="375">
        <v>4.8</v>
      </c>
      <c r="J58" s="376">
        <v>-1.452171672984</v>
      </c>
      <c r="K58" s="379">
        <v>0.31988884896399999</v>
      </c>
    </row>
    <row r="59" spans="1:11" ht="14.4" customHeight="1" thickBot="1" x14ac:dyDescent="0.35">
      <c r="A59" s="398" t="s">
        <v>311</v>
      </c>
      <c r="B59" s="380">
        <v>3426.00676836605</v>
      </c>
      <c r="C59" s="380">
        <v>3460.87336</v>
      </c>
      <c r="D59" s="381">
        <v>34.866591633947998</v>
      </c>
      <c r="E59" s="387">
        <v>1.0101770352449999</v>
      </c>
      <c r="F59" s="380">
        <v>6309.8015483092804</v>
      </c>
      <c r="G59" s="381">
        <v>2629.0839784621999</v>
      </c>
      <c r="H59" s="383">
        <v>270.24838999999997</v>
      </c>
      <c r="I59" s="380">
        <v>1247.46946</v>
      </c>
      <c r="J59" s="381">
        <v>-1381.6145184622001</v>
      </c>
      <c r="K59" s="388">
        <v>0.197703438127</v>
      </c>
    </row>
    <row r="60" spans="1:11" ht="14.4" customHeight="1" thickBot="1" x14ac:dyDescent="0.35">
      <c r="A60" s="395" t="s">
        <v>32</v>
      </c>
      <c r="B60" s="375">
        <v>600.45396722338796</v>
      </c>
      <c r="C60" s="375">
        <v>1009.07589</v>
      </c>
      <c r="D60" s="376">
        <v>408.62192277661302</v>
      </c>
      <c r="E60" s="377">
        <v>1.68052164709</v>
      </c>
      <c r="F60" s="375">
        <v>3620.0084035507898</v>
      </c>
      <c r="G60" s="376">
        <v>1508.3368348128299</v>
      </c>
      <c r="H60" s="378">
        <v>16.47165</v>
      </c>
      <c r="I60" s="375">
        <v>259.89508999999998</v>
      </c>
      <c r="J60" s="376">
        <v>-1248.4417448128299</v>
      </c>
      <c r="K60" s="379">
        <v>7.1794057091999999E-2</v>
      </c>
    </row>
    <row r="61" spans="1:11" ht="14.4" customHeight="1" thickBot="1" x14ac:dyDescent="0.35">
      <c r="A61" s="399" t="s">
        <v>312</v>
      </c>
      <c r="B61" s="375">
        <v>600.45396722338796</v>
      </c>
      <c r="C61" s="375">
        <v>1009.07589</v>
      </c>
      <c r="D61" s="376">
        <v>408.62192277661302</v>
      </c>
      <c r="E61" s="377">
        <v>1.68052164709</v>
      </c>
      <c r="F61" s="375">
        <v>3620.0084035507898</v>
      </c>
      <c r="G61" s="376">
        <v>1508.3368348128299</v>
      </c>
      <c r="H61" s="378">
        <v>16.47165</v>
      </c>
      <c r="I61" s="375">
        <v>259.89508999999998</v>
      </c>
      <c r="J61" s="376">
        <v>-1248.4417448128299</v>
      </c>
      <c r="K61" s="379">
        <v>7.1794057091999999E-2</v>
      </c>
    </row>
    <row r="62" spans="1:11" ht="14.4" customHeight="1" thickBot="1" x14ac:dyDescent="0.35">
      <c r="A62" s="397" t="s">
        <v>313</v>
      </c>
      <c r="B62" s="375">
        <v>232.40679870340699</v>
      </c>
      <c r="C62" s="375">
        <v>268.54640000000001</v>
      </c>
      <c r="D62" s="376">
        <v>36.139601296591998</v>
      </c>
      <c r="E62" s="377">
        <v>1.1555014805849999</v>
      </c>
      <c r="F62" s="375">
        <v>199.05923241692</v>
      </c>
      <c r="G62" s="376">
        <v>82.941346840383005</v>
      </c>
      <c r="H62" s="378">
        <v>-17.137450000000001</v>
      </c>
      <c r="I62" s="375">
        <v>36.473999999999997</v>
      </c>
      <c r="J62" s="376">
        <v>-46.467346840383001</v>
      </c>
      <c r="K62" s="379">
        <v>0.183231893126</v>
      </c>
    </row>
    <row r="63" spans="1:11" ht="14.4" customHeight="1" thickBot="1" x14ac:dyDescent="0.35">
      <c r="A63" s="397" t="s">
        <v>314</v>
      </c>
      <c r="B63" s="375">
        <v>0</v>
      </c>
      <c r="C63" s="375">
        <v>0</v>
      </c>
      <c r="D63" s="376">
        <v>0</v>
      </c>
      <c r="E63" s="377">
        <v>1</v>
      </c>
      <c r="F63" s="375">
        <v>0</v>
      </c>
      <c r="G63" s="376">
        <v>0</v>
      </c>
      <c r="H63" s="378">
        <v>0</v>
      </c>
      <c r="I63" s="375">
        <v>2.8130000000000002</v>
      </c>
      <c r="J63" s="376">
        <v>2.8130000000000002</v>
      </c>
      <c r="K63" s="386" t="s">
        <v>267</v>
      </c>
    </row>
    <row r="64" spans="1:11" ht="14.4" customHeight="1" thickBot="1" x14ac:dyDescent="0.35">
      <c r="A64" s="397" t="s">
        <v>315</v>
      </c>
      <c r="B64" s="375">
        <v>60.935718011589003</v>
      </c>
      <c r="C64" s="375">
        <v>20.753599999999999</v>
      </c>
      <c r="D64" s="376">
        <v>-40.182118011588997</v>
      </c>
      <c r="E64" s="377">
        <v>0.340581857032</v>
      </c>
      <c r="F64" s="375">
        <v>0.837244092986</v>
      </c>
      <c r="G64" s="376">
        <v>0.34885170540999999</v>
      </c>
      <c r="H64" s="378">
        <v>19.172450000000001</v>
      </c>
      <c r="I64" s="375">
        <v>31.209379999999999</v>
      </c>
      <c r="J64" s="376">
        <v>30.860528294588999</v>
      </c>
      <c r="K64" s="379">
        <v>37.276321518949999</v>
      </c>
    </row>
    <row r="65" spans="1:11" ht="14.4" customHeight="1" thickBot="1" x14ac:dyDescent="0.35">
      <c r="A65" s="397" t="s">
        <v>316</v>
      </c>
      <c r="B65" s="375">
        <v>159.99972987145199</v>
      </c>
      <c r="C65" s="375">
        <v>488.69936999999999</v>
      </c>
      <c r="D65" s="376">
        <v>328.69964012854899</v>
      </c>
      <c r="E65" s="377">
        <v>3.0543762192130002</v>
      </c>
      <c r="F65" s="375">
        <v>3284.9998965304699</v>
      </c>
      <c r="G65" s="376">
        <v>1368.7499568876999</v>
      </c>
      <c r="H65" s="378">
        <v>0</v>
      </c>
      <c r="I65" s="375">
        <v>127.65447</v>
      </c>
      <c r="J65" s="376">
        <v>-1241.0954868877</v>
      </c>
      <c r="K65" s="379">
        <v>3.8859809443E-2</v>
      </c>
    </row>
    <row r="66" spans="1:11" ht="14.4" customHeight="1" thickBot="1" x14ac:dyDescent="0.35">
      <c r="A66" s="397" t="s">
        <v>317</v>
      </c>
      <c r="B66" s="375">
        <v>147.111720636939</v>
      </c>
      <c r="C66" s="375">
        <v>231.07651999999999</v>
      </c>
      <c r="D66" s="376">
        <v>83.964799363059996</v>
      </c>
      <c r="E66" s="377">
        <v>1.5707553347850001</v>
      </c>
      <c r="F66" s="375">
        <v>135.11203051041099</v>
      </c>
      <c r="G66" s="376">
        <v>56.296679379338002</v>
      </c>
      <c r="H66" s="378">
        <v>14.43665</v>
      </c>
      <c r="I66" s="375">
        <v>61.744239999999998</v>
      </c>
      <c r="J66" s="376">
        <v>5.4475606206620002</v>
      </c>
      <c r="K66" s="379">
        <v>0.456985508742</v>
      </c>
    </row>
    <row r="67" spans="1:11" ht="14.4" customHeight="1" thickBot="1" x14ac:dyDescent="0.35">
      <c r="A67" s="400" t="s">
        <v>33</v>
      </c>
      <c r="B67" s="380">
        <v>0</v>
      </c>
      <c r="C67" s="380">
        <v>0.16800000000000001</v>
      </c>
      <c r="D67" s="381">
        <v>0.16800000000000001</v>
      </c>
      <c r="E67" s="382" t="s">
        <v>256</v>
      </c>
      <c r="F67" s="380">
        <v>0</v>
      </c>
      <c r="G67" s="381">
        <v>0</v>
      </c>
      <c r="H67" s="383">
        <v>0</v>
      </c>
      <c r="I67" s="380">
        <v>0.66100000000000003</v>
      </c>
      <c r="J67" s="381">
        <v>0.66100000000000003</v>
      </c>
      <c r="K67" s="384" t="s">
        <v>256</v>
      </c>
    </row>
    <row r="68" spans="1:11" ht="14.4" customHeight="1" thickBot="1" x14ac:dyDescent="0.35">
      <c r="A68" s="396" t="s">
        <v>318</v>
      </c>
      <c r="B68" s="380">
        <v>0</v>
      </c>
      <c r="C68" s="380">
        <v>0.16800000000000001</v>
      </c>
      <c r="D68" s="381">
        <v>0.16800000000000001</v>
      </c>
      <c r="E68" s="382" t="s">
        <v>256</v>
      </c>
      <c r="F68" s="380">
        <v>0</v>
      </c>
      <c r="G68" s="381">
        <v>0</v>
      </c>
      <c r="H68" s="383">
        <v>0</v>
      </c>
      <c r="I68" s="380">
        <v>0.66100000000000003</v>
      </c>
      <c r="J68" s="381">
        <v>0.66100000000000003</v>
      </c>
      <c r="K68" s="384" t="s">
        <v>256</v>
      </c>
    </row>
    <row r="69" spans="1:11" ht="14.4" customHeight="1" thickBot="1" x14ac:dyDescent="0.35">
      <c r="A69" s="397" t="s">
        <v>319</v>
      </c>
      <c r="B69" s="375">
        <v>0</v>
      </c>
      <c r="C69" s="375">
        <v>0.16800000000000001</v>
      </c>
      <c r="D69" s="376">
        <v>0.16800000000000001</v>
      </c>
      <c r="E69" s="385" t="s">
        <v>256</v>
      </c>
      <c r="F69" s="375">
        <v>0</v>
      </c>
      <c r="G69" s="376">
        <v>0</v>
      </c>
      <c r="H69" s="378">
        <v>0</v>
      </c>
      <c r="I69" s="375">
        <v>0.66100000000000003</v>
      </c>
      <c r="J69" s="376">
        <v>0.66100000000000003</v>
      </c>
      <c r="K69" s="386" t="s">
        <v>256</v>
      </c>
    </row>
    <row r="70" spans="1:11" ht="14.4" customHeight="1" thickBot="1" x14ac:dyDescent="0.35">
      <c r="A70" s="395" t="s">
        <v>34</v>
      </c>
      <c r="B70" s="375">
        <v>2825.55280114267</v>
      </c>
      <c r="C70" s="375">
        <v>2451.6294699999999</v>
      </c>
      <c r="D70" s="376">
        <v>-373.92333114266398</v>
      </c>
      <c r="E70" s="377">
        <v>0.86766365470399998</v>
      </c>
      <c r="F70" s="375">
        <v>2689.7931447584901</v>
      </c>
      <c r="G70" s="376">
        <v>1120.7471436493699</v>
      </c>
      <c r="H70" s="378">
        <v>253.77673999999999</v>
      </c>
      <c r="I70" s="375">
        <v>986.91336999999999</v>
      </c>
      <c r="J70" s="376">
        <v>-133.83377364937101</v>
      </c>
      <c r="K70" s="379">
        <v>0.36691050831200001</v>
      </c>
    </row>
    <row r="71" spans="1:11" ht="14.4" customHeight="1" thickBot="1" x14ac:dyDescent="0.35">
      <c r="A71" s="396" t="s">
        <v>320</v>
      </c>
      <c r="B71" s="380">
        <v>0.206244573264</v>
      </c>
      <c r="C71" s="380">
        <v>2.048</v>
      </c>
      <c r="D71" s="381">
        <v>1.841755426735</v>
      </c>
      <c r="E71" s="387">
        <v>9.9299582412399996</v>
      </c>
      <c r="F71" s="380">
        <v>1.872367545413</v>
      </c>
      <c r="G71" s="381">
        <v>0.78015314392199997</v>
      </c>
      <c r="H71" s="383">
        <v>0.13400000000000001</v>
      </c>
      <c r="I71" s="380">
        <v>0.47799999999999998</v>
      </c>
      <c r="J71" s="381">
        <v>-0.30215314392199999</v>
      </c>
      <c r="K71" s="388">
        <v>0.25529175677600002</v>
      </c>
    </row>
    <row r="72" spans="1:11" ht="14.4" customHeight="1" thickBot="1" x14ac:dyDescent="0.35">
      <c r="A72" s="397" t="s">
        <v>321</v>
      </c>
      <c r="B72" s="375">
        <v>0.206244573264</v>
      </c>
      <c r="C72" s="375">
        <v>2.048</v>
      </c>
      <c r="D72" s="376">
        <v>1.841755426735</v>
      </c>
      <c r="E72" s="377">
        <v>9.9299582412399996</v>
      </c>
      <c r="F72" s="375">
        <v>1.872367545413</v>
      </c>
      <c r="G72" s="376">
        <v>0.78015314392199997</v>
      </c>
      <c r="H72" s="378">
        <v>0.13400000000000001</v>
      </c>
      <c r="I72" s="375">
        <v>0.47799999999999998</v>
      </c>
      <c r="J72" s="376">
        <v>-0.30215314392199999</v>
      </c>
      <c r="K72" s="379">
        <v>0.25529175677600002</v>
      </c>
    </row>
    <row r="73" spans="1:11" ht="14.4" customHeight="1" thickBot="1" x14ac:dyDescent="0.35">
      <c r="A73" s="396" t="s">
        <v>322</v>
      </c>
      <c r="B73" s="380">
        <v>86.143393206305007</v>
      </c>
      <c r="C73" s="380">
        <v>80.916460000000001</v>
      </c>
      <c r="D73" s="381">
        <v>-5.2269332063049996</v>
      </c>
      <c r="E73" s="387">
        <v>0.93932287768300005</v>
      </c>
      <c r="F73" s="380">
        <v>83.033351075648</v>
      </c>
      <c r="G73" s="381">
        <v>34.597229614852999</v>
      </c>
      <c r="H73" s="383">
        <v>5.8039699999999996</v>
      </c>
      <c r="I73" s="380">
        <v>28.98208</v>
      </c>
      <c r="J73" s="381">
        <v>-5.6151496148530002</v>
      </c>
      <c r="K73" s="388">
        <v>0.34904143485099998</v>
      </c>
    </row>
    <row r="74" spans="1:11" ht="14.4" customHeight="1" thickBot="1" x14ac:dyDescent="0.35">
      <c r="A74" s="397" t="s">
        <v>323</v>
      </c>
      <c r="B74" s="375">
        <v>3.8248432068999998</v>
      </c>
      <c r="C74" s="375">
        <v>4.5888</v>
      </c>
      <c r="D74" s="376">
        <v>0.763956793099</v>
      </c>
      <c r="E74" s="377">
        <v>1.199735453657</v>
      </c>
      <c r="F74" s="375">
        <v>4.4612483474550002</v>
      </c>
      <c r="G74" s="376">
        <v>1.858853478106</v>
      </c>
      <c r="H74" s="378">
        <v>0.34300000000000003</v>
      </c>
      <c r="I74" s="375">
        <v>2.2202000000000002</v>
      </c>
      <c r="J74" s="376">
        <v>0.36134652189299998</v>
      </c>
      <c r="K74" s="379">
        <v>0.49766339532800002</v>
      </c>
    </row>
    <row r="75" spans="1:11" ht="14.4" customHeight="1" thickBot="1" x14ac:dyDescent="0.35">
      <c r="A75" s="397" t="s">
        <v>324</v>
      </c>
      <c r="B75" s="375">
        <v>82.318549999403999</v>
      </c>
      <c r="C75" s="375">
        <v>76.327659999999995</v>
      </c>
      <c r="D75" s="376">
        <v>-5.9908899994039997</v>
      </c>
      <c r="E75" s="377">
        <v>0.92722308641899998</v>
      </c>
      <c r="F75" s="375">
        <v>78.572102728191993</v>
      </c>
      <c r="G75" s="376">
        <v>32.738376136745998</v>
      </c>
      <c r="H75" s="378">
        <v>5.4609699999999997</v>
      </c>
      <c r="I75" s="375">
        <v>26.761880000000001</v>
      </c>
      <c r="J75" s="376">
        <v>-5.9764961367460003</v>
      </c>
      <c r="K75" s="379">
        <v>0.34060282302200001</v>
      </c>
    </row>
    <row r="76" spans="1:11" ht="14.4" customHeight="1" thickBot="1" x14ac:dyDescent="0.35">
      <c r="A76" s="396" t="s">
        <v>325</v>
      </c>
      <c r="B76" s="380">
        <v>22.801184140690999</v>
      </c>
      <c r="C76" s="380">
        <v>34.851680000000002</v>
      </c>
      <c r="D76" s="381">
        <v>12.050495859308</v>
      </c>
      <c r="E76" s="387">
        <v>1.5285030718120001</v>
      </c>
      <c r="F76" s="380">
        <v>33.356025102627001</v>
      </c>
      <c r="G76" s="381">
        <v>13.898343792761001</v>
      </c>
      <c r="H76" s="383">
        <v>0.65268000000000004</v>
      </c>
      <c r="I76" s="380">
        <v>27.297319999999999</v>
      </c>
      <c r="J76" s="381">
        <v>13.398976207238</v>
      </c>
      <c r="K76" s="388">
        <v>0.81836249720999998</v>
      </c>
    </row>
    <row r="77" spans="1:11" ht="14.4" customHeight="1" thickBot="1" x14ac:dyDescent="0.35">
      <c r="A77" s="397" t="s">
        <v>326</v>
      </c>
      <c r="B77" s="375">
        <v>3.3560261532609998</v>
      </c>
      <c r="C77" s="375">
        <v>3.24</v>
      </c>
      <c r="D77" s="376">
        <v>-0.11602615326100001</v>
      </c>
      <c r="E77" s="377">
        <v>0.96542751815299999</v>
      </c>
      <c r="F77" s="375">
        <v>3.3560260475539998</v>
      </c>
      <c r="G77" s="376">
        <v>1.398344186481</v>
      </c>
      <c r="H77" s="378">
        <v>0</v>
      </c>
      <c r="I77" s="375">
        <v>1.62</v>
      </c>
      <c r="J77" s="376">
        <v>0.22165581351800001</v>
      </c>
      <c r="K77" s="379">
        <v>0.48271377428000001</v>
      </c>
    </row>
    <row r="78" spans="1:11" ht="14.4" customHeight="1" thickBot="1" x14ac:dyDescent="0.35">
      <c r="A78" s="397" t="s">
        <v>327</v>
      </c>
      <c r="B78" s="375">
        <v>19.445157987428999</v>
      </c>
      <c r="C78" s="375">
        <v>31.61168</v>
      </c>
      <c r="D78" s="376">
        <v>12.166522012570001</v>
      </c>
      <c r="E78" s="377">
        <v>1.6256838859539999</v>
      </c>
      <c r="F78" s="375">
        <v>29.999999055071999</v>
      </c>
      <c r="G78" s="376">
        <v>12.499999606279999</v>
      </c>
      <c r="H78" s="378">
        <v>0.65268000000000004</v>
      </c>
      <c r="I78" s="375">
        <v>25.677320000000002</v>
      </c>
      <c r="J78" s="376">
        <v>13.177320393719</v>
      </c>
      <c r="K78" s="379">
        <v>0.85591069362500005</v>
      </c>
    </row>
    <row r="79" spans="1:11" ht="14.4" customHeight="1" thickBot="1" x14ac:dyDescent="0.35">
      <c r="A79" s="396" t="s">
        <v>328</v>
      </c>
      <c r="B79" s="380">
        <v>0</v>
      </c>
      <c r="C79" s="380">
        <v>26.163</v>
      </c>
      <c r="D79" s="381">
        <v>26.163</v>
      </c>
      <c r="E79" s="382" t="s">
        <v>267</v>
      </c>
      <c r="F79" s="380">
        <v>0</v>
      </c>
      <c r="G79" s="381">
        <v>0</v>
      </c>
      <c r="H79" s="383">
        <v>0</v>
      </c>
      <c r="I79" s="380">
        <v>5.15</v>
      </c>
      <c r="J79" s="381">
        <v>5.15</v>
      </c>
      <c r="K79" s="384" t="s">
        <v>256</v>
      </c>
    </row>
    <row r="80" spans="1:11" ht="14.4" customHeight="1" thickBot="1" x14ac:dyDescent="0.35">
      <c r="A80" s="397" t="s">
        <v>329</v>
      </c>
      <c r="B80" s="375">
        <v>0</v>
      </c>
      <c r="C80" s="375">
        <v>26.163</v>
      </c>
      <c r="D80" s="376">
        <v>26.163</v>
      </c>
      <c r="E80" s="385" t="s">
        <v>267</v>
      </c>
      <c r="F80" s="375">
        <v>0</v>
      </c>
      <c r="G80" s="376">
        <v>0</v>
      </c>
      <c r="H80" s="378">
        <v>0</v>
      </c>
      <c r="I80" s="375">
        <v>5.15</v>
      </c>
      <c r="J80" s="376">
        <v>5.15</v>
      </c>
      <c r="K80" s="386" t="s">
        <v>256</v>
      </c>
    </row>
    <row r="81" spans="1:11" ht="14.4" customHeight="1" thickBot="1" x14ac:dyDescent="0.35">
      <c r="A81" s="396" t="s">
        <v>330</v>
      </c>
      <c r="B81" s="380">
        <v>811.72734945402703</v>
      </c>
      <c r="C81" s="380">
        <v>764.45072000000005</v>
      </c>
      <c r="D81" s="381">
        <v>-47.276629454026001</v>
      </c>
      <c r="E81" s="387">
        <v>0.94175799363400003</v>
      </c>
      <c r="F81" s="380">
        <v>815.70458823780996</v>
      </c>
      <c r="G81" s="381">
        <v>339.87691176575402</v>
      </c>
      <c r="H81" s="383">
        <v>61.964089999999999</v>
      </c>
      <c r="I81" s="380">
        <v>310.37905000000001</v>
      </c>
      <c r="J81" s="381">
        <v>-29.497861765753001</v>
      </c>
      <c r="K81" s="388">
        <v>0.38050423459100002</v>
      </c>
    </row>
    <row r="82" spans="1:11" ht="14.4" customHeight="1" thickBot="1" x14ac:dyDescent="0.35">
      <c r="A82" s="397" t="s">
        <v>331</v>
      </c>
      <c r="B82" s="375">
        <v>762.31896980064903</v>
      </c>
      <c r="C82" s="375">
        <v>708.58483999999999</v>
      </c>
      <c r="D82" s="376">
        <v>-53.734129800647999</v>
      </c>
      <c r="E82" s="377">
        <v>0.92951227513699997</v>
      </c>
      <c r="F82" s="375">
        <v>759.13140415938699</v>
      </c>
      <c r="G82" s="376">
        <v>316.30475173307798</v>
      </c>
      <c r="H82" s="378">
        <v>58.524070000000002</v>
      </c>
      <c r="I82" s="375">
        <v>292.62034999999997</v>
      </c>
      <c r="J82" s="376">
        <v>-23.684401733076999</v>
      </c>
      <c r="K82" s="379">
        <v>0.38546732278000001</v>
      </c>
    </row>
    <row r="83" spans="1:11" ht="14.4" customHeight="1" thickBot="1" x14ac:dyDescent="0.35">
      <c r="A83" s="397" t="s">
        <v>332</v>
      </c>
      <c r="B83" s="375">
        <v>12.106639149008</v>
      </c>
      <c r="C83" s="375">
        <v>14.013</v>
      </c>
      <c r="D83" s="376">
        <v>1.906360850992</v>
      </c>
      <c r="E83" s="377">
        <v>1.1574640845840001</v>
      </c>
      <c r="F83" s="375">
        <v>14.36231725365</v>
      </c>
      <c r="G83" s="376">
        <v>5.9842988556870003</v>
      </c>
      <c r="H83" s="378">
        <v>0</v>
      </c>
      <c r="I83" s="375">
        <v>0.48399999999999999</v>
      </c>
      <c r="J83" s="376">
        <v>-5.5002988556870003</v>
      </c>
      <c r="K83" s="379">
        <v>3.3699297365999997E-2</v>
      </c>
    </row>
    <row r="84" spans="1:11" ht="14.4" customHeight="1" thickBot="1" x14ac:dyDescent="0.35">
      <c r="A84" s="397" t="s">
        <v>333</v>
      </c>
      <c r="B84" s="375">
        <v>37.301740504370002</v>
      </c>
      <c r="C84" s="375">
        <v>41.480879999999999</v>
      </c>
      <c r="D84" s="376">
        <v>4.1791394956290002</v>
      </c>
      <c r="E84" s="377">
        <v>1.1120360454789999</v>
      </c>
      <c r="F84" s="375">
        <v>41.908126124052004</v>
      </c>
      <c r="G84" s="376">
        <v>17.461719218355</v>
      </c>
      <c r="H84" s="378">
        <v>3.4400200000000001</v>
      </c>
      <c r="I84" s="375">
        <v>17.274699999999999</v>
      </c>
      <c r="J84" s="376">
        <v>-0.18701921835499999</v>
      </c>
      <c r="K84" s="379">
        <v>0.41220406631500001</v>
      </c>
    </row>
    <row r="85" spans="1:11" ht="14.4" customHeight="1" thickBot="1" x14ac:dyDescent="0.35">
      <c r="A85" s="397" t="s">
        <v>334</v>
      </c>
      <c r="B85" s="375">
        <v>0</v>
      </c>
      <c r="C85" s="375">
        <v>0.372</v>
      </c>
      <c r="D85" s="376">
        <v>0.372</v>
      </c>
      <c r="E85" s="385" t="s">
        <v>267</v>
      </c>
      <c r="F85" s="375">
        <v>0.302740700719</v>
      </c>
      <c r="G85" s="376">
        <v>0.12614195863300001</v>
      </c>
      <c r="H85" s="378">
        <v>0</v>
      </c>
      <c r="I85" s="375">
        <v>0</v>
      </c>
      <c r="J85" s="376">
        <v>-0.12614195863300001</v>
      </c>
      <c r="K85" s="379">
        <v>0</v>
      </c>
    </row>
    <row r="86" spans="1:11" ht="14.4" customHeight="1" thickBot="1" x14ac:dyDescent="0.35">
      <c r="A86" s="396" t="s">
        <v>335</v>
      </c>
      <c r="B86" s="380">
        <v>441.27162516312598</v>
      </c>
      <c r="C86" s="380">
        <v>518.24329</v>
      </c>
      <c r="D86" s="381">
        <v>76.971664836873003</v>
      </c>
      <c r="E86" s="387">
        <v>1.1744314849340001</v>
      </c>
      <c r="F86" s="380">
        <v>339.30493338941801</v>
      </c>
      <c r="G86" s="381">
        <v>141.377055578924</v>
      </c>
      <c r="H86" s="383">
        <v>84.733000000000004</v>
      </c>
      <c r="I86" s="380">
        <v>172.00873000000001</v>
      </c>
      <c r="J86" s="381">
        <v>30.631674421075999</v>
      </c>
      <c r="K86" s="388">
        <v>0.50694438268700004</v>
      </c>
    </row>
    <row r="87" spans="1:11" ht="14.4" customHeight="1" thickBot="1" x14ac:dyDescent="0.35">
      <c r="A87" s="397" t="s">
        <v>336</v>
      </c>
      <c r="B87" s="375">
        <v>0</v>
      </c>
      <c r="C87" s="375">
        <v>45.962000000000003</v>
      </c>
      <c r="D87" s="376">
        <v>45.962000000000003</v>
      </c>
      <c r="E87" s="385" t="s">
        <v>267</v>
      </c>
      <c r="F87" s="375">
        <v>3.9999998740090001</v>
      </c>
      <c r="G87" s="376">
        <v>1.6666666141699999</v>
      </c>
      <c r="H87" s="378">
        <v>0</v>
      </c>
      <c r="I87" s="375">
        <v>13.34751</v>
      </c>
      <c r="J87" s="376">
        <v>11.680843385829</v>
      </c>
      <c r="K87" s="379">
        <v>3.336877605103</v>
      </c>
    </row>
    <row r="88" spans="1:11" ht="14.4" customHeight="1" thickBot="1" x14ac:dyDescent="0.35">
      <c r="A88" s="397" t="s">
        <v>337</v>
      </c>
      <c r="B88" s="375">
        <v>431.70230463298799</v>
      </c>
      <c r="C88" s="375">
        <v>461.85993000000002</v>
      </c>
      <c r="D88" s="376">
        <v>30.157625367011001</v>
      </c>
      <c r="E88" s="377">
        <v>1.069857457426</v>
      </c>
      <c r="F88" s="375">
        <v>318.79173733121303</v>
      </c>
      <c r="G88" s="376">
        <v>132.82989055467201</v>
      </c>
      <c r="H88" s="378">
        <v>84.733000000000004</v>
      </c>
      <c r="I88" s="375">
        <v>158.66121999999999</v>
      </c>
      <c r="J88" s="376">
        <v>25.831329445327</v>
      </c>
      <c r="K88" s="379">
        <v>0.49769552162199998</v>
      </c>
    </row>
    <row r="89" spans="1:11" ht="14.4" customHeight="1" thickBot="1" x14ac:dyDescent="0.35">
      <c r="A89" s="397" t="s">
        <v>338</v>
      </c>
      <c r="B89" s="375">
        <v>3.0010932502209999</v>
      </c>
      <c r="C89" s="375">
        <v>2.629</v>
      </c>
      <c r="D89" s="376">
        <v>-0.37209325022099998</v>
      </c>
      <c r="E89" s="377">
        <v>0.87601409912999995</v>
      </c>
      <c r="F89" s="375">
        <v>2.9999999055069999</v>
      </c>
      <c r="G89" s="376">
        <v>1.2499999606279999</v>
      </c>
      <c r="H89" s="378">
        <v>0</v>
      </c>
      <c r="I89" s="375">
        <v>0</v>
      </c>
      <c r="J89" s="376">
        <v>-1.2499999606279999</v>
      </c>
      <c r="K89" s="379">
        <v>0</v>
      </c>
    </row>
    <row r="90" spans="1:11" ht="14.4" customHeight="1" thickBot="1" x14ac:dyDescent="0.35">
      <c r="A90" s="397" t="s">
        <v>339</v>
      </c>
      <c r="B90" s="375">
        <v>1.4632420148550001</v>
      </c>
      <c r="C90" s="375">
        <v>4.2591999999999999</v>
      </c>
      <c r="D90" s="376">
        <v>2.7959579851440002</v>
      </c>
      <c r="E90" s="377">
        <v>2.910796680767</v>
      </c>
      <c r="F90" s="375">
        <v>3.7775766687919998</v>
      </c>
      <c r="G90" s="376">
        <v>1.573990278663</v>
      </c>
      <c r="H90" s="378">
        <v>0</v>
      </c>
      <c r="I90" s="375">
        <v>0</v>
      </c>
      <c r="J90" s="376">
        <v>-1.573990278663</v>
      </c>
      <c r="K90" s="379">
        <v>0</v>
      </c>
    </row>
    <row r="91" spans="1:11" ht="14.4" customHeight="1" thickBot="1" x14ac:dyDescent="0.35">
      <c r="A91" s="397" t="s">
        <v>340</v>
      </c>
      <c r="B91" s="375">
        <v>5.1049852650609999</v>
      </c>
      <c r="C91" s="375">
        <v>3.5331600000000001</v>
      </c>
      <c r="D91" s="376">
        <v>-1.5718252650610001</v>
      </c>
      <c r="E91" s="377">
        <v>0.692099940852</v>
      </c>
      <c r="F91" s="375">
        <v>9.7356196098950001</v>
      </c>
      <c r="G91" s="376">
        <v>4.0565081707889998</v>
      </c>
      <c r="H91" s="378">
        <v>0</v>
      </c>
      <c r="I91" s="375">
        <v>0</v>
      </c>
      <c r="J91" s="376">
        <v>-4.0565081707889998</v>
      </c>
      <c r="K91" s="379">
        <v>0</v>
      </c>
    </row>
    <row r="92" spans="1:11" ht="14.4" customHeight="1" thickBot="1" x14ac:dyDescent="0.35">
      <c r="A92" s="396" t="s">
        <v>341</v>
      </c>
      <c r="B92" s="380">
        <v>1463.4030046052501</v>
      </c>
      <c r="C92" s="380">
        <v>1024.95632</v>
      </c>
      <c r="D92" s="381">
        <v>-438.44668460525003</v>
      </c>
      <c r="E92" s="387">
        <v>0.70039238458200004</v>
      </c>
      <c r="F92" s="380">
        <v>1416.5218794075699</v>
      </c>
      <c r="G92" s="381">
        <v>590.21744975315596</v>
      </c>
      <c r="H92" s="383">
        <v>100.489</v>
      </c>
      <c r="I92" s="380">
        <v>442.61819000000003</v>
      </c>
      <c r="J92" s="381">
        <v>-147.59925975315599</v>
      </c>
      <c r="K92" s="388">
        <v>0.31246830453800001</v>
      </c>
    </row>
    <row r="93" spans="1:11" ht="14.4" customHeight="1" thickBot="1" x14ac:dyDescent="0.35">
      <c r="A93" s="397" t="s">
        <v>342</v>
      </c>
      <c r="B93" s="375">
        <v>24.037846805084001</v>
      </c>
      <c r="C93" s="375">
        <v>17.363320000000002</v>
      </c>
      <c r="D93" s="376">
        <v>-6.6745268050839996</v>
      </c>
      <c r="E93" s="377">
        <v>0.72233258414500001</v>
      </c>
      <c r="F93" s="375">
        <v>2.5219239451469999</v>
      </c>
      <c r="G93" s="376">
        <v>1.0508016438109999</v>
      </c>
      <c r="H93" s="378">
        <v>0</v>
      </c>
      <c r="I93" s="375">
        <v>1.694</v>
      </c>
      <c r="J93" s="376">
        <v>0.64319835618800003</v>
      </c>
      <c r="K93" s="379">
        <v>0.67170939205299995</v>
      </c>
    </row>
    <row r="94" spans="1:11" ht="14.4" customHeight="1" thickBot="1" x14ac:dyDescent="0.35">
      <c r="A94" s="397" t="s">
        <v>343</v>
      </c>
      <c r="B94" s="375">
        <v>1389.36515780017</v>
      </c>
      <c r="C94" s="375">
        <v>1005.7329999999999</v>
      </c>
      <c r="D94" s="376">
        <v>-383.63215780016702</v>
      </c>
      <c r="E94" s="377">
        <v>0.72387953185200005</v>
      </c>
      <c r="F94" s="375">
        <v>1388.9999562498699</v>
      </c>
      <c r="G94" s="376">
        <v>578.74998177077703</v>
      </c>
      <c r="H94" s="378">
        <v>100.117</v>
      </c>
      <c r="I94" s="375">
        <v>439.43619000000001</v>
      </c>
      <c r="J94" s="376">
        <v>-139.31379177077699</v>
      </c>
      <c r="K94" s="379">
        <v>0.31636875726500002</v>
      </c>
    </row>
    <row r="95" spans="1:11" ht="14.4" customHeight="1" thickBot="1" x14ac:dyDescent="0.35">
      <c r="A95" s="397" t="s">
        <v>344</v>
      </c>
      <c r="B95" s="375">
        <v>0</v>
      </c>
      <c r="C95" s="375">
        <v>1.86</v>
      </c>
      <c r="D95" s="376">
        <v>1.86</v>
      </c>
      <c r="E95" s="385" t="s">
        <v>267</v>
      </c>
      <c r="F95" s="375">
        <v>0</v>
      </c>
      <c r="G95" s="376">
        <v>0</v>
      </c>
      <c r="H95" s="378">
        <v>0.372</v>
      </c>
      <c r="I95" s="375">
        <v>1.488</v>
      </c>
      <c r="J95" s="376">
        <v>1.488</v>
      </c>
      <c r="K95" s="386" t="s">
        <v>256</v>
      </c>
    </row>
    <row r="96" spans="1:11" ht="14.4" customHeight="1" thickBot="1" x14ac:dyDescent="0.35">
      <c r="A96" s="397" t="s">
        <v>345</v>
      </c>
      <c r="B96" s="375">
        <v>49.999999999998998</v>
      </c>
      <c r="C96" s="375">
        <v>0</v>
      </c>
      <c r="D96" s="376">
        <v>-49.999999999998998</v>
      </c>
      <c r="E96" s="377">
        <v>0</v>
      </c>
      <c r="F96" s="375">
        <v>24.999999212559999</v>
      </c>
      <c r="G96" s="376">
        <v>10.416666338565999</v>
      </c>
      <c r="H96" s="378">
        <v>0</v>
      </c>
      <c r="I96" s="375">
        <v>0</v>
      </c>
      <c r="J96" s="376">
        <v>-10.416666338565999</v>
      </c>
      <c r="K96" s="379">
        <v>0</v>
      </c>
    </row>
    <row r="97" spans="1:11" ht="14.4" customHeight="1" thickBot="1" x14ac:dyDescent="0.35">
      <c r="A97" s="394" t="s">
        <v>35</v>
      </c>
      <c r="B97" s="375">
        <v>27891.137076979801</v>
      </c>
      <c r="C97" s="375">
        <v>27326.870149999999</v>
      </c>
      <c r="D97" s="376">
        <v>-564.26692697977001</v>
      </c>
      <c r="E97" s="377">
        <v>0.97976895221500004</v>
      </c>
      <c r="F97" s="375">
        <v>28614.999104996401</v>
      </c>
      <c r="G97" s="376">
        <v>11922.9162937485</v>
      </c>
      <c r="H97" s="378">
        <v>2116.81513</v>
      </c>
      <c r="I97" s="375">
        <v>10852.13103</v>
      </c>
      <c r="J97" s="376">
        <v>-1070.78526374848</v>
      </c>
      <c r="K97" s="379">
        <v>0.37924624740200003</v>
      </c>
    </row>
    <row r="98" spans="1:11" ht="14.4" customHeight="1" thickBot="1" x14ac:dyDescent="0.35">
      <c r="A98" s="400" t="s">
        <v>346</v>
      </c>
      <c r="B98" s="380">
        <v>20725.9999999996</v>
      </c>
      <c r="C98" s="380">
        <v>20359.86</v>
      </c>
      <c r="D98" s="381">
        <v>-366.13999999961698</v>
      </c>
      <c r="E98" s="387">
        <v>0.98233426613899999</v>
      </c>
      <c r="F98" s="380">
        <v>21264.999336503599</v>
      </c>
      <c r="G98" s="381">
        <v>8860.4163902098207</v>
      </c>
      <c r="H98" s="383">
        <v>1578.306</v>
      </c>
      <c r="I98" s="380">
        <v>8089.72</v>
      </c>
      <c r="J98" s="381">
        <v>-770.69639020981197</v>
      </c>
      <c r="K98" s="388">
        <v>0.38042418304300002</v>
      </c>
    </row>
    <row r="99" spans="1:11" ht="14.4" customHeight="1" thickBot="1" x14ac:dyDescent="0.35">
      <c r="A99" s="396" t="s">
        <v>347</v>
      </c>
      <c r="B99" s="380">
        <v>20471.9999999996</v>
      </c>
      <c r="C99" s="380">
        <v>20079.992999999999</v>
      </c>
      <c r="D99" s="381">
        <v>-392.00699999961898</v>
      </c>
      <c r="E99" s="387">
        <v>0.98085155334100005</v>
      </c>
      <c r="F99" s="380">
        <v>20999.999338550901</v>
      </c>
      <c r="G99" s="381">
        <v>8749.9997243962098</v>
      </c>
      <c r="H99" s="383">
        <v>1559.865</v>
      </c>
      <c r="I99" s="380">
        <v>7965.8149999999996</v>
      </c>
      <c r="J99" s="381">
        <v>-784.18472439620302</v>
      </c>
      <c r="K99" s="388">
        <v>0.37932453575699998</v>
      </c>
    </row>
    <row r="100" spans="1:11" ht="14.4" customHeight="1" thickBot="1" x14ac:dyDescent="0.35">
      <c r="A100" s="397" t="s">
        <v>348</v>
      </c>
      <c r="B100" s="375">
        <v>20471.9999999996</v>
      </c>
      <c r="C100" s="375">
        <v>20079.992999999999</v>
      </c>
      <c r="D100" s="376">
        <v>-392.00699999961898</v>
      </c>
      <c r="E100" s="377">
        <v>0.98085155334100005</v>
      </c>
      <c r="F100" s="375">
        <v>20999.999338550901</v>
      </c>
      <c r="G100" s="376">
        <v>8749.9997243962098</v>
      </c>
      <c r="H100" s="378">
        <v>1559.865</v>
      </c>
      <c r="I100" s="375">
        <v>7965.8149999999996</v>
      </c>
      <c r="J100" s="376">
        <v>-784.18472439620302</v>
      </c>
      <c r="K100" s="379">
        <v>0.37932453575699998</v>
      </c>
    </row>
    <row r="101" spans="1:11" ht="14.4" customHeight="1" thickBot="1" x14ac:dyDescent="0.35">
      <c r="A101" s="396" t="s">
        <v>349</v>
      </c>
      <c r="B101" s="380">
        <v>0</v>
      </c>
      <c r="C101" s="380">
        <v>0</v>
      </c>
      <c r="D101" s="381">
        <v>0</v>
      </c>
      <c r="E101" s="387">
        <v>1</v>
      </c>
      <c r="F101" s="380">
        <v>0</v>
      </c>
      <c r="G101" s="381">
        <v>0</v>
      </c>
      <c r="H101" s="383">
        <v>-6.867</v>
      </c>
      <c r="I101" s="380">
        <v>-11.303000000000001</v>
      </c>
      <c r="J101" s="381">
        <v>-11.303000000000001</v>
      </c>
      <c r="K101" s="384" t="s">
        <v>267</v>
      </c>
    </row>
    <row r="102" spans="1:11" ht="14.4" customHeight="1" thickBot="1" x14ac:dyDescent="0.35">
      <c r="A102" s="397" t="s">
        <v>350</v>
      </c>
      <c r="B102" s="375">
        <v>0</v>
      </c>
      <c r="C102" s="375">
        <v>0</v>
      </c>
      <c r="D102" s="376">
        <v>0</v>
      </c>
      <c r="E102" s="377">
        <v>1</v>
      </c>
      <c r="F102" s="375">
        <v>0</v>
      </c>
      <c r="G102" s="376">
        <v>0</v>
      </c>
      <c r="H102" s="378">
        <v>-6.867</v>
      </c>
      <c r="I102" s="375">
        <v>-11.303000000000001</v>
      </c>
      <c r="J102" s="376">
        <v>-11.303000000000001</v>
      </c>
      <c r="K102" s="386" t="s">
        <v>267</v>
      </c>
    </row>
    <row r="103" spans="1:11" ht="14.4" customHeight="1" thickBot="1" x14ac:dyDescent="0.35">
      <c r="A103" s="396" t="s">
        <v>351</v>
      </c>
      <c r="B103" s="380">
        <v>191.99999999999599</v>
      </c>
      <c r="C103" s="380">
        <v>209.89</v>
      </c>
      <c r="D103" s="381">
        <v>17.890000000002999</v>
      </c>
      <c r="E103" s="387">
        <v>1.0931770833329999</v>
      </c>
      <c r="F103" s="380">
        <v>200</v>
      </c>
      <c r="G103" s="381">
        <v>83.333333333333002</v>
      </c>
      <c r="H103" s="383">
        <v>21.12</v>
      </c>
      <c r="I103" s="380">
        <v>101.58</v>
      </c>
      <c r="J103" s="381">
        <v>18.246666666665998</v>
      </c>
      <c r="K103" s="388">
        <v>0.50790000000000002</v>
      </c>
    </row>
    <row r="104" spans="1:11" ht="14.4" customHeight="1" thickBot="1" x14ac:dyDescent="0.35">
      <c r="A104" s="397" t="s">
        <v>352</v>
      </c>
      <c r="B104" s="375">
        <v>191.99999999999599</v>
      </c>
      <c r="C104" s="375">
        <v>209.89</v>
      </c>
      <c r="D104" s="376">
        <v>17.890000000002999</v>
      </c>
      <c r="E104" s="377">
        <v>1.0931770833329999</v>
      </c>
      <c r="F104" s="375">
        <v>200</v>
      </c>
      <c r="G104" s="376">
        <v>83.333333333333002</v>
      </c>
      <c r="H104" s="378">
        <v>21.12</v>
      </c>
      <c r="I104" s="375">
        <v>101.58</v>
      </c>
      <c r="J104" s="376">
        <v>18.246666666665998</v>
      </c>
      <c r="K104" s="379">
        <v>0.50790000000000002</v>
      </c>
    </row>
    <row r="105" spans="1:11" ht="14.4" customHeight="1" thickBot="1" x14ac:dyDescent="0.35">
      <c r="A105" s="396" t="s">
        <v>353</v>
      </c>
      <c r="B105" s="380">
        <v>61.999999999998003</v>
      </c>
      <c r="C105" s="380">
        <v>69.977000000000004</v>
      </c>
      <c r="D105" s="381">
        <v>7.9770000000010004</v>
      </c>
      <c r="E105" s="387">
        <v>1.1286612903219999</v>
      </c>
      <c r="F105" s="380">
        <v>64.999997952656997</v>
      </c>
      <c r="G105" s="381">
        <v>27.083332480273999</v>
      </c>
      <c r="H105" s="383">
        <v>4.1879999999999997</v>
      </c>
      <c r="I105" s="380">
        <v>33.628</v>
      </c>
      <c r="J105" s="381">
        <v>6.5446675197259996</v>
      </c>
      <c r="K105" s="388">
        <v>0.51735386244899995</v>
      </c>
    </row>
    <row r="106" spans="1:11" ht="14.4" customHeight="1" thickBot="1" x14ac:dyDescent="0.35">
      <c r="A106" s="397" t="s">
        <v>354</v>
      </c>
      <c r="B106" s="375">
        <v>61.999999999998003</v>
      </c>
      <c r="C106" s="375">
        <v>69.977000000000004</v>
      </c>
      <c r="D106" s="376">
        <v>7.9770000000010004</v>
      </c>
      <c r="E106" s="377">
        <v>1.1286612903219999</v>
      </c>
      <c r="F106" s="375">
        <v>64.999997952656997</v>
      </c>
      <c r="G106" s="376">
        <v>27.083332480273999</v>
      </c>
      <c r="H106" s="378">
        <v>4.1879999999999997</v>
      </c>
      <c r="I106" s="375">
        <v>33.628</v>
      </c>
      <c r="J106" s="376">
        <v>6.5446675197259996</v>
      </c>
      <c r="K106" s="379">
        <v>0.51735386244899995</v>
      </c>
    </row>
    <row r="107" spans="1:11" ht="14.4" customHeight="1" thickBot="1" x14ac:dyDescent="0.35">
      <c r="A107" s="395" t="s">
        <v>355</v>
      </c>
      <c r="B107" s="375">
        <v>6961.1370769801597</v>
      </c>
      <c r="C107" s="375">
        <v>6765.4158500000003</v>
      </c>
      <c r="D107" s="376">
        <v>-195.721226980155</v>
      </c>
      <c r="E107" s="377">
        <v>0.97188372749700003</v>
      </c>
      <c r="F107" s="375">
        <v>7139.9997751072997</v>
      </c>
      <c r="G107" s="376">
        <v>2974.9999062947099</v>
      </c>
      <c r="H107" s="378">
        <v>522.93754999999999</v>
      </c>
      <c r="I107" s="375">
        <v>2682.5293999999999</v>
      </c>
      <c r="J107" s="376">
        <v>-292.47050629470903</v>
      </c>
      <c r="K107" s="379">
        <v>0.37570440959200002</v>
      </c>
    </row>
    <row r="108" spans="1:11" ht="14.4" customHeight="1" thickBot="1" x14ac:dyDescent="0.35">
      <c r="A108" s="396" t="s">
        <v>356</v>
      </c>
      <c r="B108" s="380">
        <v>1843.13707698026</v>
      </c>
      <c r="C108" s="380">
        <v>1816.6360999999999</v>
      </c>
      <c r="D108" s="381">
        <v>-26.500976980259999</v>
      </c>
      <c r="E108" s="387">
        <v>0.985621808973</v>
      </c>
      <c r="F108" s="380">
        <v>1889.99994046958</v>
      </c>
      <c r="G108" s="381">
        <v>787.49997519565795</v>
      </c>
      <c r="H108" s="383">
        <v>140.9128</v>
      </c>
      <c r="I108" s="380">
        <v>720.62789999999995</v>
      </c>
      <c r="J108" s="381">
        <v>-66.872075195657999</v>
      </c>
      <c r="K108" s="388">
        <v>0.38128461518399998</v>
      </c>
    </row>
    <row r="109" spans="1:11" ht="14.4" customHeight="1" thickBot="1" x14ac:dyDescent="0.35">
      <c r="A109" s="397" t="s">
        <v>357</v>
      </c>
      <c r="B109" s="375">
        <v>1843.13707698026</v>
      </c>
      <c r="C109" s="375">
        <v>1816.6360999999999</v>
      </c>
      <c r="D109" s="376">
        <v>-26.500976980259999</v>
      </c>
      <c r="E109" s="377">
        <v>0.985621808973</v>
      </c>
      <c r="F109" s="375">
        <v>1889.99994046958</v>
      </c>
      <c r="G109" s="376">
        <v>787.49997519565795</v>
      </c>
      <c r="H109" s="378">
        <v>140.9128</v>
      </c>
      <c r="I109" s="375">
        <v>720.62789999999995</v>
      </c>
      <c r="J109" s="376">
        <v>-66.872075195657999</v>
      </c>
      <c r="K109" s="379">
        <v>0.38128461518399998</v>
      </c>
    </row>
    <row r="110" spans="1:11" ht="14.4" customHeight="1" thickBot="1" x14ac:dyDescent="0.35">
      <c r="A110" s="396" t="s">
        <v>358</v>
      </c>
      <c r="B110" s="380">
        <v>5117.9999999999</v>
      </c>
      <c r="C110" s="380">
        <v>4948.7797499999997</v>
      </c>
      <c r="D110" s="381">
        <v>-169.220249999895</v>
      </c>
      <c r="E110" s="387">
        <v>0.96693625439599995</v>
      </c>
      <c r="F110" s="380">
        <v>5249.9998346377197</v>
      </c>
      <c r="G110" s="381">
        <v>2187.4999310990502</v>
      </c>
      <c r="H110" s="383">
        <v>384.35975000000002</v>
      </c>
      <c r="I110" s="380">
        <v>1965.7455</v>
      </c>
      <c r="J110" s="381">
        <v>-221.754431099051</v>
      </c>
      <c r="K110" s="388">
        <v>0.37442772607899999</v>
      </c>
    </row>
    <row r="111" spans="1:11" ht="14.4" customHeight="1" thickBot="1" x14ac:dyDescent="0.35">
      <c r="A111" s="397" t="s">
        <v>359</v>
      </c>
      <c r="B111" s="375">
        <v>5117.9999999999</v>
      </c>
      <c r="C111" s="375">
        <v>4948.7797499999997</v>
      </c>
      <c r="D111" s="376">
        <v>-169.220249999895</v>
      </c>
      <c r="E111" s="377">
        <v>0.96693625439599995</v>
      </c>
      <c r="F111" s="375">
        <v>5249.9998346377197</v>
      </c>
      <c r="G111" s="376">
        <v>2187.4999310990502</v>
      </c>
      <c r="H111" s="378">
        <v>384.35975000000002</v>
      </c>
      <c r="I111" s="375">
        <v>1965.7455</v>
      </c>
      <c r="J111" s="376">
        <v>-221.754431099051</v>
      </c>
      <c r="K111" s="379">
        <v>0.37442772607899999</v>
      </c>
    </row>
    <row r="112" spans="1:11" ht="14.4" customHeight="1" thickBot="1" x14ac:dyDescent="0.35">
      <c r="A112" s="396" t="s">
        <v>360</v>
      </c>
      <c r="B112" s="380">
        <v>0</v>
      </c>
      <c r="C112" s="380">
        <v>0</v>
      </c>
      <c r="D112" s="381">
        <v>0</v>
      </c>
      <c r="E112" s="387">
        <v>1</v>
      </c>
      <c r="F112" s="380">
        <v>0</v>
      </c>
      <c r="G112" s="381">
        <v>0</v>
      </c>
      <c r="H112" s="383">
        <v>-0.61799999999999999</v>
      </c>
      <c r="I112" s="380">
        <v>-1.018</v>
      </c>
      <c r="J112" s="381">
        <v>-1.018</v>
      </c>
      <c r="K112" s="384" t="s">
        <v>267</v>
      </c>
    </row>
    <row r="113" spans="1:11" ht="14.4" customHeight="1" thickBot="1" x14ac:dyDescent="0.35">
      <c r="A113" s="397" t="s">
        <v>361</v>
      </c>
      <c r="B113" s="375">
        <v>0</v>
      </c>
      <c r="C113" s="375">
        <v>0</v>
      </c>
      <c r="D113" s="376">
        <v>0</v>
      </c>
      <c r="E113" s="377">
        <v>1</v>
      </c>
      <c r="F113" s="375">
        <v>0</v>
      </c>
      <c r="G113" s="376">
        <v>0</v>
      </c>
      <c r="H113" s="378">
        <v>-0.61799999999999999</v>
      </c>
      <c r="I113" s="375">
        <v>-1.018</v>
      </c>
      <c r="J113" s="376">
        <v>-1.018</v>
      </c>
      <c r="K113" s="386" t="s">
        <v>267</v>
      </c>
    </row>
    <row r="114" spans="1:11" ht="14.4" customHeight="1" thickBot="1" x14ac:dyDescent="0.35">
      <c r="A114" s="396" t="s">
        <v>362</v>
      </c>
      <c r="B114" s="380">
        <v>0</v>
      </c>
      <c r="C114" s="380">
        <v>0</v>
      </c>
      <c r="D114" s="381">
        <v>0</v>
      </c>
      <c r="E114" s="387">
        <v>1</v>
      </c>
      <c r="F114" s="380">
        <v>0</v>
      </c>
      <c r="G114" s="381">
        <v>0</v>
      </c>
      <c r="H114" s="383">
        <v>-1.7170000000000001</v>
      </c>
      <c r="I114" s="380">
        <v>-2.8260000000000001</v>
      </c>
      <c r="J114" s="381">
        <v>-2.8260000000000001</v>
      </c>
      <c r="K114" s="384" t="s">
        <v>267</v>
      </c>
    </row>
    <row r="115" spans="1:11" ht="14.4" customHeight="1" thickBot="1" x14ac:dyDescent="0.35">
      <c r="A115" s="397" t="s">
        <v>363</v>
      </c>
      <c r="B115" s="375">
        <v>0</v>
      </c>
      <c r="C115" s="375">
        <v>0</v>
      </c>
      <c r="D115" s="376">
        <v>0</v>
      </c>
      <c r="E115" s="377">
        <v>1</v>
      </c>
      <c r="F115" s="375">
        <v>0</v>
      </c>
      <c r="G115" s="376">
        <v>0</v>
      </c>
      <c r="H115" s="378">
        <v>-1.7170000000000001</v>
      </c>
      <c r="I115" s="375">
        <v>-2.8260000000000001</v>
      </c>
      <c r="J115" s="376">
        <v>-2.8260000000000001</v>
      </c>
      <c r="K115" s="386" t="s">
        <v>267</v>
      </c>
    </row>
    <row r="116" spans="1:11" ht="14.4" customHeight="1" thickBot="1" x14ac:dyDescent="0.35">
      <c r="A116" s="395" t="s">
        <v>364</v>
      </c>
      <c r="B116" s="375">
        <v>203.99999999999599</v>
      </c>
      <c r="C116" s="375">
        <v>201.5943</v>
      </c>
      <c r="D116" s="376">
        <v>-2.4056999999949999</v>
      </c>
      <c r="E116" s="377">
        <v>0.98820735294100004</v>
      </c>
      <c r="F116" s="375">
        <v>209.99999338550899</v>
      </c>
      <c r="G116" s="376">
        <v>87.499997243962</v>
      </c>
      <c r="H116" s="378">
        <v>15.571580000000001</v>
      </c>
      <c r="I116" s="375">
        <v>79.881630000000001</v>
      </c>
      <c r="J116" s="376">
        <v>-7.618367243962</v>
      </c>
      <c r="K116" s="379">
        <v>0.38038872626699999</v>
      </c>
    </row>
    <row r="117" spans="1:11" ht="14.4" customHeight="1" thickBot="1" x14ac:dyDescent="0.35">
      <c r="A117" s="396" t="s">
        <v>365</v>
      </c>
      <c r="B117" s="380">
        <v>203.99999999999599</v>
      </c>
      <c r="C117" s="380">
        <v>201.5943</v>
      </c>
      <c r="D117" s="381">
        <v>-2.4056999999949999</v>
      </c>
      <c r="E117" s="387">
        <v>0.98820735294100004</v>
      </c>
      <c r="F117" s="380">
        <v>209.99999338550899</v>
      </c>
      <c r="G117" s="381">
        <v>87.499997243962</v>
      </c>
      <c r="H117" s="383">
        <v>15.571580000000001</v>
      </c>
      <c r="I117" s="380">
        <v>79.881630000000001</v>
      </c>
      <c r="J117" s="381">
        <v>-7.618367243962</v>
      </c>
      <c r="K117" s="388">
        <v>0.38038872626699999</v>
      </c>
    </row>
    <row r="118" spans="1:11" ht="14.4" customHeight="1" thickBot="1" x14ac:dyDescent="0.35">
      <c r="A118" s="397" t="s">
        <v>366</v>
      </c>
      <c r="B118" s="375">
        <v>203.99999999999599</v>
      </c>
      <c r="C118" s="375">
        <v>201.5943</v>
      </c>
      <c r="D118" s="376">
        <v>-2.4056999999949999</v>
      </c>
      <c r="E118" s="377">
        <v>0.98820735294100004</v>
      </c>
      <c r="F118" s="375">
        <v>209.99999338550899</v>
      </c>
      <c r="G118" s="376">
        <v>87.499997243962</v>
      </c>
      <c r="H118" s="378">
        <v>15.571580000000001</v>
      </c>
      <c r="I118" s="375">
        <v>79.881630000000001</v>
      </c>
      <c r="J118" s="376">
        <v>-7.618367243962</v>
      </c>
      <c r="K118" s="379">
        <v>0.38038872626699999</v>
      </c>
    </row>
    <row r="119" spans="1:11" ht="14.4" customHeight="1" thickBot="1" x14ac:dyDescent="0.35">
      <c r="A119" s="394" t="s">
        <v>367</v>
      </c>
      <c r="B119" s="375">
        <v>0</v>
      </c>
      <c r="C119" s="375">
        <v>0.1</v>
      </c>
      <c r="D119" s="376">
        <v>0.1</v>
      </c>
      <c r="E119" s="385" t="s">
        <v>267</v>
      </c>
      <c r="F119" s="375">
        <v>0.102009169451</v>
      </c>
      <c r="G119" s="376">
        <v>4.2503820604000001E-2</v>
      </c>
      <c r="H119" s="378">
        <v>0</v>
      </c>
      <c r="I119" s="375">
        <v>0</v>
      </c>
      <c r="J119" s="376">
        <v>-4.2503820604000001E-2</v>
      </c>
      <c r="K119" s="379">
        <v>0</v>
      </c>
    </row>
    <row r="120" spans="1:11" ht="14.4" customHeight="1" thickBot="1" x14ac:dyDescent="0.35">
      <c r="A120" s="395" t="s">
        <v>368</v>
      </c>
      <c r="B120" s="375">
        <v>0</v>
      </c>
      <c r="C120" s="375">
        <v>0.1</v>
      </c>
      <c r="D120" s="376">
        <v>0.1</v>
      </c>
      <c r="E120" s="385" t="s">
        <v>267</v>
      </c>
      <c r="F120" s="375">
        <v>0.102009169451</v>
      </c>
      <c r="G120" s="376">
        <v>4.2503820604000001E-2</v>
      </c>
      <c r="H120" s="378">
        <v>0</v>
      </c>
      <c r="I120" s="375">
        <v>0</v>
      </c>
      <c r="J120" s="376">
        <v>-4.2503820604000001E-2</v>
      </c>
      <c r="K120" s="379">
        <v>0</v>
      </c>
    </row>
    <row r="121" spans="1:11" ht="14.4" customHeight="1" thickBot="1" x14ac:dyDescent="0.35">
      <c r="A121" s="396" t="s">
        <v>369</v>
      </c>
      <c r="B121" s="380">
        <v>0</v>
      </c>
      <c r="C121" s="380">
        <v>0.1</v>
      </c>
      <c r="D121" s="381">
        <v>0.1</v>
      </c>
      <c r="E121" s="382" t="s">
        <v>267</v>
      </c>
      <c r="F121" s="380">
        <v>0.102009169451</v>
      </c>
      <c r="G121" s="381">
        <v>4.2503820604000001E-2</v>
      </c>
      <c r="H121" s="383">
        <v>0</v>
      </c>
      <c r="I121" s="380">
        <v>0</v>
      </c>
      <c r="J121" s="381">
        <v>-4.2503820604000001E-2</v>
      </c>
      <c r="K121" s="388">
        <v>0</v>
      </c>
    </row>
    <row r="122" spans="1:11" ht="14.4" customHeight="1" thickBot="1" x14ac:dyDescent="0.35">
      <c r="A122" s="397" t="s">
        <v>370</v>
      </c>
      <c r="B122" s="375">
        <v>0</v>
      </c>
      <c r="C122" s="375">
        <v>0.1</v>
      </c>
      <c r="D122" s="376">
        <v>0.1</v>
      </c>
      <c r="E122" s="385" t="s">
        <v>267</v>
      </c>
      <c r="F122" s="375">
        <v>0.102009169451</v>
      </c>
      <c r="G122" s="376">
        <v>4.2503820604000001E-2</v>
      </c>
      <c r="H122" s="378">
        <v>0</v>
      </c>
      <c r="I122" s="375">
        <v>0</v>
      </c>
      <c r="J122" s="376">
        <v>-4.2503820604000001E-2</v>
      </c>
      <c r="K122" s="379">
        <v>0</v>
      </c>
    </row>
    <row r="123" spans="1:11" ht="14.4" customHeight="1" thickBot="1" x14ac:dyDescent="0.35">
      <c r="A123" s="394" t="s">
        <v>371</v>
      </c>
      <c r="B123" s="375">
        <v>0</v>
      </c>
      <c r="C123" s="375">
        <v>3.2327499999999998</v>
      </c>
      <c r="D123" s="376">
        <v>3.2327499999999998</v>
      </c>
      <c r="E123" s="385" t="s">
        <v>256</v>
      </c>
      <c r="F123" s="375">
        <v>0</v>
      </c>
      <c r="G123" s="376">
        <v>0</v>
      </c>
      <c r="H123" s="378">
        <v>0.13175000000000001</v>
      </c>
      <c r="I123" s="375">
        <v>6.5935499999999996</v>
      </c>
      <c r="J123" s="376">
        <v>6.5935499999999996</v>
      </c>
      <c r="K123" s="386" t="s">
        <v>256</v>
      </c>
    </row>
    <row r="124" spans="1:11" ht="14.4" customHeight="1" thickBot="1" x14ac:dyDescent="0.35">
      <c r="A124" s="395" t="s">
        <v>372</v>
      </c>
      <c r="B124" s="375">
        <v>0</v>
      </c>
      <c r="C124" s="375">
        <v>3.2327499999999998</v>
      </c>
      <c r="D124" s="376">
        <v>3.2327499999999998</v>
      </c>
      <c r="E124" s="385" t="s">
        <v>256</v>
      </c>
      <c r="F124" s="375">
        <v>0</v>
      </c>
      <c r="G124" s="376">
        <v>0</v>
      </c>
      <c r="H124" s="378">
        <v>0.13175000000000001</v>
      </c>
      <c r="I124" s="375">
        <v>6.5935499999999996</v>
      </c>
      <c r="J124" s="376">
        <v>6.5935499999999996</v>
      </c>
      <c r="K124" s="386" t="s">
        <v>256</v>
      </c>
    </row>
    <row r="125" spans="1:11" ht="14.4" customHeight="1" thickBot="1" x14ac:dyDescent="0.35">
      <c r="A125" s="396" t="s">
        <v>373</v>
      </c>
      <c r="B125" s="380">
        <v>0</v>
      </c>
      <c r="C125" s="380">
        <v>17.616949999999999</v>
      </c>
      <c r="D125" s="381">
        <v>17.616949999999999</v>
      </c>
      <c r="E125" s="382" t="s">
        <v>256</v>
      </c>
      <c r="F125" s="380">
        <v>0</v>
      </c>
      <c r="G125" s="381">
        <v>0</v>
      </c>
      <c r="H125" s="383">
        <v>0.13175000000000001</v>
      </c>
      <c r="I125" s="380">
        <v>6.5935499999999996</v>
      </c>
      <c r="J125" s="381">
        <v>6.5935499999999996</v>
      </c>
      <c r="K125" s="384" t="s">
        <v>256</v>
      </c>
    </row>
    <row r="126" spans="1:11" ht="14.4" customHeight="1" thickBot="1" x14ac:dyDescent="0.35">
      <c r="A126" s="397" t="s">
        <v>374</v>
      </c>
      <c r="B126" s="375">
        <v>0</v>
      </c>
      <c r="C126" s="375">
        <v>10.216950000000001</v>
      </c>
      <c r="D126" s="376">
        <v>10.216950000000001</v>
      </c>
      <c r="E126" s="385" t="s">
        <v>256</v>
      </c>
      <c r="F126" s="375">
        <v>0</v>
      </c>
      <c r="G126" s="376">
        <v>0</v>
      </c>
      <c r="H126" s="378">
        <v>0.13175000000000001</v>
      </c>
      <c r="I126" s="375">
        <v>0.39355000000000001</v>
      </c>
      <c r="J126" s="376">
        <v>0.39355000000000001</v>
      </c>
      <c r="K126" s="386" t="s">
        <v>256</v>
      </c>
    </row>
    <row r="127" spans="1:11" ht="14.4" customHeight="1" thickBot="1" x14ac:dyDescent="0.35">
      <c r="A127" s="397" t="s">
        <v>375</v>
      </c>
      <c r="B127" s="375">
        <v>0</v>
      </c>
      <c r="C127" s="375">
        <v>6</v>
      </c>
      <c r="D127" s="376">
        <v>6</v>
      </c>
      <c r="E127" s="385" t="s">
        <v>256</v>
      </c>
      <c r="F127" s="375">
        <v>0</v>
      </c>
      <c r="G127" s="376">
        <v>0</v>
      </c>
      <c r="H127" s="378">
        <v>0</v>
      </c>
      <c r="I127" s="375">
        <v>6</v>
      </c>
      <c r="J127" s="376">
        <v>6</v>
      </c>
      <c r="K127" s="386" t="s">
        <v>267</v>
      </c>
    </row>
    <row r="128" spans="1:11" ht="14.4" customHeight="1" thickBot="1" x14ac:dyDescent="0.35">
      <c r="A128" s="397" t="s">
        <v>376</v>
      </c>
      <c r="B128" s="375">
        <v>0</v>
      </c>
      <c r="C128" s="375">
        <v>0</v>
      </c>
      <c r="D128" s="376">
        <v>0</v>
      </c>
      <c r="E128" s="377">
        <v>1</v>
      </c>
      <c r="F128" s="375">
        <v>0</v>
      </c>
      <c r="G128" s="376">
        <v>0</v>
      </c>
      <c r="H128" s="378">
        <v>0</v>
      </c>
      <c r="I128" s="375">
        <v>0.2</v>
      </c>
      <c r="J128" s="376">
        <v>0.2</v>
      </c>
      <c r="K128" s="386" t="s">
        <v>267</v>
      </c>
    </row>
    <row r="129" spans="1:11" ht="14.4" customHeight="1" thickBot="1" x14ac:dyDescent="0.35">
      <c r="A129" s="397" t="s">
        <v>377</v>
      </c>
      <c r="B129" s="375">
        <v>0</v>
      </c>
      <c r="C129" s="375">
        <v>1.4</v>
      </c>
      <c r="D129" s="376">
        <v>1.4</v>
      </c>
      <c r="E129" s="385" t="s">
        <v>256</v>
      </c>
      <c r="F129" s="375">
        <v>0</v>
      </c>
      <c r="G129" s="376">
        <v>0</v>
      </c>
      <c r="H129" s="378">
        <v>0</v>
      </c>
      <c r="I129" s="375">
        <v>0</v>
      </c>
      <c r="J129" s="376">
        <v>0</v>
      </c>
      <c r="K129" s="386" t="s">
        <v>256</v>
      </c>
    </row>
    <row r="130" spans="1:11" ht="14.4" customHeight="1" thickBot="1" x14ac:dyDescent="0.35">
      <c r="A130" s="396" t="s">
        <v>378</v>
      </c>
      <c r="B130" s="380">
        <v>0</v>
      </c>
      <c r="C130" s="380">
        <v>-14.3842</v>
      </c>
      <c r="D130" s="381">
        <v>-14.3842</v>
      </c>
      <c r="E130" s="382" t="s">
        <v>267</v>
      </c>
      <c r="F130" s="380">
        <v>0</v>
      </c>
      <c r="G130" s="381">
        <v>0</v>
      </c>
      <c r="H130" s="383">
        <v>0</v>
      </c>
      <c r="I130" s="380">
        <v>0</v>
      </c>
      <c r="J130" s="381">
        <v>0</v>
      </c>
      <c r="K130" s="384" t="s">
        <v>256</v>
      </c>
    </row>
    <row r="131" spans="1:11" ht="14.4" customHeight="1" thickBot="1" x14ac:dyDescent="0.35">
      <c r="A131" s="397" t="s">
        <v>379</v>
      </c>
      <c r="B131" s="375">
        <v>0</v>
      </c>
      <c r="C131" s="375">
        <v>-14.3842</v>
      </c>
      <c r="D131" s="376">
        <v>-14.3842</v>
      </c>
      <c r="E131" s="385" t="s">
        <v>267</v>
      </c>
      <c r="F131" s="375">
        <v>0</v>
      </c>
      <c r="G131" s="376">
        <v>0</v>
      </c>
      <c r="H131" s="378">
        <v>0</v>
      </c>
      <c r="I131" s="375">
        <v>0</v>
      </c>
      <c r="J131" s="376">
        <v>0</v>
      </c>
      <c r="K131" s="386" t="s">
        <v>256</v>
      </c>
    </row>
    <row r="132" spans="1:11" ht="14.4" customHeight="1" thickBot="1" x14ac:dyDescent="0.35">
      <c r="A132" s="394" t="s">
        <v>380</v>
      </c>
      <c r="B132" s="375">
        <v>915.99812455183803</v>
      </c>
      <c r="C132" s="375">
        <v>1101.0498</v>
      </c>
      <c r="D132" s="376">
        <v>185.051675448162</v>
      </c>
      <c r="E132" s="377">
        <v>1.202021893373</v>
      </c>
      <c r="F132" s="375">
        <v>809.99997448694501</v>
      </c>
      <c r="G132" s="376">
        <v>337.49998936956098</v>
      </c>
      <c r="H132" s="378">
        <v>106.7675</v>
      </c>
      <c r="I132" s="375">
        <v>412.40750000000003</v>
      </c>
      <c r="J132" s="376">
        <v>74.907510630439006</v>
      </c>
      <c r="K132" s="379">
        <v>0.50914507776499995</v>
      </c>
    </row>
    <row r="133" spans="1:11" ht="14.4" customHeight="1" thickBot="1" x14ac:dyDescent="0.35">
      <c r="A133" s="395" t="s">
        <v>381</v>
      </c>
      <c r="B133" s="375">
        <v>896.99812455183803</v>
      </c>
      <c r="C133" s="375">
        <v>947.83600000000001</v>
      </c>
      <c r="D133" s="376">
        <v>50.837875448162002</v>
      </c>
      <c r="E133" s="377">
        <v>1.0566755649270001</v>
      </c>
      <c r="F133" s="375">
        <v>809.99997448694501</v>
      </c>
      <c r="G133" s="376">
        <v>337.49998936956098</v>
      </c>
      <c r="H133" s="378">
        <v>72.826999999999998</v>
      </c>
      <c r="I133" s="375">
        <v>375.27699999999999</v>
      </c>
      <c r="J133" s="376">
        <v>37.777010630439001</v>
      </c>
      <c r="K133" s="379">
        <v>0.46330495286399997</v>
      </c>
    </row>
    <row r="134" spans="1:11" ht="14.4" customHeight="1" thickBot="1" x14ac:dyDescent="0.35">
      <c r="A134" s="396" t="s">
        <v>382</v>
      </c>
      <c r="B134" s="380">
        <v>896.99812455183803</v>
      </c>
      <c r="C134" s="380">
        <v>904.18499999999995</v>
      </c>
      <c r="D134" s="381">
        <v>7.1868754481619996</v>
      </c>
      <c r="E134" s="387">
        <v>1.008012140997</v>
      </c>
      <c r="F134" s="380">
        <v>809.99997448694501</v>
      </c>
      <c r="G134" s="381">
        <v>337.49998936956098</v>
      </c>
      <c r="H134" s="383">
        <v>70.242999999999995</v>
      </c>
      <c r="I134" s="380">
        <v>356.45800000000003</v>
      </c>
      <c r="J134" s="381">
        <v>18.958010630438999</v>
      </c>
      <c r="K134" s="388">
        <v>0.44007161879899998</v>
      </c>
    </row>
    <row r="135" spans="1:11" ht="14.4" customHeight="1" thickBot="1" x14ac:dyDescent="0.35">
      <c r="A135" s="397" t="s">
        <v>383</v>
      </c>
      <c r="B135" s="375">
        <v>66.997338104844999</v>
      </c>
      <c r="C135" s="375">
        <v>67.403999999999996</v>
      </c>
      <c r="D135" s="376">
        <v>0.40666189515399997</v>
      </c>
      <c r="E135" s="377">
        <v>1.0060698216770001</v>
      </c>
      <c r="F135" s="375">
        <v>66.999997889661003</v>
      </c>
      <c r="G135" s="376">
        <v>27.916665787357999</v>
      </c>
      <c r="H135" s="378">
        <v>5.617</v>
      </c>
      <c r="I135" s="375">
        <v>28.085000000000001</v>
      </c>
      <c r="J135" s="376">
        <v>0.16833421264099999</v>
      </c>
      <c r="K135" s="379">
        <v>0.41917911767999999</v>
      </c>
    </row>
    <row r="136" spans="1:11" ht="14.4" customHeight="1" thickBot="1" x14ac:dyDescent="0.35">
      <c r="A136" s="397" t="s">
        <v>384</v>
      </c>
      <c r="B136" s="375">
        <v>607.99999999998897</v>
      </c>
      <c r="C136" s="375">
        <v>615.27599999999995</v>
      </c>
      <c r="D136" s="376">
        <v>7.2760000000109999</v>
      </c>
      <c r="E136" s="377">
        <v>1.0119671052629999</v>
      </c>
      <c r="F136" s="375">
        <v>572.999981951878</v>
      </c>
      <c r="G136" s="376">
        <v>238.74999247994899</v>
      </c>
      <c r="H136" s="378">
        <v>50.564</v>
      </c>
      <c r="I136" s="375">
        <v>253.00800000000001</v>
      </c>
      <c r="J136" s="376">
        <v>14.258007520051001</v>
      </c>
      <c r="K136" s="379">
        <v>0.44154975212699998</v>
      </c>
    </row>
    <row r="137" spans="1:11" ht="14.4" customHeight="1" thickBot="1" x14ac:dyDescent="0.35">
      <c r="A137" s="397" t="s">
        <v>385</v>
      </c>
      <c r="B137" s="375">
        <v>94.000786447006007</v>
      </c>
      <c r="C137" s="375">
        <v>93.745000000000005</v>
      </c>
      <c r="D137" s="376">
        <v>-0.25578644700600001</v>
      </c>
      <c r="E137" s="377">
        <v>0.99727889035100004</v>
      </c>
      <c r="F137" s="375">
        <v>41.999998677100997</v>
      </c>
      <c r="G137" s="376">
        <v>17.499999448792</v>
      </c>
      <c r="H137" s="378">
        <v>4.08</v>
      </c>
      <c r="I137" s="375">
        <v>24.129000000000001</v>
      </c>
      <c r="J137" s="376">
        <v>6.6290005512069996</v>
      </c>
      <c r="K137" s="379">
        <v>0.57450001809499995</v>
      </c>
    </row>
    <row r="138" spans="1:11" ht="14.4" customHeight="1" thickBot="1" x14ac:dyDescent="0.35">
      <c r="A138" s="397" t="s">
        <v>386</v>
      </c>
      <c r="B138" s="375">
        <v>127.999999999998</v>
      </c>
      <c r="C138" s="375">
        <v>127.76</v>
      </c>
      <c r="D138" s="376">
        <v>-0.239999999997</v>
      </c>
      <c r="E138" s="377">
        <v>0.99812500000000004</v>
      </c>
      <c r="F138" s="375">
        <v>127.999995968305</v>
      </c>
      <c r="G138" s="376">
        <v>53.33333165346</v>
      </c>
      <c r="H138" s="378">
        <v>9.9819999999999993</v>
      </c>
      <c r="I138" s="375">
        <v>51.235999999999997</v>
      </c>
      <c r="J138" s="376">
        <v>-2.0973316534599999</v>
      </c>
      <c r="K138" s="379">
        <v>0.40028126260699998</v>
      </c>
    </row>
    <row r="139" spans="1:11" ht="14.4" customHeight="1" thickBot="1" x14ac:dyDescent="0.35">
      <c r="A139" s="396" t="s">
        <v>387</v>
      </c>
      <c r="B139" s="380">
        <v>0</v>
      </c>
      <c r="C139" s="380">
        <v>43.651000000000003</v>
      </c>
      <c r="D139" s="381">
        <v>43.651000000000003</v>
      </c>
      <c r="E139" s="382" t="s">
        <v>256</v>
      </c>
      <c r="F139" s="380">
        <v>0</v>
      </c>
      <c r="G139" s="381">
        <v>0</v>
      </c>
      <c r="H139" s="383">
        <v>2.5840000000000001</v>
      </c>
      <c r="I139" s="380">
        <v>18.818999999999999</v>
      </c>
      <c r="J139" s="381">
        <v>18.818999999999999</v>
      </c>
      <c r="K139" s="384" t="s">
        <v>256</v>
      </c>
    </row>
    <row r="140" spans="1:11" ht="14.4" customHeight="1" thickBot="1" x14ac:dyDescent="0.35">
      <c r="A140" s="397" t="s">
        <v>388</v>
      </c>
      <c r="B140" s="375">
        <v>0</v>
      </c>
      <c r="C140" s="375">
        <v>43.651000000000003</v>
      </c>
      <c r="D140" s="376">
        <v>43.651000000000003</v>
      </c>
      <c r="E140" s="385" t="s">
        <v>256</v>
      </c>
      <c r="F140" s="375">
        <v>0</v>
      </c>
      <c r="G140" s="376">
        <v>0</v>
      </c>
      <c r="H140" s="378">
        <v>2.5840000000000001</v>
      </c>
      <c r="I140" s="375">
        <v>2.5840000000000001</v>
      </c>
      <c r="J140" s="376">
        <v>2.5840000000000001</v>
      </c>
      <c r="K140" s="386" t="s">
        <v>256</v>
      </c>
    </row>
    <row r="141" spans="1:11" ht="14.4" customHeight="1" thickBot="1" x14ac:dyDescent="0.35">
      <c r="A141" s="397" t="s">
        <v>389</v>
      </c>
      <c r="B141" s="375">
        <v>0</v>
      </c>
      <c r="C141" s="375">
        <v>0</v>
      </c>
      <c r="D141" s="376">
        <v>0</v>
      </c>
      <c r="E141" s="377">
        <v>1</v>
      </c>
      <c r="F141" s="375">
        <v>0</v>
      </c>
      <c r="G141" s="376">
        <v>0</v>
      </c>
      <c r="H141" s="378">
        <v>0</v>
      </c>
      <c r="I141" s="375">
        <v>16.234999999999999</v>
      </c>
      <c r="J141" s="376">
        <v>16.234999999999999</v>
      </c>
      <c r="K141" s="386" t="s">
        <v>267</v>
      </c>
    </row>
    <row r="142" spans="1:11" ht="14.4" customHeight="1" thickBot="1" x14ac:dyDescent="0.35">
      <c r="A142" s="395" t="s">
        <v>390</v>
      </c>
      <c r="B142" s="375">
        <v>19</v>
      </c>
      <c r="C142" s="375">
        <v>153.21379999999999</v>
      </c>
      <c r="D142" s="376">
        <v>134.21379999999999</v>
      </c>
      <c r="E142" s="377">
        <v>8.063884210526</v>
      </c>
      <c r="F142" s="375">
        <v>0</v>
      </c>
      <c r="G142" s="376">
        <v>0</v>
      </c>
      <c r="H142" s="378">
        <v>33.9405</v>
      </c>
      <c r="I142" s="375">
        <v>37.130499999999998</v>
      </c>
      <c r="J142" s="376">
        <v>37.130499999999998</v>
      </c>
      <c r="K142" s="386" t="s">
        <v>256</v>
      </c>
    </row>
    <row r="143" spans="1:11" ht="14.4" customHeight="1" thickBot="1" x14ac:dyDescent="0.35">
      <c r="A143" s="396" t="s">
        <v>391</v>
      </c>
      <c r="B143" s="380">
        <v>19</v>
      </c>
      <c r="C143" s="380">
        <v>65.015799999999999</v>
      </c>
      <c r="D143" s="381">
        <v>46.015799999999999</v>
      </c>
      <c r="E143" s="387">
        <v>3.4218842105260001</v>
      </c>
      <c r="F143" s="380">
        <v>0</v>
      </c>
      <c r="G143" s="381">
        <v>0</v>
      </c>
      <c r="H143" s="383">
        <v>0</v>
      </c>
      <c r="I143" s="380">
        <v>0</v>
      </c>
      <c r="J143" s="381">
        <v>0</v>
      </c>
      <c r="K143" s="388">
        <v>0</v>
      </c>
    </row>
    <row r="144" spans="1:11" ht="14.4" customHeight="1" thickBot="1" x14ac:dyDescent="0.35">
      <c r="A144" s="397" t="s">
        <v>392</v>
      </c>
      <c r="B144" s="375">
        <v>19</v>
      </c>
      <c r="C144" s="375">
        <v>65.015799999999999</v>
      </c>
      <c r="D144" s="376">
        <v>46.015799999999999</v>
      </c>
      <c r="E144" s="377">
        <v>3.4218842105260001</v>
      </c>
      <c r="F144" s="375">
        <v>0</v>
      </c>
      <c r="G144" s="376">
        <v>0</v>
      </c>
      <c r="H144" s="378">
        <v>0</v>
      </c>
      <c r="I144" s="375">
        <v>0</v>
      </c>
      <c r="J144" s="376">
        <v>0</v>
      </c>
      <c r="K144" s="379">
        <v>0</v>
      </c>
    </row>
    <row r="145" spans="1:11" ht="14.4" customHeight="1" thickBot="1" x14ac:dyDescent="0.35">
      <c r="A145" s="396" t="s">
        <v>393</v>
      </c>
      <c r="B145" s="380">
        <v>0</v>
      </c>
      <c r="C145" s="380">
        <v>21.969000000000001</v>
      </c>
      <c r="D145" s="381">
        <v>21.969000000000001</v>
      </c>
      <c r="E145" s="382" t="s">
        <v>256</v>
      </c>
      <c r="F145" s="380">
        <v>0</v>
      </c>
      <c r="G145" s="381">
        <v>0</v>
      </c>
      <c r="H145" s="383">
        <v>0</v>
      </c>
      <c r="I145" s="380">
        <v>3.19</v>
      </c>
      <c r="J145" s="381">
        <v>3.19</v>
      </c>
      <c r="K145" s="384" t="s">
        <v>256</v>
      </c>
    </row>
    <row r="146" spans="1:11" ht="14.4" customHeight="1" thickBot="1" x14ac:dyDescent="0.35">
      <c r="A146" s="397" t="s">
        <v>394</v>
      </c>
      <c r="B146" s="375">
        <v>0</v>
      </c>
      <c r="C146" s="375">
        <v>0</v>
      </c>
      <c r="D146" s="376">
        <v>0</v>
      </c>
      <c r="E146" s="377">
        <v>1</v>
      </c>
      <c r="F146" s="375">
        <v>0</v>
      </c>
      <c r="G146" s="376">
        <v>0</v>
      </c>
      <c r="H146" s="378">
        <v>0</v>
      </c>
      <c r="I146" s="375">
        <v>3.19</v>
      </c>
      <c r="J146" s="376">
        <v>3.19</v>
      </c>
      <c r="K146" s="386" t="s">
        <v>267</v>
      </c>
    </row>
    <row r="147" spans="1:11" ht="14.4" customHeight="1" thickBot="1" x14ac:dyDescent="0.35">
      <c r="A147" s="397" t="s">
        <v>395</v>
      </c>
      <c r="B147" s="375">
        <v>0</v>
      </c>
      <c r="C147" s="375">
        <v>16.329000000000001</v>
      </c>
      <c r="D147" s="376">
        <v>16.329000000000001</v>
      </c>
      <c r="E147" s="385" t="s">
        <v>256</v>
      </c>
      <c r="F147" s="375">
        <v>0</v>
      </c>
      <c r="G147" s="376">
        <v>0</v>
      </c>
      <c r="H147" s="378">
        <v>0</v>
      </c>
      <c r="I147" s="375">
        <v>7.9936057773011302E-15</v>
      </c>
      <c r="J147" s="376">
        <v>7.9936057773011302E-15</v>
      </c>
      <c r="K147" s="386" t="s">
        <v>256</v>
      </c>
    </row>
    <row r="148" spans="1:11" ht="14.4" customHeight="1" thickBot="1" x14ac:dyDescent="0.35">
      <c r="A148" s="397" t="s">
        <v>396</v>
      </c>
      <c r="B148" s="375">
        <v>0</v>
      </c>
      <c r="C148" s="375">
        <v>5.64</v>
      </c>
      <c r="D148" s="376">
        <v>5.64</v>
      </c>
      <c r="E148" s="385" t="s">
        <v>267</v>
      </c>
      <c r="F148" s="375">
        <v>0</v>
      </c>
      <c r="G148" s="376">
        <v>0</v>
      </c>
      <c r="H148" s="378">
        <v>0</v>
      </c>
      <c r="I148" s="375">
        <v>0</v>
      </c>
      <c r="J148" s="376">
        <v>0</v>
      </c>
      <c r="K148" s="386" t="s">
        <v>256</v>
      </c>
    </row>
    <row r="149" spans="1:11" ht="14.4" customHeight="1" thickBot="1" x14ac:dyDescent="0.35">
      <c r="A149" s="396" t="s">
        <v>397</v>
      </c>
      <c r="B149" s="380">
        <v>0</v>
      </c>
      <c r="C149" s="380">
        <v>28.706900000000001</v>
      </c>
      <c r="D149" s="381">
        <v>28.706900000000001</v>
      </c>
      <c r="E149" s="382" t="s">
        <v>256</v>
      </c>
      <c r="F149" s="380">
        <v>0</v>
      </c>
      <c r="G149" s="381">
        <v>0</v>
      </c>
      <c r="H149" s="383">
        <v>0</v>
      </c>
      <c r="I149" s="380">
        <v>0</v>
      </c>
      <c r="J149" s="381">
        <v>0</v>
      </c>
      <c r="K149" s="388">
        <v>0</v>
      </c>
    </row>
    <row r="150" spans="1:11" ht="14.4" customHeight="1" thickBot="1" x14ac:dyDescent="0.35">
      <c r="A150" s="397" t="s">
        <v>398</v>
      </c>
      <c r="B150" s="375">
        <v>0</v>
      </c>
      <c r="C150" s="375">
        <v>28.706900000000001</v>
      </c>
      <c r="D150" s="376">
        <v>28.706900000000001</v>
      </c>
      <c r="E150" s="385" t="s">
        <v>256</v>
      </c>
      <c r="F150" s="375">
        <v>0</v>
      </c>
      <c r="G150" s="376">
        <v>0</v>
      </c>
      <c r="H150" s="378">
        <v>0</v>
      </c>
      <c r="I150" s="375">
        <v>0</v>
      </c>
      <c r="J150" s="376">
        <v>0</v>
      </c>
      <c r="K150" s="379">
        <v>0</v>
      </c>
    </row>
    <row r="151" spans="1:11" ht="14.4" customHeight="1" thickBot="1" x14ac:dyDescent="0.35">
      <c r="A151" s="396" t="s">
        <v>399</v>
      </c>
      <c r="B151" s="380">
        <v>0</v>
      </c>
      <c r="C151" s="380">
        <v>37.522100000000002</v>
      </c>
      <c r="D151" s="381">
        <v>37.522100000000002</v>
      </c>
      <c r="E151" s="382" t="s">
        <v>256</v>
      </c>
      <c r="F151" s="380">
        <v>0</v>
      </c>
      <c r="G151" s="381">
        <v>0</v>
      </c>
      <c r="H151" s="383">
        <v>33.9405</v>
      </c>
      <c r="I151" s="380">
        <v>33.9405</v>
      </c>
      <c r="J151" s="381">
        <v>33.9405</v>
      </c>
      <c r="K151" s="384" t="s">
        <v>256</v>
      </c>
    </row>
    <row r="152" spans="1:11" ht="14.4" customHeight="1" thickBot="1" x14ac:dyDescent="0.35">
      <c r="A152" s="397" t="s">
        <v>400</v>
      </c>
      <c r="B152" s="375">
        <v>0</v>
      </c>
      <c r="C152" s="375">
        <v>37.522100000000002</v>
      </c>
      <c r="D152" s="376">
        <v>37.522100000000002</v>
      </c>
      <c r="E152" s="385" t="s">
        <v>256</v>
      </c>
      <c r="F152" s="375">
        <v>0</v>
      </c>
      <c r="G152" s="376">
        <v>0</v>
      </c>
      <c r="H152" s="378">
        <v>33.9405</v>
      </c>
      <c r="I152" s="375">
        <v>33.9405</v>
      </c>
      <c r="J152" s="376">
        <v>33.9405</v>
      </c>
      <c r="K152" s="386" t="s">
        <v>256</v>
      </c>
    </row>
    <row r="153" spans="1:11" ht="14.4" customHeight="1" thickBot="1" x14ac:dyDescent="0.35">
      <c r="A153" s="394" t="s">
        <v>401</v>
      </c>
      <c r="B153" s="375">
        <v>0</v>
      </c>
      <c r="C153" s="375">
        <v>8.8500000000000002E-3</v>
      </c>
      <c r="D153" s="376">
        <v>8.8500000000000002E-3</v>
      </c>
      <c r="E153" s="385" t="s">
        <v>267</v>
      </c>
      <c r="F153" s="375">
        <v>0</v>
      </c>
      <c r="G153" s="376">
        <v>0</v>
      </c>
      <c r="H153" s="378">
        <v>0</v>
      </c>
      <c r="I153" s="375">
        <v>0</v>
      </c>
      <c r="J153" s="376">
        <v>0</v>
      </c>
      <c r="K153" s="386" t="s">
        <v>256</v>
      </c>
    </row>
    <row r="154" spans="1:11" ht="14.4" customHeight="1" thickBot="1" x14ac:dyDescent="0.35">
      <c r="A154" s="395" t="s">
        <v>402</v>
      </c>
      <c r="B154" s="375">
        <v>0</v>
      </c>
      <c r="C154" s="375">
        <v>8.8500000000000002E-3</v>
      </c>
      <c r="D154" s="376">
        <v>8.8500000000000002E-3</v>
      </c>
      <c r="E154" s="385" t="s">
        <v>267</v>
      </c>
      <c r="F154" s="375">
        <v>0</v>
      </c>
      <c r="G154" s="376">
        <v>0</v>
      </c>
      <c r="H154" s="378">
        <v>0</v>
      </c>
      <c r="I154" s="375">
        <v>0</v>
      </c>
      <c r="J154" s="376">
        <v>0</v>
      </c>
      <c r="K154" s="386" t="s">
        <v>256</v>
      </c>
    </row>
    <row r="155" spans="1:11" ht="14.4" customHeight="1" thickBot="1" x14ac:dyDescent="0.35">
      <c r="A155" s="396" t="s">
        <v>403</v>
      </c>
      <c r="B155" s="380">
        <v>0</v>
      </c>
      <c r="C155" s="380">
        <v>8.8500000000000002E-3</v>
      </c>
      <c r="D155" s="381">
        <v>8.8500000000000002E-3</v>
      </c>
      <c r="E155" s="382" t="s">
        <v>267</v>
      </c>
      <c r="F155" s="380">
        <v>0</v>
      </c>
      <c r="G155" s="381">
        <v>0</v>
      </c>
      <c r="H155" s="383">
        <v>0</v>
      </c>
      <c r="I155" s="380">
        <v>0</v>
      </c>
      <c r="J155" s="381">
        <v>0</v>
      </c>
      <c r="K155" s="384" t="s">
        <v>256</v>
      </c>
    </row>
    <row r="156" spans="1:11" ht="14.4" customHeight="1" thickBot="1" x14ac:dyDescent="0.35">
      <c r="A156" s="397" t="s">
        <v>404</v>
      </c>
      <c r="B156" s="375">
        <v>0</v>
      </c>
      <c r="C156" s="375">
        <v>8.8500000000000002E-3</v>
      </c>
      <c r="D156" s="376">
        <v>8.8500000000000002E-3</v>
      </c>
      <c r="E156" s="385" t="s">
        <v>267</v>
      </c>
      <c r="F156" s="375">
        <v>0</v>
      </c>
      <c r="G156" s="376">
        <v>0</v>
      </c>
      <c r="H156" s="378">
        <v>0</v>
      </c>
      <c r="I156" s="375">
        <v>0</v>
      </c>
      <c r="J156" s="376">
        <v>0</v>
      </c>
      <c r="K156" s="386" t="s">
        <v>256</v>
      </c>
    </row>
    <row r="157" spans="1:11" ht="14.4" customHeight="1" thickBot="1" x14ac:dyDescent="0.35">
      <c r="A157" s="393" t="s">
        <v>405</v>
      </c>
      <c r="B157" s="375">
        <v>33782.800523264799</v>
      </c>
      <c r="C157" s="375">
        <v>32506.237649999999</v>
      </c>
      <c r="D157" s="376">
        <v>-1276.5628732648399</v>
      </c>
      <c r="E157" s="377">
        <v>0.96221263916800004</v>
      </c>
      <c r="F157" s="375">
        <v>31920.859483344</v>
      </c>
      <c r="G157" s="376">
        <v>13300.358118059999</v>
      </c>
      <c r="H157" s="378">
        <v>2820.7167899999999</v>
      </c>
      <c r="I157" s="375">
        <v>14753.64183</v>
      </c>
      <c r="J157" s="376">
        <v>1453.2837119399801</v>
      </c>
      <c r="K157" s="379">
        <v>0.46219437912299999</v>
      </c>
    </row>
    <row r="158" spans="1:11" ht="14.4" customHeight="1" thickBot="1" x14ac:dyDescent="0.35">
      <c r="A158" s="394" t="s">
        <v>406</v>
      </c>
      <c r="B158" s="375">
        <v>33527.243349538498</v>
      </c>
      <c r="C158" s="375">
        <v>32309.163680000001</v>
      </c>
      <c r="D158" s="376">
        <v>-1218.07966953852</v>
      </c>
      <c r="E158" s="377">
        <v>0.96366895849900003</v>
      </c>
      <c r="F158" s="375">
        <v>31751.5512290064</v>
      </c>
      <c r="G158" s="376">
        <v>13229.813012086001</v>
      </c>
      <c r="H158" s="378">
        <v>2800.6990799999999</v>
      </c>
      <c r="I158" s="375">
        <v>14591.668739999999</v>
      </c>
      <c r="J158" s="376">
        <v>1361.85572791401</v>
      </c>
      <c r="K158" s="379">
        <v>0.45955766490700001</v>
      </c>
    </row>
    <row r="159" spans="1:11" ht="14.4" customHeight="1" thickBot="1" x14ac:dyDescent="0.35">
      <c r="A159" s="395" t="s">
        <v>407</v>
      </c>
      <c r="B159" s="375">
        <v>33527.243349538498</v>
      </c>
      <c r="C159" s="375">
        <v>32309.163680000001</v>
      </c>
      <c r="D159" s="376">
        <v>-1218.07966953852</v>
      </c>
      <c r="E159" s="377">
        <v>0.96366895849900003</v>
      </c>
      <c r="F159" s="375">
        <v>31751.5512290064</v>
      </c>
      <c r="G159" s="376">
        <v>13229.813012086001</v>
      </c>
      <c r="H159" s="378">
        <v>2800.6990799999999</v>
      </c>
      <c r="I159" s="375">
        <v>14591.668739999999</v>
      </c>
      <c r="J159" s="376">
        <v>1361.85572791401</v>
      </c>
      <c r="K159" s="379">
        <v>0.45955766490700001</v>
      </c>
    </row>
    <row r="160" spans="1:11" ht="14.4" customHeight="1" thickBot="1" x14ac:dyDescent="0.35">
      <c r="A160" s="396" t="s">
        <v>408</v>
      </c>
      <c r="B160" s="380">
        <v>11734.3418363575</v>
      </c>
      <c r="C160" s="380">
        <v>11082.390460000001</v>
      </c>
      <c r="D160" s="381">
        <v>-651.95137635754099</v>
      </c>
      <c r="E160" s="387">
        <v>0.94444073766900005</v>
      </c>
      <c r="F160" s="380">
        <v>10544.551229000799</v>
      </c>
      <c r="G160" s="381">
        <v>4393.5630120836804</v>
      </c>
      <c r="H160" s="383">
        <v>912.62627999999995</v>
      </c>
      <c r="I160" s="380">
        <v>4834.1794399999999</v>
      </c>
      <c r="J160" s="381">
        <v>440.61642791632403</v>
      </c>
      <c r="K160" s="388">
        <v>0.45845283834400002</v>
      </c>
    </row>
    <row r="161" spans="1:11" ht="14.4" customHeight="1" thickBot="1" x14ac:dyDescent="0.35">
      <c r="A161" s="397" t="s">
        <v>409</v>
      </c>
      <c r="B161" s="375">
        <v>3.1923837013030001</v>
      </c>
      <c r="C161" s="375">
        <v>5.0412699999999999</v>
      </c>
      <c r="D161" s="376">
        <v>1.848886298696</v>
      </c>
      <c r="E161" s="377">
        <v>1.579155412283</v>
      </c>
      <c r="F161" s="375">
        <v>4.5512290008239997</v>
      </c>
      <c r="G161" s="376">
        <v>1.89634541701</v>
      </c>
      <c r="H161" s="378">
        <v>0.16528000000000001</v>
      </c>
      <c r="I161" s="375">
        <v>1.48752</v>
      </c>
      <c r="J161" s="376">
        <v>-0.40882541701000003</v>
      </c>
      <c r="K161" s="379">
        <v>0.32683918997</v>
      </c>
    </row>
    <row r="162" spans="1:11" ht="14.4" customHeight="1" thickBot="1" x14ac:dyDescent="0.35">
      <c r="A162" s="397" t="s">
        <v>410</v>
      </c>
      <c r="B162" s="375">
        <v>0.73648338506800004</v>
      </c>
      <c r="C162" s="375">
        <v>0</v>
      </c>
      <c r="D162" s="376">
        <v>-0.73648338506800004</v>
      </c>
      <c r="E162" s="377">
        <v>0</v>
      </c>
      <c r="F162" s="375">
        <v>0</v>
      </c>
      <c r="G162" s="376">
        <v>0</v>
      </c>
      <c r="H162" s="378">
        <v>0</v>
      </c>
      <c r="I162" s="375">
        <v>0</v>
      </c>
      <c r="J162" s="376">
        <v>0</v>
      </c>
      <c r="K162" s="379">
        <v>0</v>
      </c>
    </row>
    <row r="163" spans="1:11" ht="14.4" customHeight="1" thickBot="1" x14ac:dyDescent="0.35">
      <c r="A163" s="397" t="s">
        <v>411</v>
      </c>
      <c r="B163" s="375">
        <v>66.763750633843998</v>
      </c>
      <c r="C163" s="375">
        <v>45.534999999999997</v>
      </c>
      <c r="D163" s="376">
        <v>-21.228750633844001</v>
      </c>
      <c r="E163" s="377">
        <v>0.68203178472799997</v>
      </c>
      <c r="F163" s="375">
        <v>46</v>
      </c>
      <c r="G163" s="376">
        <v>19.166666666666</v>
      </c>
      <c r="H163" s="378">
        <v>3.1059999999999999</v>
      </c>
      <c r="I163" s="375">
        <v>21.564</v>
      </c>
      <c r="J163" s="376">
        <v>2.397333333333</v>
      </c>
      <c r="K163" s="379">
        <v>0.46878260869499999</v>
      </c>
    </row>
    <row r="164" spans="1:11" ht="14.4" customHeight="1" thickBot="1" x14ac:dyDescent="0.35">
      <c r="A164" s="397" t="s">
        <v>412</v>
      </c>
      <c r="B164" s="375">
        <v>11663.6492186373</v>
      </c>
      <c r="C164" s="375">
        <v>11031.814189999999</v>
      </c>
      <c r="D164" s="376">
        <v>-631.83502863732394</v>
      </c>
      <c r="E164" s="377">
        <v>0.94582870105200001</v>
      </c>
      <c r="F164" s="375">
        <v>10494</v>
      </c>
      <c r="G164" s="376">
        <v>4372.5</v>
      </c>
      <c r="H164" s="378">
        <v>909.35500000000002</v>
      </c>
      <c r="I164" s="375">
        <v>4811.1279199999999</v>
      </c>
      <c r="J164" s="376">
        <v>438.62792000000002</v>
      </c>
      <c r="K164" s="379">
        <v>0.45846463884100003</v>
      </c>
    </row>
    <row r="165" spans="1:11" ht="14.4" customHeight="1" thickBot="1" x14ac:dyDescent="0.35">
      <c r="A165" s="396" t="s">
        <v>413</v>
      </c>
      <c r="B165" s="380">
        <v>7046</v>
      </c>
      <c r="C165" s="380">
        <v>6525.1779999999999</v>
      </c>
      <c r="D165" s="381">
        <v>-520.82199999999705</v>
      </c>
      <c r="E165" s="387">
        <v>0.92608260005599996</v>
      </c>
      <c r="F165" s="380">
        <v>6527.0000000017099</v>
      </c>
      <c r="G165" s="381">
        <v>2719.5833333340402</v>
      </c>
      <c r="H165" s="383">
        <v>610.27959999999996</v>
      </c>
      <c r="I165" s="380">
        <v>3041.2511</v>
      </c>
      <c r="J165" s="381">
        <v>321.66776666595501</v>
      </c>
      <c r="K165" s="388">
        <v>0.46594930289499997</v>
      </c>
    </row>
    <row r="166" spans="1:11" ht="14.4" customHeight="1" thickBot="1" x14ac:dyDescent="0.35">
      <c r="A166" s="397" t="s">
        <v>414</v>
      </c>
      <c r="B166" s="375">
        <v>7046</v>
      </c>
      <c r="C166" s="375">
        <v>6517.183</v>
      </c>
      <c r="D166" s="376">
        <v>-528.81699999999705</v>
      </c>
      <c r="E166" s="377">
        <v>0.92494791370899998</v>
      </c>
      <c r="F166" s="375">
        <v>6512.0000000016998</v>
      </c>
      <c r="G166" s="376">
        <v>2713.3333333340402</v>
      </c>
      <c r="H166" s="378">
        <v>610.27959999999996</v>
      </c>
      <c r="I166" s="375">
        <v>3040.4960999999998</v>
      </c>
      <c r="J166" s="376">
        <v>327.16276666595701</v>
      </c>
      <c r="K166" s="379">
        <v>0.46690664926199998</v>
      </c>
    </row>
    <row r="167" spans="1:11" ht="14.4" customHeight="1" thickBot="1" x14ac:dyDescent="0.35">
      <c r="A167" s="397" t="s">
        <v>415</v>
      </c>
      <c r="B167" s="375">
        <v>0</v>
      </c>
      <c r="C167" s="375">
        <v>7.9950000000000001</v>
      </c>
      <c r="D167" s="376">
        <v>7.9950000000000001</v>
      </c>
      <c r="E167" s="385" t="s">
        <v>256</v>
      </c>
      <c r="F167" s="375">
        <v>15.000000000003</v>
      </c>
      <c r="G167" s="376">
        <v>6.2500000000010001</v>
      </c>
      <c r="H167" s="378">
        <v>0</v>
      </c>
      <c r="I167" s="375">
        <v>0.755</v>
      </c>
      <c r="J167" s="376">
        <v>-5.4950000000010002</v>
      </c>
      <c r="K167" s="379">
        <v>5.0333333332999997E-2</v>
      </c>
    </row>
    <row r="168" spans="1:11" ht="14.4" customHeight="1" thickBot="1" x14ac:dyDescent="0.35">
      <c r="A168" s="396" t="s">
        <v>416</v>
      </c>
      <c r="B168" s="380">
        <v>14746.901513180999</v>
      </c>
      <c r="C168" s="380">
        <v>14701.595219999999</v>
      </c>
      <c r="D168" s="381">
        <v>-45.306293180981001</v>
      </c>
      <c r="E168" s="387">
        <v>0.99692774152300001</v>
      </c>
      <c r="F168" s="380">
        <v>14680.0000000038</v>
      </c>
      <c r="G168" s="381">
        <v>6116.6666666682604</v>
      </c>
      <c r="H168" s="383">
        <v>1277.7932000000001</v>
      </c>
      <c r="I168" s="380">
        <v>6716.2381999999998</v>
      </c>
      <c r="J168" s="381">
        <v>599.57153333173699</v>
      </c>
      <c r="K168" s="388">
        <v>0.45750941416800001</v>
      </c>
    </row>
    <row r="169" spans="1:11" ht="14.4" customHeight="1" thickBot="1" x14ac:dyDescent="0.35">
      <c r="A169" s="397" t="s">
        <v>417</v>
      </c>
      <c r="B169" s="375">
        <v>14746.901513180999</v>
      </c>
      <c r="C169" s="375">
        <v>14701.595219999999</v>
      </c>
      <c r="D169" s="376">
        <v>-45.306293180981001</v>
      </c>
      <c r="E169" s="377">
        <v>0.99692774152300001</v>
      </c>
      <c r="F169" s="375">
        <v>14680.0000000038</v>
      </c>
      <c r="G169" s="376">
        <v>6116.6666666682604</v>
      </c>
      <c r="H169" s="378">
        <v>1277.7932000000001</v>
      </c>
      <c r="I169" s="375">
        <v>6716.2381999999998</v>
      </c>
      <c r="J169" s="376">
        <v>599.57153333173699</v>
      </c>
      <c r="K169" s="379">
        <v>0.45750941416800001</v>
      </c>
    </row>
    <row r="170" spans="1:11" ht="14.4" customHeight="1" thickBot="1" x14ac:dyDescent="0.35">
      <c r="A170" s="394" t="s">
        <v>418</v>
      </c>
      <c r="B170" s="375">
        <v>255.55717372632401</v>
      </c>
      <c r="C170" s="375">
        <v>197.07397</v>
      </c>
      <c r="D170" s="376">
        <v>-58.483203726322998</v>
      </c>
      <c r="E170" s="377">
        <v>0.77115413011599998</v>
      </c>
      <c r="F170" s="375">
        <v>169.30825433768501</v>
      </c>
      <c r="G170" s="376">
        <v>70.545105974034996</v>
      </c>
      <c r="H170" s="378">
        <v>20.017710000000001</v>
      </c>
      <c r="I170" s="375">
        <v>161.97309000000001</v>
      </c>
      <c r="J170" s="376">
        <v>91.427984025963994</v>
      </c>
      <c r="K170" s="379">
        <v>0.95667568385000001</v>
      </c>
    </row>
    <row r="171" spans="1:11" ht="14.4" customHeight="1" thickBot="1" x14ac:dyDescent="0.35">
      <c r="A171" s="400" t="s">
        <v>419</v>
      </c>
      <c r="B171" s="380">
        <v>255.55717372632401</v>
      </c>
      <c r="C171" s="380">
        <v>197.07397</v>
      </c>
      <c r="D171" s="381">
        <v>-58.483203726322998</v>
      </c>
      <c r="E171" s="387">
        <v>0.77115413011599998</v>
      </c>
      <c r="F171" s="380">
        <v>169.30825433768501</v>
      </c>
      <c r="G171" s="381">
        <v>70.545105974034996</v>
      </c>
      <c r="H171" s="383">
        <v>20.017710000000001</v>
      </c>
      <c r="I171" s="380">
        <v>161.97309000000001</v>
      </c>
      <c r="J171" s="381">
        <v>91.427984025963994</v>
      </c>
      <c r="K171" s="388">
        <v>0.95667568385000001</v>
      </c>
    </row>
    <row r="172" spans="1:11" ht="14.4" customHeight="1" thickBot="1" x14ac:dyDescent="0.35">
      <c r="A172" s="396" t="s">
        <v>420</v>
      </c>
      <c r="B172" s="380">
        <v>0</v>
      </c>
      <c r="C172" s="380">
        <v>6.0999999999999997E-4</v>
      </c>
      <c r="D172" s="381">
        <v>6.0999999999999997E-4</v>
      </c>
      <c r="E172" s="382" t="s">
        <v>256</v>
      </c>
      <c r="F172" s="380">
        <v>0</v>
      </c>
      <c r="G172" s="381">
        <v>0</v>
      </c>
      <c r="H172" s="383">
        <v>3.0000000000000001E-5</v>
      </c>
      <c r="I172" s="380">
        <v>2.9999999999999997E-4</v>
      </c>
      <c r="J172" s="381">
        <v>2.9999999999999997E-4</v>
      </c>
      <c r="K172" s="384" t="s">
        <v>256</v>
      </c>
    </row>
    <row r="173" spans="1:11" ht="14.4" customHeight="1" thickBot="1" x14ac:dyDescent="0.35">
      <c r="A173" s="397" t="s">
        <v>421</v>
      </c>
      <c r="B173" s="375">
        <v>0</v>
      </c>
      <c r="C173" s="375">
        <v>6.0999999999999997E-4</v>
      </c>
      <c r="D173" s="376">
        <v>6.0999999999999997E-4</v>
      </c>
      <c r="E173" s="385" t="s">
        <v>256</v>
      </c>
      <c r="F173" s="375">
        <v>0</v>
      </c>
      <c r="G173" s="376">
        <v>0</v>
      </c>
      <c r="H173" s="378">
        <v>3.0000000000000001E-5</v>
      </c>
      <c r="I173" s="375">
        <v>2.9999999999999997E-4</v>
      </c>
      <c r="J173" s="376">
        <v>2.9999999999999997E-4</v>
      </c>
      <c r="K173" s="386" t="s">
        <v>256</v>
      </c>
    </row>
    <row r="174" spans="1:11" ht="14.4" customHeight="1" thickBot="1" x14ac:dyDescent="0.35">
      <c r="A174" s="396" t="s">
        <v>422</v>
      </c>
      <c r="B174" s="380">
        <v>255.55717372632401</v>
      </c>
      <c r="C174" s="380">
        <v>197.07336000000001</v>
      </c>
      <c r="D174" s="381">
        <v>-58.483813726323</v>
      </c>
      <c r="E174" s="387">
        <v>0.77115174317500002</v>
      </c>
      <c r="F174" s="380">
        <v>169.30825433768501</v>
      </c>
      <c r="G174" s="381">
        <v>70.545105974034996</v>
      </c>
      <c r="H174" s="383">
        <v>20.017679999999999</v>
      </c>
      <c r="I174" s="380">
        <v>161.97279</v>
      </c>
      <c r="J174" s="381">
        <v>91.427684025963998</v>
      </c>
      <c r="K174" s="388">
        <v>0.95667391193399998</v>
      </c>
    </row>
    <row r="175" spans="1:11" ht="14.4" customHeight="1" thickBot="1" x14ac:dyDescent="0.35">
      <c r="A175" s="397" t="s">
        <v>423</v>
      </c>
      <c r="B175" s="375">
        <v>0</v>
      </c>
      <c r="C175" s="375">
        <v>2.016</v>
      </c>
      <c r="D175" s="376">
        <v>2.016</v>
      </c>
      <c r="E175" s="385" t="s">
        <v>256</v>
      </c>
      <c r="F175" s="375">
        <v>1.308254337685</v>
      </c>
      <c r="G175" s="376">
        <v>0.54510597403500005</v>
      </c>
      <c r="H175" s="378">
        <v>0.183</v>
      </c>
      <c r="I175" s="375">
        <v>0.81599999999999995</v>
      </c>
      <c r="J175" s="376">
        <v>0.27089402596399997</v>
      </c>
      <c r="K175" s="379">
        <v>0.62373192772499997</v>
      </c>
    </row>
    <row r="176" spans="1:11" ht="14.4" customHeight="1" thickBot="1" x14ac:dyDescent="0.35">
      <c r="A176" s="397" t="s">
        <v>424</v>
      </c>
      <c r="B176" s="375">
        <v>255.55717372632401</v>
      </c>
      <c r="C176" s="375">
        <v>195.04098999999999</v>
      </c>
      <c r="D176" s="376">
        <v>-60.516183726323</v>
      </c>
      <c r="E176" s="377">
        <v>0.76319904135700001</v>
      </c>
      <c r="F176" s="375">
        <v>168</v>
      </c>
      <c r="G176" s="376">
        <v>70</v>
      </c>
      <c r="H176" s="378">
        <v>19.834679999999999</v>
      </c>
      <c r="I176" s="375">
        <v>161.15679</v>
      </c>
      <c r="J176" s="376">
        <v>91.156790000000001</v>
      </c>
      <c r="K176" s="379">
        <v>0.95926660714199996</v>
      </c>
    </row>
    <row r="177" spans="1:11" ht="14.4" customHeight="1" thickBot="1" x14ac:dyDescent="0.35">
      <c r="A177" s="397" t="s">
        <v>425</v>
      </c>
      <c r="B177" s="375">
        <v>0</v>
      </c>
      <c r="C177" s="375">
        <v>1.6369999999999999E-2</v>
      </c>
      <c r="D177" s="376">
        <v>1.6369999999999999E-2</v>
      </c>
      <c r="E177" s="385" t="s">
        <v>256</v>
      </c>
      <c r="F177" s="375">
        <v>0</v>
      </c>
      <c r="G177" s="376">
        <v>0</v>
      </c>
      <c r="H177" s="378">
        <v>0</v>
      </c>
      <c r="I177" s="375">
        <v>0</v>
      </c>
      <c r="J177" s="376">
        <v>0</v>
      </c>
      <c r="K177" s="386" t="s">
        <v>256</v>
      </c>
    </row>
    <row r="178" spans="1:11" ht="14.4" customHeight="1" thickBot="1" x14ac:dyDescent="0.35">
      <c r="A178" s="393" t="s">
        <v>426</v>
      </c>
      <c r="B178" s="375">
        <v>4520.0082222852297</v>
      </c>
      <c r="C178" s="375">
        <v>4225.86114</v>
      </c>
      <c r="D178" s="376">
        <v>-294.14708228522699</v>
      </c>
      <c r="E178" s="377">
        <v>0.93492333026399999</v>
      </c>
      <c r="F178" s="375">
        <v>0</v>
      </c>
      <c r="G178" s="376">
        <v>0</v>
      </c>
      <c r="H178" s="378">
        <v>246.054</v>
      </c>
      <c r="I178" s="375">
        <v>1375.82854</v>
      </c>
      <c r="J178" s="376">
        <v>1375.82854</v>
      </c>
      <c r="K178" s="386" t="s">
        <v>256</v>
      </c>
    </row>
    <row r="179" spans="1:11" ht="14.4" customHeight="1" thickBot="1" x14ac:dyDescent="0.35">
      <c r="A179" s="398" t="s">
        <v>427</v>
      </c>
      <c r="B179" s="380">
        <v>4520.0082222852297</v>
      </c>
      <c r="C179" s="380">
        <v>4225.86114</v>
      </c>
      <c r="D179" s="381">
        <v>-294.14708228522699</v>
      </c>
      <c r="E179" s="387">
        <v>0.93492333026399999</v>
      </c>
      <c r="F179" s="380">
        <v>0</v>
      </c>
      <c r="G179" s="381">
        <v>0</v>
      </c>
      <c r="H179" s="383">
        <v>246.054</v>
      </c>
      <c r="I179" s="380">
        <v>1375.82854</v>
      </c>
      <c r="J179" s="381">
        <v>1375.82854</v>
      </c>
      <c r="K179" s="384" t="s">
        <v>256</v>
      </c>
    </row>
    <row r="180" spans="1:11" ht="14.4" customHeight="1" thickBot="1" x14ac:dyDescent="0.35">
      <c r="A180" s="400" t="s">
        <v>41</v>
      </c>
      <c r="B180" s="380">
        <v>4520.0082222852297</v>
      </c>
      <c r="C180" s="380">
        <v>4225.86114</v>
      </c>
      <c r="D180" s="381">
        <v>-294.14708228522699</v>
      </c>
      <c r="E180" s="387">
        <v>0.93492333026399999</v>
      </c>
      <c r="F180" s="380">
        <v>0</v>
      </c>
      <c r="G180" s="381">
        <v>0</v>
      </c>
      <c r="H180" s="383">
        <v>246.054</v>
      </c>
      <c r="I180" s="380">
        <v>1375.82854</v>
      </c>
      <c r="J180" s="381">
        <v>1375.82854</v>
      </c>
      <c r="K180" s="384" t="s">
        <v>256</v>
      </c>
    </row>
    <row r="181" spans="1:11" ht="14.4" customHeight="1" thickBot="1" x14ac:dyDescent="0.35">
      <c r="A181" s="396" t="s">
        <v>428</v>
      </c>
      <c r="B181" s="380">
        <v>65</v>
      </c>
      <c r="C181" s="380">
        <v>46.53</v>
      </c>
      <c r="D181" s="381">
        <v>-18.47</v>
      </c>
      <c r="E181" s="387">
        <v>0.71584615384600003</v>
      </c>
      <c r="F181" s="380">
        <v>0</v>
      </c>
      <c r="G181" s="381">
        <v>0</v>
      </c>
      <c r="H181" s="383">
        <v>3.9180000000000001</v>
      </c>
      <c r="I181" s="380">
        <v>19.59075</v>
      </c>
      <c r="J181" s="381">
        <v>19.59075</v>
      </c>
      <c r="K181" s="384" t="s">
        <v>256</v>
      </c>
    </row>
    <row r="182" spans="1:11" ht="14.4" customHeight="1" thickBot="1" x14ac:dyDescent="0.35">
      <c r="A182" s="397" t="s">
        <v>429</v>
      </c>
      <c r="B182" s="375">
        <v>65</v>
      </c>
      <c r="C182" s="375">
        <v>46.53</v>
      </c>
      <c r="D182" s="376">
        <v>-18.47</v>
      </c>
      <c r="E182" s="377">
        <v>0.71584615384600003</v>
      </c>
      <c r="F182" s="375">
        <v>0</v>
      </c>
      <c r="G182" s="376">
        <v>0</v>
      </c>
      <c r="H182" s="378">
        <v>3.9180000000000001</v>
      </c>
      <c r="I182" s="375">
        <v>19.59075</v>
      </c>
      <c r="J182" s="376">
        <v>19.59075</v>
      </c>
      <c r="K182" s="386" t="s">
        <v>256</v>
      </c>
    </row>
    <row r="183" spans="1:11" ht="14.4" customHeight="1" thickBot="1" x14ac:dyDescent="0.35">
      <c r="A183" s="396" t="s">
        <v>430</v>
      </c>
      <c r="B183" s="380">
        <v>58.008222285228001</v>
      </c>
      <c r="C183" s="380">
        <v>63.968679999999999</v>
      </c>
      <c r="D183" s="381">
        <v>5.9604577147709996</v>
      </c>
      <c r="E183" s="387">
        <v>1.102751945844</v>
      </c>
      <c r="F183" s="380">
        <v>0</v>
      </c>
      <c r="G183" s="381">
        <v>0</v>
      </c>
      <c r="H183" s="383">
        <v>5.9784199999999998</v>
      </c>
      <c r="I183" s="380">
        <v>28.35</v>
      </c>
      <c r="J183" s="381">
        <v>28.35</v>
      </c>
      <c r="K183" s="384" t="s">
        <v>256</v>
      </c>
    </row>
    <row r="184" spans="1:11" ht="14.4" customHeight="1" thickBot="1" x14ac:dyDescent="0.35">
      <c r="A184" s="397" t="s">
        <v>431</v>
      </c>
      <c r="B184" s="375">
        <v>58.008222285228001</v>
      </c>
      <c r="C184" s="375">
        <v>63.968679999999999</v>
      </c>
      <c r="D184" s="376">
        <v>5.9604577147709996</v>
      </c>
      <c r="E184" s="377">
        <v>1.102751945844</v>
      </c>
      <c r="F184" s="375">
        <v>0</v>
      </c>
      <c r="G184" s="376">
        <v>0</v>
      </c>
      <c r="H184" s="378">
        <v>5.9784199999999998</v>
      </c>
      <c r="I184" s="375">
        <v>28.35</v>
      </c>
      <c r="J184" s="376">
        <v>28.35</v>
      </c>
      <c r="K184" s="386" t="s">
        <v>256</v>
      </c>
    </row>
    <row r="185" spans="1:11" ht="14.4" customHeight="1" thickBot="1" x14ac:dyDescent="0.35">
      <c r="A185" s="396" t="s">
        <v>432</v>
      </c>
      <c r="B185" s="380">
        <v>344</v>
      </c>
      <c r="C185" s="380">
        <v>184.03585000000001</v>
      </c>
      <c r="D185" s="381">
        <v>-159.96414999999999</v>
      </c>
      <c r="E185" s="387">
        <v>0.53498793604600003</v>
      </c>
      <c r="F185" s="380">
        <v>0</v>
      </c>
      <c r="G185" s="381">
        <v>0</v>
      </c>
      <c r="H185" s="383">
        <v>14.748699999999999</v>
      </c>
      <c r="I185" s="380">
        <v>77.20778</v>
      </c>
      <c r="J185" s="381">
        <v>77.20778</v>
      </c>
      <c r="K185" s="384" t="s">
        <v>256</v>
      </c>
    </row>
    <row r="186" spans="1:11" ht="14.4" customHeight="1" thickBot="1" x14ac:dyDescent="0.35">
      <c r="A186" s="397" t="s">
        <v>433</v>
      </c>
      <c r="B186" s="375">
        <v>344</v>
      </c>
      <c r="C186" s="375">
        <v>184.03585000000001</v>
      </c>
      <c r="D186" s="376">
        <v>-159.96414999999999</v>
      </c>
      <c r="E186" s="377">
        <v>0.53498793604600003</v>
      </c>
      <c r="F186" s="375">
        <v>0</v>
      </c>
      <c r="G186" s="376">
        <v>0</v>
      </c>
      <c r="H186" s="378">
        <v>14.748699999999999</v>
      </c>
      <c r="I186" s="375">
        <v>77.20778</v>
      </c>
      <c r="J186" s="376">
        <v>77.20778</v>
      </c>
      <c r="K186" s="386" t="s">
        <v>256</v>
      </c>
    </row>
    <row r="187" spans="1:11" ht="14.4" customHeight="1" thickBot="1" x14ac:dyDescent="0.35">
      <c r="A187" s="396" t="s">
        <v>434</v>
      </c>
      <c r="B187" s="380">
        <v>0</v>
      </c>
      <c r="C187" s="380">
        <v>5.8920000000000003</v>
      </c>
      <c r="D187" s="381">
        <v>5.8920000000000003</v>
      </c>
      <c r="E187" s="382" t="s">
        <v>267</v>
      </c>
      <c r="F187" s="380">
        <v>0</v>
      </c>
      <c r="G187" s="381">
        <v>0</v>
      </c>
      <c r="H187" s="383">
        <v>0.33400000000000002</v>
      </c>
      <c r="I187" s="380">
        <v>2.1419999999999999</v>
      </c>
      <c r="J187" s="381">
        <v>2.1419999999999999</v>
      </c>
      <c r="K187" s="384" t="s">
        <v>256</v>
      </c>
    </row>
    <row r="188" spans="1:11" ht="14.4" customHeight="1" thickBot="1" x14ac:dyDescent="0.35">
      <c r="A188" s="397" t="s">
        <v>435</v>
      </c>
      <c r="B188" s="375">
        <v>0</v>
      </c>
      <c r="C188" s="375">
        <v>5.8920000000000003</v>
      </c>
      <c r="D188" s="376">
        <v>5.8920000000000003</v>
      </c>
      <c r="E188" s="385" t="s">
        <v>267</v>
      </c>
      <c r="F188" s="375">
        <v>0</v>
      </c>
      <c r="G188" s="376">
        <v>0</v>
      </c>
      <c r="H188" s="378">
        <v>0.33400000000000002</v>
      </c>
      <c r="I188" s="375">
        <v>2.1419999999999999</v>
      </c>
      <c r="J188" s="376">
        <v>2.1419999999999999</v>
      </c>
      <c r="K188" s="386" t="s">
        <v>256</v>
      </c>
    </row>
    <row r="189" spans="1:11" ht="14.4" customHeight="1" thickBot="1" x14ac:dyDescent="0.35">
      <c r="A189" s="396" t="s">
        <v>436</v>
      </c>
      <c r="B189" s="380">
        <v>919</v>
      </c>
      <c r="C189" s="380">
        <v>805.38708999999994</v>
      </c>
      <c r="D189" s="381">
        <v>-113.61291</v>
      </c>
      <c r="E189" s="387">
        <v>0.87637332970600001</v>
      </c>
      <c r="F189" s="380">
        <v>0</v>
      </c>
      <c r="G189" s="381">
        <v>0</v>
      </c>
      <c r="H189" s="383">
        <v>12.45837</v>
      </c>
      <c r="I189" s="380">
        <v>73.549930000000003</v>
      </c>
      <c r="J189" s="381">
        <v>73.549930000000003</v>
      </c>
      <c r="K189" s="384" t="s">
        <v>256</v>
      </c>
    </row>
    <row r="190" spans="1:11" ht="14.4" customHeight="1" thickBot="1" x14ac:dyDescent="0.35">
      <c r="A190" s="397" t="s">
        <v>437</v>
      </c>
      <c r="B190" s="375">
        <v>919</v>
      </c>
      <c r="C190" s="375">
        <v>805.38708999999994</v>
      </c>
      <c r="D190" s="376">
        <v>-113.61291</v>
      </c>
      <c r="E190" s="377">
        <v>0.87637332970600001</v>
      </c>
      <c r="F190" s="375">
        <v>0</v>
      </c>
      <c r="G190" s="376">
        <v>0</v>
      </c>
      <c r="H190" s="378">
        <v>12.45837</v>
      </c>
      <c r="I190" s="375">
        <v>73.549930000000003</v>
      </c>
      <c r="J190" s="376">
        <v>73.549930000000003</v>
      </c>
      <c r="K190" s="386" t="s">
        <v>256</v>
      </c>
    </row>
    <row r="191" spans="1:11" ht="14.4" customHeight="1" thickBot="1" x14ac:dyDescent="0.35">
      <c r="A191" s="396" t="s">
        <v>438</v>
      </c>
      <c r="B191" s="380">
        <v>3134</v>
      </c>
      <c r="C191" s="380">
        <v>3120.0475200000001</v>
      </c>
      <c r="D191" s="381">
        <v>-13.952479999998999</v>
      </c>
      <c r="E191" s="387">
        <v>0.995548028079</v>
      </c>
      <c r="F191" s="380">
        <v>0</v>
      </c>
      <c r="G191" s="381">
        <v>0</v>
      </c>
      <c r="H191" s="383">
        <v>208.61651000000001</v>
      </c>
      <c r="I191" s="380">
        <v>1174.9880800000001</v>
      </c>
      <c r="J191" s="381">
        <v>1174.9880800000001</v>
      </c>
      <c r="K191" s="384" t="s">
        <v>256</v>
      </c>
    </row>
    <row r="192" spans="1:11" ht="14.4" customHeight="1" thickBot="1" x14ac:dyDescent="0.35">
      <c r="A192" s="397" t="s">
        <v>439</v>
      </c>
      <c r="B192" s="375">
        <v>3134</v>
      </c>
      <c r="C192" s="375">
        <v>3120.0475200000001</v>
      </c>
      <c r="D192" s="376">
        <v>-13.952479999998999</v>
      </c>
      <c r="E192" s="377">
        <v>0.995548028079</v>
      </c>
      <c r="F192" s="375">
        <v>0</v>
      </c>
      <c r="G192" s="376">
        <v>0</v>
      </c>
      <c r="H192" s="378">
        <v>208.61651000000001</v>
      </c>
      <c r="I192" s="375">
        <v>1174.9880800000001</v>
      </c>
      <c r="J192" s="376">
        <v>1174.9880800000001</v>
      </c>
      <c r="K192" s="386" t="s">
        <v>256</v>
      </c>
    </row>
    <row r="193" spans="1:11" ht="14.4" customHeight="1" thickBot="1" x14ac:dyDescent="0.35">
      <c r="A193" s="401"/>
      <c r="B193" s="375">
        <v>-9979.1862178645497</v>
      </c>
      <c r="C193" s="375">
        <v>-9981.6650600000194</v>
      </c>
      <c r="D193" s="376">
        <v>-2.478842135471</v>
      </c>
      <c r="E193" s="377">
        <v>1.0002484012299999</v>
      </c>
      <c r="F193" s="375">
        <v>-10112.611627750401</v>
      </c>
      <c r="G193" s="376">
        <v>-4213.58817822932</v>
      </c>
      <c r="H193" s="378">
        <v>-411.49176</v>
      </c>
      <c r="I193" s="375">
        <v>-1865.5551600000099</v>
      </c>
      <c r="J193" s="376">
        <v>2348.0330182293101</v>
      </c>
      <c r="K193" s="379">
        <v>0.18447807833099999</v>
      </c>
    </row>
    <row r="194" spans="1:11" ht="14.4" customHeight="1" thickBot="1" x14ac:dyDescent="0.35">
      <c r="A194" s="402" t="s">
        <v>53</v>
      </c>
      <c r="B194" s="389">
        <v>-9979.1862178645497</v>
      </c>
      <c r="C194" s="389">
        <v>-9981.6650600000194</v>
      </c>
      <c r="D194" s="390">
        <v>-2.4788421354720001</v>
      </c>
      <c r="E194" s="391">
        <v>-0.94773904119800001</v>
      </c>
      <c r="F194" s="389">
        <v>-10112.611627750401</v>
      </c>
      <c r="G194" s="390">
        <v>-4213.58817822932</v>
      </c>
      <c r="H194" s="389">
        <v>-411.49176</v>
      </c>
      <c r="I194" s="389">
        <v>-1865.5551600000099</v>
      </c>
      <c r="J194" s="390">
        <v>2348.0330182293101</v>
      </c>
      <c r="K194" s="392">
        <v>0.18447807833099999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2" customWidth="1"/>
    <col min="2" max="2" width="61.109375" style="192" customWidth="1"/>
    <col min="3" max="3" width="9.5546875" style="115" customWidth="1"/>
    <col min="4" max="4" width="9.5546875" style="193" customWidth="1"/>
    <col min="5" max="5" width="2.21875" style="193" customWidth="1"/>
    <col min="6" max="6" width="9.5546875" style="194" customWidth="1"/>
    <col min="7" max="7" width="9.5546875" style="191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1" t="s">
        <v>118</v>
      </c>
      <c r="B1" s="332"/>
      <c r="C1" s="332"/>
      <c r="D1" s="332"/>
      <c r="E1" s="332"/>
      <c r="F1" s="332"/>
      <c r="G1" s="303"/>
      <c r="H1" s="333"/>
      <c r="I1" s="333"/>
    </row>
    <row r="2" spans="1:10" ht="14.4" customHeight="1" thickBot="1" x14ac:dyDescent="0.35">
      <c r="A2" s="212" t="s">
        <v>255</v>
      </c>
      <c r="B2" s="190"/>
      <c r="C2" s="190"/>
      <c r="D2" s="190"/>
      <c r="E2" s="190"/>
      <c r="F2" s="190"/>
    </row>
    <row r="3" spans="1:10" ht="14.4" customHeight="1" thickBot="1" x14ac:dyDescent="0.35">
      <c r="A3" s="212"/>
      <c r="B3" s="190"/>
      <c r="C3" s="270">
        <v>2013</v>
      </c>
      <c r="D3" s="271">
        <v>2014</v>
      </c>
      <c r="E3" s="7"/>
      <c r="F3" s="326">
        <v>2015</v>
      </c>
      <c r="G3" s="327"/>
      <c r="H3" s="327"/>
      <c r="I3" s="328"/>
    </row>
    <row r="4" spans="1:10" ht="14.4" customHeight="1" thickBot="1" x14ac:dyDescent="0.35">
      <c r="A4" s="275" t="s">
        <v>0</v>
      </c>
      <c r="B4" s="276" t="s">
        <v>217</v>
      </c>
      <c r="C4" s="329" t="s">
        <v>60</v>
      </c>
      <c r="D4" s="330"/>
      <c r="E4" s="277"/>
      <c r="F4" s="272" t="s">
        <v>60</v>
      </c>
      <c r="G4" s="273" t="s">
        <v>61</v>
      </c>
      <c r="H4" s="273" t="s">
        <v>55</v>
      </c>
      <c r="I4" s="274" t="s">
        <v>62</v>
      </c>
    </row>
    <row r="5" spans="1:10" ht="14.4" customHeight="1" x14ac:dyDescent="0.3">
      <c r="A5" s="403" t="s">
        <v>440</v>
      </c>
      <c r="B5" s="404" t="s">
        <v>441</v>
      </c>
      <c r="C5" s="405" t="s">
        <v>442</v>
      </c>
      <c r="D5" s="405" t="s">
        <v>442</v>
      </c>
      <c r="E5" s="405"/>
      <c r="F5" s="405" t="s">
        <v>442</v>
      </c>
      <c r="G5" s="405" t="s">
        <v>442</v>
      </c>
      <c r="H5" s="405" t="s">
        <v>442</v>
      </c>
      <c r="I5" s="406" t="s">
        <v>442</v>
      </c>
      <c r="J5" s="407" t="s">
        <v>56</v>
      </c>
    </row>
    <row r="6" spans="1:10" ht="14.4" customHeight="1" x14ac:dyDescent="0.3">
      <c r="A6" s="403" t="s">
        <v>440</v>
      </c>
      <c r="B6" s="404" t="s">
        <v>264</v>
      </c>
      <c r="C6" s="405">
        <v>95.637020000000007</v>
      </c>
      <c r="D6" s="405">
        <v>99.732159999999993</v>
      </c>
      <c r="E6" s="405"/>
      <c r="F6" s="405">
        <v>119.64163000000001</v>
      </c>
      <c r="G6" s="405">
        <v>106.666663306925</v>
      </c>
      <c r="H6" s="405">
        <v>12.974966693075004</v>
      </c>
      <c r="I6" s="406">
        <v>1.1216403165789535</v>
      </c>
      <c r="J6" s="407" t="s">
        <v>1</v>
      </c>
    </row>
    <row r="7" spans="1:10" ht="14.4" customHeight="1" x14ac:dyDescent="0.3">
      <c r="A7" s="403" t="s">
        <v>440</v>
      </c>
      <c r="B7" s="404" t="s">
        <v>265</v>
      </c>
      <c r="C7" s="405">
        <v>1.3848699999999998</v>
      </c>
      <c r="D7" s="405">
        <v>0.64866000000000001</v>
      </c>
      <c r="E7" s="405"/>
      <c r="F7" s="405">
        <v>0.98777000000000004</v>
      </c>
      <c r="G7" s="405">
        <v>0.53472784682166674</v>
      </c>
      <c r="H7" s="405">
        <v>0.4530421531783333</v>
      </c>
      <c r="I7" s="406">
        <v>1.8472387512098731</v>
      </c>
      <c r="J7" s="407" t="s">
        <v>1</v>
      </c>
    </row>
    <row r="8" spans="1:10" ht="14.4" customHeight="1" x14ac:dyDescent="0.3">
      <c r="A8" s="403" t="s">
        <v>440</v>
      </c>
      <c r="B8" s="404" t="s">
        <v>266</v>
      </c>
      <c r="C8" s="405" t="s">
        <v>442</v>
      </c>
      <c r="D8" s="405" t="s">
        <v>442</v>
      </c>
      <c r="E8" s="405"/>
      <c r="F8" s="405">
        <v>0.10105</v>
      </c>
      <c r="G8" s="405">
        <v>0</v>
      </c>
      <c r="H8" s="405">
        <v>0.10105</v>
      </c>
      <c r="I8" s="406" t="s">
        <v>442</v>
      </c>
      <c r="J8" s="407" t="s">
        <v>1</v>
      </c>
    </row>
    <row r="9" spans="1:10" ht="14.4" customHeight="1" x14ac:dyDescent="0.3">
      <c r="A9" s="403" t="s">
        <v>440</v>
      </c>
      <c r="B9" s="404" t="s">
        <v>268</v>
      </c>
      <c r="C9" s="405">
        <v>0</v>
      </c>
      <c r="D9" s="405">
        <v>14.605</v>
      </c>
      <c r="E9" s="405"/>
      <c r="F9" s="405">
        <v>30.9771</v>
      </c>
      <c r="G9" s="405">
        <v>20.038508204222502</v>
      </c>
      <c r="H9" s="405">
        <v>10.938591795777498</v>
      </c>
      <c r="I9" s="406">
        <v>1.5458785496553344</v>
      </c>
      <c r="J9" s="407" t="s">
        <v>1</v>
      </c>
    </row>
    <row r="10" spans="1:10" ht="14.4" customHeight="1" x14ac:dyDescent="0.3">
      <c r="A10" s="403" t="s">
        <v>440</v>
      </c>
      <c r="B10" s="404" t="s">
        <v>443</v>
      </c>
      <c r="C10" s="405">
        <v>97.021890000000013</v>
      </c>
      <c r="D10" s="405">
        <v>114.98582</v>
      </c>
      <c r="E10" s="405"/>
      <c r="F10" s="405">
        <v>151.70755</v>
      </c>
      <c r="G10" s="405">
        <v>127.23989935796916</v>
      </c>
      <c r="H10" s="405">
        <v>24.467650642030833</v>
      </c>
      <c r="I10" s="406">
        <v>1.1922954259276408</v>
      </c>
      <c r="J10" s="407" t="s">
        <v>444</v>
      </c>
    </row>
    <row r="12" spans="1:10" ht="14.4" customHeight="1" x14ac:dyDescent="0.3">
      <c r="A12" s="403" t="s">
        <v>440</v>
      </c>
      <c r="B12" s="404" t="s">
        <v>441</v>
      </c>
      <c r="C12" s="405" t="s">
        <v>442</v>
      </c>
      <c r="D12" s="405" t="s">
        <v>442</v>
      </c>
      <c r="E12" s="405"/>
      <c r="F12" s="405" t="s">
        <v>442</v>
      </c>
      <c r="G12" s="405" t="s">
        <v>442</v>
      </c>
      <c r="H12" s="405" t="s">
        <v>442</v>
      </c>
      <c r="I12" s="406" t="s">
        <v>442</v>
      </c>
      <c r="J12" s="407" t="s">
        <v>56</v>
      </c>
    </row>
    <row r="13" spans="1:10" ht="14.4" customHeight="1" x14ac:dyDescent="0.3">
      <c r="A13" s="403" t="s">
        <v>445</v>
      </c>
      <c r="B13" s="404" t="s">
        <v>446</v>
      </c>
      <c r="C13" s="405" t="s">
        <v>442</v>
      </c>
      <c r="D13" s="405" t="s">
        <v>442</v>
      </c>
      <c r="E13" s="405"/>
      <c r="F13" s="405" t="s">
        <v>442</v>
      </c>
      <c r="G13" s="405" t="s">
        <v>442</v>
      </c>
      <c r="H13" s="405" t="s">
        <v>442</v>
      </c>
      <c r="I13" s="406" t="s">
        <v>442</v>
      </c>
      <c r="J13" s="407" t="s">
        <v>0</v>
      </c>
    </row>
    <row r="14" spans="1:10" ht="14.4" customHeight="1" x14ac:dyDescent="0.3">
      <c r="A14" s="403" t="s">
        <v>445</v>
      </c>
      <c r="B14" s="404" t="s">
        <v>264</v>
      </c>
      <c r="C14" s="405">
        <v>95.637020000000007</v>
      </c>
      <c r="D14" s="405">
        <v>99.732159999999993</v>
      </c>
      <c r="E14" s="405"/>
      <c r="F14" s="405">
        <v>119.64163000000001</v>
      </c>
      <c r="G14" s="405">
        <v>106.666663306925</v>
      </c>
      <c r="H14" s="405">
        <v>12.974966693075004</v>
      </c>
      <c r="I14" s="406">
        <v>1.1216403165789535</v>
      </c>
      <c r="J14" s="407" t="s">
        <v>1</v>
      </c>
    </row>
    <row r="15" spans="1:10" ht="14.4" customHeight="1" x14ac:dyDescent="0.3">
      <c r="A15" s="403" t="s">
        <v>445</v>
      </c>
      <c r="B15" s="404" t="s">
        <v>265</v>
      </c>
      <c r="C15" s="405">
        <v>1.3848699999999998</v>
      </c>
      <c r="D15" s="405">
        <v>0.64866000000000001</v>
      </c>
      <c r="E15" s="405"/>
      <c r="F15" s="405">
        <v>0.98777000000000004</v>
      </c>
      <c r="G15" s="405">
        <v>0.53472784682166674</v>
      </c>
      <c r="H15" s="405">
        <v>0.4530421531783333</v>
      </c>
      <c r="I15" s="406">
        <v>1.8472387512098731</v>
      </c>
      <c r="J15" s="407" t="s">
        <v>1</v>
      </c>
    </row>
    <row r="16" spans="1:10" ht="14.4" customHeight="1" x14ac:dyDescent="0.3">
      <c r="A16" s="403" t="s">
        <v>445</v>
      </c>
      <c r="B16" s="404" t="s">
        <v>266</v>
      </c>
      <c r="C16" s="405" t="s">
        <v>442</v>
      </c>
      <c r="D16" s="405" t="s">
        <v>442</v>
      </c>
      <c r="E16" s="405"/>
      <c r="F16" s="405">
        <v>0.10105</v>
      </c>
      <c r="G16" s="405">
        <v>0</v>
      </c>
      <c r="H16" s="405">
        <v>0.10105</v>
      </c>
      <c r="I16" s="406" t="s">
        <v>442</v>
      </c>
      <c r="J16" s="407" t="s">
        <v>1</v>
      </c>
    </row>
    <row r="17" spans="1:10" ht="14.4" customHeight="1" x14ac:dyDescent="0.3">
      <c r="A17" s="403" t="s">
        <v>445</v>
      </c>
      <c r="B17" s="404" t="s">
        <v>268</v>
      </c>
      <c r="C17" s="405">
        <v>0</v>
      </c>
      <c r="D17" s="405">
        <v>14.605</v>
      </c>
      <c r="E17" s="405"/>
      <c r="F17" s="405">
        <v>30.9771</v>
      </c>
      <c r="G17" s="405">
        <v>20.038508204222502</v>
      </c>
      <c r="H17" s="405">
        <v>10.938591795777498</v>
      </c>
      <c r="I17" s="406">
        <v>1.5458785496553344</v>
      </c>
      <c r="J17" s="407" t="s">
        <v>1</v>
      </c>
    </row>
    <row r="18" spans="1:10" ht="14.4" customHeight="1" x14ac:dyDescent="0.3">
      <c r="A18" s="403" t="s">
        <v>445</v>
      </c>
      <c r="B18" s="404" t="s">
        <v>447</v>
      </c>
      <c r="C18" s="405">
        <v>97.021890000000013</v>
      </c>
      <c r="D18" s="405">
        <v>114.98582</v>
      </c>
      <c r="E18" s="405"/>
      <c r="F18" s="405">
        <v>151.70755</v>
      </c>
      <c r="G18" s="405">
        <v>127.23989935796916</v>
      </c>
      <c r="H18" s="405">
        <v>24.467650642030833</v>
      </c>
      <c r="I18" s="406">
        <v>1.1922954259276408</v>
      </c>
      <c r="J18" s="407" t="s">
        <v>448</v>
      </c>
    </row>
    <row r="19" spans="1:10" ht="14.4" customHeight="1" x14ac:dyDescent="0.3">
      <c r="A19" s="403" t="s">
        <v>442</v>
      </c>
      <c r="B19" s="404" t="s">
        <v>442</v>
      </c>
      <c r="C19" s="405" t="s">
        <v>442</v>
      </c>
      <c r="D19" s="405" t="s">
        <v>442</v>
      </c>
      <c r="E19" s="405"/>
      <c r="F19" s="405" t="s">
        <v>442</v>
      </c>
      <c r="G19" s="405" t="s">
        <v>442</v>
      </c>
      <c r="H19" s="405" t="s">
        <v>442</v>
      </c>
      <c r="I19" s="406" t="s">
        <v>442</v>
      </c>
      <c r="J19" s="407" t="s">
        <v>449</v>
      </c>
    </row>
    <row r="20" spans="1:10" ht="14.4" customHeight="1" x14ac:dyDescent="0.3">
      <c r="A20" s="403" t="s">
        <v>440</v>
      </c>
      <c r="B20" s="404" t="s">
        <v>443</v>
      </c>
      <c r="C20" s="405">
        <v>97.021890000000013</v>
      </c>
      <c r="D20" s="405">
        <v>114.98582</v>
      </c>
      <c r="E20" s="405"/>
      <c r="F20" s="405">
        <v>151.70755</v>
      </c>
      <c r="G20" s="405">
        <v>127.23989935796916</v>
      </c>
      <c r="H20" s="405">
        <v>24.467650642030833</v>
      </c>
      <c r="I20" s="406">
        <v>1.1922954259276408</v>
      </c>
      <c r="J20" s="407" t="s">
        <v>444</v>
      </c>
    </row>
  </sheetData>
  <mergeCells count="3">
    <mergeCell ref="F3:I3"/>
    <mergeCell ref="C4:D4"/>
    <mergeCell ref="A1:I1"/>
  </mergeCells>
  <conditionalFormatting sqref="F11 F21:F65537">
    <cfRule type="cellIs" dxfId="39" priority="18" stopIfTrue="1" operator="greaterThan">
      <formula>1</formula>
    </cfRule>
  </conditionalFormatting>
  <conditionalFormatting sqref="H5:H10">
    <cfRule type="expression" dxfId="38" priority="14">
      <formula>$H5&gt;0</formula>
    </cfRule>
  </conditionalFormatting>
  <conditionalFormatting sqref="I5:I10">
    <cfRule type="expression" dxfId="37" priority="15">
      <formula>$I5&gt;1</formula>
    </cfRule>
  </conditionalFormatting>
  <conditionalFormatting sqref="B5:B10">
    <cfRule type="expression" dxfId="36" priority="11">
      <formula>OR($J5="NS",$J5="SumaNS",$J5="Účet")</formula>
    </cfRule>
  </conditionalFormatting>
  <conditionalFormatting sqref="B5:D10 F5:I10">
    <cfRule type="expression" dxfId="35" priority="17">
      <formula>AND($J5&lt;&gt;"",$J5&lt;&gt;"mezeraKL")</formula>
    </cfRule>
  </conditionalFormatting>
  <conditionalFormatting sqref="B5:D10 F5:I10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3" priority="13">
      <formula>OR($J5="SumaNS",$J5="NS")</formula>
    </cfRule>
  </conditionalFormatting>
  <conditionalFormatting sqref="A5:A10">
    <cfRule type="expression" dxfId="32" priority="9">
      <formula>AND($J5&lt;&gt;"mezeraKL",$J5&lt;&gt;"")</formula>
    </cfRule>
  </conditionalFormatting>
  <conditionalFormatting sqref="A5:A10">
    <cfRule type="expression" dxfId="31" priority="10">
      <formula>AND($J5&lt;&gt;"",$J5&lt;&gt;"mezeraKL")</formula>
    </cfRule>
  </conditionalFormatting>
  <conditionalFormatting sqref="H12:H20">
    <cfRule type="expression" dxfId="30" priority="5">
      <formula>$H12&gt;0</formula>
    </cfRule>
  </conditionalFormatting>
  <conditionalFormatting sqref="A12:A20">
    <cfRule type="expression" dxfId="29" priority="2">
      <formula>AND($J12&lt;&gt;"mezeraKL",$J12&lt;&gt;"")</formula>
    </cfRule>
  </conditionalFormatting>
  <conditionalFormatting sqref="I12:I20">
    <cfRule type="expression" dxfId="28" priority="6">
      <formula>$I12&gt;1</formula>
    </cfRule>
  </conditionalFormatting>
  <conditionalFormatting sqref="B12:B20">
    <cfRule type="expression" dxfId="27" priority="1">
      <formula>OR($J12="NS",$J12="SumaNS",$J12="Účet")</formula>
    </cfRule>
  </conditionalFormatting>
  <conditionalFormatting sqref="A12:D20 F12:I20">
    <cfRule type="expression" dxfId="26" priority="8">
      <formula>AND($J12&lt;&gt;"",$J12&lt;&gt;"mezeraKL")</formula>
    </cfRule>
  </conditionalFormatting>
  <conditionalFormatting sqref="B12:D20 F12:I20">
    <cfRule type="expression" dxfId="25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24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7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5" style="193" customWidth="1"/>
    <col min="8" max="8" width="12.44140625" style="193" hidden="1" customWidth="1" outlineLevel="1"/>
    <col min="9" max="9" width="8.5546875" style="193" hidden="1" customWidth="1" outlineLevel="1"/>
    <col min="10" max="10" width="25.77734375" style="193" customWidth="1" collapsed="1"/>
    <col min="11" max="11" width="8.77734375" style="193" customWidth="1"/>
    <col min="12" max="13" width="7.77734375" style="191" customWidth="1"/>
    <col min="14" max="14" width="11.109375" style="191" customWidth="1"/>
    <col min="15" max="16384" width="8.88671875" style="115"/>
  </cols>
  <sheetData>
    <row r="1" spans="1:14" ht="18.600000000000001" customHeight="1" thickBot="1" x14ac:dyDescent="0.4">
      <c r="A1" s="338" t="s">
        <v>138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</row>
    <row r="2" spans="1:14" ht="14.4" customHeight="1" thickBot="1" x14ac:dyDescent="0.35">
      <c r="A2" s="212" t="s">
        <v>255</v>
      </c>
      <c r="B2" s="62"/>
      <c r="C2" s="195"/>
      <c r="D2" s="195"/>
      <c r="E2" s="195"/>
      <c r="F2" s="195"/>
      <c r="G2" s="195"/>
      <c r="H2" s="195"/>
      <c r="I2" s="195"/>
      <c r="J2" s="195"/>
      <c r="K2" s="195"/>
      <c r="L2" s="196"/>
      <c r="M2" s="196"/>
      <c r="N2" s="196"/>
    </row>
    <row r="3" spans="1:14" ht="14.4" customHeight="1" thickBot="1" x14ac:dyDescent="0.35">
      <c r="A3" s="62"/>
      <c r="B3" s="62"/>
      <c r="C3" s="334"/>
      <c r="D3" s="335"/>
      <c r="E3" s="335"/>
      <c r="F3" s="335"/>
      <c r="G3" s="335"/>
      <c r="H3" s="335"/>
      <c r="I3" s="335"/>
      <c r="J3" s="336" t="s">
        <v>108</v>
      </c>
      <c r="K3" s="337"/>
      <c r="L3" s="84">
        <f>IF(M3&lt;&gt;0,N3/M3,0)</f>
        <v>112.43290062586611</v>
      </c>
      <c r="M3" s="84">
        <f>SUBTOTAL(9,M5:M1048576)</f>
        <v>1073.8</v>
      </c>
      <c r="N3" s="85">
        <f>SUBTOTAL(9,N5:N1048576)</f>
        <v>120730.44869205503</v>
      </c>
    </row>
    <row r="4" spans="1:14" s="192" customFormat="1" ht="14.4" customHeight="1" thickBot="1" x14ac:dyDescent="0.35">
      <c r="A4" s="408" t="s">
        <v>4</v>
      </c>
      <c r="B4" s="409" t="s">
        <v>5</v>
      </c>
      <c r="C4" s="409" t="s">
        <v>0</v>
      </c>
      <c r="D4" s="409" t="s">
        <v>6</v>
      </c>
      <c r="E4" s="409" t="s">
        <v>7</v>
      </c>
      <c r="F4" s="409" t="s">
        <v>1</v>
      </c>
      <c r="G4" s="409" t="s">
        <v>8</v>
      </c>
      <c r="H4" s="409" t="s">
        <v>9</v>
      </c>
      <c r="I4" s="409" t="s">
        <v>10</v>
      </c>
      <c r="J4" s="410" t="s">
        <v>11</v>
      </c>
      <c r="K4" s="410" t="s">
        <v>12</v>
      </c>
      <c r="L4" s="411" t="s">
        <v>122</v>
      </c>
      <c r="M4" s="411" t="s">
        <v>13</v>
      </c>
      <c r="N4" s="412" t="s">
        <v>133</v>
      </c>
    </row>
    <row r="5" spans="1:14" ht="14.4" customHeight="1" x14ac:dyDescent="0.3">
      <c r="A5" s="415" t="s">
        <v>440</v>
      </c>
      <c r="B5" s="416" t="s">
        <v>441</v>
      </c>
      <c r="C5" s="417" t="s">
        <v>445</v>
      </c>
      <c r="D5" s="418" t="s">
        <v>649</v>
      </c>
      <c r="E5" s="417" t="s">
        <v>450</v>
      </c>
      <c r="F5" s="418" t="s">
        <v>650</v>
      </c>
      <c r="G5" s="417" t="s">
        <v>451</v>
      </c>
      <c r="H5" s="417" t="s">
        <v>452</v>
      </c>
      <c r="I5" s="417" t="s">
        <v>453</v>
      </c>
      <c r="J5" s="417" t="s">
        <v>454</v>
      </c>
      <c r="K5" s="417" t="s">
        <v>455</v>
      </c>
      <c r="L5" s="419">
        <v>87.030000000000015</v>
      </c>
      <c r="M5" s="419">
        <v>4</v>
      </c>
      <c r="N5" s="420">
        <v>348.12000000000006</v>
      </c>
    </row>
    <row r="6" spans="1:14" ht="14.4" customHeight="1" x14ac:dyDescent="0.3">
      <c r="A6" s="421" t="s">
        <v>440</v>
      </c>
      <c r="B6" s="422" t="s">
        <v>441</v>
      </c>
      <c r="C6" s="423" t="s">
        <v>445</v>
      </c>
      <c r="D6" s="424" t="s">
        <v>649</v>
      </c>
      <c r="E6" s="423" t="s">
        <v>450</v>
      </c>
      <c r="F6" s="424" t="s">
        <v>650</v>
      </c>
      <c r="G6" s="423" t="s">
        <v>451</v>
      </c>
      <c r="H6" s="423" t="s">
        <v>456</v>
      </c>
      <c r="I6" s="423" t="s">
        <v>457</v>
      </c>
      <c r="J6" s="423" t="s">
        <v>458</v>
      </c>
      <c r="K6" s="423" t="s">
        <v>459</v>
      </c>
      <c r="L6" s="425">
        <v>98.69</v>
      </c>
      <c r="M6" s="425">
        <v>1</v>
      </c>
      <c r="N6" s="426">
        <v>98.69</v>
      </c>
    </row>
    <row r="7" spans="1:14" ht="14.4" customHeight="1" x14ac:dyDescent="0.3">
      <c r="A7" s="421" t="s">
        <v>440</v>
      </c>
      <c r="B7" s="422" t="s">
        <v>441</v>
      </c>
      <c r="C7" s="423" t="s">
        <v>445</v>
      </c>
      <c r="D7" s="424" t="s">
        <v>649</v>
      </c>
      <c r="E7" s="423" t="s">
        <v>450</v>
      </c>
      <c r="F7" s="424" t="s">
        <v>650</v>
      </c>
      <c r="G7" s="423" t="s">
        <v>451</v>
      </c>
      <c r="H7" s="423" t="s">
        <v>460</v>
      </c>
      <c r="I7" s="423" t="s">
        <v>461</v>
      </c>
      <c r="J7" s="423" t="s">
        <v>462</v>
      </c>
      <c r="K7" s="423" t="s">
        <v>463</v>
      </c>
      <c r="L7" s="425">
        <v>40.559826840609603</v>
      </c>
      <c r="M7" s="425">
        <v>1</v>
      </c>
      <c r="N7" s="426">
        <v>40.559826840609603</v>
      </c>
    </row>
    <row r="8" spans="1:14" ht="14.4" customHeight="1" x14ac:dyDescent="0.3">
      <c r="A8" s="421" t="s">
        <v>440</v>
      </c>
      <c r="B8" s="422" t="s">
        <v>441</v>
      </c>
      <c r="C8" s="423" t="s">
        <v>445</v>
      </c>
      <c r="D8" s="424" t="s">
        <v>649</v>
      </c>
      <c r="E8" s="423" t="s">
        <v>450</v>
      </c>
      <c r="F8" s="424" t="s">
        <v>650</v>
      </c>
      <c r="G8" s="423" t="s">
        <v>451</v>
      </c>
      <c r="H8" s="423" t="s">
        <v>464</v>
      </c>
      <c r="I8" s="423" t="s">
        <v>465</v>
      </c>
      <c r="J8" s="423" t="s">
        <v>466</v>
      </c>
      <c r="K8" s="423" t="s">
        <v>467</v>
      </c>
      <c r="L8" s="425">
        <v>116.24568210482312</v>
      </c>
      <c r="M8" s="425">
        <v>5</v>
      </c>
      <c r="N8" s="426">
        <v>581.22841052411559</v>
      </c>
    </row>
    <row r="9" spans="1:14" ht="14.4" customHeight="1" x14ac:dyDescent="0.3">
      <c r="A9" s="421" t="s">
        <v>440</v>
      </c>
      <c r="B9" s="422" t="s">
        <v>441</v>
      </c>
      <c r="C9" s="423" t="s">
        <v>445</v>
      </c>
      <c r="D9" s="424" t="s">
        <v>649</v>
      </c>
      <c r="E9" s="423" t="s">
        <v>450</v>
      </c>
      <c r="F9" s="424" t="s">
        <v>650</v>
      </c>
      <c r="G9" s="423" t="s">
        <v>451</v>
      </c>
      <c r="H9" s="423" t="s">
        <v>468</v>
      </c>
      <c r="I9" s="423" t="s">
        <v>469</v>
      </c>
      <c r="J9" s="423" t="s">
        <v>470</v>
      </c>
      <c r="K9" s="423" t="s">
        <v>471</v>
      </c>
      <c r="L9" s="425">
        <v>151.8298119063254</v>
      </c>
      <c r="M9" s="425">
        <v>17</v>
      </c>
      <c r="N9" s="426">
        <v>2581.1068024075321</v>
      </c>
    </row>
    <row r="10" spans="1:14" ht="14.4" customHeight="1" x14ac:dyDescent="0.3">
      <c r="A10" s="421" t="s">
        <v>440</v>
      </c>
      <c r="B10" s="422" t="s">
        <v>441</v>
      </c>
      <c r="C10" s="423" t="s">
        <v>445</v>
      </c>
      <c r="D10" s="424" t="s">
        <v>649</v>
      </c>
      <c r="E10" s="423" t="s">
        <v>450</v>
      </c>
      <c r="F10" s="424" t="s">
        <v>650</v>
      </c>
      <c r="G10" s="423" t="s">
        <v>451</v>
      </c>
      <c r="H10" s="423" t="s">
        <v>472</v>
      </c>
      <c r="I10" s="423" t="s">
        <v>141</v>
      </c>
      <c r="J10" s="423" t="s">
        <v>473</v>
      </c>
      <c r="K10" s="423"/>
      <c r="L10" s="425">
        <v>97.320293904979849</v>
      </c>
      <c r="M10" s="425">
        <v>2</v>
      </c>
      <c r="N10" s="426">
        <v>194.6405878099597</v>
      </c>
    </row>
    <row r="11" spans="1:14" ht="14.4" customHeight="1" x14ac:dyDescent="0.3">
      <c r="A11" s="421" t="s">
        <v>440</v>
      </c>
      <c r="B11" s="422" t="s">
        <v>441</v>
      </c>
      <c r="C11" s="423" t="s">
        <v>445</v>
      </c>
      <c r="D11" s="424" t="s">
        <v>649</v>
      </c>
      <c r="E11" s="423" t="s">
        <v>450</v>
      </c>
      <c r="F11" s="424" t="s">
        <v>650</v>
      </c>
      <c r="G11" s="423" t="s">
        <v>451</v>
      </c>
      <c r="H11" s="423" t="s">
        <v>474</v>
      </c>
      <c r="I11" s="423" t="s">
        <v>141</v>
      </c>
      <c r="J11" s="423" t="s">
        <v>475</v>
      </c>
      <c r="K11" s="423"/>
      <c r="L11" s="425">
        <v>36.299884471377794</v>
      </c>
      <c r="M11" s="425">
        <v>2</v>
      </c>
      <c r="N11" s="426">
        <v>72.599768942755588</v>
      </c>
    </row>
    <row r="12" spans="1:14" ht="14.4" customHeight="1" x14ac:dyDescent="0.3">
      <c r="A12" s="421" t="s">
        <v>440</v>
      </c>
      <c r="B12" s="422" t="s">
        <v>441</v>
      </c>
      <c r="C12" s="423" t="s">
        <v>445</v>
      </c>
      <c r="D12" s="424" t="s">
        <v>649</v>
      </c>
      <c r="E12" s="423" t="s">
        <v>450</v>
      </c>
      <c r="F12" s="424" t="s">
        <v>650</v>
      </c>
      <c r="G12" s="423" t="s">
        <v>451</v>
      </c>
      <c r="H12" s="423" t="s">
        <v>476</v>
      </c>
      <c r="I12" s="423" t="s">
        <v>141</v>
      </c>
      <c r="J12" s="423" t="s">
        <v>477</v>
      </c>
      <c r="K12" s="423"/>
      <c r="L12" s="425">
        <v>30.980000000000004</v>
      </c>
      <c r="M12" s="425">
        <v>4</v>
      </c>
      <c r="N12" s="426">
        <v>123.92000000000002</v>
      </c>
    </row>
    <row r="13" spans="1:14" ht="14.4" customHeight="1" x14ac:dyDescent="0.3">
      <c r="A13" s="421" t="s">
        <v>440</v>
      </c>
      <c r="B13" s="422" t="s">
        <v>441</v>
      </c>
      <c r="C13" s="423" t="s">
        <v>445</v>
      </c>
      <c r="D13" s="424" t="s">
        <v>649</v>
      </c>
      <c r="E13" s="423" t="s">
        <v>450</v>
      </c>
      <c r="F13" s="424" t="s">
        <v>650</v>
      </c>
      <c r="G13" s="423" t="s">
        <v>451</v>
      </c>
      <c r="H13" s="423" t="s">
        <v>478</v>
      </c>
      <c r="I13" s="423" t="s">
        <v>141</v>
      </c>
      <c r="J13" s="423" t="s">
        <v>479</v>
      </c>
      <c r="K13" s="423"/>
      <c r="L13" s="425">
        <v>32.043594948007318</v>
      </c>
      <c r="M13" s="425">
        <v>44</v>
      </c>
      <c r="N13" s="426">
        <v>1409.9181777123219</v>
      </c>
    </row>
    <row r="14" spans="1:14" ht="14.4" customHeight="1" x14ac:dyDescent="0.3">
      <c r="A14" s="421" t="s">
        <v>440</v>
      </c>
      <c r="B14" s="422" t="s">
        <v>441</v>
      </c>
      <c r="C14" s="423" t="s">
        <v>445</v>
      </c>
      <c r="D14" s="424" t="s">
        <v>649</v>
      </c>
      <c r="E14" s="423" t="s">
        <v>450</v>
      </c>
      <c r="F14" s="424" t="s">
        <v>650</v>
      </c>
      <c r="G14" s="423" t="s">
        <v>451</v>
      </c>
      <c r="H14" s="423" t="s">
        <v>480</v>
      </c>
      <c r="I14" s="423" t="s">
        <v>141</v>
      </c>
      <c r="J14" s="423" t="s">
        <v>481</v>
      </c>
      <c r="K14" s="423" t="s">
        <v>482</v>
      </c>
      <c r="L14" s="425">
        <v>32.819999999999972</v>
      </c>
      <c r="M14" s="425">
        <v>3</v>
      </c>
      <c r="N14" s="426">
        <v>98.459999999999923</v>
      </c>
    </row>
    <row r="15" spans="1:14" ht="14.4" customHeight="1" x14ac:dyDescent="0.3">
      <c r="A15" s="421" t="s">
        <v>440</v>
      </c>
      <c r="B15" s="422" t="s">
        <v>441</v>
      </c>
      <c r="C15" s="423" t="s">
        <v>445</v>
      </c>
      <c r="D15" s="424" t="s">
        <v>649</v>
      </c>
      <c r="E15" s="423" t="s">
        <v>450</v>
      </c>
      <c r="F15" s="424" t="s">
        <v>650</v>
      </c>
      <c r="G15" s="423" t="s">
        <v>451</v>
      </c>
      <c r="H15" s="423" t="s">
        <v>483</v>
      </c>
      <c r="I15" s="423" t="s">
        <v>484</v>
      </c>
      <c r="J15" s="423" t="s">
        <v>485</v>
      </c>
      <c r="K15" s="423" t="s">
        <v>486</v>
      </c>
      <c r="L15" s="425">
        <v>26.880000000000003</v>
      </c>
      <c r="M15" s="425">
        <v>2</v>
      </c>
      <c r="N15" s="426">
        <v>53.760000000000005</v>
      </c>
    </row>
    <row r="16" spans="1:14" ht="14.4" customHeight="1" x14ac:dyDescent="0.3">
      <c r="A16" s="421" t="s">
        <v>440</v>
      </c>
      <c r="B16" s="422" t="s">
        <v>441</v>
      </c>
      <c r="C16" s="423" t="s">
        <v>445</v>
      </c>
      <c r="D16" s="424" t="s">
        <v>649</v>
      </c>
      <c r="E16" s="423" t="s">
        <v>450</v>
      </c>
      <c r="F16" s="424" t="s">
        <v>650</v>
      </c>
      <c r="G16" s="423" t="s">
        <v>451</v>
      </c>
      <c r="H16" s="423" t="s">
        <v>487</v>
      </c>
      <c r="I16" s="423" t="s">
        <v>141</v>
      </c>
      <c r="J16" s="423" t="s">
        <v>488</v>
      </c>
      <c r="K16" s="423"/>
      <c r="L16" s="425">
        <v>36.98803215841091</v>
      </c>
      <c r="M16" s="425">
        <v>24</v>
      </c>
      <c r="N16" s="426">
        <v>887.71277180186189</v>
      </c>
    </row>
    <row r="17" spans="1:14" ht="14.4" customHeight="1" x14ac:dyDescent="0.3">
      <c r="A17" s="421" t="s">
        <v>440</v>
      </c>
      <c r="B17" s="422" t="s">
        <v>441</v>
      </c>
      <c r="C17" s="423" t="s">
        <v>445</v>
      </c>
      <c r="D17" s="424" t="s">
        <v>649</v>
      </c>
      <c r="E17" s="423" t="s">
        <v>450</v>
      </c>
      <c r="F17" s="424" t="s">
        <v>650</v>
      </c>
      <c r="G17" s="423" t="s">
        <v>451</v>
      </c>
      <c r="H17" s="423" t="s">
        <v>489</v>
      </c>
      <c r="I17" s="423" t="s">
        <v>489</v>
      </c>
      <c r="J17" s="423" t="s">
        <v>490</v>
      </c>
      <c r="K17" s="423" t="s">
        <v>491</v>
      </c>
      <c r="L17" s="425">
        <v>192.50000000000003</v>
      </c>
      <c r="M17" s="425">
        <v>0.79999999999999993</v>
      </c>
      <c r="N17" s="426">
        <v>154</v>
      </c>
    </row>
    <row r="18" spans="1:14" ht="14.4" customHeight="1" x14ac:dyDescent="0.3">
      <c r="A18" s="421" t="s">
        <v>440</v>
      </c>
      <c r="B18" s="422" t="s">
        <v>441</v>
      </c>
      <c r="C18" s="423" t="s">
        <v>445</v>
      </c>
      <c r="D18" s="424" t="s">
        <v>649</v>
      </c>
      <c r="E18" s="423" t="s">
        <v>450</v>
      </c>
      <c r="F18" s="424" t="s">
        <v>650</v>
      </c>
      <c r="G18" s="423" t="s">
        <v>451</v>
      </c>
      <c r="H18" s="423" t="s">
        <v>492</v>
      </c>
      <c r="I18" s="423" t="s">
        <v>493</v>
      </c>
      <c r="J18" s="423" t="s">
        <v>494</v>
      </c>
      <c r="K18" s="423" t="s">
        <v>495</v>
      </c>
      <c r="L18" s="425">
        <v>20.760000000000005</v>
      </c>
      <c r="M18" s="425">
        <v>6</v>
      </c>
      <c r="N18" s="426">
        <v>124.56000000000003</v>
      </c>
    </row>
    <row r="19" spans="1:14" ht="14.4" customHeight="1" x14ac:dyDescent="0.3">
      <c r="A19" s="421" t="s">
        <v>440</v>
      </c>
      <c r="B19" s="422" t="s">
        <v>441</v>
      </c>
      <c r="C19" s="423" t="s">
        <v>445</v>
      </c>
      <c r="D19" s="424" t="s">
        <v>649</v>
      </c>
      <c r="E19" s="423" t="s">
        <v>450</v>
      </c>
      <c r="F19" s="424" t="s">
        <v>650</v>
      </c>
      <c r="G19" s="423" t="s">
        <v>451</v>
      </c>
      <c r="H19" s="423" t="s">
        <v>496</v>
      </c>
      <c r="I19" s="423" t="s">
        <v>497</v>
      </c>
      <c r="J19" s="423" t="s">
        <v>498</v>
      </c>
      <c r="K19" s="423" t="s">
        <v>499</v>
      </c>
      <c r="L19" s="425">
        <v>52.169545984795029</v>
      </c>
      <c r="M19" s="425">
        <v>1</v>
      </c>
      <c r="N19" s="426">
        <v>52.169545984795029</v>
      </c>
    </row>
    <row r="20" spans="1:14" ht="14.4" customHeight="1" x14ac:dyDescent="0.3">
      <c r="A20" s="421" t="s">
        <v>440</v>
      </c>
      <c r="B20" s="422" t="s">
        <v>441</v>
      </c>
      <c r="C20" s="423" t="s">
        <v>445</v>
      </c>
      <c r="D20" s="424" t="s">
        <v>649</v>
      </c>
      <c r="E20" s="423" t="s">
        <v>450</v>
      </c>
      <c r="F20" s="424" t="s">
        <v>650</v>
      </c>
      <c r="G20" s="423" t="s">
        <v>451</v>
      </c>
      <c r="H20" s="423" t="s">
        <v>500</v>
      </c>
      <c r="I20" s="423" t="s">
        <v>141</v>
      </c>
      <c r="J20" s="423" t="s">
        <v>501</v>
      </c>
      <c r="K20" s="423"/>
      <c r="L20" s="425">
        <v>75.165129776170019</v>
      </c>
      <c r="M20" s="425">
        <v>1</v>
      </c>
      <c r="N20" s="426">
        <v>75.165129776170019</v>
      </c>
    </row>
    <row r="21" spans="1:14" ht="14.4" customHeight="1" x14ac:dyDescent="0.3">
      <c r="A21" s="421" t="s">
        <v>440</v>
      </c>
      <c r="B21" s="422" t="s">
        <v>441</v>
      </c>
      <c r="C21" s="423" t="s">
        <v>445</v>
      </c>
      <c r="D21" s="424" t="s">
        <v>649</v>
      </c>
      <c r="E21" s="423" t="s">
        <v>450</v>
      </c>
      <c r="F21" s="424" t="s">
        <v>650</v>
      </c>
      <c r="G21" s="423" t="s">
        <v>451</v>
      </c>
      <c r="H21" s="423" t="s">
        <v>502</v>
      </c>
      <c r="I21" s="423" t="s">
        <v>503</v>
      </c>
      <c r="J21" s="423" t="s">
        <v>494</v>
      </c>
      <c r="K21" s="423" t="s">
        <v>504</v>
      </c>
      <c r="L21" s="425">
        <v>23.08</v>
      </c>
      <c r="M21" s="425">
        <v>6</v>
      </c>
      <c r="N21" s="426">
        <v>138.47999999999999</v>
      </c>
    </row>
    <row r="22" spans="1:14" ht="14.4" customHeight="1" x14ac:dyDescent="0.3">
      <c r="A22" s="421" t="s">
        <v>440</v>
      </c>
      <c r="B22" s="422" t="s">
        <v>441</v>
      </c>
      <c r="C22" s="423" t="s">
        <v>445</v>
      </c>
      <c r="D22" s="424" t="s">
        <v>649</v>
      </c>
      <c r="E22" s="423" t="s">
        <v>450</v>
      </c>
      <c r="F22" s="424" t="s">
        <v>650</v>
      </c>
      <c r="G22" s="423" t="s">
        <v>451</v>
      </c>
      <c r="H22" s="423" t="s">
        <v>505</v>
      </c>
      <c r="I22" s="423" t="s">
        <v>506</v>
      </c>
      <c r="J22" s="423" t="s">
        <v>507</v>
      </c>
      <c r="K22" s="423" t="s">
        <v>508</v>
      </c>
      <c r="L22" s="425">
        <v>152.85306479281843</v>
      </c>
      <c r="M22" s="425">
        <v>435</v>
      </c>
      <c r="N22" s="426">
        <v>66491.083184876014</v>
      </c>
    </row>
    <row r="23" spans="1:14" ht="14.4" customHeight="1" x14ac:dyDescent="0.3">
      <c r="A23" s="421" t="s">
        <v>440</v>
      </c>
      <c r="B23" s="422" t="s">
        <v>441</v>
      </c>
      <c r="C23" s="423" t="s">
        <v>445</v>
      </c>
      <c r="D23" s="424" t="s">
        <v>649</v>
      </c>
      <c r="E23" s="423" t="s">
        <v>450</v>
      </c>
      <c r="F23" s="424" t="s">
        <v>650</v>
      </c>
      <c r="G23" s="423" t="s">
        <v>451</v>
      </c>
      <c r="H23" s="423" t="s">
        <v>509</v>
      </c>
      <c r="I23" s="423" t="s">
        <v>141</v>
      </c>
      <c r="J23" s="423" t="s">
        <v>510</v>
      </c>
      <c r="K23" s="423"/>
      <c r="L23" s="425">
        <v>89.195423505271705</v>
      </c>
      <c r="M23" s="425">
        <v>3</v>
      </c>
      <c r="N23" s="426">
        <v>267.5862705158151</v>
      </c>
    </row>
    <row r="24" spans="1:14" ht="14.4" customHeight="1" x14ac:dyDescent="0.3">
      <c r="A24" s="421" t="s">
        <v>440</v>
      </c>
      <c r="B24" s="422" t="s">
        <v>441</v>
      </c>
      <c r="C24" s="423" t="s">
        <v>445</v>
      </c>
      <c r="D24" s="424" t="s">
        <v>649</v>
      </c>
      <c r="E24" s="423" t="s">
        <v>450</v>
      </c>
      <c r="F24" s="424" t="s">
        <v>650</v>
      </c>
      <c r="G24" s="423" t="s">
        <v>451</v>
      </c>
      <c r="H24" s="423" t="s">
        <v>511</v>
      </c>
      <c r="I24" s="423" t="s">
        <v>512</v>
      </c>
      <c r="J24" s="423" t="s">
        <v>513</v>
      </c>
      <c r="K24" s="423" t="s">
        <v>514</v>
      </c>
      <c r="L24" s="425">
        <v>57.980000000000025</v>
      </c>
      <c r="M24" s="425">
        <v>1</v>
      </c>
      <c r="N24" s="426">
        <v>57.980000000000025</v>
      </c>
    </row>
    <row r="25" spans="1:14" ht="14.4" customHeight="1" x14ac:dyDescent="0.3">
      <c r="A25" s="421" t="s">
        <v>440</v>
      </c>
      <c r="B25" s="422" t="s">
        <v>441</v>
      </c>
      <c r="C25" s="423" t="s">
        <v>445</v>
      </c>
      <c r="D25" s="424" t="s">
        <v>649</v>
      </c>
      <c r="E25" s="423" t="s">
        <v>450</v>
      </c>
      <c r="F25" s="424" t="s">
        <v>650</v>
      </c>
      <c r="G25" s="423" t="s">
        <v>451</v>
      </c>
      <c r="H25" s="423" t="s">
        <v>515</v>
      </c>
      <c r="I25" s="423" t="s">
        <v>141</v>
      </c>
      <c r="J25" s="423" t="s">
        <v>516</v>
      </c>
      <c r="K25" s="423"/>
      <c r="L25" s="425">
        <v>29.335585320824958</v>
      </c>
      <c r="M25" s="425">
        <v>20</v>
      </c>
      <c r="N25" s="426">
        <v>586.71170641649917</v>
      </c>
    </row>
    <row r="26" spans="1:14" ht="14.4" customHeight="1" x14ac:dyDescent="0.3">
      <c r="A26" s="421" t="s">
        <v>440</v>
      </c>
      <c r="B26" s="422" t="s">
        <v>441</v>
      </c>
      <c r="C26" s="423" t="s">
        <v>445</v>
      </c>
      <c r="D26" s="424" t="s">
        <v>649</v>
      </c>
      <c r="E26" s="423" t="s">
        <v>450</v>
      </c>
      <c r="F26" s="424" t="s">
        <v>650</v>
      </c>
      <c r="G26" s="423" t="s">
        <v>451</v>
      </c>
      <c r="H26" s="423" t="s">
        <v>517</v>
      </c>
      <c r="I26" s="423" t="s">
        <v>141</v>
      </c>
      <c r="J26" s="423" t="s">
        <v>518</v>
      </c>
      <c r="K26" s="423"/>
      <c r="L26" s="425">
        <v>130.66415784604237</v>
      </c>
      <c r="M26" s="425">
        <v>26</v>
      </c>
      <c r="N26" s="426">
        <v>3397.2681039971017</v>
      </c>
    </row>
    <row r="27" spans="1:14" ht="14.4" customHeight="1" x14ac:dyDescent="0.3">
      <c r="A27" s="421" t="s">
        <v>440</v>
      </c>
      <c r="B27" s="422" t="s">
        <v>441</v>
      </c>
      <c r="C27" s="423" t="s">
        <v>445</v>
      </c>
      <c r="D27" s="424" t="s">
        <v>649</v>
      </c>
      <c r="E27" s="423" t="s">
        <v>450</v>
      </c>
      <c r="F27" s="424" t="s">
        <v>650</v>
      </c>
      <c r="G27" s="423" t="s">
        <v>451</v>
      </c>
      <c r="H27" s="423" t="s">
        <v>519</v>
      </c>
      <c r="I27" s="423" t="s">
        <v>520</v>
      </c>
      <c r="J27" s="423" t="s">
        <v>521</v>
      </c>
      <c r="K27" s="423" t="s">
        <v>522</v>
      </c>
      <c r="L27" s="425">
        <v>24.439802439774244</v>
      </c>
      <c r="M27" s="425">
        <v>1</v>
      </c>
      <c r="N27" s="426">
        <v>24.439802439774244</v>
      </c>
    </row>
    <row r="28" spans="1:14" ht="14.4" customHeight="1" x14ac:dyDescent="0.3">
      <c r="A28" s="421" t="s">
        <v>440</v>
      </c>
      <c r="B28" s="422" t="s">
        <v>441</v>
      </c>
      <c r="C28" s="423" t="s">
        <v>445</v>
      </c>
      <c r="D28" s="424" t="s">
        <v>649</v>
      </c>
      <c r="E28" s="423" t="s">
        <v>450</v>
      </c>
      <c r="F28" s="424" t="s">
        <v>650</v>
      </c>
      <c r="G28" s="423" t="s">
        <v>451</v>
      </c>
      <c r="H28" s="423" t="s">
        <v>523</v>
      </c>
      <c r="I28" s="423" t="s">
        <v>524</v>
      </c>
      <c r="J28" s="423" t="s">
        <v>525</v>
      </c>
      <c r="K28" s="423" t="s">
        <v>526</v>
      </c>
      <c r="L28" s="425">
        <v>104.06947910743355</v>
      </c>
      <c r="M28" s="425">
        <v>1</v>
      </c>
      <c r="N28" s="426">
        <v>104.06947910743355</v>
      </c>
    </row>
    <row r="29" spans="1:14" ht="14.4" customHeight="1" x14ac:dyDescent="0.3">
      <c r="A29" s="421" t="s">
        <v>440</v>
      </c>
      <c r="B29" s="422" t="s">
        <v>441</v>
      </c>
      <c r="C29" s="423" t="s">
        <v>445</v>
      </c>
      <c r="D29" s="424" t="s">
        <v>649</v>
      </c>
      <c r="E29" s="423" t="s">
        <v>450</v>
      </c>
      <c r="F29" s="424" t="s">
        <v>650</v>
      </c>
      <c r="G29" s="423" t="s">
        <v>451</v>
      </c>
      <c r="H29" s="423" t="s">
        <v>527</v>
      </c>
      <c r="I29" s="423" t="s">
        <v>528</v>
      </c>
      <c r="J29" s="423" t="s">
        <v>529</v>
      </c>
      <c r="K29" s="423" t="s">
        <v>530</v>
      </c>
      <c r="L29" s="425">
        <v>64.459872772228707</v>
      </c>
      <c r="M29" s="425">
        <v>15</v>
      </c>
      <c r="N29" s="426">
        <v>966.89809158343064</v>
      </c>
    </row>
    <row r="30" spans="1:14" ht="14.4" customHeight="1" x14ac:dyDescent="0.3">
      <c r="A30" s="421" t="s">
        <v>440</v>
      </c>
      <c r="B30" s="422" t="s">
        <v>441</v>
      </c>
      <c r="C30" s="423" t="s">
        <v>445</v>
      </c>
      <c r="D30" s="424" t="s">
        <v>649</v>
      </c>
      <c r="E30" s="423" t="s">
        <v>450</v>
      </c>
      <c r="F30" s="424" t="s">
        <v>650</v>
      </c>
      <c r="G30" s="423" t="s">
        <v>451</v>
      </c>
      <c r="H30" s="423" t="s">
        <v>531</v>
      </c>
      <c r="I30" s="423" t="s">
        <v>141</v>
      </c>
      <c r="J30" s="423" t="s">
        <v>532</v>
      </c>
      <c r="K30" s="423" t="s">
        <v>533</v>
      </c>
      <c r="L30" s="425">
        <v>23.700496211165689</v>
      </c>
      <c r="M30" s="425">
        <v>48</v>
      </c>
      <c r="N30" s="426">
        <v>1137.6238181359531</v>
      </c>
    </row>
    <row r="31" spans="1:14" ht="14.4" customHeight="1" x14ac:dyDescent="0.3">
      <c r="A31" s="421" t="s">
        <v>440</v>
      </c>
      <c r="B31" s="422" t="s">
        <v>441</v>
      </c>
      <c r="C31" s="423" t="s">
        <v>445</v>
      </c>
      <c r="D31" s="424" t="s">
        <v>649</v>
      </c>
      <c r="E31" s="423" t="s">
        <v>450</v>
      </c>
      <c r="F31" s="424" t="s">
        <v>650</v>
      </c>
      <c r="G31" s="423" t="s">
        <v>451</v>
      </c>
      <c r="H31" s="423" t="s">
        <v>534</v>
      </c>
      <c r="I31" s="423" t="s">
        <v>141</v>
      </c>
      <c r="J31" s="423" t="s">
        <v>535</v>
      </c>
      <c r="K31" s="423"/>
      <c r="L31" s="425">
        <v>76.246292531598073</v>
      </c>
      <c r="M31" s="425">
        <v>6</v>
      </c>
      <c r="N31" s="426">
        <v>457.47775518958844</v>
      </c>
    </row>
    <row r="32" spans="1:14" ht="14.4" customHeight="1" x14ac:dyDescent="0.3">
      <c r="A32" s="421" t="s">
        <v>440</v>
      </c>
      <c r="B32" s="422" t="s">
        <v>441</v>
      </c>
      <c r="C32" s="423" t="s">
        <v>445</v>
      </c>
      <c r="D32" s="424" t="s">
        <v>649</v>
      </c>
      <c r="E32" s="423" t="s">
        <v>450</v>
      </c>
      <c r="F32" s="424" t="s">
        <v>650</v>
      </c>
      <c r="G32" s="423" t="s">
        <v>451</v>
      </c>
      <c r="H32" s="423" t="s">
        <v>536</v>
      </c>
      <c r="I32" s="423" t="s">
        <v>537</v>
      </c>
      <c r="J32" s="423" t="s">
        <v>538</v>
      </c>
      <c r="K32" s="423" t="s">
        <v>539</v>
      </c>
      <c r="L32" s="425">
        <v>37.058000000000007</v>
      </c>
      <c r="M32" s="425">
        <v>5</v>
      </c>
      <c r="N32" s="426">
        <v>185.29000000000002</v>
      </c>
    </row>
    <row r="33" spans="1:14" ht="14.4" customHeight="1" x14ac:dyDescent="0.3">
      <c r="A33" s="421" t="s">
        <v>440</v>
      </c>
      <c r="B33" s="422" t="s">
        <v>441</v>
      </c>
      <c r="C33" s="423" t="s">
        <v>445</v>
      </c>
      <c r="D33" s="424" t="s">
        <v>649</v>
      </c>
      <c r="E33" s="423" t="s">
        <v>450</v>
      </c>
      <c r="F33" s="424" t="s">
        <v>650</v>
      </c>
      <c r="G33" s="423" t="s">
        <v>451</v>
      </c>
      <c r="H33" s="423" t="s">
        <v>540</v>
      </c>
      <c r="I33" s="423" t="s">
        <v>141</v>
      </c>
      <c r="J33" s="423" t="s">
        <v>541</v>
      </c>
      <c r="K33" s="423"/>
      <c r="L33" s="425">
        <v>48.277965622348617</v>
      </c>
      <c r="M33" s="425">
        <v>1</v>
      </c>
      <c r="N33" s="426">
        <v>48.277965622348617</v>
      </c>
    </row>
    <row r="34" spans="1:14" ht="14.4" customHeight="1" x14ac:dyDescent="0.3">
      <c r="A34" s="421" t="s">
        <v>440</v>
      </c>
      <c r="B34" s="422" t="s">
        <v>441</v>
      </c>
      <c r="C34" s="423" t="s">
        <v>445</v>
      </c>
      <c r="D34" s="424" t="s">
        <v>649</v>
      </c>
      <c r="E34" s="423" t="s">
        <v>450</v>
      </c>
      <c r="F34" s="424" t="s">
        <v>650</v>
      </c>
      <c r="G34" s="423" t="s">
        <v>451</v>
      </c>
      <c r="H34" s="423" t="s">
        <v>542</v>
      </c>
      <c r="I34" s="423" t="s">
        <v>141</v>
      </c>
      <c r="J34" s="423" t="s">
        <v>543</v>
      </c>
      <c r="K34" s="423"/>
      <c r="L34" s="425">
        <v>133.04150264493484</v>
      </c>
      <c r="M34" s="425">
        <v>1</v>
      </c>
      <c r="N34" s="426">
        <v>133.04150264493484</v>
      </c>
    </row>
    <row r="35" spans="1:14" ht="14.4" customHeight="1" x14ac:dyDescent="0.3">
      <c r="A35" s="421" t="s">
        <v>440</v>
      </c>
      <c r="B35" s="422" t="s">
        <v>441</v>
      </c>
      <c r="C35" s="423" t="s">
        <v>445</v>
      </c>
      <c r="D35" s="424" t="s">
        <v>649</v>
      </c>
      <c r="E35" s="423" t="s">
        <v>450</v>
      </c>
      <c r="F35" s="424" t="s">
        <v>650</v>
      </c>
      <c r="G35" s="423" t="s">
        <v>451</v>
      </c>
      <c r="H35" s="423" t="s">
        <v>544</v>
      </c>
      <c r="I35" s="423" t="s">
        <v>141</v>
      </c>
      <c r="J35" s="423" t="s">
        <v>545</v>
      </c>
      <c r="K35" s="423" t="s">
        <v>546</v>
      </c>
      <c r="L35" s="425">
        <v>83.374981249655974</v>
      </c>
      <c r="M35" s="425">
        <v>2</v>
      </c>
      <c r="N35" s="426">
        <v>166.74996249931195</v>
      </c>
    </row>
    <row r="36" spans="1:14" ht="14.4" customHeight="1" x14ac:dyDescent="0.3">
      <c r="A36" s="421" t="s">
        <v>440</v>
      </c>
      <c r="B36" s="422" t="s">
        <v>441</v>
      </c>
      <c r="C36" s="423" t="s">
        <v>445</v>
      </c>
      <c r="D36" s="424" t="s">
        <v>649</v>
      </c>
      <c r="E36" s="423" t="s">
        <v>450</v>
      </c>
      <c r="F36" s="424" t="s">
        <v>650</v>
      </c>
      <c r="G36" s="423" t="s">
        <v>451</v>
      </c>
      <c r="H36" s="423" t="s">
        <v>547</v>
      </c>
      <c r="I36" s="423" t="s">
        <v>141</v>
      </c>
      <c r="J36" s="423" t="s">
        <v>548</v>
      </c>
      <c r="K36" s="423" t="s">
        <v>549</v>
      </c>
      <c r="L36" s="425">
        <v>96.840000000000032</v>
      </c>
      <c r="M36" s="425">
        <v>1</v>
      </c>
      <c r="N36" s="426">
        <v>96.840000000000032</v>
      </c>
    </row>
    <row r="37" spans="1:14" ht="14.4" customHeight="1" x14ac:dyDescent="0.3">
      <c r="A37" s="421" t="s">
        <v>440</v>
      </c>
      <c r="B37" s="422" t="s">
        <v>441</v>
      </c>
      <c r="C37" s="423" t="s">
        <v>445</v>
      </c>
      <c r="D37" s="424" t="s">
        <v>649</v>
      </c>
      <c r="E37" s="423" t="s">
        <v>450</v>
      </c>
      <c r="F37" s="424" t="s">
        <v>650</v>
      </c>
      <c r="G37" s="423" t="s">
        <v>451</v>
      </c>
      <c r="H37" s="423" t="s">
        <v>550</v>
      </c>
      <c r="I37" s="423" t="s">
        <v>141</v>
      </c>
      <c r="J37" s="423" t="s">
        <v>551</v>
      </c>
      <c r="K37" s="423"/>
      <c r="L37" s="425">
        <v>119.84599339116215</v>
      </c>
      <c r="M37" s="425">
        <v>8</v>
      </c>
      <c r="N37" s="426">
        <v>958.76794712929723</v>
      </c>
    </row>
    <row r="38" spans="1:14" ht="14.4" customHeight="1" x14ac:dyDescent="0.3">
      <c r="A38" s="421" t="s">
        <v>440</v>
      </c>
      <c r="B38" s="422" t="s">
        <v>441</v>
      </c>
      <c r="C38" s="423" t="s">
        <v>445</v>
      </c>
      <c r="D38" s="424" t="s">
        <v>649</v>
      </c>
      <c r="E38" s="423" t="s">
        <v>450</v>
      </c>
      <c r="F38" s="424" t="s">
        <v>650</v>
      </c>
      <c r="G38" s="423" t="s">
        <v>451</v>
      </c>
      <c r="H38" s="423" t="s">
        <v>552</v>
      </c>
      <c r="I38" s="423" t="s">
        <v>141</v>
      </c>
      <c r="J38" s="423" t="s">
        <v>553</v>
      </c>
      <c r="K38" s="423" t="s">
        <v>554</v>
      </c>
      <c r="L38" s="425">
        <v>74.390896466998768</v>
      </c>
      <c r="M38" s="425">
        <v>4</v>
      </c>
      <c r="N38" s="426">
        <v>297.56358586799507</v>
      </c>
    </row>
    <row r="39" spans="1:14" ht="14.4" customHeight="1" x14ac:dyDescent="0.3">
      <c r="A39" s="421" t="s">
        <v>440</v>
      </c>
      <c r="B39" s="422" t="s">
        <v>441</v>
      </c>
      <c r="C39" s="423" t="s">
        <v>445</v>
      </c>
      <c r="D39" s="424" t="s">
        <v>649</v>
      </c>
      <c r="E39" s="423" t="s">
        <v>450</v>
      </c>
      <c r="F39" s="424" t="s">
        <v>650</v>
      </c>
      <c r="G39" s="423" t="s">
        <v>451</v>
      </c>
      <c r="H39" s="423" t="s">
        <v>555</v>
      </c>
      <c r="I39" s="423" t="s">
        <v>141</v>
      </c>
      <c r="J39" s="423" t="s">
        <v>556</v>
      </c>
      <c r="K39" s="423"/>
      <c r="L39" s="425">
        <v>51.883210785578605</v>
      </c>
      <c r="M39" s="425">
        <v>3</v>
      </c>
      <c r="N39" s="426">
        <v>155.64963235673582</v>
      </c>
    </row>
    <row r="40" spans="1:14" ht="14.4" customHeight="1" x14ac:dyDescent="0.3">
      <c r="A40" s="421" t="s">
        <v>440</v>
      </c>
      <c r="B40" s="422" t="s">
        <v>441</v>
      </c>
      <c r="C40" s="423" t="s">
        <v>445</v>
      </c>
      <c r="D40" s="424" t="s">
        <v>649</v>
      </c>
      <c r="E40" s="423" t="s">
        <v>450</v>
      </c>
      <c r="F40" s="424" t="s">
        <v>650</v>
      </c>
      <c r="G40" s="423" t="s">
        <v>451</v>
      </c>
      <c r="H40" s="423" t="s">
        <v>557</v>
      </c>
      <c r="I40" s="423" t="s">
        <v>141</v>
      </c>
      <c r="J40" s="423" t="s">
        <v>558</v>
      </c>
      <c r="K40" s="423"/>
      <c r="L40" s="425">
        <v>38.953727339332751</v>
      </c>
      <c r="M40" s="425">
        <v>14</v>
      </c>
      <c r="N40" s="426">
        <v>545.35218275065847</v>
      </c>
    </row>
    <row r="41" spans="1:14" ht="14.4" customHeight="1" x14ac:dyDescent="0.3">
      <c r="A41" s="421" t="s">
        <v>440</v>
      </c>
      <c r="B41" s="422" t="s">
        <v>441</v>
      </c>
      <c r="C41" s="423" t="s">
        <v>445</v>
      </c>
      <c r="D41" s="424" t="s">
        <v>649</v>
      </c>
      <c r="E41" s="423" t="s">
        <v>450</v>
      </c>
      <c r="F41" s="424" t="s">
        <v>650</v>
      </c>
      <c r="G41" s="423" t="s">
        <v>451</v>
      </c>
      <c r="H41" s="423" t="s">
        <v>559</v>
      </c>
      <c r="I41" s="423" t="s">
        <v>141</v>
      </c>
      <c r="J41" s="423" t="s">
        <v>560</v>
      </c>
      <c r="K41" s="423"/>
      <c r="L41" s="425">
        <v>49.049843631504956</v>
      </c>
      <c r="M41" s="425">
        <v>2</v>
      </c>
      <c r="N41" s="426">
        <v>98.099687263009912</v>
      </c>
    </row>
    <row r="42" spans="1:14" ht="14.4" customHeight="1" x14ac:dyDescent="0.3">
      <c r="A42" s="421" t="s">
        <v>440</v>
      </c>
      <c r="B42" s="422" t="s">
        <v>441</v>
      </c>
      <c r="C42" s="423" t="s">
        <v>445</v>
      </c>
      <c r="D42" s="424" t="s">
        <v>649</v>
      </c>
      <c r="E42" s="423" t="s">
        <v>450</v>
      </c>
      <c r="F42" s="424" t="s">
        <v>650</v>
      </c>
      <c r="G42" s="423" t="s">
        <v>451</v>
      </c>
      <c r="H42" s="423" t="s">
        <v>561</v>
      </c>
      <c r="I42" s="423" t="s">
        <v>141</v>
      </c>
      <c r="J42" s="423" t="s">
        <v>562</v>
      </c>
      <c r="K42" s="423"/>
      <c r="L42" s="425">
        <v>70.202818959648909</v>
      </c>
      <c r="M42" s="425">
        <v>1</v>
      </c>
      <c r="N42" s="426">
        <v>70.202818959648909</v>
      </c>
    </row>
    <row r="43" spans="1:14" ht="14.4" customHeight="1" x14ac:dyDescent="0.3">
      <c r="A43" s="421" t="s">
        <v>440</v>
      </c>
      <c r="B43" s="422" t="s">
        <v>441</v>
      </c>
      <c r="C43" s="423" t="s">
        <v>445</v>
      </c>
      <c r="D43" s="424" t="s">
        <v>649</v>
      </c>
      <c r="E43" s="423" t="s">
        <v>450</v>
      </c>
      <c r="F43" s="424" t="s">
        <v>650</v>
      </c>
      <c r="G43" s="423" t="s">
        <v>451</v>
      </c>
      <c r="H43" s="423" t="s">
        <v>563</v>
      </c>
      <c r="I43" s="423" t="s">
        <v>141</v>
      </c>
      <c r="J43" s="423" t="s">
        <v>564</v>
      </c>
      <c r="K43" s="423"/>
      <c r="L43" s="425">
        <v>44.157445874089035</v>
      </c>
      <c r="M43" s="425">
        <v>5</v>
      </c>
      <c r="N43" s="426">
        <v>220.78722937044517</v>
      </c>
    </row>
    <row r="44" spans="1:14" ht="14.4" customHeight="1" x14ac:dyDescent="0.3">
      <c r="A44" s="421" t="s">
        <v>440</v>
      </c>
      <c r="B44" s="422" t="s">
        <v>441</v>
      </c>
      <c r="C44" s="423" t="s">
        <v>445</v>
      </c>
      <c r="D44" s="424" t="s">
        <v>649</v>
      </c>
      <c r="E44" s="423" t="s">
        <v>450</v>
      </c>
      <c r="F44" s="424" t="s">
        <v>650</v>
      </c>
      <c r="G44" s="423" t="s">
        <v>451</v>
      </c>
      <c r="H44" s="423" t="s">
        <v>565</v>
      </c>
      <c r="I44" s="423" t="s">
        <v>141</v>
      </c>
      <c r="J44" s="423" t="s">
        <v>566</v>
      </c>
      <c r="K44" s="423"/>
      <c r="L44" s="425">
        <v>41.07170806942257</v>
      </c>
      <c r="M44" s="425">
        <v>10</v>
      </c>
      <c r="N44" s="426">
        <v>410.71708069422567</v>
      </c>
    </row>
    <row r="45" spans="1:14" ht="14.4" customHeight="1" x14ac:dyDescent="0.3">
      <c r="A45" s="421" t="s">
        <v>440</v>
      </c>
      <c r="B45" s="422" t="s">
        <v>441</v>
      </c>
      <c r="C45" s="423" t="s">
        <v>445</v>
      </c>
      <c r="D45" s="424" t="s">
        <v>649</v>
      </c>
      <c r="E45" s="423" t="s">
        <v>450</v>
      </c>
      <c r="F45" s="424" t="s">
        <v>650</v>
      </c>
      <c r="G45" s="423" t="s">
        <v>451</v>
      </c>
      <c r="H45" s="423" t="s">
        <v>567</v>
      </c>
      <c r="I45" s="423" t="s">
        <v>568</v>
      </c>
      <c r="J45" s="423" t="s">
        <v>569</v>
      </c>
      <c r="K45" s="423" t="s">
        <v>570</v>
      </c>
      <c r="L45" s="425">
        <v>88.145300994654562</v>
      </c>
      <c r="M45" s="425">
        <v>22</v>
      </c>
      <c r="N45" s="426">
        <v>1939.1966218824002</v>
      </c>
    </row>
    <row r="46" spans="1:14" ht="14.4" customHeight="1" x14ac:dyDescent="0.3">
      <c r="A46" s="421" t="s">
        <v>440</v>
      </c>
      <c r="B46" s="422" t="s">
        <v>441</v>
      </c>
      <c r="C46" s="423" t="s">
        <v>445</v>
      </c>
      <c r="D46" s="424" t="s">
        <v>649</v>
      </c>
      <c r="E46" s="423" t="s">
        <v>450</v>
      </c>
      <c r="F46" s="424" t="s">
        <v>650</v>
      </c>
      <c r="G46" s="423" t="s">
        <v>451</v>
      </c>
      <c r="H46" s="423" t="s">
        <v>571</v>
      </c>
      <c r="I46" s="423" t="s">
        <v>141</v>
      </c>
      <c r="J46" s="423" t="s">
        <v>572</v>
      </c>
      <c r="K46" s="423"/>
      <c r="L46" s="425">
        <v>74.247366982736864</v>
      </c>
      <c r="M46" s="425">
        <v>5</v>
      </c>
      <c r="N46" s="426">
        <v>371.23683491368433</v>
      </c>
    </row>
    <row r="47" spans="1:14" ht="14.4" customHeight="1" x14ac:dyDescent="0.3">
      <c r="A47" s="421" t="s">
        <v>440</v>
      </c>
      <c r="B47" s="422" t="s">
        <v>441</v>
      </c>
      <c r="C47" s="423" t="s">
        <v>445</v>
      </c>
      <c r="D47" s="424" t="s">
        <v>649</v>
      </c>
      <c r="E47" s="423" t="s">
        <v>450</v>
      </c>
      <c r="F47" s="424" t="s">
        <v>650</v>
      </c>
      <c r="G47" s="423" t="s">
        <v>451</v>
      </c>
      <c r="H47" s="423" t="s">
        <v>573</v>
      </c>
      <c r="I47" s="423" t="s">
        <v>141</v>
      </c>
      <c r="J47" s="423" t="s">
        <v>574</v>
      </c>
      <c r="K47" s="423" t="s">
        <v>575</v>
      </c>
      <c r="L47" s="425">
        <v>97.886381087666663</v>
      </c>
      <c r="M47" s="425">
        <v>41</v>
      </c>
      <c r="N47" s="426">
        <v>4013.3416245943331</v>
      </c>
    </row>
    <row r="48" spans="1:14" ht="14.4" customHeight="1" x14ac:dyDescent="0.3">
      <c r="A48" s="421" t="s">
        <v>440</v>
      </c>
      <c r="B48" s="422" t="s">
        <v>441</v>
      </c>
      <c r="C48" s="423" t="s">
        <v>445</v>
      </c>
      <c r="D48" s="424" t="s">
        <v>649</v>
      </c>
      <c r="E48" s="423" t="s">
        <v>450</v>
      </c>
      <c r="F48" s="424" t="s">
        <v>650</v>
      </c>
      <c r="G48" s="423" t="s">
        <v>451</v>
      </c>
      <c r="H48" s="423" t="s">
        <v>576</v>
      </c>
      <c r="I48" s="423" t="s">
        <v>141</v>
      </c>
      <c r="J48" s="423" t="s">
        <v>577</v>
      </c>
      <c r="K48" s="423"/>
      <c r="L48" s="425">
        <v>58.130918603031319</v>
      </c>
      <c r="M48" s="425">
        <v>2</v>
      </c>
      <c r="N48" s="426">
        <v>116.26183720606264</v>
      </c>
    </row>
    <row r="49" spans="1:14" ht="14.4" customHeight="1" x14ac:dyDescent="0.3">
      <c r="A49" s="421" t="s">
        <v>440</v>
      </c>
      <c r="B49" s="422" t="s">
        <v>441</v>
      </c>
      <c r="C49" s="423" t="s">
        <v>445</v>
      </c>
      <c r="D49" s="424" t="s">
        <v>649</v>
      </c>
      <c r="E49" s="423" t="s">
        <v>450</v>
      </c>
      <c r="F49" s="424" t="s">
        <v>650</v>
      </c>
      <c r="G49" s="423" t="s">
        <v>451</v>
      </c>
      <c r="H49" s="423" t="s">
        <v>578</v>
      </c>
      <c r="I49" s="423" t="s">
        <v>141</v>
      </c>
      <c r="J49" s="423" t="s">
        <v>579</v>
      </c>
      <c r="K49" s="423"/>
      <c r="L49" s="425">
        <v>73.398994616175145</v>
      </c>
      <c r="M49" s="425">
        <v>10</v>
      </c>
      <c r="N49" s="426">
        <v>733.9899461617515</v>
      </c>
    </row>
    <row r="50" spans="1:14" ht="14.4" customHeight="1" x14ac:dyDescent="0.3">
      <c r="A50" s="421" t="s">
        <v>440</v>
      </c>
      <c r="B50" s="422" t="s">
        <v>441</v>
      </c>
      <c r="C50" s="423" t="s">
        <v>445</v>
      </c>
      <c r="D50" s="424" t="s">
        <v>649</v>
      </c>
      <c r="E50" s="423" t="s">
        <v>450</v>
      </c>
      <c r="F50" s="424" t="s">
        <v>650</v>
      </c>
      <c r="G50" s="423" t="s">
        <v>451</v>
      </c>
      <c r="H50" s="423" t="s">
        <v>580</v>
      </c>
      <c r="I50" s="423" t="s">
        <v>581</v>
      </c>
      <c r="J50" s="423" t="s">
        <v>582</v>
      </c>
      <c r="K50" s="423" t="s">
        <v>583</v>
      </c>
      <c r="L50" s="425">
        <v>452.75999999999988</v>
      </c>
      <c r="M50" s="425">
        <v>5</v>
      </c>
      <c r="N50" s="426">
        <v>2263.7999999999993</v>
      </c>
    </row>
    <row r="51" spans="1:14" ht="14.4" customHeight="1" x14ac:dyDescent="0.3">
      <c r="A51" s="421" t="s">
        <v>440</v>
      </c>
      <c r="B51" s="422" t="s">
        <v>441</v>
      </c>
      <c r="C51" s="423" t="s">
        <v>445</v>
      </c>
      <c r="D51" s="424" t="s">
        <v>649</v>
      </c>
      <c r="E51" s="423" t="s">
        <v>450</v>
      </c>
      <c r="F51" s="424" t="s">
        <v>650</v>
      </c>
      <c r="G51" s="423" t="s">
        <v>451</v>
      </c>
      <c r="H51" s="423" t="s">
        <v>584</v>
      </c>
      <c r="I51" s="423" t="s">
        <v>585</v>
      </c>
      <c r="J51" s="423" t="s">
        <v>586</v>
      </c>
      <c r="K51" s="423" t="s">
        <v>587</v>
      </c>
      <c r="L51" s="425">
        <v>192.0499975424847</v>
      </c>
      <c r="M51" s="425">
        <v>6</v>
      </c>
      <c r="N51" s="426">
        <v>1152.2999852549083</v>
      </c>
    </row>
    <row r="52" spans="1:14" ht="14.4" customHeight="1" x14ac:dyDescent="0.3">
      <c r="A52" s="421" t="s">
        <v>440</v>
      </c>
      <c r="B52" s="422" t="s">
        <v>441</v>
      </c>
      <c r="C52" s="423" t="s">
        <v>445</v>
      </c>
      <c r="D52" s="424" t="s">
        <v>649</v>
      </c>
      <c r="E52" s="423" t="s">
        <v>450</v>
      </c>
      <c r="F52" s="424" t="s">
        <v>650</v>
      </c>
      <c r="G52" s="423" t="s">
        <v>451</v>
      </c>
      <c r="H52" s="423" t="s">
        <v>588</v>
      </c>
      <c r="I52" s="423" t="s">
        <v>141</v>
      </c>
      <c r="J52" s="423" t="s">
        <v>589</v>
      </c>
      <c r="K52" s="423"/>
      <c r="L52" s="425">
        <v>108.77000000000002</v>
      </c>
      <c r="M52" s="425">
        <v>3</v>
      </c>
      <c r="N52" s="426">
        <v>326.31000000000006</v>
      </c>
    </row>
    <row r="53" spans="1:14" ht="14.4" customHeight="1" x14ac:dyDescent="0.3">
      <c r="A53" s="421" t="s">
        <v>440</v>
      </c>
      <c r="B53" s="422" t="s">
        <v>441</v>
      </c>
      <c r="C53" s="423" t="s">
        <v>445</v>
      </c>
      <c r="D53" s="424" t="s">
        <v>649</v>
      </c>
      <c r="E53" s="423" t="s">
        <v>450</v>
      </c>
      <c r="F53" s="424" t="s">
        <v>650</v>
      </c>
      <c r="G53" s="423" t="s">
        <v>451</v>
      </c>
      <c r="H53" s="423" t="s">
        <v>590</v>
      </c>
      <c r="I53" s="423" t="s">
        <v>141</v>
      </c>
      <c r="J53" s="423" t="s">
        <v>591</v>
      </c>
      <c r="K53" s="423"/>
      <c r="L53" s="425">
        <v>38.997774200437121</v>
      </c>
      <c r="M53" s="425">
        <v>5</v>
      </c>
      <c r="N53" s="426">
        <v>194.98887100218562</v>
      </c>
    </row>
    <row r="54" spans="1:14" ht="14.4" customHeight="1" x14ac:dyDescent="0.3">
      <c r="A54" s="421" t="s">
        <v>440</v>
      </c>
      <c r="B54" s="422" t="s">
        <v>441</v>
      </c>
      <c r="C54" s="423" t="s">
        <v>445</v>
      </c>
      <c r="D54" s="424" t="s">
        <v>649</v>
      </c>
      <c r="E54" s="423" t="s">
        <v>450</v>
      </c>
      <c r="F54" s="424" t="s">
        <v>650</v>
      </c>
      <c r="G54" s="423" t="s">
        <v>451</v>
      </c>
      <c r="H54" s="423" t="s">
        <v>592</v>
      </c>
      <c r="I54" s="423" t="s">
        <v>141</v>
      </c>
      <c r="J54" s="423" t="s">
        <v>593</v>
      </c>
      <c r="K54" s="423"/>
      <c r="L54" s="425">
        <v>72.963837687719447</v>
      </c>
      <c r="M54" s="425">
        <v>19</v>
      </c>
      <c r="N54" s="426">
        <v>1386.3129160666695</v>
      </c>
    </row>
    <row r="55" spans="1:14" ht="14.4" customHeight="1" x14ac:dyDescent="0.3">
      <c r="A55" s="421" t="s">
        <v>440</v>
      </c>
      <c r="B55" s="422" t="s">
        <v>441</v>
      </c>
      <c r="C55" s="423" t="s">
        <v>445</v>
      </c>
      <c r="D55" s="424" t="s">
        <v>649</v>
      </c>
      <c r="E55" s="423" t="s">
        <v>450</v>
      </c>
      <c r="F55" s="424" t="s">
        <v>650</v>
      </c>
      <c r="G55" s="423" t="s">
        <v>451</v>
      </c>
      <c r="H55" s="423" t="s">
        <v>594</v>
      </c>
      <c r="I55" s="423" t="s">
        <v>141</v>
      </c>
      <c r="J55" s="423" t="s">
        <v>595</v>
      </c>
      <c r="K55" s="423"/>
      <c r="L55" s="425">
        <v>103.81763913371833</v>
      </c>
      <c r="M55" s="425">
        <v>7</v>
      </c>
      <c r="N55" s="426">
        <v>726.72347393602831</v>
      </c>
    </row>
    <row r="56" spans="1:14" ht="14.4" customHeight="1" x14ac:dyDescent="0.3">
      <c r="A56" s="421" t="s">
        <v>440</v>
      </c>
      <c r="B56" s="422" t="s">
        <v>441</v>
      </c>
      <c r="C56" s="423" t="s">
        <v>445</v>
      </c>
      <c r="D56" s="424" t="s">
        <v>649</v>
      </c>
      <c r="E56" s="423" t="s">
        <v>450</v>
      </c>
      <c r="F56" s="424" t="s">
        <v>650</v>
      </c>
      <c r="G56" s="423" t="s">
        <v>451</v>
      </c>
      <c r="H56" s="423" t="s">
        <v>596</v>
      </c>
      <c r="I56" s="423" t="s">
        <v>141</v>
      </c>
      <c r="J56" s="423" t="s">
        <v>597</v>
      </c>
      <c r="K56" s="423"/>
      <c r="L56" s="425">
        <v>92.147184388855521</v>
      </c>
      <c r="M56" s="425">
        <v>5</v>
      </c>
      <c r="N56" s="426">
        <v>460.73592194427761</v>
      </c>
    </row>
    <row r="57" spans="1:14" ht="14.4" customHeight="1" x14ac:dyDescent="0.3">
      <c r="A57" s="421" t="s">
        <v>440</v>
      </c>
      <c r="B57" s="422" t="s">
        <v>441</v>
      </c>
      <c r="C57" s="423" t="s">
        <v>445</v>
      </c>
      <c r="D57" s="424" t="s">
        <v>649</v>
      </c>
      <c r="E57" s="423" t="s">
        <v>450</v>
      </c>
      <c r="F57" s="424" t="s">
        <v>650</v>
      </c>
      <c r="G57" s="423" t="s">
        <v>451</v>
      </c>
      <c r="H57" s="423" t="s">
        <v>598</v>
      </c>
      <c r="I57" s="423" t="s">
        <v>141</v>
      </c>
      <c r="J57" s="423" t="s">
        <v>599</v>
      </c>
      <c r="K57" s="423"/>
      <c r="L57" s="425">
        <v>111.47402244278909</v>
      </c>
      <c r="M57" s="425">
        <v>11</v>
      </c>
      <c r="N57" s="426">
        <v>1226.21424687068</v>
      </c>
    </row>
    <row r="58" spans="1:14" ht="14.4" customHeight="1" x14ac:dyDescent="0.3">
      <c r="A58" s="421" t="s">
        <v>440</v>
      </c>
      <c r="B58" s="422" t="s">
        <v>441</v>
      </c>
      <c r="C58" s="423" t="s">
        <v>445</v>
      </c>
      <c r="D58" s="424" t="s">
        <v>649</v>
      </c>
      <c r="E58" s="423" t="s">
        <v>450</v>
      </c>
      <c r="F58" s="424" t="s">
        <v>650</v>
      </c>
      <c r="G58" s="423" t="s">
        <v>451</v>
      </c>
      <c r="H58" s="423" t="s">
        <v>600</v>
      </c>
      <c r="I58" s="423" t="s">
        <v>141</v>
      </c>
      <c r="J58" s="423" t="s">
        <v>601</v>
      </c>
      <c r="K58" s="423"/>
      <c r="L58" s="425">
        <v>37.416826501878759</v>
      </c>
      <c r="M58" s="425">
        <v>16</v>
      </c>
      <c r="N58" s="426">
        <v>598.66922403006015</v>
      </c>
    </row>
    <row r="59" spans="1:14" ht="14.4" customHeight="1" x14ac:dyDescent="0.3">
      <c r="A59" s="421" t="s">
        <v>440</v>
      </c>
      <c r="B59" s="422" t="s">
        <v>441</v>
      </c>
      <c r="C59" s="423" t="s">
        <v>445</v>
      </c>
      <c r="D59" s="424" t="s">
        <v>649</v>
      </c>
      <c r="E59" s="423" t="s">
        <v>450</v>
      </c>
      <c r="F59" s="424" t="s">
        <v>650</v>
      </c>
      <c r="G59" s="423" t="s">
        <v>451</v>
      </c>
      <c r="H59" s="423" t="s">
        <v>602</v>
      </c>
      <c r="I59" s="423" t="s">
        <v>141</v>
      </c>
      <c r="J59" s="423" t="s">
        <v>603</v>
      </c>
      <c r="K59" s="423"/>
      <c r="L59" s="425">
        <v>71.572907297500564</v>
      </c>
      <c r="M59" s="425">
        <v>10</v>
      </c>
      <c r="N59" s="426">
        <v>715.72907297500569</v>
      </c>
    </row>
    <row r="60" spans="1:14" ht="14.4" customHeight="1" x14ac:dyDescent="0.3">
      <c r="A60" s="421" t="s">
        <v>440</v>
      </c>
      <c r="B60" s="422" t="s">
        <v>441</v>
      </c>
      <c r="C60" s="423" t="s">
        <v>445</v>
      </c>
      <c r="D60" s="424" t="s">
        <v>649</v>
      </c>
      <c r="E60" s="423" t="s">
        <v>450</v>
      </c>
      <c r="F60" s="424" t="s">
        <v>650</v>
      </c>
      <c r="G60" s="423" t="s">
        <v>451</v>
      </c>
      <c r="H60" s="423" t="s">
        <v>604</v>
      </c>
      <c r="I60" s="423" t="s">
        <v>141</v>
      </c>
      <c r="J60" s="423" t="s">
        <v>605</v>
      </c>
      <c r="K60" s="423"/>
      <c r="L60" s="425">
        <v>47.055518356379736</v>
      </c>
      <c r="M60" s="425">
        <v>1</v>
      </c>
      <c r="N60" s="426">
        <v>47.055518356379736</v>
      </c>
    </row>
    <row r="61" spans="1:14" ht="14.4" customHeight="1" x14ac:dyDescent="0.3">
      <c r="A61" s="421" t="s">
        <v>440</v>
      </c>
      <c r="B61" s="422" t="s">
        <v>441</v>
      </c>
      <c r="C61" s="423" t="s">
        <v>445</v>
      </c>
      <c r="D61" s="424" t="s">
        <v>649</v>
      </c>
      <c r="E61" s="423" t="s">
        <v>450</v>
      </c>
      <c r="F61" s="424" t="s">
        <v>650</v>
      </c>
      <c r="G61" s="423" t="s">
        <v>451</v>
      </c>
      <c r="H61" s="423" t="s">
        <v>606</v>
      </c>
      <c r="I61" s="423" t="s">
        <v>141</v>
      </c>
      <c r="J61" s="423" t="s">
        <v>607</v>
      </c>
      <c r="K61" s="423"/>
      <c r="L61" s="425">
        <v>80.835494937286427</v>
      </c>
      <c r="M61" s="425">
        <v>15</v>
      </c>
      <c r="N61" s="426">
        <v>1212.5324240592963</v>
      </c>
    </row>
    <row r="62" spans="1:14" ht="14.4" customHeight="1" x14ac:dyDescent="0.3">
      <c r="A62" s="421" t="s">
        <v>440</v>
      </c>
      <c r="B62" s="422" t="s">
        <v>441</v>
      </c>
      <c r="C62" s="423" t="s">
        <v>445</v>
      </c>
      <c r="D62" s="424" t="s">
        <v>649</v>
      </c>
      <c r="E62" s="423" t="s">
        <v>450</v>
      </c>
      <c r="F62" s="424" t="s">
        <v>650</v>
      </c>
      <c r="G62" s="423" t="s">
        <v>451</v>
      </c>
      <c r="H62" s="423" t="s">
        <v>608</v>
      </c>
      <c r="I62" s="423" t="s">
        <v>141</v>
      </c>
      <c r="J62" s="423" t="s">
        <v>609</v>
      </c>
      <c r="K62" s="423" t="s">
        <v>575</v>
      </c>
      <c r="L62" s="425">
        <v>76.95170666509965</v>
      </c>
      <c r="M62" s="425">
        <v>50</v>
      </c>
      <c r="N62" s="426">
        <v>3847.5853332549823</v>
      </c>
    </row>
    <row r="63" spans="1:14" ht="14.4" customHeight="1" x14ac:dyDescent="0.3">
      <c r="A63" s="421" t="s">
        <v>440</v>
      </c>
      <c r="B63" s="422" t="s">
        <v>441</v>
      </c>
      <c r="C63" s="423" t="s">
        <v>445</v>
      </c>
      <c r="D63" s="424" t="s">
        <v>649</v>
      </c>
      <c r="E63" s="423" t="s">
        <v>450</v>
      </c>
      <c r="F63" s="424" t="s">
        <v>650</v>
      </c>
      <c r="G63" s="423" t="s">
        <v>451</v>
      </c>
      <c r="H63" s="423" t="s">
        <v>610</v>
      </c>
      <c r="I63" s="423" t="s">
        <v>141</v>
      </c>
      <c r="J63" s="423" t="s">
        <v>611</v>
      </c>
      <c r="K63" s="423" t="s">
        <v>575</v>
      </c>
      <c r="L63" s="425">
        <v>74.562045796270283</v>
      </c>
      <c r="M63" s="425">
        <v>15</v>
      </c>
      <c r="N63" s="426">
        <v>1118.4306869440543</v>
      </c>
    </row>
    <row r="64" spans="1:14" ht="14.4" customHeight="1" x14ac:dyDescent="0.3">
      <c r="A64" s="421" t="s">
        <v>440</v>
      </c>
      <c r="B64" s="422" t="s">
        <v>441</v>
      </c>
      <c r="C64" s="423" t="s">
        <v>445</v>
      </c>
      <c r="D64" s="424" t="s">
        <v>649</v>
      </c>
      <c r="E64" s="423" t="s">
        <v>450</v>
      </c>
      <c r="F64" s="424" t="s">
        <v>650</v>
      </c>
      <c r="G64" s="423" t="s">
        <v>451</v>
      </c>
      <c r="H64" s="423" t="s">
        <v>612</v>
      </c>
      <c r="I64" s="423" t="s">
        <v>141</v>
      </c>
      <c r="J64" s="423" t="s">
        <v>613</v>
      </c>
      <c r="K64" s="423"/>
      <c r="L64" s="425">
        <v>177.32297334216494</v>
      </c>
      <c r="M64" s="425">
        <v>53</v>
      </c>
      <c r="N64" s="426">
        <v>9398.1175871347423</v>
      </c>
    </row>
    <row r="65" spans="1:14" ht="14.4" customHeight="1" x14ac:dyDescent="0.3">
      <c r="A65" s="421" t="s">
        <v>440</v>
      </c>
      <c r="B65" s="422" t="s">
        <v>441</v>
      </c>
      <c r="C65" s="423" t="s">
        <v>445</v>
      </c>
      <c r="D65" s="424" t="s">
        <v>649</v>
      </c>
      <c r="E65" s="423" t="s">
        <v>450</v>
      </c>
      <c r="F65" s="424" t="s">
        <v>650</v>
      </c>
      <c r="G65" s="423" t="s">
        <v>451</v>
      </c>
      <c r="H65" s="423" t="s">
        <v>614</v>
      </c>
      <c r="I65" s="423" t="s">
        <v>615</v>
      </c>
      <c r="J65" s="423" t="s">
        <v>616</v>
      </c>
      <c r="K65" s="423" t="s">
        <v>617</v>
      </c>
      <c r="L65" s="425">
        <v>150.05967810757107</v>
      </c>
      <c r="M65" s="425">
        <v>7</v>
      </c>
      <c r="N65" s="426">
        <v>1050.4177467529976</v>
      </c>
    </row>
    <row r="66" spans="1:14" ht="14.4" customHeight="1" x14ac:dyDescent="0.3">
      <c r="A66" s="421" t="s">
        <v>440</v>
      </c>
      <c r="B66" s="422" t="s">
        <v>441</v>
      </c>
      <c r="C66" s="423" t="s">
        <v>445</v>
      </c>
      <c r="D66" s="424" t="s">
        <v>649</v>
      </c>
      <c r="E66" s="423" t="s">
        <v>450</v>
      </c>
      <c r="F66" s="424" t="s">
        <v>650</v>
      </c>
      <c r="G66" s="423" t="s">
        <v>451</v>
      </c>
      <c r="H66" s="423" t="s">
        <v>618</v>
      </c>
      <c r="I66" s="423" t="s">
        <v>141</v>
      </c>
      <c r="J66" s="423" t="s">
        <v>619</v>
      </c>
      <c r="K66" s="423"/>
      <c r="L66" s="425">
        <v>118.3</v>
      </c>
      <c r="M66" s="425">
        <v>2</v>
      </c>
      <c r="N66" s="426">
        <v>236.6</v>
      </c>
    </row>
    <row r="67" spans="1:14" ht="14.4" customHeight="1" x14ac:dyDescent="0.3">
      <c r="A67" s="421" t="s">
        <v>440</v>
      </c>
      <c r="B67" s="422" t="s">
        <v>441</v>
      </c>
      <c r="C67" s="423" t="s">
        <v>445</v>
      </c>
      <c r="D67" s="424" t="s">
        <v>649</v>
      </c>
      <c r="E67" s="423" t="s">
        <v>450</v>
      </c>
      <c r="F67" s="424" t="s">
        <v>650</v>
      </c>
      <c r="G67" s="423" t="s">
        <v>451</v>
      </c>
      <c r="H67" s="423" t="s">
        <v>620</v>
      </c>
      <c r="I67" s="423" t="s">
        <v>141</v>
      </c>
      <c r="J67" s="423" t="s">
        <v>621</v>
      </c>
      <c r="K67" s="423"/>
      <c r="L67" s="425">
        <v>37.349999999999994</v>
      </c>
      <c r="M67" s="425">
        <v>1</v>
      </c>
      <c r="N67" s="426">
        <v>37.349999999999994</v>
      </c>
    </row>
    <row r="68" spans="1:14" ht="14.4" customHeight="1" x14ac:dyDescent="0.3">
      <c r="A68" s="421" t="s">
        <v>440</v>
      </c>
      <c r="B68" s="422" t="s">
        <v>441</v>
      </c>
      <c r="C68" s="423" t="s">
        <v>445</v>
      </c>
      <c r="D68" s="424" t="s">
        <v>649</v>
      </c>
      <c r="E68" s="423" t="s">
        <v>450</v>
      </c>
      <c r="F68" s="424" t="s">
        <v>650</v>
      </c>
      <c r="G68" s="423" t="s">
        <v>451</v>
      </c>
      <c r="H68" s="423" t="s">
        <v>622</v>
      </c>
      <c r="I68" s="423" t="s">
        <v>622</v>
      </c>
      <c r="J68" s="423" t="s">
        <v>623</v>
      </c>
      <c r="K68" s="423" t="s">
        <v>624</v>
      </c>
      <c r="L68" s="425">
        <v>116.96</v>
      </c>
      <c r="M68" s="425">
        <v>5</v>
      </c>
      <c r="N68" s="426">
        <v>584.79999999999995</v>
      </c>
    </row>
    <row r="69" spans="1:14" ht="14.4" customHeight="1" x14ac:dyDescent="0.3">
      <c r="A69" s="421" t="s">
        <v>440</v>
      </c>
      <c r="B69" s="422" t="s">
        <v>441</v>
      </c>
      <c r="C69" s="423" t="s">
        <v>445</v>
      </c>
      <c r="D69" s="424" t="s">
        <v>649</v>
      </c>
      <c r="E69" s="423" t="s">
        <v>450</v>
      </c>
      <c r="F69" s="424" t="s">
        <v>650</v>
      </c>
      <c r="G69" s="423" t="s">
        <v>451</v>
      </c>
      <c r="H69" s="423" t="s">
        <v>625</v>
      </c>
      <c r="I69" s="423" t="s">
        <v>625</v>
      </c>
      <c r="J69" s="423" t="s">
        <v>626</v>
      </c>
      <c r="K69" s="423" t="s">
        <v>627</v>
      </c>
      <c r="L69" s="425">
        <v>171.8562</v>
      </c>
      <c r="M69" s="425">
        <v>10</v>
      </c>
      <c r="N69" s="426">
        <v>1718.5620000000001</v>
      </c>
    </row>
    <row r="70" spans="1:14" ht="14.4" customHeight="1" x14ac:dyDescent="0.3">
      <c r="A70" s="421" t="s">
        <v>440</v>
      </c>
      <c r="B70" s="422" t="s">
        <v>441</v>
      </c>
      <c r="C70" s="423" t="s">
        <v>445</v>
      </c>
      <c r="D70" s="424" t="s">
        <v>649</v>
      </c>
      <c r="E70" s="423" t="s">
        <v>450</v>
      </c>
      <c r="F70" s="424" t="s">
        <v>650</v>
      </c>
      <c r="G70" s="423" t="s">
        <v>451</v>
      </c>
      <c r="H70" s="423" t="s">
        <v>628</v>
      </c>
      <c r="I70" s="423" t="s">
        <v>628</v>
      </c>
      <c r="J70" s="423" t="s">
        <v>529</v>
      </c>
      <c r="K70" s="423" t="s">
        <v>629</v>
      </c>
      <c r="L70" s="425">
        <v>250.8</v>
      </c>
      <c r="M70" s="425">
        <v>1</v>
      </c>
      <c r="N70" s="426">
        <v>250.8</v>
      </c>
    </row>
    <row r="71" spans="1:14" ht="14.4" customHeight="1" x14ac:dyDescent="0.3">
      <c r="A71" s="421" t="s">
        <v>440</v>
      </c>
      <c r="B71" s="422" t="s">
        <v>441</v>
      </c>
      <c r="C71" s="423" t="s">
        <v>445</v>
      </c>
      <c r="D71" s="424" t="s">
        <v>649</v>
      </c>
      <c r="E71" s="423" t="s">
        <v>630</v>
      </c>
      <c r="F71" s="424" t="s">
        <v>651</v>
      </c>
      <c r="G71" s="423" t="s">
        <v>451</v>
      </c>
      <c r="H71" s="423" t="s">
        <v>631</v>
      </c>
      <c r="I71" s="423" t="s">
        <v>632</v>
      </c>
      <c r="J71" s="423" t="s">
        <v>633</v>
      </c>
      <c r="K71" s="423" t="s">
        <v>634</v>
      </c>
      <c r="L71" s="425">
        <v>82.810001537735616</v>
      </c>
      <c r="M71" s="425">
        <v>1</v>
      </c>
      <c r="N71" s="426">
        <v>82.810001537735616</v>
      </c>
    </row>
    <row r="72" spans="1:14" ht="14.4" customHeight="1" x14ac:dyDescent="0.3">
      <c r="A72" s="421" t="s">
        <v>440</v>
      </c>
      <c r="B72" s="422" t="s">
        <v>441</v>
      </c>
      <c r="C72" s="423" t="s">
        <v>445</v>
      </c>
      <c r="D72" s="424" t="s">
        <v>649</v>
      </c>
      <c r="E72" s="423" t="s">
        <v>630</v>
      </c>
      <c r="F72" s="424" t="s">
        <v>651</v>
      </c>
      <c r="G72" s="423" t="s">
        <v>451</v>
      </c>
      <c r="H72" s="423" t="s">
        <v>635</v>
      </c>
      <c r="I72" s="423" t="s">
        <v>636</v>
      </c>
      <c r="J72" s="423" t="s">
        <v>637</v>
      </c>
      <c r="K72" s="423" t="s">
        <v>638</v>
      </c>
      <c r="L72" s="425">
        <v>104.42</v>
      </c>
      <c r="M72" s="425">
        <v>1</v>
      </c>
      <c r="N72" s="426">
        <v>104.42</v>
      </c>
    </row>
    <row r="73" spans="1:14" ht="14.4" customHeight="1" x14ac:dyDescent="0.3">
      <c r="A73" s="421" t="s">
        <v>440</v>
      </c>
      <c r="B73" s="422" t="s">
        <v>441</v>
      </c>
      <c r="C73" s="423" t="s">
        <v>445</v>
      </c>
      <c r="D73" s="424" t="s">
        <v>649</v>
      </c>
      <c r="E73" s="423" t="s">
        <v>630</v>
      </c>
      <c r="F73" s="424" t="s">
        <v>651</v>
      </c>
      <c r="G73" s="423" t="s">
        <v>639</v>
      </c>
      <c r="H73" s="423" t="s">
        <v>640</v>
      </c>
      <c r="I73" s="423" t="s">
        <v>641</v>
      </c>
      <c r="J73" s="423" t="s">
        <v>642</v>
      </c>
      <c r="K73" s="423" t="s">
        <v>643</v>
      </c>
      <c r="L73" s="425">
        <v>114.36256970806421</v>
      </c>
      <c r="M73" s="425">
        <v>7</v>
      </c>
      <c r="N73" s="426">
        <v>800.53798795644946</v>
      </c>
    </row>
    <row r="74" spans="1:14" ht="14.4" customHeight="1" thickBot="1" x14ac:dyDescent="0.35">
      <c r="A74" s="427" t="s">
        <v>440</v>
      </c>
      <c r="B74" s="428" t="s">
        <v>441</v>
      </c>
      <c r="C74" s="429" t="s">
        <v>445</v>
      </c>
      <c r="D74" s="430" t="s">
        <v>649</v>
      </c>
      <c r="E74" s="429" t="s">
        <v>644</v>
      </c>
      <c r="F74" s="430" t="s">
        <v>652</v>
      </c>
      <c r="G74" s="429" t="s">
        <v>451</v>
      </c>
      <c r="H74" s="429" t="s">
        <v>645</v>
      </c>
      <c r="I74" s="429" t="s">
        <v>646</v>
      </c>
      <c r="J74" s="429" t="s">
        <v>647</v>
      </c>
      <c r="K74" s="429" t="s">
        <v>648</v>
      </c>
      <c r="L74" s="431">
        <v>101.05000000000003</v>
      </c>
      <c r="M74" s="431">
        <v>1</v>
      </c>
      <c r="N74" s="432">
        <v>101.05000000000003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5" customWidth="1"/>
    <col min="2" max="2" width="10" style="191" customWidth="1"/>
    <col min="3" max="3" width="5.5546875" style="194" customWidth="1"/>
    <col min="4" max="4" width="10" style="191" customWidth="1"/>
    <col min="5" max="5" width="5.5546875" style="194" customWidth="1"/>
    <col min="6" max="6" width="10" style="191" customWidth="1"/>
    <col min="7" max="16384" width="8.88671875" style="115"/>
  </cols>
  <sheetData>
    <row r="1" spans="1:6" ht="37.200000000000003" customHeight="1" thickBot="1" x14ac:dyDescent="0.4">
      <c r="A1" s="339" t="s">
        <v>139</v>
      </c>
      <c r="B1" s="340"/>
      <c r="C1" s="340"/>
      <c r="D1" s="340"/>
      <c r="E1" s="340"/>
      <c r="F1" s="340"/>
    </row>
    <row r="2" spans="1:6" ht="14.4" customHeight="1" thickBot="1" x14ac:dyDescent="0.35">
      <c r="A2" s="212" t="s">
        <v>255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1" t="s">
        <v>110</v>
      </c>
      <c r="C3" s="342"/>
      <c r="D3" s="343" t="s">
        <v>109</v>
      </c>
      <c r="E3" s="342"/>
      <c r="F3" s="72" t="s">
        <v>3</v>
      </c>
    </row>
    <row r="4" spans="1:6" ht="14.4" customHeight="1" thickBot="1" x14ac:dyDescent="0.35">
      <c r="A4" s="433" t="s">
        <v>123</v>
      </c>
      <c r="B4" s="434" t="s">
        <v>14</v>
      </c>
      <c r="C4" s="435" t="s">
        <v>2</v>
      </c>
      <c r="D4" s="434" t="s">
        <v>14</v>
      </c>
      <c r="E4" s="435" t="s">
        <v>2</v>
      </c>
      <c r="F4" s="436" t="s">
        <v>14</v>
      </c>
    </row>
    <row r="5" spans="1:6" ht="14.4" customHeight="1" thickBot="1" x14ac:dyDescent="0.35">
      <c r="A5" s="445" t="s">
        <v>653</v>
      </c>
      <c r="B5" s="413"/>
      <c r="C5" s="437">
        <v>0</v>
      </c>
      <c r="D5" s="413">
        <v>904.95798795644964</v>
      </c>
      <c r="E5" s="437">
        <v>1</v>
      </c>
      <c r="F5" s="414">
        <v>904.95798795644964</v>
      </c>
    </row>
    <row r="6" spans="1:6" ht="14.4" customHeight="1" thickBot="1" x14ac:dyDescent="0.35">
      <c r="A6" s="441" t="s">
        <v>3</v>
      </c>
      <c r="B6" s="442"/>
      <c r="C6" s="443">
        <v>0</v>
      </c>
      <c r="D6" s="442">
        <v>904.95798795644964</v>
      </c>
      <c r="E6" s="443">
        <v>1</v>
      </c>
      <c r="F6" s="444">
        <v>904.95798795644964</v>
      </c>
    </row>
    <row r="7" spans="1:6" ht="14.4" customHeight="1" thickBot="1" x14ac:dyDescent="0.35"/>
    <row r="8" spans="1:6" ht="14.4" customHeight="1" x14ac:dyDescent="0.3">
      <c r="A8" s="451" t="s">
        <v>654</v>
      </c>
      <c r="B8" s="419"/>
      <c r="C8" s="438">
        <v>0</v>
      </c>
      <c r="D8" s="419">
        <v>104.42</v>
      </c>
      <c r="E8" s="438">
        <v>1</v>
      </c>
      <c r="F8" s="420">
        <v>104.42</v>
      </c>
    </row>
    <row r="9" spans="1:6" ht="14.4" customHeight="1" thickBot="1" x14ac:dyDescent="0.35">
      <c r="A9" s="452" t="s">
        <v>655</v>
      </c>
      <c r="B9" s="448"/>
      <c r="C9" s="449">
        <v>0</v>
      </c>
      <c r="D9" s="448">
        <v>800.53798795644957</v>
      </c>
      <c r="E9" s="449">
        <v>1</v>
      </c>
      <c r="F9" s="450">
        <v>800.53798795644957</v>
      </c>
    </row>
    <row r="10" spans="1:6" ht="14.4" customHeight="1" thickBot="1" x14ac:dyDescent="0.35">
      <c r="A10" s="441" t="s">
        <v>3</v>
      </c>
      <c r="B10" s="442"/>
      <c r="C10" s="443">
        <v>0</v>
      </c>
      <c r="D10" s="442">
        <v>904.95798795644953</v>
      </c>
      <c r="E10" s="443">
        <v>1</v>
      </c>
      <c r="F10" s="444">
        <v>904.95798795644953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2015-06-19T14:53:28Z</dcterms:modified>
</cp:coreProperties>
</file>