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E6" i="419"/>
  <c r="AI6" i="419"/>
  <c r="S6" i="419"/>
  <c r="G6" i="419"/>
  <c r="AS6" i="419"/>
  <c r="AO6" i="419"/>
  <c r="AK6" i="419"/>
  <c r="AG6" i="419"/>
  <c r="AC6" i="419"/>
  <c r="Y6" i="419"/>
  <c r="U6" i="419"/>
  <c r="Q6" i="419"/>
  <c r="M6" i="419"/>
  <c r="I6" i="419"/>
  <c r="AM6" i="419"/>
  <c r="AA6" i="419"/>
  <c r="O6" i="419"/>
  <c r="AR6" i="419"/>
  <c r="AN6" i="419"/>
  <c r="AJ6" i="419"/>
  <c r="AF6" i="419"/>
  <c r="AB6" i="419"/>
  <c r="X6" i="419"/>
  <c r="T6" i="419"/>
  <c r="P6" i="419"/>
  <c r="L6" i="419"/>
  <c r="H6" i="419"/>
  <c r="AQ6" i="419"/>
  <c r="AE6" i="419"/>
  <c r="W6" i="419"/>
  <c r="K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17" i="414"/>
  <c r="D4" i="414"/>
  <c r="C14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1" i="414"/>
  <c r="D21" i="414"/>
  <c r="K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<sst xmlns="http://schemas.openxmlformats.org/spreadsheetml/2006/main" count="5652" uniqueCount="1296">
  <si>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</si>
  <si>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</si>
  <si>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</si>
  <si>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</si>
  <si>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</si>
  <si>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</si>
  <si>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</si>
  <si>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</si>
  <si>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</si>
  <si>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</si>
  <si>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</si>
  <si>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</si>
  <si>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</si>
  <si>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</si>
  <si>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</si>
  <si>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</si>
  <si>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</si>
  <si>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</si>
  <si>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</si>
  <si>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</si>
  <si>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</si>
  <si>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</si>
  <si>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</si>
  <si>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</si>
  <si>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</si>
  <si>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</si>
  <si>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</si>
  <si>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</si>
  <si>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</si>
  <si>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</si>
  <si>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</si>
  <si>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</si>
  <si>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</si>
  <si>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</si>
  <si>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</si>
  <si>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</si>
  <si>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</si>
  <si>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</si>
  <si>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</si>
  <si>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</si>
  <si>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</si>
  <si>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</si>
  <si>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</si>
  <si>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</si>
  <si>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</si>
  <si>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</si>
  <si>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</si>
  <si>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</si>
  <si>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</si>
  <si>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</si>
  <si>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</si>
  <si>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</si>
  <si>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</si>
  <si>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</si>
  <si>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</si>
  <si>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</si>
  <si>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</si>
  <si>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</si>
  <si>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</si>
  <si>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</si>
  <si>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</si>
  <si>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</si>
  <si>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</si>
  <si>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</si>
  <si>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</si>
  <si>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</si>
  <si>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</si>
  <si>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</si>
  <si>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</si>
  <si>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</si>
  <si>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</si>
  <si>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</si>
  <si>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</si>
  <si>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</si>
  <si>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</si>
  <si>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</si>
  <si>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</si>
  <si>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</si>
  <si>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</si>
  <si>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</si>
  <si>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</si>
  <si>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</si>
  <si>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</si>
  <si>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</si>
  <si>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</si>
  <si>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</si>
  <si>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</si>
  <si>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</si>
  <si>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</si>
  <si>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</si>
  <si>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</si>
  <si>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</si>
  <si>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</si>
  <si>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</si>
  <si>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</si>
  <si>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</si>
  <si>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</si>
  <si>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</si>
  <si>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</si>
  <si>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</si>
  <si>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</si>
  <si>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</si>
  <si>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</si>
  <si>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</si>
  <si>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</si>
  <si>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</si>
  <si>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</si>
  <si>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</si>
  <si>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</si>
  <si>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</si>
  <si>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</si>
  <si>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</si>
  <si>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</si>
  <si>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</si>
  <si>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</si>
  <si>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</si>
  <si>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</si>
  <si>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</si>
  <si>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</si>
  <si>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</si>
  <si>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</si>
  <si>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</si>
  <si>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</si>
  <si>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</si>
  <si>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</si>
  <si>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</si>
  <si>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</si>
  <si>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</si>
  <si>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</si>
  <si>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</si>
  <si>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</si>
  <si>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</si>
  <si>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</si>
  <si>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</si>
  <si>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</si>
  <si>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</si>
  <si>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</si>
  <si>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</si>
  <si>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</si>
  <si>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</si>
  <si>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</si>
  <si>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</si>
  <si>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</si>
  <si>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</si>
  <si>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</si>
  <si>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</si>
  <si>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</si>
  <si>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</si>
  <si>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</si>
  <si>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</si>
  <si>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</si>
  <si>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</si>
  <si>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</si>
  <si>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</si>
  <si>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</si>
  <si>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</si>
  <si>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</si>
  <si>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</si>
  <si>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</si>
  <si>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</si>
  <si>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</si>
  <si>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</si>
  <si>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</si>
  <si>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</si>
  <si>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</si>
  <si>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</si>
  <si>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</si>
  <si>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</si>
  <si>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</si>
  <si>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</si>
  <si>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</si>
  <si>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</si>
  <si>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</si>
  <si>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</si>
  <si>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</si>
  <si>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</si>
  <si>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</si>
  <si>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</si>
  <si>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</si>
  <si>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</si>
  <si>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</si>
  <si>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</si>
  <si>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</si>
  <si>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</si>
  <si>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</si>
  <si>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</si>
  <si>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</si>
  <si>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</si>
  <si>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</si>
  <si>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</si>
  <si>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</si>
  <si>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</si>
  <si>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</si>
  <si>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</si>
  <si>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</si>
  <si>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</si>
  <si>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</si>
  <si>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</si>
  <si>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</si>
  <si>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</si>
  <si>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</si>
  <si>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</si>
  <si>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</si>
  <si>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</si>
  <si>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</si>
  <si>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</si>
  <si>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</si>
  <si>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</si>
  <si>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</si>
  <si>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</si>
  <si>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</si>
  <si>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</si>
  <si>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</si>
  <si>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</si>
  <si>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</si>
  <si>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</si>
  <si>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</si>
  <si>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</si>
  <si>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</si>
  <si>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</si>
  <si>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</si>
  <si>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</si>
  <si>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</si>
  <si>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</si>
  <si>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</si>
  <si>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</si>
  <si>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</si>
  <si>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</si>
  <si>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</si>
  <si>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</si>
  <si>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</si>
  <si>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</si>
  <si>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</si>
  <si>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</si>
  <si>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</si>
  <si>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</si>
  <si>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</si>
  <si>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</si>
  <si>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</si>
  <si>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</si>
  <si>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</si>
  <si>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</si>
  <si>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</si>
  <si>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</si>
  <si>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</si>
  <si>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</si>
  <si>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</si>
  <si>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</si>
  <si>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</si>
  <si>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</si>
  <si>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</si>
  <si>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</si>
  <si>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</si>
  <si>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</si>
  <si>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</si>
  <si>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</si>
  <si>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</si>
  <si>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</si>
  <si>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</si>
  <si>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</si>
  <si>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</si>
  <si>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</si>
  <si>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</si>
  <si>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</si>
  <si>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</si>
  <si>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</si>
  <si>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</si>
  <si>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</si>
  <si>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</si>
  <si>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</si>
  <si>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</si>
  <si>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</si>
  <si>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</si>
  <si>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</si>
  <si>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</si>
  <si>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</si>
  <si>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</si>
  <si>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</si>
  <si>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</si>
  <si>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</si>
  <si>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</si>
  <si>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</si>
  <si>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</si>
  <si>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</si>
  <si>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</si>
  <si>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</si>
  <si>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</si>
  <si>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</si>
  <si>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</si>
  <si>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</si>
  <si>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</si>
  <si>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</si>
  <si>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</si>
  <si>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</si>
  <si>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</si>
  <si>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</si>
  <si>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</si>
  <si>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</si>
  <si>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</si>
  <si>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</si>
  <si>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</si>
  <si>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</si>
  <si>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</si>
  <si>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</si>
  <si>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</si>
  <si>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</si>
  <si>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</si>
  <si>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</si>
  <si>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</si>
  <si>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</si>
  <si>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</si>
  <si>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</si>
  <si>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</si>
  <si>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</si>
  <si>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</si>
  <si>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</si>
  <si>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</si>
  <si>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</si>
  <si>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</si>
  <si>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</si>
  <si>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</si>
  <si>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</si>
  <si>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</si>
  <si>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</si>
  <si>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</si>
  <si>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</si>
  <si>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</si>
  <si>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</si>
  <si>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</si>
  <si>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</si>
  <si>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</si>
  <si>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</si>
  <si>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</si>
  <si>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</si>
  <si>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</si>
  <si>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</si>
  <si>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</si>
  <si>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</si>
  <si>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</si>
  <si>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</si>
  <si>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</si>
  <si>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</si>
  <si>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</si>
  <si>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</si>
  <si>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</si>
  <si>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</si>
  <si>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</si>
  <si>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</si>
  <si>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</si>
  <si>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</si>
  <si>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</si>
  <si>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</si>
  <si>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</si>
  <si>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</si>
  <si>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</si>
  <si>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</si>
  <si>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</si>
  <si>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</si>
  <si>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</si>
  <si>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</si>
  <si>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</si>
  <si>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</si>
  <si>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</si>
  <si>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</si>
  <si>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</si>
  <si>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</si>
  <si>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</si>
  <si>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</si>
  <si>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</si>
  <si>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</si>
  <si>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</si>
  <si>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</si>
  <si>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</si>
  <si>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</si>
  <si>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</si>
  <si>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</si>
  <si>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</si>
  <si>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</si>
  <si>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</si>
  <si>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</si>
  <si>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</si>
  <si>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</si>
  <si>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</si>
  <si>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</si>
  <si>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</si>
  <si>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</si>
  <si>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</si>
  <si>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</si>
  <si>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</si>
  <si>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</si>
  <si>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</si>
  <si>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</si>
  <si>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</si>
  <si>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</si>
  <si>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</si>
  <si>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</si>
  <si>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</si>
  <si>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</si>
  <si>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</si>
  <si>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</si>
  <si>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</si>
  <si>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</si>
  <si>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</si>
  <si>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</si>
  <si>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</si>
  <si>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</si>
  <si>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</si>
  <si>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</si>
  <si>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</si>
  <si>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</si>
  <si>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</si>
  <si>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</si>
  <si>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</si>
  <si>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</si>
  <si>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</si>
  <si>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</si>
  <si>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</si>
  <si>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</si>
  <si>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</si>
  <si>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</si>
  <si>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</si>
  <si>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</si>
  <si>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</si>
  <si>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</si>
  <si>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</si>
  <si>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</si>
  <si>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</si>
  <si>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</si>
  <si>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</si>
  <si>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</si>
  <si>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</si>
  <si>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</si>
  <si>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</si>
  <si>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</si>
  <si>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</si>
  <si>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</si>
  <si>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</si>
  <si>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</si>
  <si>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</si>
  <si>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</si>
  <si>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</si>
  <si>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</si>
  <si>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</si>
  <si>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</si>
  <si>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</si>
  <si>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</si>
  <si>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</si>
  <si>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</si>
  <si>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</si>
  <si>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</si>
  <si>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</si>
  <si>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</si>
  <si>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</si>
  <si>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</si>
  <si>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</si>
  <si>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</si>
  <si>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</si>
  <si>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</si>
  <si>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</si>
  <si>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</si>
  <si>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</si>
  <si>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</si>
  <si>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</si>
  <si>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</si>
  <si>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</si>
  <si>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</si>
  <si>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</si>
  <si>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</si>
  <si>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</si>
  <si>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</si>
  <si>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</si>
  <si>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</si>
  <si>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</si>
  <si>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</si>
  <si>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</si>
  <si>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</si>
  <si>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</si>
  <si>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</si>
  <si>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</si>
  <si>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</si>
  <si>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102477</t>
  </si>
  <si>
    <t>2477</t>
  </si>
  <si>
    <t>DIAZEPAM SLOVAKOFARMA</t>
  </si>
  <si>
    <t>TBL 20X5MG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</si>
  <si>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</si>
  <si>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</si>
  <si>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</si>
  <si>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</si>
  <si>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</si>
  <si>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</si>
  <si>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</si>
  <si>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</si>
  <si>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849941</t>
  </si>
  <si>
    <t>162142</t>
  </si>
  <si>
    <t>PARALEN 500</t>
  </si>
  <si>
    <t>POR TBL NOB 24X500MG</t>
  </si>
  <si>
    <t>930444</t>
  </si>
  <si>
    <t>0</t>
  </si>
  <si>
    <t>KL AQUA PURIF. KUL., FAG. 1 kg</t>
  </si>
  <si>
    <t>193109</t>
  </si>
  <si>
    <t>93109</t>
  </si>
  <si>
    <t>SUPRACAIN 4%</t>
  </si>
  <si>
    <t>INJ 10X2ML</t>
  </si>
  <si>
    <t>900321</t>
  </si>
  <si>
    <t>KL PRIPRAVEK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</si>
  <si>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</si>
  <si>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</si>
  <si>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</si>
  <si>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</si>
  <si>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</si>
  <si>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</si>
  <si>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</si>
  <si>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169755</t>
  </si>
  <si>
    <t>69755</t>
  </si>
  <si>
    <t>ARDEANUTRISOL G 40</t>
  </si>
  <si>
    <t>INF 1X80ML</t>
  </si>
  <si>
    <t>849829</t>
  </si>
  <si>
    <t>162673</t>
  </si>
  <si>
    <t>IBALGIN 400 TBL 36</t>
  </si>
  <si>
    <t xml:space="preserve">POR TBL FLM 36X400MG </t>
  </si>
  <si>
    <t>900512</t>
  </si>
  <si>
    <t>KL ETHANOL.C.BENZINO 1 l</t>
  </si>
  <si>
    <t>900873</t>
  </si>
  <si>
    <t>KL VASELINUM ALBUM, 100G</t>
  </si>
  <si>
    <t>921230</t>
  </si>
  <si>
    <t>KL VASELINUM ALBUM, 20G</t>
  </si>
  <si>
    <t>930043</t>
  </si>
  <si>
    <t>DZ TRIXO LIND 100 ml</t>
  </si>
  <si>
    <t>500038</t>
  </si>
  <si>
    <t>KL OBAL</t>
  </si>
  <si>
    <t>lékovky, kelímky</t>
  </si>
  <si>
    <t>921403</t>
  </si>
  <si>
    <t>KL VASELINUM ALBUM, 50G</t>
  </si>
  <si>
    <t>132082</t>
  </si>
  <si>
    <t>32082</t>
  </si>
  <si>
    <t>IBALGIN 400 (IBUPROFEN 400)</t>
  </si>
  <si>
    <t>TBL OBD 100X400MG</t>
  </si>
  <si>
    <t>196886</t>
  </si>
  <si>
    <t>96886</t>
  </si>
  <si>
    <t>0.9% W/V SODIUM CHLORIDE I.V.</t>
  </si>
  <si>
    <t>INJ 20X10ML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</si>
  <si>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</si>
  <si>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</si>
  <si>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</si>
  <si>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</si>
  <si>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</si>
  <si>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</si>
  <si>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</si>
  <si>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900513</t>
  </si>
  <si>
    <t>KL ETHANOL.C.BENZINO 75G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</si>
  <si>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</si>
  <si>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</si>
  <si>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</si>
  <si>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</si>
  <si>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</si>
  <si>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</si>
  <si>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</si>
  <si>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</si>
  <si>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</si>
  <si>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</si>
  <si>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</si>
  <si>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</si>
  <si>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</si>
  <si>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</si>
  <si>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</si>
  <si>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</si>
  <si>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</si>
  <si>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</si>
  <si>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</si>
  <si>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</si>
  <si>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</si>
  <si>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</si>
  <si>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</si>
  <si>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</si>
  <si>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</si>
  <si>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</si>
  <si>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</si>
  <si>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</si>
  <si>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</si>
  <si>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</si>
  <si>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500128</t>
  </si>
  <si>
    <t>Curaprox Curasept ADS 350 par.gel 30ml</t>
  </si>
  <si>
    <t>203092</t>
  </si>
  <si>
    <t>LIDOCAIN EGIS 10 %</t>
  </si>
  <si>
    <t>DRM SPR SOL 1X38GM</t>
  </si>
  <si>
    <t>900857</t>
  </si>
  <si>
    <t>KL CHLORHEXIDINI SOL. 0,1% 1000ml</t>
  </si>
  <si>
    <t>180440</t>
  </si>
  <si>
    <t>80440</t>
  </si>
  <si>
    <t>UBISTESIN</t>
  </si>
  <si>
    <t>INJ SOL 50X1.7ML</t>
  </si>
  <si>
    <t>501596</t>
  </si>
  <si>
    <t>ECOLAV Výplach očí 100ml</t>
  </si>
  <si>
    <t>100 ml</t>
  </si>
  <si>
    <t>920315</t>
  </si>
  <si>
    <t>KL SOL.ZINCI CHLOR.10% 5G</t>
  </si>
  <si>
    <t>P</t>
  </si>
  <si>
    <t>166030</t>
  </si>
  <si>
    <t>66030</t>
  </si>
  <si>
    <t>ZODAC</t>
  </si>
  <si>
    <t>TBL OBD 30X10MG</t>
  </si>
  <si>
    <t>50113013</t>
  </si>
  <si>
    <t>105951</t>
  </si>
  <si>
    <t>5951</t>
  </si>
  <si>
    <t>AMOKSIKLAV 1G</t>
  </si>
  <si>
    <t>TBL OBD 14X1GM</t>
  </si>
  <si>
    <t>ZUBNI: ambulance</t>
  </si>
  <si>
    <t>Lékárna - léčiva</t>
  </si>
  <si>
    <t>Lékárna - antibiotika</t>
  </si>
  <si>
    <t>2421 - ZUBNI: ambulance</t>
  </si>
  <si>
    <t>R06AE07 - Cetirizin</t>
  </si>
  <si>
    <t>J01CR02 - Amoxicilin a enzymový inhibitor</t>
  </si>
  <si>
    <t>J01CR02</t>
  </si>
  <si>
    <t>AMOKSIKLAV 1 G</t>
  </si>
  <si>
    <t>875MG/125MG TBL FLM 14</t>
  </si>
  <si>
    <t>R06AE07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</si>
  <si>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</si>
  <si>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</si>
  <si>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</si>
  <si>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</si>
  <si>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ZA443</t>
  </si>
  <si>
    <t>Šátek trojcípý NT 136 x 96 x 96 cm 20002</t>
  </si>
  <si>
    <t>ZA446</t>
  </si>
  <si>
    <t>Vata buničitá přířezy 20 x 30 cm 1230200129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</si>
  <si>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</si>
  <si>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</si>
  <si>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</si>
  <si>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</si>
  <si>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</si>
  <si>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cm/2 ks sterilní karton á 1000 ks 26005</t>
  </si>
  <si>
    <t>ZB404</t>
  </si>
  <si>
    <t>Náplast cosmos 8 cm x 1 m 5403353</t>
  </si>
  <si>
    <t>ZC100</t>
  </si>
  <si>
    <t>Vata buničitá dělená 2 role / 500 ks 40 x 50 mm 1230200310</t>
  </si>
  <si>
    <t>ZC885</t>
  </si>
  <si>
    <t>Náplast omnifix E 10 cm x 10 m 900650</t>
  </si>
  <si>
    <t>ZD103</t>
  </si>
  <si>
    <t>Náplast omniplast 2,5 cm x 9,2 m 9004530</t>
  </si>
  <si>
    <t>ZD740</t>
  </si>
  <si>
    <t>Kompresa gáza sterilkompres 7,5 x 7,5 cm/5 ks sterilní 1325019265(1230119225)</t>
  </si>
  <si>
    <t>ZA616</t>
  </si>
  <si>
    <t>Drenáž zubní sterilní 1 x 6 cm 0360</t>
  </si>
  <si>
    <t>ZL790</t>
  </si>
  <si>
    <t>Obvaz sterilní hotový č. 3 A4101144</t>
  </si>
  <si>
    <t>ZM000</t>
  </si>
  <si>
    <t>Vata obvazová skládaná 50g 004307667</t>
  </si>
  <si>
    <t>ZF042</t>
  </si>
  <si>
    <t>Krytí mastný tyl jelonet 10 x 10 cm á 10 ks 7404</t>
  </si>
  <si>
    <t>ZA533</t>
  </si>
  <si>
    <t>Váleček zubní Celluron č.2 á 600 ks 4301821</t>
  </si>
  <si>
    <t>ZN200</t>
  </si>
  <si>
    <t>Krytí hemostatické traumacel new dent kostky bal. á 50 ks 10115</t>
  </si>
  <si>
    <t>ZN468</t>
  </si>
  <si>
    <t>Obvaz elastický síťový pruban č. 3 chodidlo, holeň, loket 1323300230</t>
  </si>
  <si>
    <t>ZA798</t>
  </si>
  <si>
    <t>Krytí hemostatické traumacel P 2g ks bal. 1 ks zásyp 80521</t>
  </si>
  <si>
    <t>ZA728</t>
  </si>
  <si>
    <t>Lopatka ústní dřevěná lékařská nesterilní bal. á 100 ks 1320100655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</si>
  <si>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</si>
  <si>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</si>
  <si>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</si>
  <si>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</si>
  <si>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</si>
  <si>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</si>
  <si>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</si>
  <si>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</si>
  <si>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ZB351</t>
  </si>
  <si>
    <t>Miska petri UH pr. 60 mm á 20 ks 400927</t>
  </si>
  <si>
    <t>ZB844</t>
  </si>
  <si>
    <t>Esmarch 60 x 1250 KVS 06125</t>
  </si>
  <si>
    <t>ZB949</t>
  </si>
  <si>
    <t>Pinzeta UH sterilní HAR478 165 (HAR999565)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</si>
  <si>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</si>
  <si>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</si>
  <si>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</si>
  <si>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</si>
  <si>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</si>
  <si>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</si>
  <si>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</si>
  <si>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</si>
  <si>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</si>
  <si>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</si>
  <si>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ZF549</t>
  </si>
  <si>
    <t>Náústek s filtrem výměnný k plynu Entonox 1043178 (ref.828-0002)</t>
  </si>
  <si>
    <t>ZH685</t>
  </si>
  <si>
    <t>Kádinka plastová   250 ml K001805</t>
  </si>
  <si>
    <t>ZB316</t>
  </si>
  <si>
    <t>Vzduchovod nosní 8,0 mm bal. á 10 ks 100/210/080</t>
  </si>
  <si>
    <t>ZM158</t>
  </si>
  <si>
    <t>Raspatorium rovné Farabeuf šířka 12 mm délka 150 mm 26.53.13</t>
  </si>
  <si>
    <t>ZC054</t>
  </si>
  <si>
    <t>Válec odměrný vysoký sklo 100 ml d713880</t>
  </si>
  <si>
    <t>ZC047</t>
  </si>
  <si>
    <t>Miska petri sklo 60 mm 713874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</si>
  <si>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</si>
  <si>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</si>
  <si>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</si>
  <si>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</si>
  <si>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</si>
  <si>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</si>
  <si>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</si>
  <si>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</si>
  <si>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</si>
  <si>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</si>
  <si>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</si>
  <si>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</si>
  <si>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ZC325</t>
  </si>
  <si>
    <t>Gel etching 4122505</t>
  </si>
  <si>
    <t>ZC373</t>
  </si>
  <si>
    <t>Sprej cognoscin orig. 120 g 1IX1140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</si>
  <si>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</si>
  <si>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</si>
  <si>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</si>
  <si>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</si>
  <si>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</si>
  <si>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</si>
  <si>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</si>
  <si>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</si>
  <si>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</si>
  <si>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</si>
  <si>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</si>
  <si>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</si>
  <si>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</si>
  <si>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</si>
  <si>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</si>
  <si>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</si>
  <si>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</si>
  <si>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</si>
  <si>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</si>
  <si>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</si>
  <si>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</si>
  <si>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</si>
  <si>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</si>
  <si>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</si>
  <si>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</si>
  <si>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</si>
  <si>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</si>
  <si>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</si>
  <si>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ZI807</t>
  </si>
  <si>
    <t>Implantát D4.4 BIO-ACCEL/L12 0321:3</t>
  </si>
  <si>
    <t>ZI927</t>
  </si>
  <si>
    <t>Amalgám YDM č. 1 YDM-I/400</t>
  </si>
  <si>
    <t>ZL577</t>
  </si>
  <si>
    <t>Sprej Kavo 4119640KA</t>
  </si>
  <si>
    <t>ZC570</t>
  </si>
  <si>
    <t>Kavitan LC A2 12 g prášku + 5 g tekutiny 4113411</t>
  </si>
  <si>
    <t>ZD133</t>
  </si>
  <si>
    <t>Hmota otiskovací kettenbach 0137221</t>
  </si>
  <si>
    <t>ZD288</t>
  </si>
  <si>
    <t>Fólie erkoflex 4,0 mm/120 mm ER581240</t>
  </si>
  <si>
    <t>ZD336</t>
  </si>
  <si>
    <t>Dentalon plus liquid 250 ml HK65041138</t>
  </si>
  <si>
    <t>ZD531</t>
  </si>
  <si>
    <t>Superacryl plus PLV. 500 g 4328417</t>
  </si>
  <si>
    <t>ZD789</t>
  </si>
  <si>
    <t>Clip clip /voco/prov.výplňový materiál stříkačka 2 x 4 g 1284</t>
  </si>
  <si>
    <t>ZF690</t>
  </si>
  <si>
    <t>Drát NiTi 016 lower oval form III 101-435</t>
  </si>
  <si>
    <t>ZF691</t>
  </si>
  <si>
    <t>Drát NiTi 16 x 22 upper oval form III 101-442</t>
  </si>
  <si>
    <t>ZH467</t>
  </si>
  <si>
    <t>Sprej Kavo QUATTROCARE á 6 ks (6 lahví) KaVo QUATTROcare spreje a 500 ml 1.011.5720</t>
  </si>
  <si>
    <t>ZL447</t>
  </si>
  <si>
    <t>Matrice Hawe adapt 0,038 mm bal. á 30 ks 581207</t>
  </si>
  <si>
    <t>ZB277</t>
  </si>
  <si>
    <t>Pronikač K - File 063025015</t>
  </si>
  <si>
    <t>ZC193</t>
  </si>
  <si>
    <t>Poresorb-TCP 1.0 g/1.2 ml 1,0-2,0 mm 41:2</t>
  </si>
  <si>
    <t>ZD140</t>
  </si>
  <si>
    <t>Pájka univerz.stříbrná - 700°C 380-604-50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</si>
  <si>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</si>
  <si>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</si>
  <si>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</si>
  <si>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</si>
  <si>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</si>
  <si>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</si>
  <si>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</si>
  <si>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</si>
  <si>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ZD335</t>
  </si>
  <si>
    <t>Dentalon plus-barva HK650410L</t>
  </si>
  <si>
    <t>ZC471</t>
  </si>
  <si>
    <t>Spofacryl orig. 100g O 4318200</t>
  </si>
  <si>
    <t>ZC517</t>
  </si>
  <si>
    <t>Nit dentální BT485</t>
  </si>
  <si>
    <t>ZE911</t>
  </si>
  <si>
    <t>Čep 06 papírový 30 dentaclean á 100 ks P64030 9019139</t>
  </si>
  <si>
    <t>ZI685</t>
  </si>
  <si>
    <t>Pilník K - File 397144518772</t>
  </si>
  <si>
    <t>ZH124</t>
  </si>
  <si>
    <t>Pronikač K - File VDW063025010</t>
  </si>
  <si>
    <t>ZM736</t>
  </si>
  <si>
    <t>Fólie erkoflex 1,0 mm/120 mm ER581210</t>
  </si>
  <si>
    <t>ZC535</t>
  </si>
  <si>
    <t>Induret gel C100700</t>
  </si>
  <si>
    <t>ZL448</t>
  </si>
  <si>
    <t>Matrice Hawe adapt 1205581205</t>
  </si>
  <si>
    <t>ZB393</t>
  </si>
  <si>
    <t>Hmota otiskovací silikonová speedex putty 0026292</t>
  </si>
  <si>
    <t>ZC379</t>
  </si>
  <si>
    <t>Aquasil ultra LV Regular 4 x 50 ml DT678779</t>
  </si>
  <si>
    <t>ZC178</t>
  </si>
  <si>
    <t>Implantát D2.9 SB/L14 03101:3</t>
  </si>
  <si>
    <t>ZC233</t>
  </si>
  <si>
    <t>Implantát D3.7 BIO/L14 0451:3</t>
  </si>
  <si>
    <t>ZD393</t>
  </si>
  <si>
    <t>Drát NiTi 016 upper oval form III 101-434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</si>
  <si>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</si>
  <si>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</si>
  <si>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</si>
  <si>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</si>
  <si>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</si>
  <si>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</si>
  <si>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</si>
  <si>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</si>
  <si>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ZC783</t>
  </si>
  <si>
    <t>Vana dezinfekční 3 l 9800600</t>
  </si>
  <si>
    <t>ZK182</t>
  </si>
  <si>
    <t>Dycal 4401</t>
  </si>
  <si>
    <t>ZM729</t>
  </si>
  <si>
    <t>Roztok na otiskovací hmotu VPS Tray Adhezivum ES7307</t>
  </si>
  <si>
    <t>ZE583</t>
  </si>
  <si>
    <t>Aquasil soft putty/regular economy pack 8 x 450 ml 605.78.321</t>
  </si>
  <si>
    <t>ZL446</t>
  </si>
  <si>
    <t>Matrice Hawe adapt 1208581208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</si>
  <si>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</si>
  <si>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</si>
  <si>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</si>
  <si>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</si>
  <si>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</si>
  <si>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</si>
  <si>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</si>
  <si>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</si>
  <si>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</si>
  <si>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</si>
  <si>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ZI732</t>
  </si>
  <si>
    <t>Vlákno retrakční Ultrapak č.00 délka vlákna v lahvičce 244 cm žluté UD9332</t>
  </si>
  <si>
    <t>ZH672</t>
  </si>
  <si>
    <t>Pomůcka k odtažení rtů Optragate 0091610</t>
  </si>
  <si>
    <t>ZD395</t>
  </si>
  <si>
    <t>Cna archwires oval III 17/25 upper 101-515</t>
  </si>
  <si>
    <t>ZD394</t>
  </si>
  <si>
    <t>Cna archwires oval III 17/25 lower 101-514</t>
  </si>
  <si>
    <t>ZK620</t>
  </si>
  <si>
    <t>Gel ViscoStat 9012154</t>
  </si>
  <si>
    <t>ZL444</t>
  </si>
  <si>
    <t>Matrice Hawe adapt 1202581202</t>
  </si>
  <si>
    <t>ZD313</t>
  </si>
  <si>
    <t>Oranwash L 140 ml IX2877</t>
  </si>
  <si>
    <t>ZL180</t>
  </si>
  <si>
    <t>Ingoty LT IPS e-max Press barva A2 bal. á 5 ks IV605274</t>
  </si>
  <si>
    <t>ZE155</t>
  </si>
  <si>
    <t>Kanyla M+W pro leptací gel 0100102</t>
  </si>
  <si>
    <t>ZC382</t>
  </si>
  <si>
    <t>Opticor flow barva A2 1008A2</t>
  </si>
  <si>
    <t>ZC319</t>
  </si>
  <si>
    <t>Papír artikulační modročerv. l 12x10lis 102</t>
  </si>
  <si>
    <t>ZD124</t>
  </si>
  <si>
    <t>Caries detector 6 ml 152010</t>
  </si>
  <si>
    <t>ZC827</t>
  </si>
  <si>
    <t>Implantát D4.4 BIO-ACCEL/L14 0421:3</t>
  </si>
  <si>
    <t>ZB278</t>
  </si>
  <si>
    <t>Pronikač K - File 063025020</t>
  </si>
  <si>
    <t>ZJ679</t>
  </si>
  <si>
    <t>Šroubovák do ráčny dlouhý hex 1.4/L21 4024.3</t>
  </si>
  <si>
    <t>ZC552</t>
  </si>
  <si>
    <t>Sof-lex disky ES8692SF</t>
  </si>
  <si>
    <t>ZC477</t>
  </si>
  <si>
    <t>Pemza leštící  5kg 260000013</t>
  </si>
  <si>
    <t>ZC563</t>
  </si>
  <si>
    <t>Tokuso rebase 1/X7045</t>
  </si>
  <si>
    <t>ZC369</t>
  </si>
  <si>
    <t>Drát kulatý pr. 7 mm IN0307</t>
  </si>
  <si>
    <t>ZC457</t>
  </si>
  <si>
    <t>Solitine (Kerr) 60084</t>
  </si>
  <si>
    <t>ZC304</t>
  </si>
  <si>
    <t>Stomaflex varnish (lak) 140 g 4817330</t>
  </si>
  <si>
    <t>ZO133</t>
  </si>
  <si>
    <t>Protahováček h-file 0,10 397144515842</t>
  </si>
  <si>
    <t>ZL183</t>
  </si>
  <si>
    <t>Ingoty LT IPS e-max Press barva D2 bal. á 5 ks IV626311</t>
  </si>
  <si>
    <t>ZC522</t>
  </si>
  <si>
    <t>Pasta Superpolish 1719</t>
  </si>
  <si>
    <t>ZF496</t>
  </si>
  <si>
    <t>Drát NiTi 018 101-436</t>
  </si>
  <si>
    <t>ZI659</t>
  </si>
  <si>
    <t>Drát ocelový 21 x 25 101-422</t>
  </si>
  <si>
    <t>ZF064</t>
  </si>
  <si>
    <t>Drát ocelový 17 x 25 101-415</t>
  </si>
  <si>
    <t>ZE063</t>
  </si>
  <si>
    <t>Drát ocelový 17 x 25 101-414</t>
  </si>
  <si>
    <t>ZB986</t>
  </si>
  <si>
    <t>Seal Protect  606.04.700</t>
  </si>
  <si>
    <t>ZA277</t>
  </si>
  <si>
    <t>Sádra Hinristone zelený 25 kg 0612/25</t>
  </si>
  <si>
    <t>ZC577</t>
  </si>
  <si>
    <t>Vlákno retrační Ultrapak č.000 UD9331</t>
  </si>
  <si>
    <t>ZH079</t>
  </si>
  <si>
    <t>Kamínek na Zirkonoxid-nízký váleček Z623</t>
  </si>
  <si>
    <t>ZD525</t>
  </si>
  <si>
    <t>Dia disk FL 365.524.450</t>
  </si>
  <si>
    <t>ZE064</t>
  </si>
  <si>
    <t>Drát ocelový 18 x 25 101-418</t>
  </si>
  <si>
    <t>ZE673</t>
  </si>
  <si>
    <t>Drát NiTi 17 x 25 101-444</t>
  </si>
  <si>
    <t>ZD290</t>
  </si>
  <si>
    <t>Tetric Evo 2g Flow A2</t>
  </si>
  <si>
    <t>ZO511</t>
  </si>
  <si>
    <t>Cement pryskyřičný RelyX U 200 barva A3 automix set  tuba 8,5 g 9026796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</si>
  <si>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</si>
  <si>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</si>
  <si>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</si>
  <si>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</si>
  <si>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ZH899</t>
  </si>
  <si>
    <t>Pásky stripovací jednostranné 106-220</t>
  </si>
  <si>
    <t>ZG719</t>
  </si>
  <si>
    <t>Sada protetická locator á 2 ks 08519-2</t>
  </si>
  <si>
    <t>ZF788</t>
  </si>
  <si>
    <t>Váleček vhojovací astra 24579</t>
  </si>
  <si>
    <t>ZL331</t>
  </si>
  <si>
    <t>Adhezivum dentální single bond universal  kit 9020890</t>
  </si>
  <si>
    <t>ZG149</t>
  </si>
  <si>
    <t>Kazeta a stojánek na rotační nástroje 397139500740</t>
  </si>
  <si>
    <t>ZI518</t>
  </si>
  <si>
    <t>Kartáček pro předleštění a leštění okluzálních restaurací Occlubrush č. 2505 štětiny do špičky (do kolénka) sterilizovatelné do 134°C bal. á 3 ks</t>
  </si>
  <si>
    <t>ZB044</t>
  </si>
  <si>
    <t>Šroub ortodontický Bertoni 602-606-1</t>
  </si>
  <si>
    <t>ZO907</t>
  </si>
  <si>
    <t>Pomůcka k odtažení rtů Optragate Regular bezlatexová bal. á 80 ks 0091611</t>
  </si>
  <si>
    <t>ZO871</t>
  </si>
  <si>
    <t>Implantát astra tech TX 5. 0S 24972</t>
  </si>
  <si>
    <t>ZG186</t>
  </si>
  <si>
    <t>Kartáček prophylaxe ED1256</t>
  </si>
  <si>
    <t>ZL468</t>
  </si>
  <si>
    <t>Savka s odním.koncovkou - transp. MSF6007</t>
  </si>
  <si>
    <t>ZD390</t>
  </si>
  <si>
    <t>Tahy gumové intraor.-medium 3/16" 407-031S</t>
  </si>
  <si>
    <t>ZG236</t>
  </si>
  <si>
    <t>Preci Ball patrice AD1205C</t>
  </si>
  <si>
    <t>ZC512</t>
  </si>
  <si>
    <t>Čep papírový 15-40 BT930.1</t>
  </si>
  <si>
    <t>ZL621</t>
  </si>
  <si>
    <t>Čep papírový ISO 80 BT930.80</t>
  </si>
  <si>
    <t>ZF689</t>
  </si>
  <si>
    <t>Tahy gumové intraor.-medium 1/8" 407-021S</t>
  </si>
  <si>
    <t>ZC509</t>
  </si>
  <si>
    <t>Čep gutaperčový 45-80 1BT935.2</t>
  </si>
  <si>
    <t>ZD576</t>
  </si>
  <si>
    <t>Signum c+b opaque lig.4 ml HK64714198</t>
  </si>
  <si>
    <t>ZG770</t>
  </si>
  <si>
    <t>Šroubovák do ráčny krátký hex 1.4/L11 4224.3</t>
  </si>
  <si>
    <t>ZC337</t>
  </si>
  <si>
    <t>Drát shorty koby twistis 014</t>
  </si>
  <si>
    <t>ZK539</t>
  </si>
  <si>
    <t>Protahováček h-file 144515812</t>
  </si>
  <si>
    <t>ZK543</t>
  </si>
  <si>
    <t>Pilník K - File 397144518662</t>
  </si>
  <si>
    <t>ZH889</t>
  </si>
  <si>
    <t>Drát NiTi 17 x 25 101-445</t>
  </si>
  <si>
    <t>ZF489</t>
  </si>
  <si>
    <t>Drát NiTi 18 x 25 101-448</t>
  </si>
  <si>
    <t>ZC309</t>
  </si>
  <si>
    <t>Kotouč leštící lisko-S ER223105</t>
  </si>
  <si>
    <t>ZI564</t>
  </si>
  <si>
    <t>Šroubovák inbus ruční extra orální hex 1.4 2924.3</t>
  </si>
  <si>
    <t>ZL835</t>
  </si>
  <si>
    <t>Šroub krycí 24448</t>
  </si>
  <si>
    <t>ZG142</t>
  </si>
  <si>
    <t>Frézka velká H22ALGK.314.016</t>
  </si>
  <si>
    <t>ZG867</t>
  </si>
  <si>
    <t>Pásek strippingový ,á 10 ks, 106-221D</t>
  </si>
  <si>
    <t>ZG518</t>
  </si>
  <si>
    <t>Návlek na senzor RVG  bal. á 500 ks 582024</t>
  </si>
  <si>
    <t>ZL507</t>
  </si>
  <si>
    <t>Roztok na leptání porcelain etch 9007952</t>
  </si>
  <si>
    <t>ZM052</t>
  </si>
  <si>
    <t>Hmota otiskovací silikonová express XT Ligh Body A 9018671</t>
  </si>
  <si>
    <t>ZC565</t>
  </si>
  <si>
    <t>Premacryl prášek růžový 500 g 4342405</t>
  </si>
  <si>
    <t>ZL709</t>
  </si>
  <si>
    <t>Váleček vhojovací 24584</t>
  </si>
  <si>
    <t>ZF622</t>
  </si>
  <si>
    <t>Šroub krycí 24329</t>
  </si>
  <si>
    <t>ZL705</t>
  </si>
  <si>
    <t>Tekutina Build-UP liquid IV593352</t>
  </si>
  <si>
    <t>ZI138</t>
  </si>
  <si>
    <t>Fréza explantační D3.7 1010.3</t>
  </si>
  <si>
    <t>ZI139</t>
  </si>
  <si>
    <t>Fréza explantační D5.1 1020.3</t>
  </si>
  <si>
    <t>ZI612</t>
  </si>
  <si>
    <t>Pilíř locator attachmenty D3.7/L4 01211</t>
  </si>
  <si>
    <t>ZG717</t>
  </si>
  <si>
    <t>Pilíř locator attachmenty D3.7/L2 01209</t>
  </si>
  <si>
    <t>ZJ301</t>
  </si>
  <si>
    <t>Systém adhezivní F-Splint-Aid (1x lahvička s páskou a bondem šířka 4 mm, délka 12 cm + 5x aplikační svorka)</t>
  </si>
  <si>
    <t>ZD434</t>
  </si>
  <si>
    <t>Vrták d 2,0 314.3</t>
  </si>
  <si>
    <t>ZO980</t>
  </si>
  <si>
    <t>Sada 3 vrtáků (314.3 - průměr 2 mm, délka 23 mm, 02214.3 - průměr 2,5 mm, délka 23 mm, 01414.3 - průměr 3 mm, délka 23 mm) 1403.00</t>
  </si>
  <si>
    <t>ZM050</t>
  </si>
  <si>
    <t>Hmota otiskovací silikonová express XT Putty soft 9018679</t>
  </si>
  <si>
    <t>ZO979</t>
  </si>
  <si>
    <t>Vrták pro implantáty krátký průměr 2 mm délka 17 mm 4314.3</t>
  </si>
  <si>
    <t>ZO981</t>
  </si>
  <si>
    <t>Materiál pro regeneraci kostní tkáně OssaBase-HA, velikost zrn 0,6–1,0 mm, balení 1,0 ml/0,5 g 23:6</t>
  </si>
  <si>
    <t>ZD396</t>
  </si>
  <si>
    <t>Cna archwires oval III 16/22 upper 101-512</t>
  </si>
  <si>
    <t>ZM851</t>
  </si>
  <si>
    <t>Ráčna na implantáty 2409.0</t>
  </si>
  <si>
    <t>ZC564</t>
  </si>
  <si>
    <t>Oralium 1 g  1700/O</t>
  </si>
  <si>
    <t>ZL045</t>
  </si>
  <si>
    <t>Implantát astra tech TX 4.0 S 24942</t>
  </si>
  <si>
    <t>ZD497</t>
  </si>
  <si>
    <t>Váleček vhojovací D3.7/d5.2/L4 822.3</t>
  </si>
  <si>
    <t>ZB196</t>
  </si>
  <si>
    <t>Šití prolene bl 4-0 bal. á 36 ks EH7151H</t>
  </si>
  <si>
    <t>ZD736</t>
  </si>
  <si>
    <t>Šití silkam černý 4/0 (1.5) bal. á 36 ks C0760293</t>
  </si>
  <si>
    <t>ZJ017</t>
  </si>
  <si>
    <t>Šití chirlac pletený fialový 4/0 bal. á 24 ks PG0256</t>
  </si>
  <si>
    <t>ZH392</t>
  </si>
  <si>
    <t>Šití novosyn quick undy 3/0 (2) bal. á 36 ks C3046030</t>
  </si>
  <si>
    <t>ZJ018</t>
  </si>
  <si>
    <t>Šití chirlac pletený fialový 3/0 bal. á 24 ks PG0257</t>
  </si>
  <si>
    <t>ZB444</t>
  </si>
  <si>
    <t>Šití silkam černý 4/0 (1.5) bal. á 36 ks C0761290</t>
  </si>
  <si>
    <t>ZI407</t>
  </si>
  <si>
    <t>Šití premilene 6/0 (0.7) bal. á 36 ks C2090211</t>
  </si>
  <si>
    <t>ZA360</t>
  </si>
  <si>
    <t>Jehla sterican 0,5 x 25 mm oranžová 9186158</t>
  </si>
  <si>
    <t>ZA833</t>
  </si>
  <si>
    <t>Jehla injekční 0,8 x 40 mm zelená 4657527</t>
  </si>
  <si>
    <t>ZI758</t>
  </si>
  <si>
    <t>Rukavice vinyl bez p. M á 100 ks EFEKTVR03</t>
  </si>
  <si>
    <t>ZI759</t>
  </si>
  <si>
    <t>Rukavice vinyl bez p. L á 100 ks EFEKTVR04</t>
  </si>
  <si>
    <t>ZK474</t>
  </si>
  <si>
    <t>Rukavice operační latexové s pudrem ansell, vasco surgical powderet vel. 6,5 6035518 (303503)</t>
  </si>
  <si>
    <t>ZC063</t>
  </si>
  <si>
    <t>Rukavice latex bez p. M 9421615 - povoleno pouze pro ÚČOCH a KZL</t>
  </si>
  <si>
    <t>ZK098</t>
  </si>
  <si>
    <t>Rukavice latex s p. superlife L bal. á 100 ks 8951473 - povoleno pouze pro ÚČOCH a KZL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</si>
  <si>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</si>
  <si>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</si>
  <si>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</si>
  <si>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</si>
  <si>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</si>
  <si>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</si>
  <si>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</si>
  <si>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</si>
  <si>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</si>
  <si>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latex PF bez pudru 6,5 330048065</t>
  </si>
  <si>
    <t>ZN125</t>
  </si>
  <si>
    <t>Rukavice operační gammex latex PF bez pudru 7,5 330048075</t>
  </si>
  <si>
    <t>ZK439</t>
  </si>
  <si>
    <t>Rukavice operační latexové s pudrem sempermed classic vel. 7,5 31283</t>
  </si>
  <si>
    <t>ZK438</t>
  </si>
  <si>
    <t>Rukavice operační latexové s pudrem sempermed classic vel. 7,0 31282</t>
  </si>
  <si>
    <t>ZK437</t>
  </si>
  <si>
    <t>Rukavice operační latexové s pudrem sempermed classic vel. 6,5 31281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</si>
  <si>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</si>
  <si>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</si>
  <si>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</si>
  <si>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</si>
  <si>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</si>
  <si>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</si>
  <si>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</si>
  <si>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</si>
  <si>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</si>
  <si>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</si>
  <si>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</si>
  <si>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</si>
  <si>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</si>
  <si>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</si>
  <si>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</si>
  <si>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</si>
  <si>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</si>
  <si>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</si>
  <si>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</si>
  <si>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</si>
  <si>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</si>
  <si>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</si>
  <si>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</si>
  <si>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</si>
  <si>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</si>
  <si>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</si>
  <si>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</si>
  <si>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</si>
  <si>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</si>
  <si>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</si>
  <si>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</si>
  <si>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</si>
  <si>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</si>
  <si>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</si>
  <si>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</si>
  <si>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</si>
  <si>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</si>
  <si>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</si>
  <si>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</si>
  <si>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</si>
  <si>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</si>
  <si>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</si>
  <si>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</si>
  <si>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</si>
  <si>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</si>
  <si>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</si>
  <si>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</si>
  <si>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</si>
  <si>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</si>
  <si>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</si>
  <si>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</si>
  <si>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</si>
  <si>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</si>
  <si>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</si>
  <si>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</si>
  <si>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</si>
  <si>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</si>
  <si>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</si>
  <si>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</si>
  <si>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</si>
  <si>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</si>
  <si>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</si>
  <si>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</si>
  <si>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</si>
  <si>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0082201</t>
  </si>
  <si>
    <t>0082211</t>
  </si>
  <si>
    <t>0082301</t>
  </si>
  <si>
    <t>0082311</t>
  </si>
  <si>
    <t>0082320</t>
  </si>
  <si>
    <t>0082331</t>
  </si>
  <si>
    <t>0082332</t>
  </si>
  <si>
    <t>0083003</t>
  </si>
  <si>
    <t>0181115</t>
  </si>
  <si>
    <t>0181132</t>
  </si>
  <si>
    <t>0081202</t>
  </si>
  <si>
    <t>0081222</t>
  </si>
  <si>
    <t>0181231</t>
  </si>
  <si>
    <t>0082204</t>
  </si>
  <si>
    <t>0082353</t>
  </si>
  <si>
    <t>0081203</t>
  </si>
  <si>
    <t>0081032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</si>
  <si>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</si>
  <si>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</si>
  <si>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</si>
  <si>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</si>
  <si>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</si>
  <si>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</si>
  <si>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</si>
  <si>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</si>
  <si>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</si>
  <si>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</si>
  <si>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</si>
  <si>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</si>
  <si>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</si>
  <si>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</si>
  <si>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</si>
  <si>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</si>
  <si>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</si>
  <si>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</si>
  <si>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</si>
  <si>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</si>
  <si>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</si>
  <si>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</si>
  <si>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</si>
  <si>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</si>
  <si>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</si>
  <si>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</si>
  <si>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</si>
  <si>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</si>
  <si>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</si>
  <si>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</si>
  <si>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</si>
  <si>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</si>
  <si>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</si>
  <si>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</si>
  <si>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</si>
  <si>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</si>
  <si>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</si>
  <si>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</si>
  <si>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</si>
  <si>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</si>
  <si>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</si>
  <si>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</si>
  <si>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</si>
  <si>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</si>
  <si>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</si>
  <si>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</si>
  <si>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</si>
  <si>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</si>
  <si>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</si>
  <si>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</si>
  <si>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</si>
  <si>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</si>
  <si>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</si>
  <si>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</si>
  <si>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</si>
  <si>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</si>
  <si>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</si>
  <si>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</si>
  <si>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</si>
  <si>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</si>
  <si>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00906</t>
  </si>
  <si>
    <t>STOMATOLOGICKÉ OŠETŘENÍ POJIŠTĚNCE DO 6 LET NEBO H</t>
  </si>
  <si>
    <t>00920</t>
  </si>
  <si>
    <t>OŠETŘENÍ ZUBNÍHO KAZU - STÁLÝ ZUB - FOTOKOMPOZITNÍ</t>
  </si>
  <si>
    <t>00963</t>
  </si>
  <si>
    <t>INJEKCE I.M., I.V., I.D., S.C.</t>
  </si>
  <si>
    <t>00949</t>
  </si>
  <si>
    <t>EXTRAKCE DOČASNÉHO ZUBU</t>
  </si>
  <si>
    <t>00907</t>
  </si>
  <si>
    <t>STOMATOLOGICKÉ OŠETŘENÍ  POJIŠTĚNCE OD 6 DO 15 LET</t>
  </si>
  <si>
    <t>0072001</t>
  </si>
  <si>
    <t>0074001</t>
  </si>
  <si>
    <t>00956</t>
  </si>
  <si>
    <t>00953</t>
  </si>
  <si>
    <t>CHIRURGICKÉ OŠETŘOVÁNÍ RETENCE ZUBŮ</t>
  </si>
  <si>
    <t>00952</t>
  </si>
  <si>
    <t>CHIRURGIE TVRDÝCH TKÁNÍ DUTINY ÚSTNÍ VELKÉHO ROZSA</t>
  </si>
  <si>
    <t>00933</t>
  </si>
  <si>
    <t>CHIRURGICKÁ LÉČBA ONEMOCNĚNÍ PARODONTU MALÉHO ROZS</t>
  </si>
  <si>
    <t>00904</t>
  </si>
  <si>
    <t>STOMATOLOGICKÉ VYŠETŘENÍ REGISTROVANÉHO POJIŠTĚNCE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</si>
  <si>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</si>
  <si>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</si>
  <si>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</si>
  <si>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</si>
  <si>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</si>
  <si>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</si>
  <si>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</si>
  <si>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</si>
  <si>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</si>
  <si>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</si>
  <si>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</si>
  <si>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</si>
  <si>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00954</t>
  </si>
  <si>
    <t>KONZERVAČNĚ - CHIRURGICKÁ LÉČBA KOMPLIKACÍ ZUBNÍHO</t>
  </si>
  <si>
    <t>00943</t>
  </si>
  <si>
    <t>MĚŘENÍ GALVANICKÝCH PROUDŮ</t>
  </si>
  <si>
    <t>00937</t>
  </si>
  <si>
    <t>ARTIKULACE CHRUPU</t>
  </si>
  <si>
    <t>015</t>
  </si>
  <si>
    <t>0070001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</si>
  <si>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</si>
  <si>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</si>
  <si>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</si>
  <si>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</si>
  <si>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</si>
  <si>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</si>
  <si>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</si>
  <si>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</si>
  <si>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</si>
  <si>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</si>
  <si>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</si>
  <si>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</si>
  <si>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</si>
  <si>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</si>
  <si>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</si>
  <si>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0084021</t>
  </si>
  <si>
    <t>0086001</t>
  </si>
  <si>
    <t>0086031</t>
  </si>
  <si>
    <t>0086034</t>
  </si>
  <si>
    <t>0086071</t>
  </si>
  <si>
    <t>0086080</t>
  </si>
  <si>
    <t>0086081</t>
  </si>
  <si>
    <t>0086070</t>
  </si>
  <si>
    <t>0086040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</si>
  <si>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</si>
  <si>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</si>
  <si>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</si>
  <si>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</si>
  <si>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</si>
  <si>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</si>
  <si>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</si>
  <si>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</si>
  <si>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</si>
  <si>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</si>
  <si>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</si>
  <si>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</si>
  <si>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</si>
  <si>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REGULAČNÍ POPLATEK -- POJIŠTĚNEC OD ÚHRADY POPLATK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</si>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</sst>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8" xfId="0" applyNumberFormat="1" applyFont="1" applyFill="1" applyBorder="1" applyAlignment="1">
      <alignment horizontal="center" vertical="center"/>
    </xf>
    <xf numFmtId="0" fontId="39" fillId="2" borderId="69" xfId="0" applyFont="1" applyFill="1" applyBorder="1" applyAlignment="1">
      <alignment horizontal="center" vertical="center"/>
    </xf>
    <xf numFmtId="3" fontId="55" fillId="2" borderId="71" xfId="0" applyNumberFormat="1" applyFont="1" applyFill="1" applyBorder="1" applyAlignment="1">
      <alignment horizontal="center" vertical="center" wrapText="1"/>
    </xf>
    <xf numFmtId="0" fontId="55" fillId="2" borderId="72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8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0" borderId="77" xfId="0" applyNumberFormat="1" applyFont="1" applyBorder="1"/>
    <xf numFmtId="173" fontId="32" fillId="0" borderId="81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89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8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0" borderId="75" xfId="0" applyNumberFormat="1" applyFont="1" applyBorder="1"/>
    <xf numFmtId="173" fontId="32" fillId="0" borderId="91" xfId="0" applyNumberFormat="1" applyFont="1" applyBorder="1"/>
    <xf numFmtId="173" fontId="32" fillId="0" borderId="69" xfId="0" applyNumberFormat="1" applyFont="1" applyBorder="1"/>
    <xf numFmtId="174" fontId="39" fillId="2" borderId="75" xfId="0" applyNumberFormat="1" applyFont="1" applyFill="1" applyBorder="1" applyAlignment="1"/>
    <xf numFmtId="174" fontId="32" fillId="2" borderId="68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1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8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8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7" xfId="0" applyNumberFormat="1" applyFont="1" applyBorder="1"/>
    <xf numFmtId="9" fontId="32" fillId="0" borderId="81" xfId="0" applyNumberFormat="1" applyFont="1" applyBorder="1"/>
    <xf numFmtId="9" fontId="32" fillId="0" borderId="79" xfId="0" applyNumberFormat="1" applyFont="1" applyBorder="1"/>
    <xf numFmtId="9" fontId="32" fillId="0" borderId="80" xfId="0" applyNumberFormat="1" applyFont="1" applyBorder="1"/>
    <xf numFmtId="0" fontId="55" fillId="2" borderId="89" xfId="0" applyFont="1" applyFill="1" applyBorder="1" applyAlignment="1">
      <alignment horizontal="center" vertical="center" wrapText="1"/>
    </xf>
    <xf numFmtId="174" fontId="32" fillId="2" borderId="91" xfId="0" applyNumberFormat="1" applyFont="1" applyFill="1" applyBorder="1" applyAlignment="1"/>
    <xf numFmtId="173" fontId="39" fillId="4" borderId="91" xfId="0" applyNumberFormat="1" applyFont="1" applyFill="1" applyBorder="1" applyAlignment="1"/>
    <xf numFmtId="173" fontId="39" fillId="2" borderId="91" xfId="0" applyNumberFormat="1" applyFont="1" applyFill="1" applyBorder="1" applyAlignment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9" xfId="0" applyNumberFormat="1" applyFont="1" applyFill="1" applyBorder="1" applyAlignment="1">
      <alignment horizontal="center" vertical="center"/>
    </xf>
    <xf numFmtId="3" fontId="55" fillId="2" borderId="7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8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7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9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102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103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8" xfId="0" applyFont="1" applyFill="1" applyBorder="1"/>
    <xf numFmtId="0" fontId="39" fillId="0" borderId="97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95" xfId="0" applyNumberFormat="1" applyFont="1" applyFill="1" applyBorder="1"/>
    <xf numFmtId="9" fontId="32" fillId="0" borderId="94" xfId="0" applyNumberFormat="1" applyFont="1" applyFill="1" applyBorder="1"/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173" fontId="39" fillId="4" borderId="122" xfId="0" applyNumberFormat="1" applyFont="1" applyFill="1" applyBorder="1" applyAlignment="1">
      <alignment horizontal="center"/>
    </xf>
    <xf numFmtId="0" fontId="0" fillId="0" borderId="122" xfId="0" applyBorder="1" applyAlignment="1"/>
    <xf numFmtId="0" fontId="0" fillId="0" borderId="123" xfId="0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 wrapText="1"/>
    </xf>
    <xf numFmtId="0" fontId="0" fillId="0" borderId="124" xfId="0" applyBorder="1" applyAlignment="1">
      <alignment horizontal="right" wrapText="1"/>
    </xf>
    <xf numFmtId="175" fontId="32" fillId="0" borderId="124" xfId="0" applyNumberFormat="1" applyFont="1" applyBorder="1" applyAlignment="1">
      <alignment horizontal="right"/>
    </xf>
    <xf numFmtId="0" fontId="0" fillId="0" borderId="125" xfId="0" applyBorder="1" applyAlignment="1">
      <alignment horizontal="right"/>
    </xf>
    <xf numFmtId="0" fontId="0" fillId="0" borderId="126" xfId="0" applyBorder="1" applyAlignment="1">
      <alignment horizontal="right"/>
    </xf>
    <xf numFmtId="173" fontId="32" fillId="0" borderId="126" xfId="0" applyNumberFormat="1" applyFont="1" applyBorder="1" applyAlignment="1">
      <alignment horizontal="right"/>
    </xf>
    <xf numFmtId="0" fontId="39" fillId="2" borderId="95" xfId="0" applyFont="1" applyFill="1" applyBorder="1" applyAlignment="1">
      <alignment horizontal="center" vertical="center"/>
    </xf>
    <xf numFmtId="0" fontId="55" fillId="2" borderId="94" xfId="0" applyFont="1" applyFill="1" applyBorder="1" applyAlignment="1">
      <alignment horizontal="center" vertical="center" wrapText="1"/>
    </xf>
    <xf numFmtId="174" fontId="32" fillId="2" borderId="95" xfId="0" applyNumberFormat="1" applyFont="1" applyFill="1" applyBorder="1" applyAlignment="1"/>
    <xf numFmtId="174" fontId="32" fillId="0" borderId="93" xfId="0" applyNumberFormat="1" applyFont="1" applyBorder="1"/>
    <xf numFmtId="174" fontId="32" fillId="0" borderId="128" xfId="0" applyNumberFormat="1" applyFont="1" applyBorder="1"/>
    <xf numFmtId="173" fontId="39" fillId="4" borderId="95" xfId="0" applyNumberFormat="1" applyFont="1" applyFill="1" applyBorder="1" applyAlignment="1"/>
    <xf numFmtId="173" fontId="32" fillId="0" borderId="93" xfId="0" applyNumberFormat="1" applyFont="1" applyBorder="1"/>
    <xf numFmtId="173" fontId="32" fillId="0" borderId="94" xfId="0" applyNumberFormat="1" applyFont="1" applyBorder="1"/>
    <xf numFmtId="173" fontId="39" fillId="2" borderId="95" xfId="0" applyNumberFormat="1" applyFont="1" applyFill="1" applyBorder="1" applyAlignment="1"/>
    <xf numFmtId="173" fontId="32" fillId="0" borderId="128" xfId="0" applyNumberFormat="1" applyFont="1" applyBorder="1"/>
    <xf numFmtId="173" fontId="32" fillId="0" borderId="95" xfId="0" applyNumberFormat="1" applyFont="1" applyBorder="1"/>
    <xf numFmtId="0" fontId="0" fillId="0" borderId="129" xfId="0" applyBorder="1" applyAlignment="1">
      <alignment horizontal="center"/>
    </xf>
    <xf numFmtId="0" fontId="0" fillId="0" borderId="130" xfId="0" applyBorder="1" applyAlignment="1">
      <alignment horizontal="right"/>
    </xf>
    <xf numFmtId="0" fontId="0" fillId="0" borderId="130" xfId="0" applyBorder="1" applyAlignment="1">
      <alignment horizontal="right" wrapText="1"/>
    </xf>
    <xf numFmtId="0" fontId="0" fillId="0" borderId="131" xfId="0" applyBorder="1" applyAlignment="1">
      <alignment horizontal="right"/>
    </xf>
    <xf numFmtId="0" fontId="0" fillId="0" borderId="127" xfId="0" applyBorder="1"/>
    <xf numFmtId="173" fontId="39" fillId="4" borderId="74" xfId="0" applyNumberFormat="1" applyFont="1" applyFill="1" applyBorder="1" applyAlignment="1">
      <alignment horizontal="center"/>
    </xf>
    <xf numFmtId="173" fontId="32" fillId="0" borderId="76" xfId="0" applyNumberFormat="1" applyFont="1" applyBorder="1" applyAlignment="1">
      <alignment horizontal="right"/>
    </xf>
    <xf numFmtId="175" fontId="32" fillId="0" borderId="76" xfId="0" applyNumberFormat="1" applyFont="1" applyBorder="1" applyAlignment="1">
      <alignment horizontal="right"/>
    </xf>
    <xf numFmtId="173" fontId="32" fillId="0" borderId="87" xfId="0" applyNumberFormat="1" applyFont="1" applyBorder="1" applyAlignment="1">
      <alignment horizontal="right"/>
    </xf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8" xfId="0" applyFont="1" applyBorder="1" applyAlignment="1">
      <alignment horizontal="left" indent="1"/>
    </xf>
    <xf numFmtId="0" fontId="59" fillId="0" borderId="71" xfId="0" applyFont="1" applyBorder="1" applyAlignment="1">
      <alignment horizontal="left" indent="1"/>
    </xf>
    <xf numFmtId="0" fontId="59" fillId="4" borderId="78" xfId="0" applyFont="1" applyFill="1" applyBorder="1" applyAlignment="1">
      <alignment horizontal="left"/>
    </xf>
    <xf numFmtId="169" fontId="59" fillId="4" borderId="79" xfId="0" applyNumberFormat="1" applyFont="1" applyFill="1" applyBorder="1"/>
    <xf numFmtId="9" fontId="59" fillId="4" borderId="79" xfId="0" applyNumberFormat="1" applyFont="1" applyFill="1" applyBorder="1"/>
    <xf numFmtId="9" fontId="59" fillId="4" borderId="8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0.57124262481497634</c:v>
                </c:pt>
                <c:pt idx="1">
                  <c:v>0.49770493916072261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7744"/>
        <c:axId val="-1352361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0.51953297848091129</c:v>
                </c:pt>
                <c:pt idx="1">
                  <c:v>0.51953297848091129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60128"/>
        <c:axId val="-1352365568"/>
      </c:scatterChart>
      <c:catAx>
        <c:axId val="-135236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67744"/>
        <c:crosses val="autoZero"/>
        <c:crossBetween val="between"/>
      </c:valAx>
      <c:valAx>
        <c:axId val="-1352360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65568"/>
        <c:crosses val="max"/>
        <c:crossBetween val="midCat"/>
      </c:valAx>
      <c:valAx>
        <c:axId val="-1352365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60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21" t="s">
        <v>93</v>
      </c>
      <c r="B1" s="321"/>
    </row>
    <row r="2" spans="1:3" ht="14.4" customHeight="1" thickBot="1" x14ac:dyDescent="0.35">
      <c r="A2" s="210" t="s">
        <v>268</v>
      </c>
      <c r="B2" s="46"/>
    </row>
    <row r="3" spans="1:3" ht="14.4" customHeight="1" thickBot="1" x14ac:dyDescent="0.35">
      <c r="A3" s="317" t="s">
        <v>120</v>
      </c>
      <c r="B3" s="318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8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29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29" t="str">
        <f t="shared" si="0"/>
        <v>Man Tab</v>
      </c>
      <c r="B7" s="76" t="s">
        <v>270</v>
      </c>
      <c r="C7" s="47" t="s">
        <v>98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19" t="s">
        <v>94</v>
      </c>
      <c r="B10" s="318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29" t="str">
        <f t="shared" si="2"/>
        <v>LŽ PL</v>
      </c>
      <c r="B13" s="467" t="s">
        <v>138</v>
      </c>
      <c r="C13" s="47" t="s">
        <v>124</v>
      </c>
    </row>
    <row r="14" spans="1:3" ht="14.4" customHeight="1" x14ac:dyDescent="0.3">
      <c r="A14" s="129" t="str">
        <f t="shared" si="2"/>
        <v>LŽ PL Detail</v>
      </c>
      <c r="B14" s="76" t="s">
        <v>617</v>
      </c>
      <c r="C14" s="47" t="s">
        <v>125</v>
      </c>
    </row>
    <row r="15" spans="1:3" ht="14.4" customHeight="1" x14ac:dyDescent="0.3">
      <c r="A15" s="129" t="str">
        <f t="shared" si="2"/>
        <v>LŽ Statim</v>
      </c>
      <c r="B15" s="286" t="s">
        <v>208</v>
      </c>
      <c r="C15" s="47" t="s">
        <v>218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29" t="str">
        <f t="shared" si="2"/>
        <v>MŽ Detail</v>
      </c>
      <c r="B17" s="76" t="s">
        <v>1074</v>
      </c>
      <c r="C17" s="47" t="s">
        <v>102</v>
      </c>
    </row>
    <row r="18" spans="1:3" ht="14.4" customHeight="1" thickBot="1" x14ac:dyDescent="0.35">
      <c r="A18" s="131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20" t="s">
        <v>95</v>
      </c>
      <c r="B20" s="318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1079</v>
      </c>
      <c r="C21" s="47" t="s">
        <v>106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1089</v>
      </c>
      <c r="C22" s="47" t="s">
        <v>221</v>
      </c>
    </row>
    <row r="23" spans="1:3" ht="14.4" customHeight="1" x14ac:dyDescent="0.3">
      <c r="A23" s="129" t="str">
        <f t="shared" si="4"/>
        <v>ZV Vykáz.-A Detail</v>
      </c>
      <c r="B23" s="76" t="s">
        <v>1294</v>
      </c>
      <c r="C23" s="47" t="s">
        <v>107</v>
      </c>
    </row>
    <row r="24" spans="1:3" ht="14.4" customHeight="1" x14ac:dyDescent="0.3">
      <c r="A24" s="307" t="str">
        <f>HYPERLINK("#'"&amp;C24&amp;"'!A1",C24)</f>
        <v>ZV Vykáz.-A Det.Lék.</v>
      </c>
      <c r="B24" s="76" t="s">
        <v>1295</v>
      </c>
      <c r="C24" s="47" t="s">
        <v>257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60" t="s">
        <v>617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21"/>
      <c r="M1" s="321"/>
    </row>
    <row r="2" spans="1:13" ht="14.4" customHeight="1" thickBot="1" x14ac:dyDescent="0.35">
      <c r="A2" s="210" t="s">
        <v>268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489.94000000000005</v>
      </c>
      <c r="K3" s="44">
        <f>IF(M3=0,0,J3/M3)</f>
        <v>1</v>
      </c>
      <c r="L3" s="43">
        <f>SUBTOTAL(9,L6:L1048576)</f>
        <v>5</v>
      </c>
      <c r="M3" s="45">
        <f>SUBTOTAL(9,M6:M1048576)</f>
        <v>489.94000000000005</v>
      </c>
    </row>
    <row r="4" spans="1:13" ht="14.4" customHeight="1" thickBot="1" x14ac:dyDescent="0.35">
      <c r="A4" s="41"/>
      <c r="B4" s="41"/>
      <c r="C4" s="41"/>
      <c r="D4" s="41"/>
      <c r="E4" s="42"/>
      <c r="F4" s="364" t="s">
        <v>110</v>
      </c>
      <c r="G4" s="365"/>
      <c r="H4" s="366"/>
      <c r="I4" s="367" t="s">
        <v>109</v>
      </c>
      <c r="J4" s="365"/>
      <c r="K4" s="366"/>
      <c r="L4" s="368" t="s">
        <v>3</v>
      </c>
      <c r="M4" s="369"/>
    </row>
    <row r="5" spans="1:13" ht="14.4" customHeight="1" thickBot="1" x14ac:dyDescent="0.35">
      <c r="A5" s="454" t="s">
        <v>111</v>
      </c>
      <c r="B5" s="474" t="s">
        <v>112</v>
      </c>
      <c r="C5" s="474" t="s">
        <v>58</v>
      </c>
      <c r="D5" s="474" t="s">
        <v>113</v>
      </c>
      <c r="E5" s="474" t="s">
        <v>114</v>
      </c>
      <c r="F5" s="475" t="s">
        <v>15</v>
      </c>
      <c r="G5" s="475" t="s">
        <v>14</v>
      </c>
      <c r="H5" s="456" t="s">
        <v>115</v>
      </c>
      <c r="I5" s="455" t="s">
        <v>15</v>
      </c>
      <c r="J5" s="475" t="s">
        <v>14</v>
      </c>
      <c r="K5" s="456" t="s">
        <v>115</v>
      </c>
      <c r="L5" s="455" t="s">
        <v>15</v>
      </c>
      <c r="M5" s="476" t="s">
        <v>14</v>
      </c>
    </row>
    <row r="6" spans="1:13" ht="14.4" customHeight="1" x14ac:dyDescent="0.3">
      <c r="A6" s="436" t="s">
        <v>447</v>
      </c>
      <c r="B6" s="437" t="s">
        <v>612</v>
      </c>
      <c r="C6" s="437" t="s">
        <v>603</v>
      </c>
      <c r="D6" s="437" t="s">
        <v>613</v>
      </c>
      <c r="E6" s="437" t="s">
        <v>614</v>
      </c>
      <c r="F6" s="440"/>
      <c r="G6" s="440"/>
      <c r="H6" s="459">
        <v>0</v>
      </c>
      <c r="I6" s="440">
        <v>4</v>
      </c>
      <c r="J6" s="440">
        <v>459.72</v>
      </c>
      <c r="K6" s="459">
        <v>1</v>
      </c>
      <c r="L6" s="440">
        <v>4</v>
      </c>
      <c r="M6" s="441">
        <v>459.72</v>
      </c>
    </row>
    <row r="7" spans="1:13" ht="14.4" customHeight="1" thickBot="1" x14ac:dyDescent="0.35">
      <c r="A7" s="448" t="s">
        <v>447</v>
      </c>
      <c r="B7" s="449" t="s">
        <v>615</v>
      </c>
      <c r="C7" s="449" t="s">
        <v>598</v>
      </c>
      <c r="D7" s="449" t="s">
        <v>599</v>
      </c>
      <c r="E7" s="449" t="s">
        <v>616</v>
      </c>
      <c r="F7" s="452"/>
      <c r="G7" s="452"/>
      <c r="H7" s="460">
        <v>0</v>
      </c>
      <c r="I7" s="452">
        <v>1</v>
      </c>
      <c r="J7" s="452">
        <v>30.22</v>
      </c>
      <c r="K7" s="460">
        <v>1</v>
      </c>
      <c r="L7" s="452">
        <v>1</v>
      </c>
      <c r="M7" s="45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60" t="s">
        <v>208</v>
      </c>
      <c r="B1" s="360"/>
      <c r="C1" s="360"/>
      <c r="D1" s="360"/>
      <c r="E1" s="360"/>
      <c r="F1" s="322"/>
      <c r="G1" s="322"/>
      <c r="H1" s="322"/>
      <c r="I1" s="322"/>
      <c r="J1" s="353"/>
      <c r="K1" s="353"/>
      <c r="L1" s="353"/>
      <c r="M1" s="353"/>
      <c r="N1" s="353"/>
      <c r="O1" s="353"/>
      <c r="P1" s="353"/>
      <c r="Q1" s="353"/>
    </row>
    <row r="2" spans="1:17" ht="14.4" customHeight="1" thickBot="1" x14ac:dyDescent="0.35">
      <c r="A2" s="210" t="s">
        <v>268</v>
      </c>
      <c r="B2" s="196"/>
      <c r="C2" s="196"/>
      <c r="D2" s="196"/>
      <c r="E2" s="196"/>
    </row>
    <row r="3" spans="1:17" ht="14.4" customHeight="1" thickBot="1" x14ac:dyDescent="0.35">
      <c r="A3" s="279" t="s">
        <v>3</v>
      </c>
      <c r="B3" s="283">
        <f>SUM(B6:B1048576)</f>
        <v>246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47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73" t="s">
        <v>210</v>
      </c>
      <c r="C4" s="374"/>
      <c r="D4" s="374"/>
      <c r="E4" s="375"/>
      <c r="F4" s="370" t="s">
        <v>215</v>
      </c>
      <c r="G4" s="371"/>
      <c r="H4" s="371"/>
      <c r="I4" s="372"/>
      <c r="J4" s="373" t="s">
        <v>216</v>
      </c>
      <c r="K4" s="374"/>
      <c r="L4" s="374"/>
      <c r="M4" s="375"/>
      <c r="N4" s="370" t="s">
        <v>217</v>
      </c>
      <c r="O4" s="371"/>
      <c r="P4" s="371"/>
      <c r="Q4" s="372"/>
    </row>
    <row r="5" spans="1:17" ht="14.4" customHeight="1" thickBot="1" x14ac:dyDescent="0.35">
      <c r="A5" s="477" t="s">
        <v>209</v>
      </c>
      <c r="B5" s="478" t="s">
        <v>211</v>
      </c>
      <c r="C5" s="478" t="s">
        <v>212</v>
      </c>
      <c r="D5" s="478" t="s">
        <v>213</v>
      </c>
      <c r="E5" s="479" t="s">
        <v>214</v>
      </c>
      <c r="F5" s="480" t="s">
        <v>211</v>
      </c>
      <c r="G5" s="481" t="s">
        <v>212</v>
      </c>
      <c r="H5" s="481" t="s">
        <v>213</v>
      </c>
      <c r="I5" s="482" t="s">
        <v>214</v>
      </c>
      <c r="J5" s="478" t="s">
        <v>211</v>
      </c>
      <c r="K5" s="478" t="s">
        <v>212</v>
      </c>
      <c r="L5" s="478" t="s">
        <v>213</v>
      </c>
      <c r="M5" s="479" t="s">
        <v>214</v>
      </c>
      <c r="N5" s="480" t="s">
        <v>211</v>
      </c>
      <c r="O5" s="481" t="s">
        <v>212</v>
      </c>
      <c r="P5" s="481" t="s">
        <v>213</v>
      </c>
      <c r="Q5" s="482" t="s">
        <v>214</v>
      </c>
    </row>
    <row r="6" spans="1:17" ht="14.4" customHeight="1" x14ac:dyDescent="0.3">
      <c r="A6" s="485" t="s">
        <v>618</v>
      </c>
      <c r="B6" s="489"/>
      <c r="C6" s="440"/>
      <c r="D6" s="440"/>
      <c r="E6" s="441"/>
      <c r="F6" s="487"/>
      <c r="G6" s="459"/>
      <c r="H6" s="459"/>
      <c r="I6" s="491"/>
      <c r="J6" s="489"/>
      <c r="K6" s="440"/>
      <c r="L6" s="440"/>
      <c r="M6" s="441"/>
      <c r="N6" s="487"/>
      <c r="O6" s="459"/>
      <c r="P6" s="459"/>
      <c r="Q6" s="483"/>
    </row>
    <row r="7" spans="1:17" ht="14.4" customHeight="1" thickBot="1" x14ac:dyDescent="0.35">
      <c r="A7" s="486" t="s">
        <v>619</v>
      </c>
      <c r="B7" s="490">
        <v>246</v>
      </c>
      <c r="C7" s="452"/>
      <c r="D7" s="452"/>
      <c r="E7" s="453"/>
      <c r="F7" s="488">
        <v>1</v>
      </c>
      <c r="G7" s="460">
        <v>0</v>
      </c>
      <c r="H7" s="460">
        <v>0</v>
      </c>
      <c r="I7" s="492">
        <v>0</v>
      </c>
      <c r="J7" s="490">
        <v>47</v>
      </c>
      <c r="K7" s="452"/>
      <c r="L7" s="452"/>
      <c r="M7" s="453"/>
      <c r="N7" s="488">
        <v>1</v>
      </c>
      <c r="O7" s="460">
        <v>0</v>
      </c>
      <c r="P7" s="460">
        <v>0</v>
      </c>
      <c r="Q7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1" t="s">
        <v>119</v>
      </c>
      <c r="B1" s="352"/>
      <c r="C1" s="352"/>
      <c r="D1" s="352"/>
      <c r="E1" s="352"/>
      <c r="F1" s="352"/>
      <c r="G1" s="322"/>
      <c r="H1" s="353"/>
      <c r="I1" s="353"/>
    </row>
    <row r="2" spans="1:10" ht="14.4" customHeight="1" thickBot="1" x14ac:dyDescent="0.35">
      <c r="A2" s="210" t="s">
        <v>268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314"/>
      <c r="C3" s="270">
        <v>2015</v>
      </c>
      <c r="D3" s="271">
        <v>2016</v>
      </c>
      <c r="E3" s="7"/>
      <c r="F3" s="330">
        <v>2017</v>
      </c>
      <c r="G3" s="348"/>
      <c r="H3" s="348"/>
      <c r="I3" s="331"/>
    </row>
    <row r="4" spans="1:10" ht="14.4" customHeight="1" thickBot="1" x14ac:dyDescent="0.35">
      <c r="A4" s="275" t="s">
        <v>0</v>
      </c>
      <c r="B4" s="276" t="s">
        <v>207</v>
      </c>
      <c r="C4" s="349" t="s">
        <v>60</v>
      </c>
      <c r="D4" s="35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24" t="s">
        <v>442</v>
      </c>
      <c r="B5" s="425" t="s">
        <v>443</v>
      </c>
      <c r="C5" s="426" t="s">
        <v>444</v>
      </c>
      <c r="D5" s="426" t="s">
        <v>444</v>
      </c>
      <c r="E5" s="426"/>
      <c r="F5" s="426" t="s">
        <v>444</v>
      </c>
      <c r="G5" s="426" t="s">
        <v>444</v>
      </c>
      <c r="H5" s="426" t="s">
        <v>444</v>
      </c>
      <c r="I5" s="427" t="s">
        <v>444</v>
      </c>
      <c r="J5" s="428" t="s">
        <v>56</v>
      </c>
    </row>
    <row r="6" spans="1:10" ht="14.4" customHeight="1" x14ac:dyDescent="0.3">
      <c r="A6" s="424" t="s">
        <v>442</v>
      </c>
      <c r="B6" s="425" t="s">
        <v>282</v>
      </c>
      <c r="C6" s="426">
        <v>0</v>
      </c>
      <c r="D6" s="426">
        <v>0.86099999999999999</v>
      </c>
      <c r="E6" s="426"/>
      <c r="F6" s="426">
        <v>0.38211000000000001</v>
      </c>
      <c r="G6" s="426">
        <v>0.16666666666666666</v>
      </c>
      <c r="H6" s="426">
        <v>0.21544333333333335</v>
      </c>
      <c r="I6" s="427">
        <v>2.2926600000000001</v>
      </c>
      <c r="J6" s="428" t="s">
        <v>1</v>
      </c>
    </row>
    <row r="7" spans="1:10" ht="14.4" customHeight="1" x14ac:dyDescent="0.3">
      <c r="A7" s="424" t="s">
        <v>442</v>
      </c>
      <c r="B7" s="425" t="s">
        <v>283</v>
      </c>
      <c r="C7" s="426">
        <v>14.279579999999001</v>
      </c>
      <c r="D7" s="426">
        <v>10.396909999999998</v>
      </c>
      <c r="E7" s="426"/>
      <c r="F7" s="426">
        <v>8.59863</v>
      </c>
      <c r="G7" s="426">
        <v>10.333333333333334</v>
      </c>
      <c r="H7" s="426">
        <v>-1.7347033333333339</v>
      </c>
      <c r="I7" s="427">
        <v>0.83212548387096774</v>
      </c>
      <c r="J7" s="428" t="s">
        <v>1</v>
      </c>
    </row>
    <row r="8" spans="1:10" ht="14.4" customHeight="1" x14ac:dyDescent="0.3">
      <c r="A8" s="424" t="s">
        <v>442</v>
      </c>
      <c r="B8" s="425" t="s">
        <v>284</v>
      </c>
      <c r="C8" s="426">
        <v>8.6057600000000001</v>
      </c>
      <c r="D8" s="426">
        <v>9.3972100000000012</v>
      </c>
      <c r="E8" s="426"/>
      <c r="F8" s="426">
        <v>13.782109999999999</v>
      </c>
      <c r="G8" s="426">
        <v>15</v>
      </c>
      <c r="H8" s="426">
        <v>-1.2178900000000006</v>
      </c>
      <c r="I8" s="427">
        <v>0.91880733333333331</v>
      </c>
      <c r="J8" s="428" t="s">
        <v>1</v>
      </c>
    </row>
    <row r="9" spans="1:10" ht="14.4" customHeight="1" x14ac:dyDescent="0.3">
      <c r="A9" s="424" t="s">
        <v>442</v>
      </c>
      <c r="B9" s="425" t="s">
        <v>285</v>
      </c>
      <c r="C9" s="426">
        <v>15.32249</v>
      </c>
      <c r="D9" s="426">
        <v>11.600519999999999</v>
      </c>
      <c r="E9" s="426"/>
      <c r="F9" s="426">
        <v>18.852690000000003</v>
      </c>
      <c r="G9" s="426">
        <v>12.5</v>
      </c>
      <c r="H9" s="426">
        <v>6.3526900000000026</v>
      </c>
      <c r="I9" s="427">
        <v>1.5082152000000002</v>
      </c>
      <c r="J9" s="428" t="s">
        <v>1</v>
      </c>
    </row>
    <row r="10" spans="1:10" ht="14.4" customHeight="1" x14ac:dyDescent="0.3">
      <c r="A10" s="424" t="s">
        <v>442</v>
      </c>
      <c r="B10" s="425" t="s">
        <v>286</v>
      </c>
      <c r="C10" s="426">
        <v>1.0923500000000002</v>
      </c>
      <c r="D10" s="426">
        <v>0.98699999999999988</v>
      </c>
      <c r="E10" s="426"/>
      <c r="F10" s="426">
        <v>0.54500000000000004</v>
      </c>
      <c r="G10" s="426">
        <v>1</v>
      </c>
      <c r="H10" s="426">
        <v>-0.45499999999999996</v>
      </c>
      <c r="I10" s="427">
        <v>0.54500000000000004</v>
      </c>
      <c r="J10" s="428" t="s">
        <v>1</v>
      </c>
    </row>
    <row r="11" spans="1:10" ht="14.4" customHeight="1" x14ac:dyDescent="0.3">
      <c r="A11" s="424" t="s">
        <v>442</v>
      </c>
      <c r="B11" s="425" t="s">
        <v>287</v>
      </c>
      <c r="C11" s="426">
        <v>30.825800000000001</v>
      </c>
      <c r="D11" s="426">
        <v>27.31362</v>
      </c>
      <c r="E11" s="426"/>
      <c r="F11" s="426">
        <v>25.003259999999997</v>
      </c>
      <c r="G11" s="426">
        <v>30</v>
      </c>
      <c r="H11" s="426">
        <v>-4.9967400000000026</v>
      </c>
      <c r="I11" s="427">
        <v>0.83344199999999991</v>
      </c>
      <c r="J11" s="428" t="s">
        <v>1</v>
      </c>
    </row>
    <row r="12" spans="1:10" ht="14.4" customHeight="1" x14ac:dyDescent="0.3">
      <c r="A12" s="424" t="s">
        <v>442</v>
      </c>
      <c r="B12" s="425" t="s">
        <v>288</v>
      </c>
      <c r="C12" s="426">
        <v>0</v>
      </c>
      <c r="D12" s="426">
        <v>0</v>
      </c>
      <c r="E12" s="426"/>
      <c r="F12" s="426">
        <v>0</v>
      </c>
      <c r="G12" s="426">
        <v>0.83333333333333337</v>
      </c>
      <c r="H12" s="426">
        <v>-0.83333333333333337</v>
      </c>
      <c r="I12" s="427">
        <v>0</v>
      </c>
      <c r="J12" s="428" t="s">
        <v>1</v>
      </c>
    </row>
    <row r="13" spans="1:10" ht="14.4" customHeight="1" x14ac:dyDescent="0.3">
      <c r="A13" s="424" t="s">
        <v>442</v>
      </c>
      <c r="B13" s="425" t="s">
        <v>289</v>
      </c>
      <c r="C13" s="426">
        <v>421.90636000000001</v>
      </c>
      <c r="D13" s="426">
        <v>421.97158999999999</v>
      </c>
      <c r="E13" s="426"/>
      <c r="F13" s="426">
        <v>481.46420999999998</v>
      </c>
      <c r="G13" s="426">
        <v>566.63333333333333</v>
      </c>
      <c r="H13" s="426">
        <v>-85.169123333333346</v>
      </c>
      <c r="I13" s="427">
        <v>0.84969270545326192</v>
      </c>
      <c r="J13" s="428" t="s">
        <v>1</v>
      </c>
    </row>
    <row r="14" spans="1:10" ht="14.4" customHeight="1" x14ac:dyDescent="0.3">
      <c r="A14" s="424" t="s">
        <v>442</v>
      </c>
      <c r="B14" s="425" t="s">
        <v>445</v>
      </c>
      <c r="C14" s="426">
        <v>492.03233999999901</v>
      </c>
      <c r="D14" s="426">
        <v>482.52785</v>
      </c>
      <c r="E14" s="426"/>
      <c r="F14" s="426">
        <v>548.62801000000002</v>
      </c>
      <c r="G14" s="426">
        <v>636.4666666666667</v>
      </c>
      <c r="H14" s="426">
        <v>-87.838656666666679</v>
      </c>
      <c r="I14" s="427">
        <v>0.86199016968681264</v>
      </c>
      <c r="J14" s="428" t="s">
        <v>446</v>
      </c>
    </row>
    <row r="16" spans="1:10" ht="14.4" customHeight="1" x14ac:dyDescent="0.3">
      <c r="A16" s="424" t="s">
        <v>442</v>
      </c>
      <c r="B16" s="425" t="s">
        <v>443</v>
      </c>
      <c r="C16" s="426" t="s">
        <v>444</v>
      </c>
      <c r="D16" s="426" t="s">
        <v>444</v>
      </c>
      <c r="E16" s="426"/>
      <c r="F16" s="426" t="s">
        <v>444</v>
      </c>
      <c r="G16" s="426" t="s">
        <v>444</v>
      </c>
      <c r="H16" s="426" t="s">
        <v>444</v>
      </c>
      <c r="I16" s="427" t="s">
        <v>444</v>
      </c>
      <c r="J16" s="428" t="s">
        <v>56</v>
      </c>
    </row>
    <row r="17" spans="1:10" ht="14.4" customHeight="1" x14ac:dyDescent="0.3">
      <c r="A17" s="424" t="s">
        <v>447</v>
      </c>
      <c r="B17" s="425" t="s">
        <v>448</v>
      </c>
      <c r="C17" s="426" t="s">
        <v>444</v>
      </c>
      <c r="D17" s="426" t="s">
        <v>444</v>
      </c>
      <c r="E17" s="426"/>
      <c r="F17" s="426" t="s">
        <v>444</v>
      </c>
      <c r="G17" s="426" t="s">
        <v>444</v>
      </c>
      <c r="H17" s="426" t="s">
        <v>444</v>
      </c>
      <c r="I17" s="427" t="s">
        <v>444</v>
      </c>
      <c r="J17" s="428" t="s">
        <v>0</v>
      </c>
    </row>
    <row r="18" spans="1:10" ht="14.4" customHeight="1" x14ac:dyDescent="0.3">
      <c r="A18" s="424" t="s">
        <v>447</v>
      </c>
      <c r="B18" s="425" t="s">
        <v>282</v>
      </c>
      <c r="C18" s="426">
        <v>0</v>
      </c>
      <c r="D18" s="426">
        <v>0.86099999999999999</v>
      </c>
      <c r="E18" s="426"/>
      <c r="F18" s="426">
        <v>0.38211000000000001</v>
      </c>
      <c r="G18" s="426">
        <v>0.16666666666666666</v>
      </c>
      <c r="H18" s="426">
        <v>0.21544333333333335</v>
      </c>
      <c r="I18" s="427">
        <v>2.2926600000000001</v>
      </c>
      <c r="J18" s="428" t="s">
        <v>1</v>
      </c>
    </row>
    <row r="19" spans="1:10" ht="14.4" customHeight="1" x14ac:dyDescent="0.3">
      <c r="A19" s="424" t="s">
        <v>447</v>
      </c>
      <c r="B19" s="425" t="s">
        <v>283</v>
      </c>
      <c r="C19" s="426">
        <v>14.279579999999001</v>
      </c>
      <c r="D19" s="426">
        <v>10.396909999999998</v>
      </c>
      <c r="E19" s="426"/>
      <c r="F19" s="426">
        <v>8.59863</v>
      </c>
      <c r="G19" s="426">
        <v>10.333333333333334</v>
      </c>
      <c r="H19" s="426">
        <v>-1.7347033333333339</v>
      </c>
      <c r="I19" s="427">
        <v>0.83212548387096774</v>
      </c>
      <c r="J19" s="428" t="s">
        <v>1</v>
      </c>
    </row>
    <row r="20" spans="1:10" ht="14.4" customHeight="1" x14ac:dyDescent="0.3">
      <c r="A20" s="424" t="s">
        <v>447</v>
      </c>
      <c r="B20" s="425" t="s">
        <v>284</v>
      </c>
      <c r="C20" s="426">
        <v>8.6057600000000001</v>
      </c>
      <c r="D20" s="426">
        <v>9.3972100000000012</v>
      </c>
      <c r="E20" s="426"/>
      <c r="F20" s="426">
        <v>13.782109999999999</v>
      </c>
      <c r="G20" s="426">
        <v>15</v>
      </c>
      <c r="H20" s="426">
        <v>-1.2178900000000006</v>
      </c>
      <c r="I20" s="427">
        <v>0.91880733333333331</v>
      </c>
      <c r="J20" s="428" t="s">
        <v>1</v>
      </c>
    </row>
    <row r="21" spans="1:10" ht="14.4" customHeight="1" x14ac:dyDescent="0.3">
      <c r="A21" s="424" t="s">
        <v>447</v>
      </c>
      <c r="B21" s="425" t="s">
        <v>285</v>
      </c>
      <c r="C21" s="426">
        <v>15.32249</v>
      </c>
      <c r="D21" s="426">
        <v>11.600519999999999</v>
      </c>
      <c r="E21" s="426"/>
      <c r="F21" s="426">
        <v>18.852690000000003</v>
      </c>
      <c r="G21" s="426">
        <v>12.5</v>
      </c>
      <c r="H21" s="426">
        <v>6.3526900000000026</v>
      </c>
      <c r="I21" s="427">
        <v>1.5082152000000002</v>
      </c>
      <c r="J21" s="428" t="s">
        <v>1</v>
      </c>
    </row>
    <row r="22" spans="1:10" ht="14.4" customHeight="1" x14ac:dyDescent="0.3">
      <c r="A22" s="424" t="s">
        <v>447</v>
      </c>
      <c r="B22" s="425" t="s">
        <v>286</v>
      </c>
      <c r="C22" s="426">
        <v>1.0923500000000002</v>
      </c>
      <c r="D22" s="426">
        <v>0.98699999999999988</v>
      </c>
      <c r="E22" s="426"/>
      <c r="F22" s="426">
        <v>0.54500000000000004</v>
      </c>
      <c r="G22" s="426">
        <v>1</v>
      </c>
      <c r="H22" s="426">
        <v>-0.45499999999999996</v>
      </c>
      <c r="I22" s="427">
        <v>0.54500000000000004</v>
      </c>
      <c r="J22" s="428" t="s">
        <v>1</v>
      </c>
    </row>
    <row r="23" spans="1:10" ht="14.4" customHeight="1" x14ac:dyDescent="0.3">
      <c r="A23" s="424" t="s">
        <v>447</v>
      </c>
      <c r="B23" s="425" t="s">
        <v>287</v>
      </c>
      <c r="C23" s="426">
        <v>30.825800000000001</v>
      </c>
      <c r="D23" s="426">
        <v>27.31362</v>
      </c>
      <c r="E23" s="426"/>
      <c r="F23" s="426">
        <v>25.003259999999997</v>
      </c>
      <c r="G23" s="426">
        <v>30</v>
      </c>
      <c r="H23" s="426">
        <v>-4.9967400000000026</v>
      </c>
      <c r="I23" s="427">
        <v>0.83344199999999991</v>
      </c>
      <c r="J23" s="428" t="s">
        <v>1</v>
      </c>
    </row>
    <row r="24" spans="1:10" ht="14.4" customHeight="1" x14ac:dyDescent="0.3">
      <c r="A24" s="424" t="s">
        <v>447</v>
      </c>
      <c r="B24" s="425" t="s">
        <v>288</v>
      </c>
      <c r="C24" s="426">
        <v>0</v>
      </c>
      <c r="D24" s="426">
        <v>0</v>
      </c>
      <c r="E24" s="426"/>
      <c r="F24" s="426">
        <v>0</v>
      </c>
      <c r="G24" s="426">
        <v>0.83333333333333337</v>
      </c>
      <c r="H24" s="426">
        <v>-0.83333333333333337</v>
      </c>
      <c r="I24" s="427">
        <v>0</v>
      </c>
      <c r="J24" s="428" t="s">
        <v>1</v>
      </c>
    </row>
    <row r="25" spans="1:10" ht="14.4" customHeight="1" x14ac:dyDescent="0.3">
      <c r="A25" s="424" t="s">
        <v>447</v>
      </c>
      <c r="B25" s="425" t="s">
        <v>289</v>
      </c>
      <c r="C25" s="426">
        <v>421.90636000000001</v>
      </c>
      <c r="D25" s="426">
        <v>421.97158999999999</v>
      </c>
      <c r="E25" s="426"/>
      <c r="F25" s="426">
        <v>481.46420999999998</v>
      </c>
      <c r="G25" s="426">
        <v>566.63333333333333</v>
      </c>
      <c r="H25" s="426">
        <v>-85.169123333333346</v>
      </c>
      <c r="I25" s="427">
        <v>0.84969270545326192</v>
      </c>
      <c r="J25" s="428" t="s">
        <v>1</v>
      </c>
    </row>
    <row r="26" spans="1:10" ht="14.4" customHeight="1" x14ac:dyDescent="0.3">
      <c r="A26" s="424" t="s">
        <v>447</v>
      </c>
      <c r="B26" s="425" t="s">
        <v>449</v>
      </c>
      <c r="C26" s="426">
        <v>492.03233999999901</v>
      </c>
      <c r="D26" s="426">
        <v>482.52785</v>
      </c>
      <c r="E26" s="426"/>
      <c r="F26" s="426">
        <v>548.62801000000002</v>
      </c>
      <c r="G26" s="426">
        <v>636.4666666666667</v>
      </c>
      <c r="H26" s="426">
        <v>-87.838656666666679</v>
      </c>
      <c r="I26" s="427">
        <v>0.86199016968681264</v>
      </c>
      <c r="J26" s="428" t="s">
        <v>450</v>
      </c>
    </row>
    <row r="27" spans="1:10" ht="14.4" customHeight="1" x14ac:dyDescent="0.3">
      <c r="A27" s="424" t="s">
        <v>444</v>
      </c>
      <c r="B27" s="425" t="s">
        <v>444</v>
      </c>
      <c r="C27" s="426" t="s">
        <v>444</v>
      </c>
      <c r="D27" s="426" t="s">
        <v>444</v>
      </c>
      <c r="E27" s="426"/>
      <c r="F27" s="426" t="s">
        <v>444</v>
      </c>
      <c r="G27" s="426" t="s">
        <v>444</v>
      </c>
      <c r="H27" s="426" t="s">
        <v>444</v>
      </c>
      <c r="I27" s="427" t="s">
        <v>444</v>
      </c>
      <c r="J27" s="428" t="s">
        <v>451</v>
      </c>
    </row>
    <row r="28" spans="1:10" ht="14.4" customHeight="1" x14ac:dyDescent="0.3">
      <c r="A28" s="424" t="s">
        <v>442</v>
      </c>
      <c r="B28" s="425" t="s">
        <v>445</v>
      </c>
      <c r="C28" s="426">
        <v>492.03233999999901</v>
      </c>
      <c r="D28" s="426">
        <v>482.52785</v>
      </c>
      <c r="E28" s="426"/>
      <c r="F28" s="426">
        <v>548.62801000000002</v>
      </c>
      <c r="G28" s="426">
        <v>636.4666666666667</v>
      </c>
      <c r="H28" s="426">
        <v>-87.838656666666679</v>
      </c>
      <c r="I28" s="427">
        <v>0.86199016968681264</v>
      </c>
      <c r="J28" s="428" t="s">
        <v>446</v>
      </c>
    </row>
  </sheetData>
  <mergeCells count="3">
    <mergeCell ref="A1:I1"/>
    <mergeCell ref="F3:I3"/>
    <mergeCell ref="C4:D4"/>
  </mergeCells>
  <conditionalFormatting sqref="F15 F29:F65537">
    <cfRule type="cellIs" dxfId="26" priority="18" stopIfTrue="1" operator="greaterThan">
      <formula>1</formula>
    </cfRule>
  </conditionalFormatting>
  <conditionalFormatting sqref="H5:H14">
    <cfRule type="expression" dxfId="25" priority="14">
      <formula>$H5&gt;0</formula>
    </cfRule>
  </conditionalFormatting>
  <conditionalFormatting sqref="I5:I14">
    <cfRule type="expression" dxfId="24" priority="15">
      <formula>$I5&gt;1</formula>
    </cfRule>
  </conditionalFormatting>
  <conditionalFormatting sqref="B5:B14">
    <cfRule type="expression" dxfId="23" priority="11">
      <formula>OR($J5="NS",$J5="SumaNS",$J5="Účet")</formula>
    </cfRule>
  </conditionalFormatting>
  <conditionalFormatting sqref="F5:I14 B5:D14">
    <cfRule type="expression" dxfId="22" priority="17">
      <formula>AND($J5&lt;&gt;"",$J5&lt;&gt;"mezeraKL")</formula>
    </cfRule>
  </conditionalFormatting>
  <conditionalFormatting sqref="B5:D14 F5:I14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20" priority="13">
      <formula>OR($J5="SumaNS",$J5="NS")</formula>
    </cfRule>
  </conditionalFormatting>
  <conditionalFormatting sqref="A5:A14">
    <cfRule type="expression" dxfId="19" priority="9">
      <formula>AND($J5&lt;&gt;"mezeraKL",$J5&lt;&gt;"")</formula>
    </cfRule>
  </conditionalFormatting>
  <conditionalFormatting sqref="A5:A14">
    <cfRule type="expression" dxfId="18" priority="10">
      <formula>AND($J5&lt;&gt;"",$J5&lt;&gt;"mezeraKL")</formula>
    </cfRule>
  </conditionalFormatting>
  <conditionalFormatting sqref="H16:H28">
    <cfRule type="expression" dxfId="17" priority="5">
      <formula>$H16&gt;0</formula>
    </cfRule>
  </conditionalFormatting>
  <conditionalFormatting sqref="A16:A28">
    <cfRule type="expression" dxfId="16" priority="2">
      <formula>AND($J16&lt;&gt;"mezeraKL",$J16&lt;&gt;"")</formula>
    </cfRule>
  </conditionalFormatting>
  <conditionalFormatting sqref="I16:I28">
    <cfRule type="expression" dxfId="15" priority="6">
      <formula>$I16&gt;1</formula>
    </cfRule>
  </conditionalFormatting>
  <conditionalFormatting sqref="B16:B28">
    <cfRule type="expression" dxfId="14" priority="1">
      <formula>OR($J16="NS",$J16="SumaNS",$J16="Účet")</formula>
    </cfRule>
  </conditionalFormatting>
  <conditionalFormatting sqref="A16:D28 F16:I28">
    <cfRule type="expression" dxfId="13" priority="8">
      <formula>AND($J16&lt;&gt;"",$J16&lt;&gt;"mezeraKL")</formula>
    </cfRule>
  </conditionalFormatting>
  <conditionalFormatting sqref="B16:D28 F16:I28">
    <cfRule type="expression" dxfId="1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1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58" t="s">
        <v>1074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4.4" customHeight="1" thickBot="1" x14ac:dyDescent="0.35">
      <c r="A2" s="210" t="s">
        <v>268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54"/>
      <c r="D3" s="355"/>
      <c r="E3" s="355"/>
      <c r="F3" s="355"/>
      <c r="G3" s="355"/>
      <c r="H3" s="126" t="s">
        <v>108</v>
      </c>
      <c r="I3" s="84">
        <f>IF(J3&lt;&gt;0,K3/J3,0)</f>
        <v>10.650489400528031</v>
      </c>
      <c r="J3" s="84">
        <f>SUBTOTAL(9,J5:J1048576)</f>
        <v>51512</v>
      </c>
      <c r="K3" s="85">
        <f>SUBTOTAL(9,K5:K1048576)</f>
        <v>548628.00999999989</v>
      </c>
    </row>
    <row r="4" spans="1:11" s="190" customFormat="1" ht="14.4" customHeight="1" thickBot="1" x14ac:dyDescent="0.35">
      <c r="A4" s="429" t="s">
        <v>4</v>
      </c>
      <c r="B4" s="430" t="s">
        <v>5</v>
      </c>
      <c r="C4" s="430" t="s">
        <v>0</v>
      </c>
      <c r="D4" s="430" t="s">
        <v>6</v>
      </c>
      <c r="E4" s="430" t="s">
        <v>7</v>
      </c>
      <c r="F4" s="430" t="s">
        <v>1</v>
      </c>
      <c r="G4" s="430" t="s">
        <v>58</v>
      </c>
      <c r="H4" s="431" t="s">
        <v>11</v>
      </c>
      <c r="I4" s="432" t="s">
        <v>122</v>
      </c>
      <c r="J4" s="432" t="s">
        <v>13</v>
      </c>
      <c r="K4" s="433" t="s">
        <v>133</v>
      </c>
    </row>
    <row r="5" spans="1:11" ht="14.4" customHeight="1" x14ac:dyDescent="0.3">
      <c r="A5" s="436" t="s">
        <v>442</v>
      </c>
      <c r="B5" s="437" t="s">
        <v>443</v>
      </c>
      <c r="C5" s="438" t="s">
        <v>447</v>
      </c>
      <c r="D5" s="439" t="s">
        <v>606</v>
      </c>
      <c r="E5" s="438" t="s">
        <v>1060</v>
      </c>
      <c r="F5" s="439" t="s">
        <v>1061</v>
      </c>
      <c r="G5" s="438" t="s">
        <v>620</v>
      </c>
      <c r="H5" s="438" t="s">
        <v>621</v>
      </c>
      <c r="I5" s="440">
        <v>10.119999999999999</v>
      </c>
      <c r="J5" s="440">
        <v>1</v>
      </c>
      <c r="K5" s="441">
        <v>10.119999999999999</v>
      </c>
    </row>
    <row r="6" spans="1:11" ht="14.4" customHeight="1" x14ac:dyDescent="0.3">
      <c r="A6" s="442" t="s">
        <v>442</v>
      </c>
      <c r="B6" s="443" t="s">
        <v>443</v>
      </c>
      <c r="C6" s="444" t="s">
        <v>447</v>
      </c>
      <c r="D6" s="445" t="s">
        <v>606</v>
      </c>
      <c r="E6" s="444" t="s">
        <v>1060</v>
      </c>
      <c r="F6" s="445" t="s">
        <v>1061</v>
      </c>
      <c r="G6" s="444" t="s">
        <v>622</v>
      </c>
      <c r="H6" s="444" t="s">
        <v>623</v>
      </c>
      <c r="I6" s="446">
        <v>28.74</v>
      </c>
      <c r="J6" s="446">
        <v>5</v>
      </c>
      <c r="K6" s="447">
        <v>143.69999999999999</v>
      </c>
    </row>
    <row r="7" spans="1:11" ht="14.4" customHeight="1" x14ac:dyDescent="0.3">
      <c r="A7" s="442" t="s">
        <v>442</v>
      </c>
      <c r="B7" s="443" t="s">
        <v>443</v>
      </c>
      <c r="C7" s="444" t="s">
        <v>447</v>
      </c>
      <c r="D7" s="445" t="s">
        <v>606</v>
      </c>
      <c r="E7" s="444" t="s">
        <v>1060</v>
      </c>
      <c r="F7" s="445" t="s">
        <v>1061</v>
      </c>
      <c r="G7" s="444" t="s">
        <v>624</v>
      </c>
      <c r="H7" s="444" t="s">
        <v>625</v>
      </c>
      <c r="I7" s="446">
        <v>16.78</v>
      </c>
      <c r="J7" s="446">
        <v>40</v>
      </c>
      <c r="K7" s="447">
        <v>671.04</v>
      </c>
    </row>
    <row r="8" spans="1:11" ht="14.4" customHeight="1" x14ac:dyDescent="0.3">
      <c r="A8" s="442" t="s">
        <v>442</v>
      </c>
      <c r="B8" s="443" t="s">
        <v>443</v>
      </c>
      <c r="C8" s="444" t="s">
        <v>447</v>
      </c>
      <c r="D8" s="445" t="s">
        <v>606</v>
      </c>
      <c r="E8" s="444" t="s">
        <v>1060</v>
      </c>
      <c r="F8" s="445" t="s">
        <v>1061</v>
      </c>
      <c r="G8" s="444" t="s">
        <v>626</v>
      </c>
      <c r="H8" s="444" t="s">
        <v>627</v>
      </c>
      <c r="I8" s="446">
        <v>1.93</v>
      </c>
      <c r="J8" s="446">
        <v>200</v>
      </c>
      <c r="K8" s="447">
        <v>386.4</v>
      </c>
    </row>
    <row r="9" spans="1:11" ht="14.4" customHeight="1" x14ac:dyDescent="0.3">
      <c r="A9" s="442" t="s">
        <v>442</v>
      </c>
      <c r="B9" s="443" t="s">
        <v>443</v>
      </c>
      <c r="C9" s="444" t="s">
        <v>447</v>
      </c>
      <c r="D9" s="445" t="s">
        <v>606</v>
      </c>
      <c r="E9" s="444" t="s">
        <v>1060</v>
      </c>
      <c r="F9" s="445" t="s">
        <v>1061</v>
      </c>
      <c r="G9" s="444" t="s">
        <v>628</v>
      </c>
      <c r="H9" s="444" t="s">
        <v>629</v>
      </c>
      <c r="I9" s="446">
        <v>0.64</v>
      </c>
      <c r="J9" s="446">
        <v>1000</v>
      </c>
      <c r="K9" s="447">
        <v>638.25</v>
      </c>
    </row>
    <row r="10" spans="1:11" ht="14.4" customHeight="1" x14ac:dyDescent="0.3">
      <c r="A10" s="442" t="s">
        <v>442</v>
      </c>
      <c r="B10" s="443" t="s">
        <v>443</v>
      </c>
      <c r="C10" s="444" t="s">
        <v>447</v>
      </c>
      <c r="D10" s="445" t="s">
        <v>606</v>
      </c>
      <c r="E10" s="444" t="s">
        <v>1060</v>
      </c>
      <c r="F10" s="445" t="s">
        <v>1061</v>
      </c>
      <c r="G10" s="444" t="s">
        <v>630</v>
      </c>
      <c r="H10" s="444" t="s">
        <v>631</v>
      </c>
      <c r="I10" s="446">
        <v>13.02</v>
      </c>
      <c r="J10" s="446">
        <v>3</v>
      </c>
      <c r="K10" s="447">
        <v>39.06</v>
      </c>
    </row>
    <row r="11" spans="1:11" ht="14.4" customHeight="1" x14ac:dyDescent="0.3">
      <c r="A11" s="442" t="s">
        <v>442</v>
      </c>
      <c r="B11" s="443" t="s">
        <v>443</v>
      </c>
      <c r="C11" s="444" t="s">
        <v>447</v>
      </c>
      <c r="D11" s="445" t="s">
        <v>606</v>
      </c>
      <c r="E11" s="444" t="s">
        <v>1060</v>
      </c>
      <c r="F11" s="445" t="s">
        <v>1061</v>
      </c>
      <c r="G11" s="444" t="s">
        <v>632</v>
      </c>
      <c r="H11" s="444" t="s">
        <v>633</v>
      </c>
      <c r="I11" s="446">
        <v>27.88</v>
      </c>
      <c r="J11" s="446">
        <v>12</v>
      </c>
      <c r="K11" s="447">
        <v>334.56</v>
      </c>
    </row>
    <row r="12" spans="1:11" ht="14.4" customHeight="1" x14ac:dyDescent="0.3">
      <c r="A12" s="442" t="s">
        <v>442</v>
      </c>
      <c r="B12" s="443" t="s">
        <v>443</v>
      </c>
      <c r="C12" s="444" t="s">
        <v>447</v>
      </c>
      <c r="D12" s="445" t="s">
        <v>606</v>
      </c>
      <c r="E12" s="444" t="s">
        <v>1060</v>
      </c>
      <c r="F12" s="445" t="s">
        <v>1061</v>
      </c>
      <c r="G12" s="444" t="s">
        <v>634</v>
      </c>
      <c r="H12" s="444" t="s">
        <v>635</v>
      </c>
      <c r="I12" s="446">
        <v>46</v>
      </c>
      <c r="J12" s="446">
        <v>1</v>
      </c>
      <c r="K12" s="447">
        <v>46</v>
      </c>
    </row>
    <row r="13" spans="1:11" ht="14.4" customHeight="1" x14ac:dyDescent="0.3">
      <c r="A13" s="442" t="s">
        <v>442</v>
      </c>
      <c r="B13" s="443" t="s">
        <v>443</v>
      </c>
      <c r="C13" s="444" t="s">
        <v>447</v>
      </c>
      <c r="D13" s="445" t="s">
        <v>606</v>
      </c>
      <c r="E13" s="444" t="s">
        <v>1060</v>
      </c>
      <c r="F13" s="445" t="s">
        <v>1061</v>
      </c>
      <c r="G13" s="444" t="s">
        <v>636</v>
      </c>
      <c r="H13" s="444" t="s">
        <v>637</v>
      </c>
      <c r="I13" s="446">
        <v>23.91</v>
      </c>
      <c r="J13" s="446">
        <v>2</v>
      </c>
      <c r="K13" s="447">
        <v>47.82</v>
      </c>
    </row>
    <row r="14" spans="1:11" ht="14.4" customHeight="1" x14ac:dyDescent="0.3">
      <c r="A14" s="442" t="s">
        <v>442</v>
      </c>
      <c r="B14" s="443" t="s">
        <v>443</v>
      </c>
      <c r="C14" s="444" t="s">
        <v>447</v>
      </c>
      <c r="D14" s="445" t="s">
        <v>606</v>
      </c>
      <c r="E14" s="444" t="s">
        <v>1060</v>
      </c>
      <c r="F14" s="445" t="s">
        <v>1061</v>
      </c>
      <c r="G14" s="444" t="s">
        <v>638</v>
      </c>
      <c r="H14" s="444" t="s">
        <v>639</v>
      </c>
      <c r="I14" s="446">
        <v>0.58499999999999996</v>
      </c>
      <c r="J14" s="446">
        <v>7500</v>
      </c>
      <c r="K14" s="447">
        <v>4400</v>
      </c>
    </row>
    <row r="15" spans="1:11" ht="14.4" customHeight="1" x14ac:dyDescent="0.3">
      <c r="A15" s="442" t="s">
        <v>442</v>
      </c>
      <c r="B15" s="443" t="s">
        <v>443</v>
      </c>
      <c r="C15" s="444" t="s">
        <v>447</v>
      </c>
      <c r="D15" s="445" t="s">
        <v>606</v>
      </c>
      <c r="E15" s="444" t="s">
        <v>1060</v>
      </c>
      <c r="F15" s="445" t="s">
        <v>1061</v>
      </c>
      <c r="G15" s="444" t="s">
        <v>640</v>
      </c>
      <c r="H15" s="444" t="s">
        <v>641</v>
      </c>
      <c r="I15" s="446">
        <v>5.28</v>
      </c>
      <c r="J15" s="446">
        <v>40</v>
      </c>
      <c r="K15" s="447">
        <v>211.14</v>
      </c>
    </row>
    <row r="16" spans="1:11" ht="14.4" customHeight="1" x14ac:dyDescent="0.3">
      <c r="A16" s="442" t="s">
        <v>442</v>
      </c>
      <c r="B16" s="443" t="s">
        <v>443</v>
      </c>
      <c r="C16" s="444" t="s">
        <v>447</v>
      </c>
      <c r="D16" s="445" t="s">
        <v>606</v>
      </c>
      <c r="E16" s="444" t="s">
        <v>1060</v>
      </c>
      <c r="F16" s="445" t="s">
        <v>1061</v>
      </c>
      <c r="G16" s="444" t="s">
        <v>642</v>
      </c>
      <c r="H16" s="444" t="s">
        <v>643</v>
      </c>
      <c r="I16" s="446">
        <v>22.31</v>
      </c>
      <c r="J16" s="446">
        <v>2</v>
      </c>
      <c r="K16" s="447">
        <v>44.62</v>
      </c>
    </row>
    <row r="17" spans="1:11" ht="14.4" customHeight="1" x14ac:dyDescent="0.3">
      <c r="A17" s="442" t="s">
        <v>442</v>
      </c>
      <c r="B17" s="443" t="s">
        <v>443</v>
      </c>
      <c r="C17" s="444" t="s">
        <v>447</v>
      </c>
      <c r="D17" s="445" t="s">
        <v>606</v>
      </c>
      <c r="E17" s="444" t="s">
        <v>1060</v>
      </c>
      <c r="F17" s="445" t="s">
        <v>1061</v>
      </c>
      <c r="G17" s="444" t="s">
        <v>644</v>
      </c>
      <c r="H17" s="444" t="s">
        <v>645</v>
      </c>
      <c r="I17" s="446">
        <v>9.33</v>
      </c>
      <c r="J17" s="446">
        <v>2</v>
      </c>
      <c r="K17" s="447">
        <v>18.66</v>
      </c>
    </row>
    <row r="18" spans="1:11" ht="14.4" customHeight="1" x14ac:dyDescent="0.3">
      <c r="A18" s="442" t="s">
        <v>442</v>
      </c>
      <c r="B18" s="443" t="s">
        <v>443</v>
      </c>
      <c r="C18" s="444" t="s">
        <v>447</v>
      </c>
      <c r="D18" s="445" t="s">
        <v>606</v>
      </c>
      <c r="E18" s="444" t="s">
        <v>1060</v>
      </c>
      <c r="F18" s="445" t="s">
        <v>1061</v>
      </c>
      <c r="G18" s="444" t="s">
        <v>646</v>
      </c>
      <c r="H18" s="444" t="s">
        <v>647</v>
      </c>
      <c r="I18" s="446">
        <v>5.28</v>
      </c>
      <c r="J18" s="446">
        <v>10</v>
      </c>
      <c r="K18" s="447">
        <v>52.8</v>
      </c>
    </row>
    <row r="19" spans="1:11" ht="14.4" customHeight="1" x14ac:dyDescent="0.3">
      <c r="A19" s="442" t="s">
        <v>442</v>
      </c>
      <c r="B19" s="443" t="s">
        <v>443</v>
      </c>
      <c r="C19" s="444" t="s">
        <v>447</v>
      </c>
      <c r="D19" s="445" t="s">
        <v>606</v>
      </c>
      <c r="E19" s="444" t="s">
        <v>1060</v>
      </c>
      <c r="F19" s="445" t="s">
        <v>1061</v>
      </c>
      <c r="G19" s="444" t="s">
        <v>648</v>
      </c>
      <c r="H19" s="444" t="s">
        <v>649</v>
      </c>
      <c r="I19" s="446">
        <v>0.19</v>
      </c>
      <c r="J19" s="446">
        <v>2400</v>
      </c>
      <c r="K19" s="447">
        <v>447.3</v>
      </c>
    </row>
    <row r="20" spans="1:11" ht="14.4" customHeight="1" x14ac:dyDescent="0.3">
      <c r="A20" s="442" t="s">
        <v>442</v>
      </c>
      <c r="B20" s="443" t="s">
        <v>443</v>
      </c>
      <c r="C20" s="444" t="s">
        <v>447</v>
      </c>
      <c r="D20" s="445" t="s">
        <v>606</v>
      </c>
      <c r="E20" s="444" t="s">
        <v>1060</v>
      </c>
      <c r="F20" s="445" t="s">
        <v>1061</v>
      </c>
      <c r="G20" s="444" t="s">
        <v>650</v>
      </c>
      <c r="H20" s="444" t="s">
        <v>651</v>
      </c>
      <c r="I20" s="446">
        <v>19.170000000000002</v>
      </c>
      <c r="J20" s="446">
        <v>50</v>
      </c>
      <c r="K20" s="447">
        <v>958.64</v>
      </c>
    </row>
    <row r="21" spans="1:11" ht="14.4" customHeight="1" x14ac:dyDescent="0.3">
      <c r="A21" s="442" t="s">
        <v>442</v>
      </c>
      <c r="B21" s="443" t="s">
        <v>443</v>
      </c>
      <c r="C21" s="444" t="s">
        <v>447</v>
      </c>
      <c r="D21" s="445" t="s">
        <v>606</v>
      </c>
      <c r="E21" s="444" t="s">
        <v>1060</v>
      </c>
      <c r="F21" s="445" t="s">
        <v>1061</v>
      </c>
      <c r="G21" s="444" t="s">
        <v>652</v>
      </c>
      <c r="H21" s="444" t="s">
        <v>653</v>
      </c>
      <c r="I21" s="446">
        <v>52.33</v>
      </c>
      <c r="J21" s="446">
        <v>1</v>
      </c>
      <c r="K21" s="447">
        <v>52.33</v>
      </c>
    </row>
    <row r="22" spans="1:11" ht="14.4" customHeight="1" x14ac:dyDescent="0.3">
      <c r="A22" s="442" t="s">
        <v>442</v>
      </c>
      <c r="B22" s="443" t="s">
        <v>443</v>
      </c>
      <c r="C22" s="444" t="s">
        <v>447</v>
      </c>
      <c r="D22" s="445" t="s">
        <v>606</v>
      </c>
      <c r="E22" s="444" t="s">
        <v>1060</v>
      </c>
      <c r="F22" s="445" t="s">
        <v>1061</v>
      </c>
      <c r="G22" s="444" t="s">
        <v>654</v>
      </c>
      <c r="H22" s="444" t="s">
        <v>655</v>
      </c>
      <c r="I22" s="446">
        <v>96.19</v>
      </c>
      <c r="J22" s="446">
        <v>1</v>
      </c>
      <c r="K22" s="447">
        <v>96.19</v>
      </c>
    </row>
    <row r="23" spans="1:11" ht="14.4" customHeight="1" x14ac:dyDescent="0.3">
      <c r="A23" s="442" t="s">
        <v>442</v>
      </c>
      <c r="B23" s="443" t="s">
        <v>443</v>
      </c>
      <c r="C23" s="444" t="s">
        <v>447</v>
      </c>
      <c r="D23" s="445" t="s">
        <v>606</v>
      </c>
      <c r="E23" s="444" t="s">
        <v>1062</v>
      </c>
      <c r="F23" s="445" t="s">
        <v>1063</v>
      </c>
      <c r="G23" s="444" t="s">
        <v>656</v>
      </c>
      <c r="H23" s="444" t="s">
        <v>657</v>
      </c>
      <c r="I23" s="446">
        <v>0.25</v>
      </c>
      <c r="J23" s="446">
        <v>200</v>
      </c>
      <c r="K23" s="447">
        <v>50</v>
      </c>
    </row>
    <row r="24" spans="1:11" ht="14.4" customHeight="1" x14ac:dyDescent="0.3">
      <c r="A24" s="442" t="s">
        <v>442</v>
      </c>
      <c r="B24" s="443" t="s">
        <v>443</v>
      </c>
      <c r="C24" s="444" t="s">
        <v>447</v>
      </c>
      <c r="D24" s="445" t="s">
        <v>606</v>
      </c>
      <c r="E24" s="444" t="s">
        <v>1062</v>
      </c>
      <c r="F24" s="445" t="s">
        <v>1063</v>
      </c>
      <c r="G24" s="444" t="s">
        <v>658</v>
      </c>
      <c r="H24" s="444" t="s">
        <v>659</v>
      </c>
      <c r="I24" s="446">
        <v>6.31</v>
      </c>
      <c r="J24" s="446">
        <v>100</v>
      </c>
      <c r="K24" s="447">
        <v>631.16999999999996</v>
      </c>
    </row>
    <row r="25" spans="1:11" ht="14.4" customHeight="1" x14ac:dyDescent="0.3">
      <c r="A25" s="442" t="s">
        <v>442</v>
      </c>
      <c r="B25" s="443" t="s">
        <v>443</v>
      </c>
      <c r="C25" s="444" t="s">
        <v>447</v>
      </c>
      <c r="D25" s="445" t="s">
        <v>606</v>
      </c>
      <c r="E25" s="444" t="s">
        <v>1062</v>
      </c>
      <c r="F25" s="445" t="s">
        <v>1063</v>
      </c>
      <c r="G25" s="444" t="s">
        <v>660</v>
      </c>
      <c r="H25" s="444" t="s">
        <v>661</v>
      </c>
      <c r="I25" s="446">
        <v>1.0900000000000001</v>
      </c>
      <c r="J25" s="446">
        <v>100</v>
      </c>
      <c r="K25" s="447">
        <v>109</v>
      </c>
    </row>
    <row r="26" spans="1:11" ht="14.4" customHeight="1" x14ac:dyDescent="0.3">
      <c r="A26" s="442" t="s">
        <v>442</v>
      </c>
      <c r="B26" s="443" t="s">
        <v>443</v>
      </c>
      <c r="C26" s="444" t="s">
        <v>447</v>
      </c>
      <c r="D26" s="445" t="s">
        <v>606</v>
      </c>
      <c r="E26" s="444" t="s">
        <v>1062</v>
      </c>
      <c r="F26" s="445" t="s">
        <v>1063</v>
      </c>
      <c r="G26" s="444" t="s">
        <v>662</v>
      </c>
      <c r="H26" s="444" t="s">
        <v>663</v>
      </c>
      <c r="I26" s="446">
        <v>0.48</v>
      </c>
      <c r="J26" s="446">
        <v>900</v>
      </c>
      <c r="K26" s="447">
        <v>432</v>
      </c>
    </row>
    <row r="27" spans="1:11" ht="14.4" customHeight="1" x14ac:dyDescent="0.3">
      <c r="A27" s="442" t="s">
        <v>442</v>
      </c>
      <c r="B27" s="443" t="s">
        <v>443</v>
      </c>
      <c r="C27" s="444" t="s">
        <v>447</v>
      </c>
      <c r="D27" s="445" t="s">
        <v>606</v>
      </c>
      <c r="E27" s="444" t="s">
        <v>1062</v>
      </c>
      <c r="F27" s="445" t="s">
        <v>1063</v>
      </c>
      <c r="G27" s="444" t="s">
        <v>664</v>
      </c>
      <c r="H27" s="444" t="s">
        <v>665</v>
      </c>
      <c r="I27" s="446">
        <v>0.67</v>
      </c>
      <c r="J27" s="446">
        <v>1900</v>
      </c>
      <c r="K27" s="447">
        <v>1273</v>
      </c>
    </row>
    <row r="28" spans="1:11" ht="14.4" customHeight="1" x14ac:dyDescent="0.3">
      <c r="A28" s="442" t="s">
        <v>442</v>
      </c>
      <c r="B28" s="443" t="s">
        <v>443</v>
      </c>
      <c r="C28" s="444" t="s">
        <v>447</v>
      </c>
      <c r="D28" s="445" t="s">
        <v>606</v>
      </c>
      <c r="E28" s="444" t="s">
        <v>1062</v>
      </c>
      <c r="F28" s="445" t="s">
        <v>1063</v>
      </c>
      <c r="G28" s="444" t="s">
        <v>666</v>
      </c>
      <c r="H28" s="444" t="s">
        <v>667</v>
      </c>
      <c r="I28" s="446">
        <v>1.84</v>
      </c>
      <c r="J28" s="446">
        <v>20</v>
      </c>
      <c r="K28" s="447">
        <v>36.799999999999997</v>
      </c>
    </row>
    <row r="29" spans="1:11" ht="14.4" customHeight="1" x14ac:dyDescent="0.3">
      <c r="A29" s="442" t="s">
        <v>442</v>
      </c>
      <c r="B29" s="443" t="s">
        <v>443</v>
      </c>
      <c r="C29" s="444" t="s">
        <v>447</v>
      </c>
      <c r="D29" s="445" t="s">
        <v>606</v>
      </c>
      <c r="E29" s="444" t="s">
        <v>1062</v>
      </c>
      <c r="F29" s="445" t="s">
        <v>1063</v>
      </c>
      <c r="G29" s="444" t="s">
        <v>668</v>
      </c>
      <c r="H29" s="444" t="s">
        <v>669</v>
      </c>
      <c r="I29" s="446">
        <v>33.880000000000003</v>
      </c>
      <c r="J29" s="446">
        <v>2</v>
      </c>
      <c r="K29" s="447">
        <v>67.760000000000005</v>
      </c>
    </row>
    <row r="30" spans="1:11" ht="14.4" customHeight="1" x14ac:dyDescent="0.3">
      <c r="A30" s="442" t="s">
        <v>442</v>
      </c>
      <c r="B30" s="443" t="s">
        <v>443</v>
      </c>
      <c r="C30" s="444" t="s">
        <v>447</v>
      </c>
      <c r="D30" s="445" t="s">
        <v>606</v>
      </c>
      <c r="E30" s="444" t="s">
        <v>1062</v>
      </c>
      <c r="F30" s="445" t="s">
        <v>1063</v>
      </c>
      <c r="G30" s="444" t="s">
        <v>670</v>
      </c>
      <c r="H30" s="444" t="s">
        <v>671</v>
      </c>
      <c r="I30" s="446">
        <v>2.86</v>
      </c>
      <c r="J30" s="446">
        <v>10</v>
      </c>
      <c r="K30" s="447">
        <v>28.6</v>
      </c>
    </row>
    <row r="31" spans="1:11" ht="14.4" customHeight="1" x14ac:dyDescent="0.3">
      <c r="A31" s="442" t="s">
        <v>442</v>
      </c>
      <c r="B31" s="443" t="s">
        <v>443</v>
      </c>
      <c r="C31" s="444" t="s">
        <v>447</v>
      </c>
      <c r="D31" s="445" t="s">
        <v>606</v>
      </c>
      <c r="E31" s="444" t="s">
        <v>1062</v>
      </c>
      <c r="F31" s="445" t="s">
        <v>1063</v>
      </c>
      <c r="G31" s="444" t="s">
        <v>672</v>
      </c>
      <c r="H31" s="444" t="s">
        <v>673</v>
      </c>
      <c r="I31" s="446">
        <v>2.9</v>
      </c>
      <c r="J31" s="446">
        <v>400</v>
      </c>
      <c r="K31" s="447">
        <v>1160</v>
      </c>
    </row>
    <row r="32" spans="1:11" ht="14.4" customHeight="1" x14ac:dyDescent="0.3">
      <c r="A32" s="442" t="s">
        <v>442</v>
      </c>
      <c r="B32" s="443" t="s">
        <v>443</v>
      </c>
      <c r="C32" s="444" t="s">
        <v>447</v>
      </c>
      <c r="D32" s="445" t="s">
        <v>606</v>
      </c>
      <c r="E32" s="444" t="s">
        <v>1062</v>
      </c>
      <c r="F32" s="445" t="s">
        <v>1063</v>
      </c>
      <c r="G32" s="444" t="s">
        <v>674</v>
      </c>
      <c r="H32" s="444" t="s">
        <v>675</v>
      </c>
      <c r="I32" s="446">
        <v>13.31</v>
      </c>
      <c r="J32" s="446">
        <v>5</v>
      </c>
      <c r="K32" s="447">
        <v>66.55</v>
      </c>
    </row>
    <row r="33" spans="1:11" ht="14.4" customHeight="1" x14ac:dyDescent="0.3">
      <c r="A33" s="442" t="s">
        <v>442</v>
      </c>
      <c r="B33" s="443" t="s">
        <v>443</v>
      </c>
      <c r="C33" s="444" t="s">
        <v>447</v>
      </c>
      <c r="D33" s="445" t="s">
        <v>606</v>
      </c>
      <c r="E33" s="444" t="s">
        <v>1062</v>
      </c>
      <c r="F33" s="445" t="s">
        <v>1063</v>
      </c>
      <c r="G33" s="444" t="s">
        <v>676</v>
      </c>
      <c r="H33" s="444" t="s">
        <v>677</v>
      </c>
      <c r="I33" s="446">
        <v>11.74</v>
      </c>
      <c r="J33" s="446">
        <v>20</v>
      </c>
      <c r="K33" s="447">
        <v>234.8</v>
      </c>
    </row>
    <row r="34" spans="1:11" ht="14.4" customHeight="1" x14ac:dyDescent="0.3">
      <c r="A34" s="442" t="s">
        <v>442</v>
      </c>
      <c r="B34" s="443" t="s">
        <v>443</v>
      </c>
      <c r="C34" s="444" t="s">
        <v>447</v>
      </c>
      <c r="D34" s="445" t="s">
        <v>606</v>
      </c>
      <c r="E34" s="444" t="s">
        <v>1062</v>
      </c>
      <c r="F34" s="445" t="s">
        <v>1063</v>
      </c>
      <c r="G34" s="444" t="s">
        <v>678</v>
      </c>
      <c r="H34" s="444" t="s">
        <v>679</v>
      </c>
      <c r="I34" s="446">
        <v>21.23</v>
      </c>
      <c r="J34" s="446">
        <v>50</v>
      </c>
      <c r="K34" s="447">
        <v>1061.5</v>
      </c>
    </row>
    <row r="35" spans="1:11" ht="14.4" customHeight="1" x14ac:dyDescent="0.3">
      <c r="A35" s="442" t="s">
        <v>442</v>
      </c>
      <c r="B35" s="443" t="s">
        <v>443</v>
      </c>
      <c r="C35" s="444" t="s">
        <v>447</v>
      </c>
      <c r="D35" s="445" t="s">
        <v>606</v>
      </c>
      <c r="E35" s="444" t="s">
        <v>1062</v>
      </c>
      <c r="F35" s="445" t="s">
        <v>1063</v>
      </c>
      <c r="G35" s="444" t="s">
        <v>680</v>
      </c>
      <c r="H35" s="444" t="s">
        <v>681</v>
      </c>
      <c r="I35" s="446">
        <v>2.9</v>
      </c>
      <c r="J35" s="446">
        <v>100</v>
      </c>
      <c r="K35" s="447">
        <v>290.39999999999998</v>
      </c>
    </row>
    <row r="36" spans="1:11" ht="14.4" customHeight="1" x14ac:dyDescent="0.3">
      <c r="A36" s="442" t="s">
        <v>442</v>
      </c>
      <c r="B36" s="443" t="s">
        <v>443</v>
      </c>
      <c r="C36" s="444" t="s">
        <v>447</v>
      </c>
      <c r="D36" s="445" t="s">
        <v>606</v>
      </c>
      <c r="E36" s="444" t="s">
        <v>1062</v>
      </c>
      <c r="F36" s="445" t="s">
        <v>1063</v>
      </c>
      <c r="G36" s="444" t="s">
        <v>682</v>
      </c>
      <c r="H36" s="444" t="s">
        <v>683</v>
      </c>
      <c r="I36" s="446">
        <v>66.55</v>
      </c>
      <c r="J36" s="446">
        <v>60</v>
      </c>
      <c r="K36" s="447">
        <v>3993</v>
      </c>
    </row>
    <row r="37" spans="1:11" ht="14.4" customHeight="1" x14ac:dyDescent="0.3">
      <c r="A37" s="442" t="s">
        <v>442</v>
      </c>
      <c r="B37" s="443" t="s">
        <v>443</v>
      </c>
      <c r="C37" s="444" t="s">
        <v>447</v>
      </c>
      <c r="D37" s="445" t="s">
        <v>606</v>
      </c>
      <c r="E37" s="444" t="s">
        <v>1062</v>
      </c>
      <c r="F37" s="445" t="s">
        <v>1063</v>
      </c>
      <c r="G37" s="444" t="s">
        <v>684</v>
      </c>
      <c r="H37" s="444" t="s">
        <v>685</v>
      </c>
      <c r="I37" s="446">
        <v>38.72</v>
      </c>
      <c r="J37" s="446">
        <v>2</v>
      </c>
      <c r="K37" s="447">
        <v>77.44</v>
      </c>
    </row>
    <row r="38" spans="1:11" ht="14.4" customHeight="1" x14ac:dyDescent="0.3">
      <c r="A38" s="442" t="s">
        <v>442</v>
      </c>
      <c r="B38" s="443" t="s">
        <v>443</v>
      </c>
      <c r="C38" s="444" t="s">
        <v>447</v>
      </c>
      <c r="D38" s="445" t="s">
        <v>606</v>
      </c>
      <c r="E38" s="444" t="s">
        <v>1062</v>
      </c>
      <c r="F38" s="445" t="s">
        <v>1063</v>
      </c>
      <c r="G38" s="444" t="s">
        <v>686</v>
      </c>
      <c r="H38" s="444" t="s">
        <v>687</v>
      </c>
      <c r="I38" s="446">
        <v>173.63</v>
      </c>
      <c r="J38" s="446">
        <v>10</v>
      </c>
      <c r="K38" s="447">
        <v>1736.35</v>
      </c>
    </row>
    <row r="39" spans="1:11" ht="14.4" customHeight="1" x14ac:dyDescent="0.3">
      <c r="A39" s="442" t="s">
        <v>442</v>
      </c>
      <c r="B39" s="443" t="s">
        <v>443</v>
      </c>
      <c r="C39" s="444" t="s">
        <v>447</v>
      </c>
      <c r="D39" s="445" t="s">
        <v>606</v>
      </c>
      <c r="E39" s="444" t="s">
        <v>1062</v>
      </c>
      <c r="F39" s="445" t="s">
        <v>1063</v>
      </c>
      <c r="G39" s="444" t="s">
        <v>688</v>
      </c>
      <c r="H39" s="444" t="s">
        <v>689</v>
      </c>
      <c r="I39" s="446">
        <v>1266.8699999999999</v>
      </c>
      <c r="J39" s="446">
        <v>2</v>
      </c>
      <c r="K39" s="447">
        <v>2533.7399999999998</v>
      </c>
    </row>
    <row r="40" spans="1:11" ht="14.4" customHeight="1" x14ac:dyDescent="0.3">
      <c r="A40" s="442" t="s">
        <v>442</v>
      </c>
      <c r="B40" s="443" t="s">
        <v>443</v>
      </c>
      <c r="C40" s="444" t="s">
        <v>447</v>
      </c>
      <c r="D40" s="445" t="s">
        <v>606</v>
      </c>
      <c r="E40" s="444" t="s">
        <v>1064</v>
      </c>
      <c r="F40" s="445" t="s">
        <v>1065</v>
      </c>
      <c r="G40" s="444" t="s">
        <v>690</v>
      </c>
      <c r="H40" s="444" t="s">
        <v>691</v>
      </c>
      <c r="I40" s="446">
        <v>83</v>
      </c>
      <c r="J40" s="446">
        <v>3</v>
      </c>
      <c r="K40" s="447">
        <v>249</v>
      </c>
    </row>
    <row r="41" spans="1:11" ht="14.4" customHeight="1" x14ac:dyDescent="0.3">
      <c r="A41" s="442" t="s">
        <v>442</v>
      </c>
      <c r="B41" s="443" t="s">
        <v>443</v>
      </c>
      <c r="C41" s="444" t="s">
        <v>447</v>
      </c>
      <c r="D41" s="445" t="s">
        <v>606</v>
      </c>
      <c r="E41" s="444" t="s">
        <v>1064</v>
      </c>
      <c r="F41" s="445" t="s">
        <v>1065</v>
      </c>
      <c r="G41" s="444" t="s">
        <v>692</v>
      </c>
      <c r="H41" s="444" t="s">
        <v>693</v>
      </c>
      <c r="I41" s="446">
        <v>13.31</v>
      </c>
      <c r="J41" s="446">
        <v>10</v>
      </c>
      <c r="K41" s="447">
        <v>133.11000000000001</v>
      </c>
    </row>
    <row r="42" spans="1:11" ht="14.4" customHeight="1" x14ac:dyDescent="0.3">
      <c r="A42" s="442" t="s">
        <v>442</v>
      </c>
      <c r="B42" s="443" t="s">
        <v>443</v>
      </c>
      <c r="C42" s="444" t="s">
        <v>447</v>
      </c>
      <c r="D42" s="445" t="s">
        <v>606</v>
      </c>
      <c r="E42" s="444" t="s">
        <v>1066</v>
      </c>
      <c r="F42" s="445" t="s">
        <v>1067</v>
      </c>
      <c r="G42" s="444" t="s">
        <v>694</v>
      </c>
      <c r="H42" s="444" t="s">
        <v>695</v>
      </c>
      <c r="I42" s="446">
        <v>2.57</v>
      </c>
      <c r="J42" s="446">
        <v>1200</v>
      </c>
      <c r="K42" s="447">
        <v>3085.31</v>
      </c>
    </row>
    <row r="43" spans="1:11" ht="14.4" customHeight="1" x14ac:dyDescent="0.3">
      <c r="A43" s="442" t="s">
        <v>442</v>
      </c>
      <c r="B43" s="443" t="s">
        <v>443</v>
      </c>
      <c r="C43" s="444" t="s">
        <v>447</v>
      </c>
      <c r="D43" s="445" t="s">
        <v>606</v>
      </c>
      <c r="E43" s="444" t="s">
        <v>1066</v>
      </c>
      <c r="F43" s="445" t="s">
        <v>1067</v>
      </c>
      <c r="G43" s="444" t="s">
        <v>696</v>
      </c>
      <c r="H43" s="444" t="s">
        <v>697</v>
      </c>
      <c r="I43" s="446">
        <v>3943.35</v>
      </c>
      <c r="J43" s="446">
        <v>4</v>
      </c>
      <c r="K43" s="447">
        <v>15773.4</v>
      </c>
    </row>
    <row r="44" spans="1:11" ht="14.4" customHeight="1" x14ac:dyDescent="0.3">
      <c r="A44" s="442" t="s">
        <v>442</v>
      </c>
      <c r="B44" s="443" t="s">
        <v>443</v>
      </c>
      <c r="C44" s="444" t="s">
        <v>447</v>
      </c>
      <c r="D44" s="445" t="s">
        <v>606</v>
      </c>
      <c r="E44" s="444" t="s">
        <v>1066</v>
      </c>
      <c r="F44" s="445" t="s">
        <v>1067</v>
      </c>
      <c r="G44" s="444" t="s">
        <v>698</v>
      </c>
      <c r="H44" s="444" t="s">
        <v>699</v>
      </c>
      <c r="I44" s="446">
        <v>3943.35</v>
      </c>
      <c r="J44" s="446">
        <v>2</v>
      </c>
      <c r="K44" s="447">
        <v>7886.7</v>
      </c>
    </row>
    <row r="45" spans="1:11" ht="14.4" customHeight="1" x14ac:dyDescent="0.3">
      <c r="A45" s="442" t="s">
        <v>442</v>
      </c>
      <c r="B45" s="443" t="s">
        <v>443</v>
      </c>
      <c r="C45" s="444" t="s">
        <v>447</v>
      </c>
      <c r="D45" s="445" t="s">
        <v>606</v>
      </c>
      <c r="E45" s="444" t="s">
        <v>1066</v>
      </c>
      <c r="F45" s="445" t="s">
        <v>1067</v>
      </c>
      <c r="G45" s="444" t="s">
        <v>700</v>
      </c>
      <c r="H45" s="444" t="s">
        <v>701</v>
      </c>
      <c r="I45" s="446">
        <v>3943.35</v>
      </c>
      <c r="J45" s="446">
        <v>3</v>
      </c>
      <c r="K45" s="447">
        <v>11830.05</v>
      </c>
    </row>
    <row r="46" spans="1:11" ht="14.4" customHeight="1" x14ac:dyDescent="0.3">
      <c r="A46" s="442" t="s">
        <v>442</v>
      </c>
      <c r="B46" s="443" t="s">
        <v>443</v>
      </c>
      <c r="C46" s="444" t="s">
        <v>447</v>
      </c>
      <c r="D46" s="445" t="s">
        <v>606</v>
      </c>
      <c r="E46" s="444" t="s">
        <v>1066</v>
      </c>
      <c r="F46" s="445" t="s">
        <v>1067</v>
      </c>
      <c r="G46" s="444" t="s">
        <v>702</v>
      </c>
      <c r="H46" s="444" t="s">
        <v>703</v>
      </c>
      <c r="I46" s="446">
        <v>131.04</v>
      </c>
      <c r="J46" s="446">
        <v>8</v>
      </c>
      <c r="K46" s="447">
        <v>1048.3499999999999</v>
      </c>
    </row>
    <row r="47" spans="1:11" ht="14.4" customHeight="1" x14ac:dyDescent="0.3">
      <c r="A47" s="442" t="s">
        <v>442</v>
      </c>
      <c r="B47" s="443" t="s">
        <v>443</v>
      </c>
      <c r="C47" s="444" t="s">
        <v>447</v>
      </c>
      <c r="D47" s="445" t="s">
        <v>606</v>
      </c>
      <c r="E47" s="444" t="s">
        <v>1066</v>
      </c>
      <c r="F47" s="445" t="s">
        <v>1067</v>
      </c>
      <c r="G47" s="444" t="s">
        <v>704</v>
      </c>
      <c r="H47" s="444" t="s">
        <v>705</v>
      </c>
      <c r="I47" s="446">
        <v>362.09</v>
      </c>
      <c r="J47" s="446">
        <v>3</v>
      </c>
      <c r="K47" s="447">
        <v>1086.28</v>
      </c>
    </row>
    <row r="48" spans="1:11" ht="14.4" customHeight="1" x14ac:dyDescent="0.3">
      <c r="A48" s="442" t="s">
        <v>442</v>
      </c>
      <c r="B48" s="443" t="s">
        <v>443</v>
      </c>
      <c r="C48" s="444" t="s">
        <v>447</v>
      </c>
      <c r="D48" s="445" t="s">
        <v>606</v>
      </c>
      <c r="E48" s="444" t="s">
        <v>1066</v>
      </c>
      <c r="F48" s="445" t="s">
        <v>1067</v>
      </c>
      <c r="G48" s="444" t="s">
        <v>706</v>
      </c>
      <c r="H48" s="444" t="s">
        <v>707</v>
      </c>
      <c r="I48" s="446">
        <v>286.22400000000005</v>
      </c>
      <c r="J48" s="446">
        <v>33</v>
      </c>
      <c r="K48" s="447">
        <v>9445.4600000000009</v>
      </c>
    </row>
    <row r="49" spans="1:11" ht="14.4" customHeight="1" x14ac:dyDescent="0.3">
      <c r="A49" s="442" t="s">
        <v>442</v>
      </c>
      <c r="B49" s="443" t="s">
        <v>443</v>
      </c>
      <c r="C49" s="444" t="s">
        <v>447</v>
      </c>
      <c r="D49" s="445" t="s">
        <v>606</v>
      </c>
      <c r="E49" s="444" t="s">
        <v>1066</v>
      </c>
      <c r="F49" s="445" t="s">
        <v>1067</v>
      </c>
      <c r="G49" s="444" t="s">
        <v>708</v>
      </c>
      <c r="H49" s="444" t="s">
        <v>709</v>
      </c>
      <c r="I49" s="446">
        <v>175.45</v>
      </c>
      <c r="J49" s="446">
        <v>10</v>
      </c>
      <c r="K49" s="447">
        <v>1754.5</v>
      </c>
    </row>
    <row r="50" spans="1:11" ht="14.4" customHeight="1" x14ac:dyDescent="0.3">
      <c r="A50" s="442" t="s">
        <v>442</v>
      </c>
      <c r="B50" s="443" t="s">
        <v>443</v>
      </c>
      <c r="C50" s="444" t="s">
        <v>447</v>
      </c>
      <c r="D50" s="445" t="s">
        <v>606</v>
      </c>
      <c r="E50" s="444" t="s">
        <v>1066</v>
      </c>
      <c r="F50" s="445" t="s">
        <v>1067</v>
      </c>
      <c r="G50" s="444" t="s">
        <v>710</v>
      </c>
      <c r="H50" s="444" t="s">
        <v>711</v>
      </c>
      <c r="I50" s="446">
        <v>32.19</v>
      </c>
      <c r="J50" s="446">
        <v>150</v>
      </c>
      <c r="K50" s="447">
        <v>4827.8999999999996</v>
      </c>
    </row>
    <row r="51" spans="1:11" ht="14.4" customHeight="1" x14ac:dyDescent="0.3">
      <c r="A51" s="442" t="s">
        <v>442</v>
      </c>
      <c r="B51" s="443" t="s">
        <v>443</v>
      </c>
      <c r="C51" s="444" t="s">
        <v>447</v>
      </c>
      <c r="D51" s="445" t="s">
        <v>606</v>
      </c>
      <c r="E51" s="444" t="s">
        <v>1066</v>
      </c>
      <c r="F51" s="445" t="s">
        <v>1067</v>
      </c>
      <c r="G51" s="444" t="s">
        <v>712</v>
      </c>
      <c r="H51" s="444" t="s">
        <v>713</v>
      </c>
      <c r="I51" s="446">
        <v>33.700000000000003</v>
      </c>
      <c r="J51" s="446">
        <v>75</v>
      </c>
      <c r="K51" s="447">
        <v>2527.7400000000002</v>
      </c>
    </row>
    <row r="52" spans="1:11" ht="14.4" customHeight="1" x14ac:dyDescent="0.3">
      <c r="A52" s="442" t="s">
        <v>442</v>
      </c>
      <c r="B52" s="443" t="s">
        <v>443</v>
      </c>
      <c r="C52" s="444" t="s">
        <v>447</v>
      </c>
      <c r="D52" s="445" t="s">
        <v>606</v>
      </c>
      <c r="E52" s="444" t="s">
        <v>1066</v>
      </c>
      <c r="F52" s="445" t="s">
        <v>1067</v>
      </c>
      <c r="G52" s="444" t="s">
        <v>714</v>
      </c>
      <c r="H52" s="444" t="s">
        <v>715</v>
      </c>
      <c r="I52" s="446">
        <v>5232.5</v>
      </c>
      <c r="J52" s="446">
        <v>1</v>
      </c>
      <c r="K52" s="447">
        <v>5232.5</v>
      </c>
    </row>
    <row r="53" spans="1:11" ht="14.4" customHeight="1" x14ac:dyDescent="0.3">
      <c r="A53" s="442" t="s">
        <v>442</v>
      </c>
      <c r="B53" s="443" t="s">
        <v>443</v>
      </c>
      <c r="C53" s="444" t="s">
        <v>447</v>
      </c>
      <c r="D53" s="445" t="s">
        <v>606</v>
      </c>
      <c r="E53" s="444" t="s">
        <v>1066</v>
      </c>
      <c r="F53" s="445" t="s">
        <v>1067</v>
      </c>
      <c r="G53" s="444" t="s">
        <v>716</v>
      </c>
      <c r="H53" s="444" t="s">
        <v>717</v>
      </c>
      <c r="I53" s="446">
        <v>26.01</v>
      </c>
      <c r="J53" s="446">
        <v>20</v>
      </c>
      <c r="K53" s="447">
        <v>520.29999999999995</v>
      </c>
    </row>
    <row r="54" spans="1:11" ht="14.4" customHeight="1" x14ac:dyDescent="0.3">
      <c r="A54" s="442" t="s">
        <v>442</v>
      </c>
      <c r="B54" s="443" t="s">
        <v>443</v>
      </c>
      <c r="C54" s="444" t="s">
        <v>447</v>
      </c>
      <c r="D54" s="445" t="s">
        <v>606</v>
      </c>
      <c r="E54" s="444" t="s">
        <v>1066</v>
      </c>
      <c r="F54" s="445" t="s">
        <v>1067</v>
      </c>
      <c r="G54" s="444" t="s">
        <v>718</v>
      </c>
      <c r="H54" s="444" t="s">
        <v>719</v>
      </c>
      <c r="I54" s="446">
        <v>180.29</v>
      </c>
      <c r="J54" s="446">
        <v>40</v>
      </c>
      <c r="K54" s="447">
        <v>7211.6</v>
      </c>
    </row>
    <row r="55" spans="1:11" ht="14.4" customHeight="1" x14ac:dyDescent="0.3">
      <c r="A55" s="442" t="s">
        <v>442</v>
      </c>
      <c r="B55" s="443" t="s">
        <v>443</v>
      </c>
      <c r="C55" s="444" t="s">
        <v>447</v>
      </c>
      <c r="D55" s="445" t="s">
        <v>606</v>
      </c>
      <c r="E55" s="444" t="s">
        <v>1066</v>
      </c>
      <c r="F55" s="445" t="s">
        <v>1067</v>
      </c>
      <c r="G55" s="444" t="s">
        <v>720</v>
      </c>
      <c r="H55" s="444" t="s">
        <v>721</v>
      </c>
      <c r="I55" s="446">
        <v>125.3</v>
      </c>
      <c r="J55" s="446">
        <v>6</v>
      </c>
      <c r="K55" s="447">
        <v>751.77</v>
      </c>
    </row>
    <row r="56" spans="1:11" ht="14.4" customHeight="1" x14ac:dyDescent="0.3">
      <c r="A56" s="442" t="s">
        <v>442</v>
      </c>
      <c r="B56" s="443" t="s">
        <v>443</v>
      </c>
      <c r="C56" s="444" t="s">
        <v>447</v>
      </c>
      <c r="D56" s="445" t="s">
        <v>606</v>
      </c>
      <c r="E56" s="444" t="s">
        <v>1066</v>
      </c>
      <c r="F56" s="445" t="s">
        <v>1067</v>
      </c>
      <c r="G56" s="444" t="s">
        <v>722</v>
      </c>
      <c r="H56" s="444" t="s">
        <v>723</v>
      </c>
      <c r="I56" s="446">
        <v>21.01</v>
      </c>
      <c r="J56" s="446">
        <v>125</v>
      </c>
      <c r="K56" s="447">
        <v>2626.6000000000004</v>
      </c>
    </row>
    <row r="57" spans="1:11" ht="14.4" customHeight="1" x14ac:dyDescent="0.3">
      <c r="A57" s="442" t="s">
        <v>442</v>
      </c>
      <c r="B57" s="443" t="s">
        <v>443</v>
      </c>
      <c r="C57" s="444" t="s">
        <v>447</v>
      </c>
      <c r="D57" s="445" t="s">
        <v>606</v>
      </c>
      <c r="E57" s="444" t="s">
        <v>1066</v>
      </c>
      <c r="F57" s="445" t="s">
        <v>1067</v>
      </c>
      <c r="G57" s="444" t="s">
        <v>724</v>
      </c>
      <c r="H57" s="444" t="s">
        <v>725</v>
      </c>
      <c r="I57" s="446">
        <v>776.82</v>
      </c>
      <c r="J57" s="446">
        <v>2</v>
      </c>
      <c r="K57" s="447">
        <v>1553.64</v>
      </c>
    </row>
    <row r="58" spans="1:11" ht="14.4" customHeight="1" x14ac:dyDescent="0.3">
      <c r="A58" s="442" t="s">
        <v>442</v>
      </c>
      <c r="B58" s="443" t="s">
        <v>443</v>
      </c>
      <c r="C58" s="444" t="s">
        <v>447</v>
      </c>
      <c r="D58" s="445" t="s">
        <v>606</v>
      </c>
      <c r="E58" s="444" t="s">
        <v>1066</v>
      </c>
      <c r="F58" s="445" t="s">
        <v>1067</v>
      </c>
      <c r="G58" s="444" t="s">
        <v>726</v>
      </c>
      <c r="H58" s="444" t="s">
        <v>727</v>
      </c>
      <c r="I58" s="446">
        <v>138</v>
      </c>
      <c r="J58" s="446">
        <v>25</v>
      </c>
      <c r="K58" s="447">
        <v>3450</v>
      </c>
    </row>
    <row r="59" spans="1:11" ht="14.4" customHeight="1" x14ac:dyDescent="0.3">
      <c r="A59" s="442" t="s">
        <v>442</v>
      </c>
      <c r="B59" s="443" t="s">
        <v>443</v>
      </c>
      <c r="C59" s="444" t="s">
        <v>447</v>
      </c>
      <c r="D59" s="445" t="s">
        <v>606</v>
      </c>
      <c r="E59" s="444" t="s">
        <v>1066</v>
      </c>
      <c r="F59" s="445" t="s">
        <v>1067</v>
      </c>
      <c r="G59" s="444" t="s">
        <v>728</v>
      </c>
      <c r="H59" s="444" t="s">
        <v>729</v>
      </c>
      <c r="I59" s="446">
        <v>2288.5</v>
      </c>
      <c r="J59" s="446">
        <v>1</v>
      </c>
      <c r="K59" s="447">
        <v>2288.5</v>
      </c>
    </row>
    <row r="60" spans="1:11" ht="14.4" customHeight="1" x14ac:dyDescent="0.3">
      <c r="A60" s="442" t="s">
        <v>442</v>
      </c>
      <c r="B60" s="443" t="s">
        <v>443</v>
      </c>
      <c r="C60" s="444" t="s">
        <v>447</v>
      </c>
      <c r="D60" s="445" t="s">
        <v>606</v>
      </c>
      <c r="E60" s="444" t="s">
        <v>1066</v>
      </c>
      <c r="F60" s="445" t="s">
        <v>1067</v>
      </c>
      <c r="G60" s="444" t="s">
        <v>730</v>
      </c>
      <c r="H60" s="444" t="s">
        <v>731</v>
      </c>
      <c r="I60" s="446">
        <v>138</v>
      </c>
      <c r="J60" s="446">
        <v>25</v>
      </c>
      <c r="K60" s="447">
        <v>3450</v>
      </c>
    </row>
    <row r="61" spans="1:11" ht="14.4" customHeight="1" x14ac:dyDescent="0.3">
      <c r="A61" s="442" t="s">
        <v>442</v>
      </c>
      <c r="B61" s="443" t="s">
        <v>443</v>
      </c>
      <c r="C61" s="444" t="s">
        <v>447</v>
      </c>
      <c r="D61" s="445" t="s">
        <v>606</v>
      </c>
      <c r="E61" s="444" t="s">
        <v>1066</v>
      </c>
      <c r="F61" s="445" t="s">
        <v>1067</v>
      </c>
      <c r="G61" s="444" t="s">
        <v>732</v>
      </c>
      <c r="H61" s="444" t="s">
        <v>733</v>
      </c>
      <c r="I61" s="446">
        <v>49.3</v>
      </c>
      <c r="J61" s="446">
        <v>50</v>
      </c>
      <c r="K61" s="447">
        <v>2465</v>
      </c>
    </row>
    <row r="62" spans="1:11" ht="14.4" customHeight="1" x14ac:dyDescent="0.3">
      <c r="A62" s="442" t="s">
        <v>442</v>
      </c>
      <c r="B62" s="443" t="s">
        <v>443</v>
      </c>
      <c r="C62" s="444" t="s">
        <v>447</v>
      </c>
      <c r="D62" s="445" t="s">
        <v>606</v>
      </c>
      <c r="E62" s="444" t="s">
        <v>1066</v>
      </c>
      <c r="F62" s="445" t="s">
        <v>1067</v>
      </c>
      <c r="G62" s="444" t="s">
        <v>734</v>
      </c>
      <c r="H62" s="444" t="s">
        <v>735</v>
      </c>
      <c r="I62" s="446">
        <v>4207.8500000000004</v>
      </c>
      <c r="J62" s="446">
        <v>1</v>
      </c>
      <c r="K62" s="447">
        <v>4207.8500000000004</v>
      </c>
    </row>
    <row r="63" spans="1:11" ht="14.4" customHeight="1" x14ac:dyDescent="0.3">
      <c r="A63" s="442" t="s">
        <v>442</v>
      </c>
      <c r="B63" s="443" t="s">
        <v>443</v>
      </c>
      <c r="C63" s="444" t="s">
        <v>447</v>
      </c>
      <c r="D63" s="445" t="s">
        <v>606</v>
      </c>
      <c r="E63" s="444" t="s">
        <v>1066</v>
      </c>
      <c r="F63" s="445" t="s">
        <v>1067</v>
      </c>
      <c r="G63" s="444" t="s">
        <v>736</v>
      </c>
      <c r="H63" s="444" t="s">
        <v>737</v>
      </c>
      <c r="I63" s="446">
        <v>232.5</v>
      </c>
      <c r="J63" s="446">
        <v>6</v>
      </c>
      <c r="K63" s="447">
        <v>1395</v>
      </c>
    </row>
    <row r="64" spans="1:11" ht="14.4" customHeight="1" x14ac:dyDescent="0.3">
      <c r="A64" s="442" t="s">
        <v>442</v>
      </c>
      <c r="B64" s="443" t="s">
        <v>443</v>
      </c>
      <c r="C64" s="444" t="s">
        <v>447</v>
      </c>
      <c r="D64" s="445" t="s">
        <v>606</v>
      </c>
      <c r="E64" s="444" t="s">
        <v>1066</v>
      </c>
      <c r="F64" s="445" t="s">
        <v>1067</v>
      </c>
      <c r="G64" s="444" t="s">
        <v>738</v>
      </c>
      <c r="H64" s="444" t="s">
        <v>739</v>
      </c>
      <c r="I64" s="446">
        <v>4207.8500000000004</v>
      </c>
      <c r="J64" s="446">
        <v>1</v>
      </c>
      <c r="K64" s="447">
        <v>4207.8500000000004</v>
      </c>
    </row>
    <row r="65" spans="1:11" ht="14.4" customHeight="1" x14ac:dyDescent="0.3">
      <c r="A65" s="442" t="s">
        <v>442</v>
      </c>
      <c r="B65" s="443" t="s">
        <v>443</v>
      </c>
      <c r="C65" s="444" t="s">
        <v>447</v>
      </c>
      <c r="D65" s="445" t="s">
        <v>606</v>
      </c>
      <c r="E65" s="444" t="s">
        <v>1066</v>
      </c>
      <c r="F65" s="445" t="s">
        <v>1067</v>
      </c>
      <c r="G65" s="444" t="s">
        <v>740</v>
      </c>
      <c r="H65" s="444" t="s">
        <v>741</v>
      </c>
      <c r="I65" s="446">
        <v>826.18</v>
      </c>
      <c r="J65" s="446">
        <v>4</v>
      </c>
      <c r="K65" s="447">
        <v>3304.7299999999996</v>
      </c>
    </row>
    <row r="66" spans="1:11" ht="14.4" customHeight="1" x14ac:dyDescent="0.3">
      <c r="A66" s="442" t="s">
        <v>442</v>
      </c>
      <c r="B66" s="443" t="s">
        <v>443</v>
      </c>
      <c r="C66" s="444" t="s">
        <v>447</v>
      </c>
      <c r="D66" s="445" t="s">
        <v>606</v>
      </c>
      <c r="E66" s="444" t="s">
        <v>1066</v>
      </c>
      <c r="F66" s="445" t="s">
        <v>1067</v>
      </c>
      <c r="G66" s="444" t="s">
        <v>742</v>
      </c>
      <c r="H66" s="444" t="s">
        <v>743</v>
      </c>
      <c r="I66" s="446">
        <v>1122.8699999999999</v>
      </c>
      <c r="J66" s="446">
        <v>2</v>
      </c>
      <c r="K66" s="447">
        <v>2245.7399999999998</v>
      </c>
    </row>
    <row r="67" spans="1:11" ht="14.4" customHeight="1" x14ac:dyDescent="0.3">
      <c r="A67" s="442" t="s">
        <v>442</v>
      </c>
      <c r="B67" s="443" t="s">
        <v>443</v>
      </c>
      <c r="C67" s="444" t="s">
        <v>447</v>
      </c>
      <c r="D67" s="445" t="s">
        <v>606</v>
      </c>
      <c r="E67" s="444" t="s">
        <v>1066</v>
      </c>
      <c r="F67" s="445" t="s">
        <v>1067</v>
      </c>
      <c r="G67" s="444" t="s">
        <v>744</v>
      </c>
      <c r="H67" s="444" t="s">
        <v>745</v>
      </c>
      <c r="I67" s="446">
        <v>1380.92</v>
      </c>
      <c r="J67" s="446">
        <v>9</v>
      </c>
      <c r="K67" s="447">
        <v>12428.28</v>
      </c>
    </row>
    <row r="68" spans="1:11" ht="14.4" customHeight="1" x14ac:dyDescent="0.3">
      <c r="A68" s="442" t="s">
        <v>442</v>
      </c>
      <c r="B68" s="443" t="s">
        <v>443</v>
      </c>
      <c r="C68" s="444" t="s">
        <v>447</v>
      </c>
      <c r="D68" s="445" t="s">
        <v>606</v>
      </c>
      <c r="E68" s="444" t="s">
        <v>1066</v>
      </c>
      <c r="F68" s="445" t="s">
        <v>1067</v>
      </c>
      <c r="G68" s="444" t="s">
        <v>746</v>
      </c>
      <c r="H68" s="444" t="s">
        <v>747</v>
      </c>
      <c r="I68" s="446">
        <v>1259.52</v>
      </c>
      <c r="J68" s="446">
        <v>3</v>
      </c>
      <c r="K68" s="447">
        <v>3778.56</v>
      </c>
    </row>
    <row r="69" spans="1:11" ht="14.4" customHeight="1" x14ac:dyDescent="0.3">
      <c r="A69" s="442" t="s">
        <v>442</v>
      </c>
      <c r="B69" s="443" t="s">
        <v>443</v>
      </c>
      <c r="C69" s="444" t="s">
        <v>447</v>
      </c>
      <c r="D69" s="445" t="s">
        <v>606</v>
      </c>
      <c r="E69" s="444" t="s">
        <v>1066</v>
      </c>
      <c r="F69" s="445" t="s">
        <v>1067</v>
      </c>
      <c r="G69" s="444" t="s">
        <v>748</v>
      </c>
      <c r="H69" s="444" t="s">
        <v>749</v>
      </c>
      <c r="I69" s="446">
        <v>118.58</v>
      </c>
      <c r="J69" s="446">
        <v>10</v>
      </c>
      <c r="K69" s="447">
        <v>1185.8</v>
      </c>
    </row>
    <row r="70" spans="1:11" ht="14.4" customHeight="1" x14ac:dyDescent="0.3">
      <c r="A70" s="442" t="s">
        <v>442</v>
      </c>
      <c r="B70" s="443" t="s">
        <v>443</v>
      </c>
      <c r="C70" s="444" t="s">
        <v>447</v>
      </c>
      <c r="D70" s="445" t="s">
        <v>606</v>
      </c>
      <c r="E70" s="444" t="s">
        <v>1066</v>
      </c>
      <c r="F70" s="445" t="s">
        <v>1067</v>
      </c>
      <c r="G70" s="444" t="s">
        <v>750</v>
      </c>
      <c r="H70" s="444" t="s">
        <v>751</v>
      </c>
      <c r="I70" s="446">
        <v>1840</v>
      </c>
      <c r="J70" s="446">
        <v>1</v>
      </c>
      <c r="K70" s="447">
        <v>1840</v>
      </c>
    </row>
    <row r="71" spans="1:11" ht="14.4" customHeight="1" x14ac:dyDescent="0.3">
      <c r="A71" s="442" t="s">
        <v>442</v>
      </c>
      <c r="B71" s="443" t="s">
        <v>443</v>
      </c>
      <c r="C71" s="444" t="s">
        <v>447</v>
      </c>
      <c r="D71" s="445" t="s">
        <v>606</v>
      </c>
      <c r="E71" s="444" t="s">
        <v>1066</v>
      </c>
      <c r="F71" s="445" t="s">
        <v>1067</v>
      </c>
      <c r="G71" s="444" t="s">
        <v>752</v>
      </c>
      <c r="H71" s="444" t="s">
        <v>753</v>
      </c>
      <c r="I71" s="446">
        <v>587.39</v>
      </c>
      <c r="J71" s="446">
        <v>4</v>
      </c>
      <c r="K71" s="447">
        <v>2349.58</v>
      </c>
    </row>
    <row r="72" spans="1:11" ht="14.4" customHeight="1" x14ac:dyDescent="0.3">
      <c r="A72" s="442" t="s">
        <v>442</v>
      </c>
      <c r="B72" s="443" t="s">
        <v>443</v>
      </c>
      <c r="C72" s="444" t="s">
        <v>447</v>
      </c>
      <c r="D72" s="445" t="s">
        <v>606</v>
      </c>
      <c r="E72" s="444" t="s">
        <v>1066</v>
      </c>
      <c r="F72" s="445" t="s">
        <v>1067</v>
      </c>
      <c r="G72" s="444" t="s">
        <v>754</v>
      </c>
      <c r="H72" s="444" t="s">
        <v>755</v>
      </c>
      <c r="I72" s="446">
        <v>1292.1533333333334</v>
      </c>
      <c r="J72" s="446">
        <v>3</v>
      </c>
      <c r="K72" s="447">
        <v>3876.46</v>
      </c>
    </row>
    <row r="73" spans="1:11" ht="14.4" customHeight="1" x14ac:dyDescent="0.3">
      <c r="A73" s="442" t="s">
        <v>442</v>
      </c>
      <c r="B73" s="443" t="s">
        <v>443</v>
      </c>
      <c r="C73" s="444" t="s">
        <v>447</v>
      </c>
      <c r="D73" s="445" t="s">
        <v>606</v>
      </c>
      <c r="E73" s="444" t="s">
        <v>1066</v>
      </c>
      <c r="F73" s="445" t="s">
        <v>1067</v>
      </c>
      <c r="G73" s="444" t="s">
        <v>756</v>
      </c>
      <c r="H73" s="444" t="s">
        <v>757</v>
      </c>
      <c r="I73" s="446">
        <v>49.3</v>
      </c>
      <c r="J73" s="446">
        <v>50</v>
      </c>
      <c r="K73" s="447">
        <v>2465</v>
      </c>
    </row>
    <row r="74" spans="1:11" ht="14.4" customHeight="1" x14ac:dyDescent="0.3">
      <c r="A74" s="442" t="s">
        <v>442</v>
      </c>
      <c r="B74" s="443" t="s">
        <v>443</v>
      </c>
      <c r="C74" s="444" t="s">
        <v>447</v>
      </c>
      <c r="D74" s="445" t="s">
        <v>606</v>
      </c>
      <c r="E74" s="444" t="s">
        <v>1066</v>
      </c>
      <c r="F74" s="445" t="s">
        <v>1067</v>
      </c>
      <c r="G74" s="444" t="s">
        <v>758</v>
      </c>
      <c r="H74" s="444" t="s">
        <v>759</v>
      </c>
      <c r="I74" s="446">
        <v>81</v>
      </c>
      <c r="J74" s="446">
        <v>20</v>
      </c>
      <c r="K74" s="447">
        <v>1620</v>
      </c>
    </row>
    <row r="75" spans="1:11" ht="14.4" customHeight="1" x14ac:dyDescent="0.3">
      <c r="A75" s="442" t="s">
        <v>442</v>
      </c>
      <c r="B75" s="443" t="s">
        <v>443</v>
      </c>
      <c r="C75" s="444" t="s">
        <v>447</v>
      </c>
      <c r="D75" s="445" t="s">
        <v>606</v>
      </c>
      <c r="E75" s="444" t="s">
        <v>1066</v>
      </c>
      <c r="F75" s="445" t="s">
        <v>1067</v>
      </c>
      <c r="G75" s="444" t="s">
        <v>760</v>
      </c>
      <c r="H75" s="444" t="s">
        <v>761</v>
      </c>
      <c r="I75" s="446">
        <v>911.53</v>
      </c>
      <c r="J75" s="446">
        <v>6</v>
      </c>
      <c r="K75" s="447">
        <v>5469.2</v>
      </c>
    </row>
    <row r="76" spans="1:11" ht="14.4" customHeight="1" x14ac:dyDescent="0.3">
      <c r="A76" s="442" t="s">
        <v>442</v>
      </c>
      <c r="B76" s="443" t="s">
        <v>443</v>
      </c>
      <c r="C76" s="444" t="s">
        <v>447</v>
      </c>
      <c r="D76" s="445" t="s">
        <v>606</v>
      </c>
      <c r="E76" s="444" t="s">
        <v>1066</v>
      </c>
      <c r="F76" s="445" t="s">
        <v>1067</v>
      </c>
      <c r="G76" s="444" t="s">
        <v>762</v>
      </c>
      <c r="H76" s="444" t="s">
        <v>763</v>
      </c>
      <c r="I76" s="446">
        <v>5.38</v>
      </c>
      <c r="J76" s="446">
        <v>60</v>
      </c>
      <c r="K76" s="447">
        <v>323</v>
      </c>
    </row>
    <row r="77" spans="1:11" ht="14.4" customHeight="1" x14ac:dyDescent="0.3">
      <c r="A77" s="442" t="s">
        <v>442</v>
      </c>
      <c r="B77" s="443" t="s">
        <v>443</v>
      </c>
      <c r="C77" s="444" t="s">
        <v>447</v>
      </c>
      <c r="D77" s="445" t="s">
        <v>606</v>
      </c>
      <c r="E77" s="444" t="s">
        <v>1066</v>
      </c>
      <c r="F77" s="445" t="s">
        <v>1067</v>
      </c>
      <c r="G77" s="444" t="s">
        <v>764</v>
      </c>
      <c r="H77" s="444" t="s">
        <v>765</v>
      </c>
      <c r="I77" s="446">
        <v>42.35</v>
      </c>
      <c r="J77" s="446">
        <v>60</v>
      </c>
      <c r="K77" s="447">
        <v>2541</v>
      </c>
    </row>
    <row r="78" spans="1:11" ht="14.4" customHeight="1" x14ac:dyDescent="0.3">
      <c r="A78" s="442" t="s">
        <v>442</v>
      </c>
      <c r="B78" s="443" t="s">
        <v>443</v>
      </c>
      <c r="C78" s="444" t="s">
        <v>447</v>
      </c>
      <c r="D78" s="445" t="s">
        <v>606</v>
      </c>
      <c r="E78" s="444" t="s">
        <v>1066</v>
      </c>
      <c r="F78" s="445" t="s">
        <v>1067</v>
      </c>
      <c r="G78" s="444" t="s">
        <v>766</v>
      </c>
      <c r="H78" s="444" t="s">
        <v>767</v>
      </c>
      <c r="I78" s="446">
        <v>1005.1</v>
      </c>
      <c r="J78" s="446">
        <v>4</v>
      </c>
      <c r="K78" s="447">
        <v>4020.4</v>
      </c>
    </row>
    <row r="79" spans="1:11" ht="14.4" customHeight="1" x14ac:dyDescent="0.3">
      <c r="A79" s="442" t="s">
        <v>442</v>
      </c>
      <c r="B79" s="443" t="s">
        <v>443</v>
      </c>
      <c r="C79" s="444" t="s">
        <v>447</v>
      </c>
      <c r="D79" s="445" t="s">
        <v>606</v>
      </c>
      <c r="E79" s="444" t="s">
        <v>1066</v>
      </c>
      <c r="F79" s="445" t="s">
        <v>1067</v>
      </c>
      <c r="G79" s="444" t="s">
        <v>768</v>
      </c>
      <c r="H79" s="444" t="s">
        <v>769</v>
      </c>
      <c r="I79" s="446">
        <v>405.35</v>
      </c>
      <c r="J79" s="446">
        <v>1</v>
      </c>
      <c r="K79" s="447">
        <v>405.35</v>
      </c>
    </row>
    <row r="80" spans="1:11" ht="14.4" customHeight="1" x14ac:dyDescent="0.3">
      <c r="A80" s="442" t="s">
        <v>442</v>
      </c>
      <c r="B80" s="443" t="s">
        <v>443</v>
      </c>
      <c r="C80" s="444" t="s">
        <v>447</v>
      </c>
      <c r="D80" s="445" t="s">
        <v>606</v>
      </c>
      <c r="E80" s="444" t="s">
        <v>1066</v>
      </c>
      <c r="F80" s="445" t="s">
        <v>1067</v>
      </c>
      <c r="G80" s="444" t="s">
        <v>770</v>
      </c>
      <c r="H80" s="444" t="s">
        <v>771</v>
      </c>
      <c r="I80" s="446">
        <v>523.02</v>
      </c>
      <c r="J80" s="446">
        <v>3</v>
      </c>
      <c r="K80" s="447">
        <v>1569.07</v>
      </c>
    </row>
    <row r="81" spans="1:11" ht="14.4" customHeight="1" x14ac:dyDescent="0.3">
      <c r="A81" s="442" t="s">
        <v>442</v>
      </c>
      <c r="B81" s="443" t="s">
        <v>443</v>
      </c>
      <c r="C81" s="444" t="s">
        <v>447</v>
      </c>
      <c r="D81" s="445" t="s">
        <v>606</v>
      </c>
      <c r="E81" s="444" t="s">
        <v>1066</v>
      </c>
      <c r="F81" s="445" t="s">
        <v>1067</v>
      </c>
      <c r="G81" s="444" t="s">
        <v>772</v>
      </c>
      <c r="H81" s="444" t="s">
        <v>773</v>
      </c>
      <c r="I81" s="446">
        <v>1102.31</v>
      </c>
      <c r="J81" s="446">
        <v>1</v>
      </c>
      <c r="K81" s="447">
        <v>1102.31</v>
      </c>
    </row>
    <row r="82" spans="1:11" ht="14.4" customHeight="1" x14ac:dyDescent="0.3">
      <c r="A82" s="442" t="s">
        <v>442</v>
      </c>
      <c r="B82" s="443" t="s">
        <v>443</v>
      </c>
      <c r="C82" s="444" t="s">
        <v>447</v>
      </c>
      <c r="D82" s="445" t="s">
        <v>606</v>
      </c>
      <c r="E82" s="444" t="s">
        <v>1066</v>
      </c>
      <c r="F82" s="445" t="s">
        <v>1067</v>
      </c>
      <c r="G82" s="444" t="s">
        <v>774</v>
      </c>
      <c r="H82" s="444" t="s">
        <v>775</v>
      </c>
      <c r="I82" s="446">
        <v>83.13</v>
      </c>
      <c r="J82" s="446">
        <v>50</v>
      </c>
      <c r="K82" s="447">
        <v>4156.6000000000004</v>
      </c>
    </row>
    <row r="83" spans="1:11" ht="14.4" customHeight="1" x14ac:dyDescent="0.3">
      <c r="A83" s="442" t="s">
        <v>442</v>
      </c>
      <c r="B83" s="443" t="s">
        <v>443</v>
      </c>
      <c r="C83" s="444" t="s">
        <v>447</v>
      </c>
      <c r="D83" s="445" t="s">
        <v>606</v>
      </c>
      <c r="E83" s="444" t="s">
        <v>1066</v>
      </c>
      <c r="F83" s="445" t="s">
        <v>1067</v>
      </c>
      <c r="G83" s="444" t="s">
        <v>776</v>
      </c>
      <c r="H83" s="444" t="s">
        <v>777</v>
      </c>
      <c r="I83" s="446">
        <v>520.95000000000005</v>
      </c>
      <c r="J83" s="446">
        <v>30</v>
      </c>
      <c r="K83" s="447">
        <v>15628.54</v>
      </c>
    </row>
    <row r="84" spans="1:11" ht="14.4" customHeight="1" x14ac:dyDescent="0.3">
      <c r="A84" s="442" t="s">
        <v>442</v>
      </c>
      <c r="B84" s="443" t="s">
        <v>443</v>
      </c>
      <c r="C84" s="444" t="s">
        <v>447</v>
      </c>
      <c r="D84" s="445" t="s">
        <v>606</v>
      </c>
      <c r="E84" s="444" t="s">
        <v>1066</v>
      </c>
      <c r="F84" s="445" t="s">
        <v>1067</v>
      </c>
      <c r="G84" s="444" t="s">
        <v>778</v>
      </c>
      <c r="H84" s="444" t="s">
        <v>779</v>
      </c>
      <c r="I84" s="446">
        <v>1633</v>
      </c>
      <c r="J84" s="446">
        <v>1</v>
      </c>
      <c r="K84" s="447">
        <v>1633</v>
      </c>
    </row>
    <row r="85" spans="1:11" ht="14.4" customHeight="1" x14ac:dyDescent="0.3">
      <c r="A85" s="442" t="s">
        <v>442</v>
      </c>
      <c r="B85" s="443" t="s">
        <v>443</v>
      </c>
      <c r="C85" s="444" t="s">
        <v>447</v>
      </c>
      <c r="D85" s="445" t="s">
        <v>606</v>
      </c>
      <c r="E85" s="444" t="s">
        <v>1066</v>
      </c>
      <c r="F85" s="445" t="s">
        <v>1067</v>
      </c>
      <c r="G85" s="444" t="s">
        <v>780</v>
      </c>
      <c r="H85" s="444" t="s">
        <v>781</v>
      </c>
      <c r="I85" s="446">
        <v>505.78</v>
      </c>
      <c r="J85" s="446">
        <v>1</v>
      </c>
      <c r="K85" s="447">
        <v>505.78</v>
      </c>
    </row>
    <row r="86" spans="1:11" ht="14.4" customHeight="1" x14ac:dyDescent="0.3">
      <c r="A86" s="442" t="s">
        <v>442</v>
      </c>
      <c r="B86" s="443" t="s">
        <v>443</v>
      </c>
      <c r="C86" s="444" t="s">
        <v>447</v>
      </c>
      <c r="D86" s="445" t="s">
        <v>606</v>
      </c>
      <c r="E86" s="444" t="s">
        <v>1066</v>
      </c>
      <c r="F86" s="445" t="s">
        <v>1067</v>
      </c>
      <c r="G86" s="444" t="s">
        <v>782</v>
      </c>
      <c r="H86" s="444" t="s">
        <v>783</v>
      </c>
      <c r="I86" s="446">
        <v>385.99</v>
      </c>
      <c r="J86" s="446">
        <v>2</v>
      </c>
      <c r="K86" s="447">
        <v>771.98</v>
      </c>
    </row>
    <row r="87" spans="1:11" ht="14.4" customHeight="1" x14ac:dyDescent="0.3">
      <c r="A87" s="442" t="s">
        <v>442</v>
      </c>
      <c r="B87" s="443" t="s">
        <v>443</v>
      </c>
      <c r="C87" s="444" t="s">
        <v>447</v>
      </c>
      <c r="D87" s="445" t="s">
        <v>606</v>
      </c>
      <c r="E87" s="444" t="s">
        <v>1066</v>
      </c>
      <c r="F87" s="445" t="s">
        <v>1067</v>
      </c>
      <c r="G87" s="444" t="s">
        <v>784</v>
      </c>
      <c r="H87" s="444" t="s">
        <v>785</v>
      </c>
      <c r="I87" s="446">
        <v>1.84</v>
      </c>
      <c r="J87" s="446">
        <v>200</v>
      </c>
      <c r="K87" s="447">
        <v>368.74</v>
      </c>
    </row>
    <row r="88" spans="1:11" ht="14.4" customHeight="1" x14ac:dyDescent="0.3">
      <c r="A88" s="442" t="s">
        <v>442</v>
      </c>
      <c r="B88" s="443" t="s">
        <v>443</v>
      </c>
      <c r="C88" s="444" t="s">
        <v>447</v>
      </c>
      <c r="D88" s="445" t="s">
        <v>606</v>
      </c>
      <c r="E88" s="444" t="s">
        <v>1066</v>
      </c>
      <c r="F88" s="445" t="s">
        <v>1067</v>
      </c>
      <c r="G88" s="444" t="s">
        <v>786</v>
      </c>
      <c r="H88" s="444" t="s">
        <v>787</v>
      </c>
      <c r="I88" s="446">
        <v>39.93</v>
      </c>
      <c r="J88" s="446">
        <v>18</v>
      </c>
      <c r="K88" s="447">
        <v>718.74</v>
      </c>
    </row>
    <row r="89" spans="1:11" ht="14.4" customHeight="1" x14ac:dyDescent="0.3">
      <c r="A89" s="442" t="s">
        <v>442</v>
      </c>
      <c r="B89" s="443" t="s">
        <v>443</v>
      </c>
      <c r="C89" s="444" t="s">
        <v>447</v>
      </c>
      <c r="D89" s="445" t="s">
        <v>606</v>
      </c>
      <c r="E89" s="444" t="s">
        <v>1066</v>
      </c>
      <c r="F89" s="445" t="s">
        <v>1067</v>
      </c>
      <c r="G89" s="444" t="s">
        <v>788</v>
      </c>
      <c r="H89" s="444" t="s">
        <v>789</v>
      </c>
      <c r="I89" s="446">
        <v>42.35</v>
      </c>
      <c r="J89" s="446">
        <v>60</v>
      </c>
      <c r="K89" s="447">
        <v>2541</v>
      </c>
    </row>
    <row r="90" spans="1:11" ht="14.4" customHeight="1" x14ac:dyDescent="0.3">
      <c r="A90" s="442" t="s">
        <v>442</v>
      </c>
      <c r="B90" s="443" t="s">
        <v>443</v>
      </c>
      <c r="C90" s="444" t="s">
        <v>447</v>
      </c>
      <c r="D90" s="445" t="s">
        <v>606</v>
      </c>
      <c r="E90" s="444" t="s">
        <v>1066</v>
      </c>
      <c r="F90" s="445" t="s">
        <v>1067</v>
      </c>
      <c r="G90" s="444" t="s">
        <v>790</v>
      </c>
      <c r="H90" s="444" t="s">
        <v>791</v>
      </c>
      <c r="I90" s="446">
        <v>41.74</v>
      </c>
      <c r="J90" s="446">
        <v>20</v>
      </c>
      <c r="K90" s="447">
        <v>834.9</v>
      </c>
    </row>
    <row r="91" spans="1:11" ht="14.4" customHeight="1" x14ac:dyDescent="0.3">
      <c r="A91" s="442" t="s">
        <v>442</v>
      </c>
      <c r="B91" s="443" t="s">
        <v>443</v>
      </c>
      <c r="C91" s="444" t="s">
        <v>447</v>
      </c>
      <c r="D91" s="445" t="s">
        <v>606</v>
      </c>
      <c r="E91" s="444" t="s">
        <v>1066</v>
      </c>
      <c r="F91" s="445" t="s">
        <v>1067</v>
      </c>
      <c r="G91" s="444" t="s">
        <v>792</v>
      </c>
      <c r="H91" s="444" t="s">
        <v>793</v>
      </c>
      <c r="I91" s="446">
        <v>363</v>
      </c>
      <c r="J91" s="446">
        <v>1</v>
      </c>
      <c r="K91" s="447">
        <v>363</v>
      </c>
    </row>
    <row r="92" spans="1:11" ht="14.4" customHeight="1" x14ac:dyDescent="0.3">
      <c r="A92" s="442" t="s">
        <v>442</v>
      </c>
      <c r="B92" s="443" t="s">
        <v>443</v>
      </c>
      <c r="C92" s="444" t="s">
        <v>447</v>
      </c>
      <c r="D92" s="445" t="s">
        <v>606</v>
      </c>
      <c r="E92" s="444" t="s">
        <v>1066</v>
      </c>
      <c r="F92" s="445" t="s">
        <v>1067</v>
      </c>
      <c r="G92" s="444" t="s">
        <v>794</v>
      </c>
      <c r="H92" s="444" t="s">
        <v>795</v>
      </c>
      <c r="I92" s="446">
        <v>5.38</v>
      </c>
      <c r="J92" s="446">
        <v>60</v>
      </c>
      <c r="K92" s="447">
        <v>323</v>
      </c>
    </row>
    <row r="93" spans="1:11" ht="14.4" customHeight="1" x14ac:dyDescent="0.3">
      <c r="A93" s="442" t="s">
        <v>442</v>
      </c>
      <c r="B93" s="443" t="s">
        <v>443</v>
      </c>
      <c r="C93" s="444" t="s">
        <v>447</v>
      </c>
      <c r="D93" s="445" t="s">
        <v>606</v>
      </c>
      <c r="E93" s="444" t="s">
        <v>1066</v>
      </c>
      <c r="F93" s="445" t="s">
        <v>1067</v>
      </c>
      <c r="G93" s="444" t="s">
        <v>796</v>
      </c>
      <c r="H93" s="444" t="s">
        <v>797</v>
      </c>
      <c r="I93" s="446">
        <v>1112.6400000000001</v>
      </c>
      <c r="J93" s="446">
        <v>1</v>
      </c>
      <c r="K93" s="447">
        <v>1112.6400000000001</v>
      </c>
    </row>
    <row r="94" spans="1:11" ht="14.4" customHeight="1" x14ac:dyDescent="0.3">
      <c r="A94" s="442" t="s">
        <v>442</v>
      </c>
      <c r="B94" s="443" t="s">
        <v>443</v>
      </c>
      <c r="C94" s="444" t="s">
        <v>447</v>
      </c>
      <c r="D94" s="445" t="s">
        <v>606</v>
      </c>
      <c r="E94" s="444" t="s">
        <v>1066</v>
      </c>
      <c r="F94" s="445" t="s">
        <v>1067</v>
      </c>
      <c r="G94" s="444" t="s">
        <v>798</v>
      </c>
      <c r="H94" s="444" t="s">
        <v>799</v>
      </c>
      <c r="I94" s="446">
        <v>3974.85</v>
      </c>
      <c r="J94" s="446">
        <v>4</v>
      </c>
      <c r="K94" s="447">
        <v>15899.4</v>
      </c>
    </row>
    <row r="95" spans="1:11" ht="14.4" customHeight="1" x14ac:dyDescent="0.3">
      <c r="A95" s="442" t="s">
        <v>442</v>
      </c>
      <c r="B95" s="443" t="s">
        <v>443</v>
      </c>
      <c r="C95" s="444" t="s">
        <v>447</v>
      </c>
      <c r="D95" s="445" t="s">
        <v>606</v>
      </c>
      <c r="E95" s="444" t="s">
        <v>1066</v>
      </c>
      <c r="F95" s="445" t="s">
        <v>1067</v>
      </c>
      <c r="G95" s="444" t="s">
        <v>800</v>
      </c>
      <c r="H95" s="444" t="s">
        <v>801</v>
      </c>
      <c r="I95" s="446">
        <v>3156.75</v>
      </c>
      <c r="J95" s="446">
        <v>2</v>
      </c>
      <c r="K95" s="447">
        <v>6313.5</v>
      </c>
    </row>
    <row r="96" spans="1:11" ht="14.4" customHeight="1" x14ac:dyDescent="0.3">
      <c r="A96" s="442" t="s">
        <v>442</v>
      </c>
      <c r="B96" s="443" t="s">
        <v>443</v>
      </c>
      <c r="C96" s="444" t="s">
        <v>447</v>
      </c>
      <c r="D96" s="445" t="s">
        <v>606</v>
      </c>
      <c r="E96" s="444" t="s">
        <v>1066</v>
      </c>
      <c r="F96" s="445" t="s">
        <v>1067</v>
      </c>
      <c r="G96" s="444" t="s">
        <v>802</v>
      </c>
      <c r="H96" s="444" t="s">
        <v>803</v>
      </c>
      <c r="I96" s="446">
        <v>3943.35</v>
      </c>
      <c r="J96" s="446">
        <v>2</v>
      </c>
      <c r="K96" s="447">
        <v>7886.7</v>
      </c>
    </row>
    <row r="97" spans="1:11" ht="14.4" customHeight="1" x14ac:dyDescent="0.3">
      <c r="A97" s="442" t="s">
        <v>442</v>
      </c>
      <c r="B97" s="443" t="s">
        <v>443</v>
      </c>
      <c r="C97" s="444" t="s">
        <v>447</v>
      </c>
      <c r="D97" s="445" t="s">
        <v>606</v>
      </c>
      <c r="E97" s="444" t="s">
        <v>1066</v>
      </c>
      <c r="F97" s="445" t="s">
        <v>1067</v>
      </c>
      <c r="G97" s="444" t="s">
        <v>804</v>
      </c>
      <c r="H97" s="444" t="s">
        <v>805</v>
      </c>
      <c r="I97" s="446">
        <v>52.2</v>
      </c>
      <c r="J97" s="446">
        <v>30</v>
      </c>
      <c r="K97" s="447">
        <v>1595</v>
      </c>
    </row>
    <row r="98" spans="1:11" ht="14.4" customHeight="1" x14ac:dyDescent="0.3">
      <c r="A98" s="442" t="s">
        <v>442</v>
      </c>
      <c r="B98" s="443" t="s">
        <v>443</v>
      </c>
      <c r="C98" s="444" t="s">
        <v>447</v>
      </c>
      <c r="D98" s="445" t="s">
        <v>606</v>
      </c>
      <c r="E98" s="444" t="s">
        <v>1066</v>
      </c>
      <c r="F98" s="445" t="s">
        <v>1067</v>
      </c>
      <c r="G98" s="444" t="s">
        <v>806</v>
      </c>
      <c r="H98" s="444" t="s">
        <v>807</v>
      </c>
      <c r="I98" s="446">
        <v>3943.35</v>
      </c>
      <c r="J98" s="446">
        <v>2</v>
      </c>
      <c r="K98" s="447">
        <v>7886.7</v>
      </c>
    </row>
    <row r="99" spans="1:11" ht="14.4" customHeight="1" x14ac:dyDescent="0.3">
      <c r="A99" s="442" t="s">
        <v>442</v>
      </c>
      <c r="B99" s="443" t="s">
        <v>443</v>
      </c>
      <c r="C99" s="444" t="s">
        <v>447</v>
      </c>
      <c r="D99" s="445" t="s">
        <v>606</v>
      </c>
      <c r="E99" s="444" t="s">
        <v>1066</v>
      </c>
      <c r="F99" s="445" t="s">
        <v>1067</v>
      </c>
      <c r="G99" s="444" t="s">
        <v>808</v>
      </c>
      <c r="H99" s="444" t="s">
        <v>809</v>
      </c>
      <c r="I99" s="446">
        <v>257.32</v>
      </c>
      <c r="J99" s="446">
        <v>3</v>
      </c>
      <c r="K99" s="447">
        <v>771.96</v>
      </c>
    </row>
    <row r="100" spans="1:11" ht="14.4" customHeight="1" x14ac:dyDescent="0.3">
      <c r="A100" s="442" t="s">
        <v>442</v>
      </c>
      <c r="B100" s="443" t="s">
        <v>443</v>
      </c>
      <c r="C100" s="444" t="s">
        <v>447</v>
      </c>
      <c r="D100" s="445" t="s">
        <v>606</v>
      </c>
      <c r="E100" s="444" t="s">
        <v>1066</v>
      </c>
      <c r="F100" s="445" t="s">
        <v>1067</v>
      </c>
      <c r="G100" s="444" t="s">
        <v>810</v>
      </c>
      <c r="H100" s="444" t="s">
        <v>811</v>
      </c>
      <c r="I100" s="446">
        <v>49.3</v>
      </c>
      <c r="J100" s="446">
        <v>20</v>
      </c>
      <c r="K100" s="447">
        <v>986</v>
      </c>
    </row>
    <row r="101" spans="1:11" ht="14.4" customHeight="1" x14ac:dyDescent="0.3">
      <c r="A101" s="442" t="s">
        <v>442</v>
      </c>
      <c r="B101" s="443" t="s">
        <v>443</v>
      </c>
      <c r="C101" s="444" t="s">
        <v>447</v>
      </c>
      <c r="D101" s="445" t="s">
        <v>606</v>
      </c>
      <c r="E101" s="444" t="s">
        <v>1066</v>
      </c>
      <c r="F101" s="445" t="s">
        <v>1067</v>
      </c>
      <c r="G101" s="444" t="s">
        <v>812</v>
      </c>
      <c r="H101" s="444" t="s">
        <v>813</v>
      </c>
      <c r="I101" s="446">
        <v>511.5</v>
      </c>
      <c r="J101" s="446">
        <v>2</v>
      </c>
      <c r="K101" s="447">
        <v>1023</v>
      </c>
    </row>
    <row r="102" spans="1:11" ht="14.4" customHeight="1" x14ac:dyDescent="0.3">
      <c r="A102" s="442" t="s">
        <v>442</v>
      </c>
      <c r="B102" s="443" t="s">
        <v>443</v>
      </c>
      <c r="C102" s="444" t="s">
        <v>447</v>
      </c>
      <c r="D102" s="445" t="s">
        <v>606</v>
      </c>
      <c r="E102" s="444" t="s">
        <v>1066</v>
      </c>
      <c r="F102" s="445" t="s">
        <v>1067</v>
      </c>
      <c r="G102" s="444" t="s">
        <v>814</v>
      </c>
      <c r="H102" s="444" t="s">
        <v>815</v>
      </c>
      <c r="I102" s="446">
        <v>2003.5</v>
      </c>
      <c r="J102" s="446">
        <v>1</v>
      </c>
      <c r="K102" s="447">
        <v>2003.5</v>
      </c>
    </row>
    <row r="103" spans="1:11" ht="14.4" customHeight="1" x14ac:dyDescent="0.3">
      <c r="A103" s="442" t="s">
        <v>442</v>
      </c>
      <c r="B103" s="443" t="s">
        <v>443</v>
      </c>
      <c r="C103" s="444" t="s">
        <v>447</v>
      </c>
      <c r="D103" s="445" t="s">
        <v>606</v>
      </c>
      <c r="E103" s="444" t="s">
        <v>1066</v>
      </c>
      <c r="F103" s="445" t="s">
        <v>1067</v>
      </c>
      <c r="G103" s="444" t="s">
        <v>816</v>
      </c>
      <c r="H103" s="444" t="s">
        <v>817</v>
      </c>
      <c r="I103" s="446">
        <v>831.45</v>
      </c>
      <c r="J103" s="446">
        <v>4</v>
      </c>
      <c r="K103" s="447">
        <v>3325.8</v>
      </c>
    </row>
    <row r="104" spans="1:11" ht="14.4" customHeight="1" x14ac:dyDescent="0.3">
      <c r="A104" s="442" t="s">
        <v>442</v>
      </c>
      <c r="B104" s="443" t="s">
        <v>443</v>
      </c>
      <c r="C104" s="444" t="s">
        <v>447</v>
      </c>
      <c r="D104" s="445" t="s">
        <v>606</v>
      </c>
      <c r="E104" s="444" t="s">
        <v>1066</v>
      </c>
      <c r="F104" s="445" t="s">
        <v>1067</v>
      </c>
      <c r="G104" s="444" t="s">
        <v>818</v>
      </c>
      <c r="H104" s="444" t="s">
        <v>819</v>
      </c>
      <c r="I104" s="446">
        <v>792.89</v>
      </c>
      <c r="J104" s="446">
        <v>9</v>
      </c>
      <c r="K104" s="447">
        <v>7136</v>
      </c>
    </row>
    <row r="105" spans="1:11" ht="14.4" customHeight="1" x14ac:dyDescent="0.3">
      <c r="A105" s="442" t="s">
        <v>442</v>
      </c>
      <c r="B105" s="443" t="s">
        <v>443</v>
      </c>
      <c r="C105" s="444" t="s">
        <v>447</v>
      </c>
      <c r="D105" s="445" t="s">
        <v>606</v>
      </c>
      <c r="E105" s="444" t="s">
        <v>1066</v>
      </c>
      <c r="F105" s="445" t="s">
        <v>1067</v>
      </c>
      <c r="G105" s="444" t="s">
        <v>820</v>
      </c>
      <c r="H105" s="444" t="s">
        <v>821</v>
      </c>
      <c r="I105" s="446">
        <v>13918.63</v>
      </c>
      <c r="J105" s="446">
        <v>1</v>
      </c>
      <c r="K105" s="447">
        <v>13918.63</v>
      </c>
    </row>
    <row r="106" spans="1:11" ht="14.4" customHeight="1" x14ac:dyDescent="0.3">
      <c r="A106" s="442" t="s">
        <v>442</v>
      </c>
      <c r="B106" s="443" t="s">
        <v>443</v>
      </c>
      <c r="C106" s="444" t="s">
        <v>447</v>
      </c>
      <c r="D106" s="445" t="s">
        <v>606</v>
      </c>
      <c r="E106" s="444" t="s">
        <v>1066</v>
      </c>
      <c r="F106" s="445" t="s">
        <v>1067</v>
      </c>
      <c r="G106" s="444" t="s">
        <v>822</v>
      </c>
      <c r="H106" s="444" t="s">
        <v>823</v>
      </c>
      <c r="I106" s="446">
        <v>5.38</v>
      </c>
      <c r="J106" s="446">
        <v>90</v>
      </c>
      <c r="K106" s="447">
        <v>484.5</v>
      </c>
    </row>
    <row r="107" spans="1:11" ht="14.4" customHeight="1" x14ac:dyDescent="0.3">
      <c r="A107" s="442" t="s">
        <v>442</v>
      </c>
      <c r="B107" s="443" t="s">
        <v>443</v>
      </c>
      <c r="C107" s="444" t="s">
        <v>447</v>
      </c>
      <c r="D107" s="445" t="s">
        <v>606</v>
      </c>
      <c r="E107" s="444" t="s">
        <v>1066</v>
      </c>
      <c r="F107" s="445" t="s">
        <v>1067</v>
      </c>
      <c r="G107" s="444" t="s">
        <v>824</v>
      </c>
      <c r="H107" s="444" t="s">
        <v>825</v>
      </c>
      <c r="I107" s="446">
        <v>52.2</v>
      </c>
      <c r="J107" s="446">
        <v>40</v>
      </c>
      <c r="K107" s="447">
        <v>2088</v>
      </c>
    </row>
    <row r="108" spans="1:11" ht="14.4" customHeight="1" x14ac:dyDescent="0.3">
      <c r="A108" s="442" t="s">
        <v>442</v>
      </c>
      <c r="B108" s="443" t="s">
        <v>443</v>
      </c>
      <c r="C108" s="444" t="s">
        <v>447</v>
      </c>
      <c r="D108" s="445" t="s">
        <v>606</v>
      </c>
      <c r="E108" s="444" t="s">
        <v>1066</v>
      </c>
      <c r="F108" s="445" t="s">
        <v>1067</v>
      </c>
      <c r="G108" s="444" t="s">
        <v>826</v>
      </c>
      <c r="H108" s="444" t="s">
        <v>827</v>
      </c>
      <c r="I108" s="446">
        <v>18.600000000000001</v>
      </c>
      <c r="J108" s="446">
        <v>10</v>
      </c>
      <c r="K108" s="447">
        <v>186</v>
      </c>
    </row>
    <row r="109" spans="1:11" ht="14.4" customHeight="1" x14ac:dyDescent="0.3">
      <c r="A109" s="442" t="s">
        <v>442</v>
      </c>
      <c r="B109" s="443" t="s">
        <v>443</v>
      </c>
      <c r="C109" s="444" t="s">
        <v>447</v>
      </c>
      <c r="D109" s="445" t="s">
        <v>606</v>
      </c>
      <c r="E109" s="444" t="s">
        <v>1066</v>
      </c>
      <c r="F109" s="445" t="s">
        <v>1067</v>
      </c>
      <c r="G109" s="444" t="s">
        <v>828</v>
      </c>
      <c r="H109" s="444" t="s">
        <v>829</v>
      </c>
      <c r="I109" s="446">
        <v>49.3</v>
      </c>
      <c r="J109" s="446">
        <v>30</v>
      </c>
      <c r="K109" s="447">
        <v>1479</v>
      </c>
    </row>
    <row r="110" spans="1:11" ht="14.4" customHeight="1" x14ac:dyDescent="0.3">
      <c r="A110" s="442" t="s">
        <v>442</v>
      </c>
      <c r="B110" s="443" t="s">
        <v>443</v>
      </c>
      <c r="C110" s="444" t="s">
        <v>447</v>
      </c>
      <c r="D110" s="445" t="s">
        <v>606</v>
      </c>
      <c r="E110" s="444" t="s">
        <v>1066</v>
      </c>
      <c r="F110" s="445" t="s">
        <v>1067</v>
      </c>
      <c r="G110" s="444" t="s">
        <v>830</v>
      </c>
      <c r="H110" s="444" t="s">
        <v>831</v>
      </c>
      <c r="I110" s="446">
        <v>19</v>
      </c>
      <c r="J110" s="446">
        <v>20</v>
      </c>
      <c r="K110" s="447">
        <v>380</v>
      </c>
    </row>
    <row r="111" spans="1:11" ht="14.4" customHeight="1" x14ac:dyDescent="0.3">
      <c r="A111" s="442" t="s">
        <v>442</v>
      </c>
      <c r="B111" s="443" t="s">
        <v>443</v>
      </c>
      <c r="C111" s="444" t="s">
        <v>447</v>
      </c>
      <c r="D111" s="445" t="s">
        <v>606</v>
      </c>
      <c r="E111" s="444" t="s">
        <v>1066</v>
      </c>
      <c r="F111" s="445" t="s">
        <v>1067</v>
      </c>
      <c r="G111" s="444" t="s">
        <v>832</v>
      </c>
      <c r="H111" s="444" t="s">
        <v>833</v>
      </c>
      <c r="I111" s="446">
        <v>49.3</v>
      </c>
      <c r="J111" s="446">
        <v>10</v>
      </c>
      <c r="K111" s="447">
        <v>493</v>
      </c>
    </row>
    <row r="112" spans="1:11" ht="14.4" customHeight="1" x14ac:dyDescent="0.3">
      <c r="A112" s="442" t="s">
        <v>442</v>
      </c>
      <c r="B112" s="443" t="s">
        <v>443</v>
      </c>
      <c r="C112" s="444" t="s">
        <v>447</v>
      </c>
      <c r="D112" s="445" t="s">
        <v>606</v>
      </c>
      <c r="E112" s="444" t="s">
        <v>1066</v>
      </c>
      <c r="F112" s="445" t="s">
        <v>1067</v>
      </c>
      <c r="G112" s="444" t="s">
        <v>834</v>
      </c>
      <c r="H112" s="444" t="s">
        <v>835</v>
      </c>
      <c r="I112" s="446">
        <v>598.95000000000005</v>
      </c>
      <c r="J112" s="446">
        <v>8</v>
      </c>
      <c r="K112" s="447">
        <v>4791.6000000000004</v>
      </c>
    </row>
    <row r="113" spans="1:11" ht="14.4" customHeight="1" x14ac:dyDescent="0.3">
      <c r="A113" s="442" t="s">
        <v>442</v>
      </c>
      <c r="B113" s="443" t="s">
        <v>443</v>
      </c>
      <c r="C113" s="444" t="s">
        <v>447</v>
      </c>
      <c r="D113" s="445" t="s">
        <v>606</v>
      </c>
      <c r="E113" s="444" t="s">
        <v>1066</v>
      </c>
      <c r="F113" s="445" t="s">
        <v>1067</v>
      </c>
      <c r="G113" s="444" t="s">
        <v>836</v>
      </c>
      <c r="H113" s="444" t="s">
        <v>837</v>
      </c>
      <c r="I113" s="446">
        <v>1730.36</v>
      </c>
      <c r="J113" s="446">
        <v>81</v>
      </c>
      <c r="K113" s="447">
        <v>6835.66</v>
      </c>
    </row>
    <row r="114" spans="1:11" ht="14.4" customHeight="1" x14ac:dyDescent="0.3">
      <c r="A114" s="442" t="s">
        <v>442</v>
      </c>
      <c r="B114" s="443" t="s">
        <v>443</v>
      </c>
      <c r="C114" s="444" t="s">
        <v>447</v>
      </c>
      <c r="D114" s="445" t="s">
        <v>606</v>
      </c>
      <c r="E114" s="444" t="s">
        <v>1066</v>
      </c>
      <c r="F114" s="445" t="s">
        <v>1067</v>
      </c>
      <c r="G114" s="444" t="s">
        <v>838</v>
      </c>
      <c r="H114" s="444" t="s">
        <v>839</v>
      </c>
      <c r="I114" s="446">
        <v>128.25</v>
      </c>
      <c r="J114" s="446">
        <v>20</v>
      </c>
      <c r="K114" s="447">
        <v>2565</v>
      </c>
    </row>
    <row r="115" spans="1:11" ht="14.4" customHeight="1" x14ac:dyDescent="0.3">
      <c r="A115" s="442" t="s">
        <v>442</v>
      </c>
      <c r="B115" s="443" t="s">
        <v>443</v>
      </c>
      <c r="C115" s="444" t="s">
        <v>447</v>
      </c>
      <c r="D115" s="445" t="s">
        <v>606</v>
      </c>
      <c r="E115" s="444" t="s">
        <v>1066</v>
      </c>
      <c r="F115" s="445" t="s">
        <v>1067</v>
      </c>
      <c r="G115" s="444" t="s">
        <v>840</v>
      </c>
      <c r="H115" s="444" t="s">
        <v>841</v>
      </c>
      <c r="I115" s="446">
        <v>128.25</v>
      </c>
      <c r="J115" s="446">
        <v>30</v>
      </c>
      <c r="K115" s="447">
        <v>3847.38</v>
      </c>
    </row>
    <row r="116" spans="1:11" ht="14.4" customHeight="1" x14ac:dyDescent="0.3">
      <c r="A116" s="442" t="s">
        <v>442</v>
      </c>
      <c r="B116" s="443" t="s">
        <v>443</v>
      </c>
      <c r="C116" s="444" t="s">
        <v>447</v>
      </c>
      <c r="D116" s="445" t="s">
        <v>606</v>
      </c>
      <c r="E116" s="444" t="s">
        <v>1066</v>
      </c>
      <c r="F116" s="445" t="s">
        <v>1067</v>
      </c>
      <c r="G116" s="444" t="s">
        <v>842</v>
      </c>
      <c r="H116" s="444" t="s">
        <v>843</v>
      </c>
      <c r="I116" s="446">
        <v>1132.8</v>
      </c>
      <c r="J116" s="446">
        <v>1</v>
      </c>
      <c r="K116" s="447">
        <v>1132.8</v>
      </c>
    </row>
    <row r="117" spans="1:11" ht="14.4" customHeight="1" x14ac:dyDescent="0.3">
      <c r="A117" s="442" t="s">
        <v>442</v>
      </c>
      <c r="B117" s="443" t="s">
        <v>443</v>
      </c>
      <c r="C117" s="444" t="s">
        <v>447</v>
      </c>
      <c r="D117" s="445" t="s">
        <v>606</v>
      </c>
      <c r="E117" s="444" t="s">
        <v>1066</v>
      </c>
      <c r="F117" s="445" t="s">
        <v>1067</v>
      </c>
      <c r="G117" s="444" t="s">
        <v>844</v>
      </c>
      <c r="H117" s="444" t="s">
        <v>845</v>
      </c>
      <c r="I117" s="446">
        <v>5.38</v>
      </c>
      <c r="J117" s="446">
        <v>60</v>
      </c>
      <c r="K117" s="447">
        <v>323</v>
      </c>
    </row>
    <row r="118" spans="1:11" ht="14.4" customHeight="1" x14ac:dyDescent="0.3">
      <c r="A118" s="442" t="s">
        <v>442</v>
      </c>
      <c r="B118" s="443" t="s">
        <v>443</v>
      </c>
      <c r="C118" s="444" t="s">
        <v>447</v>
      </c>
      <c r="D118" s="445" t="s">
        <v>606</v>
      </c>
      <c r="E118" s="444" t="s">
        <v>1066</v>
      </c>
      <c r="F118" s="445" t="s">
        <v>1067</v>
      </c>
      <c r="G118" s="444" t="s">
        <v>846</v>
      </c>
      <c r="H118" s="444" t="s">
        <v>847</v>
      </c>
      <c r="I118" s="446">
        <v>402.93</v>
      </c>
      <c r="J118" s="446">
        <v>1</v>
      </c>
      <c r="K118" s="447">
        <v>402.93</v>
      </c>
    </row>
    <row r="119" spans="1:11" ht="14.4" customHeight="1" x14ac:dyDescent="0.3">
      <c r="A119" s="442" t="s">
        <v>442</v>
      </c>
      <c r="B119" s="443" t="s">
        <v>443</v>
      </c>
      <c r="C119" s="444" t="s">
        <v>447</v>
      </c>
      <c r="D119" s="445" t="s">
        <v>606</v>
      </c>
      <c r="E119" s="444" t="s">
        <v>1066</v>
      </c>
      <c r="F119" s="445" t="s">
        <v>1067</v>
      </c>
      <c r="G119" s="444" t="s">
        <v>848</v>
      </c>
      <c r="H119" s="444" t="s">
        <v>849</v>
      </c>
      <c r="I119" s="446">
        <v>2843.5</v>
      </c>
      <c r="J119" s="446">
        <v>1</v>
      </c>
      <c r="K119" s="447">
        <v>2843.5</v>
      </c>
    </row>
    <row r="120" spans="1:11" ht="14.4" customHeight="1" x14ac:dyDescent="0.3">
      <c r="A120" s="442" t="s">
        <v>442</v>
      </c>
      <c r="B120" s="443" t="s">
        <v>443</v>
      </c>
      <c r="C120" s="444" t="s">
        <v>447</v>
      </c>
      <c r="D120" s="445" t="s">
        <v>606</v>
      </c>
      <c r="E120" s="444" t="s">
        <v>1066</v>
      </c>
      <c r="F120" s="445" t="s">
        <v>1067</v>
      </c>
      <c r="G120" s="444" t="s">
        <v>850</v>
      </c>
      <c r="H120" s="444" t="s">
        <v>851</v>
      </c>
      <c r="I120" s="446">
        <v>185.35</v>
      </c>
      <c r="J120" s="446">
        <v>2</v>
      </c>
      <c r="K120" s="447">
        <v>370.7</v>
      </c>
    </row>
    <row r="121" spans="1:11" ht="14.4" customHeight="1" x14ac:dyDescent="0.3">
      <c r="A121" s="442" t="s">
        <v>442</v>
      </c>
      <c r="B121" s="443" t="s">
        <v>443</v>
      </c>
      <c r="C121" s="444" t="s">
        <v>447</v>
      </c>
      <c r="D121" s="445" t="s">
        <v>606</v>
      </c>
      <c r="E121" s="444" t="s">
        <v>1066</v>
      </c>
      <c r="F121" s="445" t="s">
        <v>1067</v>
      </c>
      <c r="G121" s="444" t="s">
        <v>852</v>
      </c>
      <c r="H121" s="444" t="s">
        <v>853</v>
      </c>
      <c r="I121" s="446">
        <v>595.20000000000005</v>
      </c>
      <c r="J121" s="446">
        <v>16</v>
      </c>
      <c r="K121" s="447">
        <v>9485.98</v>
      </c>
    </row>
    <row r="122" spans="1:11" ht="14.4" customHeight="1" x14ac:dyDescent="0.3">
      <c r="A122" s="442" t="s">
        <v>442</v>
      </c>
      <c r="B122" s="443" t="s">
        <v>443</v>
      </c>
      <c r="C122" s="444" t="s">
        <v>447</v>
      </c>
      <c r="D122" s="445" t="s">
        <v>606</v>
      </c>
      <c r="E122" s="444" t="s">
        <v>1066</v>
      </c>
      <c r="F122" s="445" t="s">
        <v>1067</v>
      </c>
      <c r="G122" s="444" t="s">
        <v>854</v>
      </c>
      <c r="H122" s="444" t="s">
        <v>855</v>
      </c>
      <c r="I122" s="446">
        <v>191.18</v>
      </c>
      <c r="J122" s="446">
        <v>5</v>
      </c>
      <c r="K122" s="447">
        <v>955.9</v>
      </c>
    </row>
    <row r="123" spans="1:11" ht="14.4" customHeight="1" x14ac:dyDescent="0.3">
      <c r="A123" s="442" t="s">
        <v>442</v>
      </c>
      <c r="B123" s="443" t="s">
        <v>443</v>
      </c>
      <c r="C123" s="444" t="s">
        <v>447</v>
      </c>
      <c r="D123" s="445" t="s">
        <v>606</v>
      </c>
      <c r="E123" s="444" t="s">
        <v>1066</v>
      </c>
      <c r="F123" s="445" t="s">
        <v>1067</v>
      </c>
      <c r="G123" s="444" t="s">
        <v>856</v>
      </c>
      <c r="H123" s="444" t="s">
        <v>857</v>
      </c>
      <c r="I123" s="446">
        <v>1427.8</v>
      </c>
      <c r="J123" s="446">
        <v>3</v>
      </c>
      <c r="K123" s="447">
        <v>4283.3999999999996</v>
      </c>
    </row>
    <row r="124" spans="1:11" ht="14.4" customHeight="1" x14ac:dyDescent="0.3">
      <c r="A124" s="442" t="s">
        <v>442</v>
      </c>
      <c r="B124" s="443" t="s">
        <v>443</v>
      </c>
      <c r="C124" s="444" t="s">
        <v>447</v>
      </c>
      <c r="D124" s="445" t="s">
        <v>606</v>
      </c>
      <c r="E124" s="444" t="s">
        <v>1066</v>
      </c>
      <c r="F124" s="445" t="s">
        <v>1067</v>
      </c>
      <c r="G124" s="444" t="s">
        <v>858</v>
      </c>
      <c r="H124" s="444" t="s">
        <v>859</v>
      </c>
      <c r="I124" s="446">
        <v>4207.8500000000004</v>
      </c>
      <c r="J124" s="446">
        <v>1</v>
      </c>
      <c r="K124" s="447">
        <v>4207.8500000000004</v>
      </c>
    </row>
    <row r="125" spans="1:11" ht="14.4" customHeight="1" x14ac:dyDescent="0.3">
      <c r="A125" s="442" t="s">
        <v>442</v>
      </c>
      <c r="B125" s="443" t="s">
        <v>443</v>
      </c>
      <c r="C125" s="444" t="s">
        <v>447</v>
      </c>
      <c r="D125" s="445" t="s">
        <v>606</v>
      </c>
      <c r="E125" s="444" t="s">
        <v>1066</v>
      </c>
      <c r="F125" s="445" t="s">
        <v>1067</v>
      </c>
      <c r="G125" s="444" t="s">
        <v>860</v>
      </c>
      <c r="H125" s="444" t="s">
        <v>861</v>
      </c>
      <c r="I125" s="446">
        <v>42.35</v>
      </c>
      <c r="J125" s="446">
        <v>60</v>
      </c>
      <c r="K125" s="447">
        <v>2541</v>
      </c>
    </row>
    <row r="126" spans="1:11" ht="14.4" customHeight="1" x14ac:dyDescent="0.3">
      <c r="A126" s="442" t="s">
        <v>442</v>
      </c>
      <c r="B126" s="443" t="s">
        <v>443</v>
      </c>
      <c r="C126" s="444" t="s">
        <v>447</v>
      </c>
      <c r="D126" s="445" t="s">
        <v>606</v>
      </c>
      <c r="E126" s="444" t="s">
        <v>1066</v>
      </c>
      <c r="F126" s="445" t="s">
        <v>1067</v>
      </c>
      <c r="G126" s="444" t="s">
        <v>862</v>
      </c>
      <c r="H126" s="444" t="s">
        <v>863</v>
      </c>
      <c r="I126" s="446">
        <v>523.92999999999995</v>
      </c>
      <c r="J126" s="446">
        <v>1</v>
      </c>
      <c r="K126" s="447">
        <v>523.92999999999995</v>
      </c>
    </row>
    <row r="127" spans="1:11" ht="14.4" customHeight="1" x14ac:dyDescent="0.3">
      <c r="A127" s="442" t="s">
        <v>442</v>
      </c>
      <c r="B127" s="443" t="s">
        <v>443</v>
      </c>
      <c r="C127" s="444" t="s">
        <v>447</v>
      </c>
      <c r="D127" s="445" t="s">
        <v>606</v>
      </c>
      <c r="E127" s="444" t="s">
        <v>1066</v>
      </c>
      <c r="F127" s="445" t="s">
        <v>1067</v>
      </c>
      <c r="G127" s="444" t="s">
        <v>864</v>
      </c>
      <c r="H127" s="444" t="s">
        <v>865</v>
      </c>
      <c r="I127" s="446">
        <v>745.36</v>
      </c>
      <c r="J127" s="446">
        <v>1</v>
      </c>
      <c r="K127" s="447">
        <v>745.36</v>
      </c>
    </row>
    <row r="128" spans="1:11" ht="14.4" customHeight="1" x14ac:dyDescent="0.3">
      <c r="A128" s="442" t="s">
        <v>442</v>
      </c>
      <c r="B128" s="443" t="s">
        <v>443</v>
      </c>
      <c r="C128" s="444" t="s">
        <v>447</v>
      </c>
      <c r="D128" s="445" t="s">
        <v>606</v>
      </c>
      <c r="E128" s="444" t="s">
        <v>1066</v>
      </c>
      <c r="F128" s="445" t="s">
        <v>1067</v>
      </c>
      <c r="G128" s="444" t="s">
        <v>866</v>
      </c>
      <c r="H128" s="444" t="s">
        <v>867</v>
      </c>
      <c r="I128" s="446">
        <v>79.86</v>
      </c>
      <c r="J128" s="446">
        <v>5</v>
      </c>
      <c r="K128" s="447">
        <v>399.3</v>
      </c>
    </row>
    <row r="129" spans="1:11" ht="14.4" customHeight="1" x14ac:dyDescent="0.3">
      <c r="A129" s="442" t="s">
        <v>442</v>
      </c>
      <c r="B129" s="443" t="s">
        <v>443</v>
      </c>
      <c r="C129" s="444" t="s">
        <v>447</v>
      </c>
      <c r="D129" s="445" t="s">
        <v>606</v>
      </c>
      <c r="E129" s="444" t="s">
        <v>1066</v>
      </c>
      <c r="F129" s="445" t="s">
        <v>1067</v>
      </c>
      <c r="G129" s="444" t="s">
        <v>868</v>
      </c>
      <c r="H129" s="444" t="s">
        <v>869</v>
      </c>
      <c r="I129" s="446">
        <v>3811.5</v>
      </c>
      <c r="J129" s="446">
        <v>1</v>
      </c>
      <c r="K129" s="447">
        <v>3811.5</v>
      </c>
    </row>
    <row r="130" spans="1:11" ht="14.4" customHeight="1" x14ac:dyDescent="0.3">
      <c r="A130" s="442" t="s">
        <v>442</v>
      </c>
      <c r="B130" s="443" t="s">
        <v>443</v>
      </c>
      <c r="C130" s="444" t="s">
        <v>447</v>
      </c>
      <c r="D130" s="445" t="s">
        <v>606</v>
      </c>
      <c r="E130" s="444" t="s">
        <v>1066</v>
      </c>
      <c r="F130" s="445" t="s">
        <v>1067</v>
      </c>
      <c r="G130" s="444" t="s">
        <v>870</v>
      </c>
      <c r="H130" s="444" t="s">
        <v>871</v>
      </c>
      <c r="I130" s="446">
        <v>141.55000000000001</v>
      </c>
      <c r="J130" s="446">
        <v>10</v>
      </c>
      <c r="K130" s="447">
        <v>1415.54</v>
      </c>
    </row>
    <row r="131" spans="1:11" ht="14.4" customHeight="1" x14ac:dyDescent="0.3">
      <c r="A131" s="442" t="s">
        <v>442</v>
      </c>
      <c r="B131" s="443" t="s">
        <v>443</v>
      </c>
      <c r="C131" s="444" t="s">
        <v>447</v>
      </c>
      <c r="D131" s="445" t="s">
        <v>606</v>
      </c>
      <c r="E131" s="444" t="s">
        <v>1066</v>
      </c>
      <c r="F131" s="445" t="s">
        <v>1067</v>
      </c>
      <c r="G131" s="444" t="s">
        <v>872</v>
      </c>
      <c r="H131" s="444" t="s">
        <v>873</v>
      </c>
      <c r="I131" s="446">
        <v>859.1</v>
      </c>
      <c r="J131" s="446">
        <v>1</v>
      </c>
      <c r="K131" s="447">
        <v>859.1</v>
      </c>
    </row>
    <row r="132" spans="1:11" ht="14.4" customHeight="1" x14ac:dyDescent="0.3">
      <c r="A132" s="442" t="s">
        <v>442</v>
      </c>
      <c r="B132" s="443" t="s">
        <v>443</v>
      </c>
      <c r="C132" s="444" t="s">
        <v>447</v>
      </c>
      <c r="D132" s="445" t="s">
        <v>606</v>
      </c>
      <c r="E132" s="444" t="s">
        <v>1066</v>
      </c>
      <c r="F132" s="445" t="s">
        <v>1067</v>
      </c>
      <c r="G132" s="444" t="s">
        <v>874</v>
      </c>
      <c r="H132" s="444" t="s">
        <v>875</v>
      </c>
      <c r="I132" s="446">
        <v>229.9</v>
      </c>
      <c r="J132" s="446">
        <v>6</v>
      </c>
      <c r="K132" s="447">
        <v>1379.4</v>
      </c>
    </row>
    <row r="133" spans="1:11" ht="14.4" customHeight="1" x14ac:dyDescent="0.3">
      <c r="A133" s="442" t="s">
        <v>442</v>
      </c>
      <c r="B133" s="443" t="s">
        <v>443</v>
      </c>
      <c r="C133" s="444" t="s">
        <v>447</v>
      </c>
      <c r="D133" s="445" t="s">
        <v>606</v>
      </c>
      <c r="E133" s="444" t="s">
        <v>1066</v>
      </c>
      <c r="F133" s="445" t="s">
        <v>1067</v>
      </c>
      <c r="G133" s="444" t="s">
        <v>876</v>
      </c>
      <c r="H133" s="444" t="s">
        <v>877</v>
      </c>
      <c r="I133" s="446">
        <v>39.93</v>
      </c>
      <c r="J133" s="446">
        <v>18</v>
      </c>
      <c r="K133" s="447">
        <v>718.74</v>
      </c>
    </row>
    <row r="134" spans="1:11" ht="14.4" customHeight="1" x14ac:dyDescent="0.3">
      <c r="A134" s="442" t="s">
        <v>442</v>
      </c>
      <c r="B134" s="443" t="s">
        <v>443</v>
      </c>
      <c r="C134" s="444" t="s">
        <v>447</v>
      </c>
      <c r="D134" s="445" t="s">
        <v>606</v>
      </c>
      <c r="E134" s="444" t="s">
        <v>1066</v>
      </c>
      <c r="F134" s="445" t="s">
        <v>1067</v>
      </c>
      <c r="G134" s="444" t="s">
        <v>878</v>
      </c>
      <c r="H134" s="444" t="s">
        <v>879</v>
      </c>
      <c r="I134" s="446">
        <v>2789.05</v>
      </c>
      <c r="J134" s="446">
        <v>1</v>
      </c>
      <c r="K134" s="447">
        <v>2789.05</v>
      </c>
    </row>
    <row r="135" spans="1:11" ht="14.4" customHeight="1" x14ac:dyDescent="0.3">
      <c r="A135" s="442" t="s">
        <v>442</v>
      </c>
      <c r="B135" s="443" t="s">
        <v>443</v>
      </c>
      <c r="C135" s="444" t="s">
        <v>447</v>
      </c>
      <c r="D135" s="445" t="s">
        <v>606</v>
      </c>
      <c r="E135" s="444" t="s">
        <v>1066</v>
      </c>
      <c r="F135" s="445" t="s">
        <v>1067</v>
      </c>
      <c r="G135" s="444" t="s">
        <v>880</v>
      </c>
      <c r="H135" s="444" t="s">
        <v>881</v>
      </c>
      <c r="I135" s="446">
        <v>323.06</v>
      </c>
      <c r="J135" s="446">
        <v>2</v>
      </c>
      <c r="K135" s="447">
        <v>646.12</v>
      </c>
    </row>
    <row r="136" spans="1:11" ht="14.4" customHeight="1" x14ac:dyDescent="0.3">
      <c r="A136" s="442" t="s">
        <v>442</v>
      </c>
      <c r="B136" s="443" t="s">
        <v>443</v>
      </c>
      <c r="C136" s="444" t="s">
        <v>447</v>
      </c>
      <c r="D136" s="445" t="s">
        <v>606</v>
      </c>
      <c r="E136" s="444" t="s">
        <v>1066</v>
      </c>
      <c r="F136" s="445" t="s">
        <v>1067</v>
      </c>
      <c r="G136" s="444" t="s">
        <v>882</v>
      </c>
      <c r="H136" s="444" t="s">
        <v>883</v>
      </c>
      <c r="I136" s="446">
        <v>55.1</v>
      </c>
      <c r="J136" s="446">
        <v>40</v>
      </c>
      <c r="K136" s="447">
        <v>2204</v>
      </c>
    </row>
    <row r="137" spans="1:11" ht="14.4" customHeight="1" x14ac:dyDescent="0.3">
      <c r="A137" s="442" t="s">
        <v>442</v>
      </c>
      <c r="B137" s="443" t="s">
        <v>443</v>
      </c>
      <c r="C137" s="444" t="s">
        <v>447</v>
      </c>
      <c r="D137" s="445" t="s">
        <v>606</v>
      </c>
      <c r="E137" s="444" t="s">
        <v>1066</v>
      </c>
      <c r="F137" s="445" t="s">
        <v>1067</v>
      </c>
      <c r="G137" s="444" t="s">
        <v>884</v>
      </c>
      <c r="H137" s="444" t="s">
        <v>885</v>
      </c>
      <c r="I137" s="446">
        <v>19</v>
      </c>
      <c r="J137" s="446">
        <v>10</v>
      </c>
      <c r="K137" s="447">
        <v>190</v>
      </c>
    </row>
    <row r="138" spans="1:11" ht="14.4" customHeight="1" x14ac:dyDescent="0.3">
      <c r="A138" s="442" t="s">
        <v>442</v>
      </c>
      <c r="B138" s="443" t="s">
        <v>443</v>
      </c>
      <c r="C138" s="444" t="s">
        <v>447</v>
      </c>
      <c r="D138" s="445" t="s">
        <v>606</v>
      </c>
      <c r="E138" s="444" t="s">
        <v>1066</v>
      </c>
      <c r="F138" s="445" t="s">
        <v>1067</v>
      </c>
      <c r="G138" s="444" t="s">
        <v>886</v>
      </c>
      <c r="H138" s="444" t="s">
        <v>887</v>
      </c>
      <c r="I138" s="446">
        <v>18.8</v>
      </c>
      <c r="J138" s="446">
        <v>40</v>
      </c>
      <c r="K138" s="447">
        <v>752</v>
      </c>
    </row>
    <row r="139" spans="1:11" ht="14.4" customHeight="1" x14ac:dyDescent="0.3">
      <c r="A139" s="442" t="s">
        <v>442</v>
      </c>
      <c r="B139" s="443" t="s">
        <v>443</v>
      </c>
      <c r="C139" s="444" t="s">
        <v>447</v>
      </c>
      <c r="D139" s="445" t="s">
        <v>606</v>
      </c>
      <c r="E139" s="444" t="s">
        <v>1066</v>
      </c>
      <c r="F139" s="445" t="s">
        <v>1067</v>
      </c>
      <c r="G139" s="444" t="s">
        <v>888</v>
      </c>
      <c r="H139" s="444" t="s">
        <v>889</v>
      </c>
      <c r="I139" s="446">
        <v>19</v>
      </c>
      <c r="J139" s="446">
        <v>40</v>
      </c>
      <c r="K139" s="447">
        <v>760</v>
      </c>
    </row>
    <row r="140" spans="1:11" ht="14.4" customHeight="1" x14ac:dyDescent="0.3">
      <c r="A140" s="442" t="s">
        <v>442</v>
      </c>
      <c r="B140" s="443" t="s">
        <v>443</v>
      </c>
      <c r="C140" s="444" t="s">
        <v>447</v>
      </c>
      <c r="D140" s="445" t="s">
        <v>606</v>
      </c>
      <c r="E140" s="444" t="s">
        <v>1066</v>
      </c>
      <c r="F140" s="445" t="s">
        <v>1067</v>
      </c>
      <c r="G140" s="444" t="s">
        <v>890</v>
      </c>
      <c r="H140" s="444" t="s">
        <v>891</v>
      </c>
      <c r="I140" s="446">
        <v>3910</v>
      </c>
      <c r="J140" s="446">
        <v>1</v>
      </c>
      <c r="K140" s="447">
        <v>3910</v>
      </c>
    </row>
    <row r="141" spans="1:11" ht="14.4" customHeight="1" x14ac:dyDescent="0.3">
      <c r="A141" s="442" t="s">
        <v>442</v>
      </c>
      <c r="B141" s="443" t="s">
        <v>443</v>
      </c>
      <c r="C141" s="444" t="s">
        <v>447</v>
      </c>
      <c r="D141" s="445" t="s">
        <v>606</v>
      </c>
      <c r="E141" s="444" t="s">
        <v>1066</v>
      </c>
      <c r="F141" s="445" t="s">
        <v>1067</v>
      </c>
      <c r="G141" s="444" t="s">
        <v>892</v>
      </c>
      <c r="H141" s="444" t="s">
        <v>893</v>
      </c>
      <c r="I141" s="446">
        <v>2078.3000000000002</v>
      </c>
      <c r="J141" s="446">
        <v>1</v>
      </c>
      <c r="K141" s="447">
        <v>2078.3000000000002</v>
      </c>
    </row>
    <row r="142" spans="1:11" ht="14.4" customHeight="1" x14ac:dyDescent="0.3">
      <c r="A142" s="442" t="s">
        <v>442</v>
      </c>
      <c r="B142" s="443" t="s">
        <v>443</v>
      </c>
      <c r="C142" s="444" t="s">
        <v>447</v>
      </c>
      <c r="D142" s="445" t="s">
        <v>606</v>
      </c>
      <c r="E142" s="444" t="s">
        <v>1066</v>
      </c>
      <c r="F142" s="445" t="s">
        <v>1067</v>
      </c>
      <c r="G142" s="444" t="s">
        <v>894</v>
      </c>
      <c r="H142" s="444" t="s">
        <v>895</v>
      </c>
      <c r="I142" s="446">
        <v>647.35</v>
      </c>
      <c r="J142" s="446">
        <v>8</v>
      </c>
      <c r="K142" s="447">
        <v>5178.8</v>
      </c>
    </row>
    <row r="143" spans="1:11" ht="14.4" customHeight="1" x14ac:dyDescent="0.3">
      <c r="A143" s="442" t="s">
        <v>442</v>
      </c>
      <c r="B143" s="443" t="s">
        <v>443</v>
      </c>
      <c r="C143" s="444" t="s">
        <v>447</v>
      </c>
      <c r="D143" s="445" t="s">
        <v>606</v>
      </c>
      <c r="E143" s="444" t="s">
        <v>1066</v>
      </c>
      <c r="F143" s="445" t="s">
        <v>1067</v>
      </c>
      <c r="G143" s="444" t="s">
        <v>896</v>
      </c>
      <c r="H143" s="444" t="s">
        <v>897</v>
      </c>
      <c r="I143" s="446">
        <v>843.44</v>
      </c>
      <c r="J143" s="446">
        <v>1</v>
      </c>
      <c r="K143" s="447">
        <v>843.44</v>
      </c>
    </row>
    <row r="144" spans="1:11" ht="14.4" customHeight="1" x14ac:dyDescent="0.3">
      <c r="A144" s="442" t="s">
        <v>442</v>
      </c>
      <c r="B144" s="443" t="s">
        <v>443</v>
      </c>
      <c r="C144" s="444" t="s">
        <v>447</v>
      </c>
      <c r="D144" s="445" t="s">
        <v>606</v>
      </c>
      <c r="E144" s="444" t="s">
        <v>1066</v>
      </c>
      <c r="F144" s="445" t="s">
        <v>1067</v>
      </c>
      <c r="G144" s="444" t="s">
        <v>898</v>
      </c>
      <c r="H144" s="444" t="s">
        <v>899</v>
      </c>
      <c r="I144" s="446">
        <v>1311.48</v>
      </c>
      <c r="J144" s="446">
        <v>1</v>
      </c>
      <c r="K144" s="447">
        <v>1311.48</v>
      </c>
    </row>
    <row r="145" spans="1:11" ht="14.4" customHeight="1" x14ac:dyDescent="0.3">
      <c r="A145" s="442" t="s">
        <v>442</v>
      </c>
      <c r="B145" s="443" t="s">
        <v>443</v>
      </c>
      <c r="C145" s="444" t="s">
        <v>447</v>
      </c>
      <c r="D145" s="445" t="s">
        <v>606</v>
      </c>
      <c r="E145" s="444" t="s">
        <v>1066</v>
      </c>
      <c r="F145" s="445" t="s">
        <v>1067</v>
      </c>
      <c r="G145" s="444" t="s">
        <v>900</v>
      </c>
      <c r="H145" s="444" t="s">
        <v>901</v>
      </c>
      <c r="I145" s="446">
        <v>19</v>
      </c>
      <c r="J145" s="446">
        <v>20</v>
      </c>
      <c r="K145" s="447">
        <v>380</v>
      </c>
    </row>
    <row r="146" spans="1:11" ht="14.4" customHeight="1" x14ac:dyDescent="0.3">
      <c r="A146" s="442" t="s">
        <v>442</v>
      </c>
      <c r="B146" s="443" t="s">
        <v>443</v>
      </c>
      <c r="C146" s="444" t="s">
        <v>447</v>
      </c>
      <c r="D146" s="445" t="s">
        <v>606</v>
      </c>
      <c r="E146" s="444" t="s">
        <v>1066</v>
      </c>
      <c r="F146" s="445" t="s">
        <v>1067</v>
      </c>
      <c r="G146" s="444" t="s">
        <v>902</v>
      </c>
      <c r="H146" s="444" t="s">
        <v>903</v>
      </c>
      <c r="I146" s="446">
        <v>81</v>
      </c>
      <c r="J146" s="446">
        <v>20</v>
      </c>
      <c r="K146" s="447">
        <v>1620</v>
      </c>
    </row>
    <row r="147" spans="1:11" ht="14.4" customHeight="1" x14ac:dyDescent="0.3">
      <c r="A147" s="442" t="s">
        <v>442</v>
      </c>
      <c r="B147" s="443" t="s">
        <v>443</v>
      </c>
      <c r="C147" s="444" t="s">
        <v>447</v>
      </c>
      <c r="D147" s="445" t="s">
        <v>606</v>
      </c>
      <c r="E147" s="444" t="s">
        <v>1066</v>
      </c>
      <c r="F147" s="445" t="s">
        <v>1067</v>
      </c>
      <c r="G147" s="444" t="s">
        <v>904</v>
      </c>
      <c r="H147" s="444" t="s">
        <v>905</v>
      </c>
      <c r="I147" s="446">
        <v>1011.93</v>
      </c>
      <c r="J147" s="446">
        <v>2</v>
      </c>
      <c r="K147" s="447">
        <v>2023.86</v>
      </c>
    </row>
    <row r="148" spans="1:11" ht="14.4" customHeight="1" x14ac:dyDescent="0.3">
      <c r="A148" s="442" t="s">
        <v>442</v>
      </c>
      <c r="B148" s="443" t="s">
        <v>443</v>
      </c>
      <c r="C148" s="444" t="s">
        <v>447</v>
      </c>
      <c r="D148" s="445" t="s">
        <v>606</v>
      </c>
      <c r="E148" s="444" t="s">
        <v>1066</v>
      </c>
      <c r="F148" s="445" t="s">
        <v>1067</v>
      </c>
      <c r="G148" s="444" t="s">
        <v>906</v>
      </c>
      <c r="H148" s="444" t="s">
        <v>907</v>
      </c>
      <c r="I148" s="446">
        <v>3962.16</v>
      </c>
      <c r="J148" s="446">
        <v>1</v>
      </c>
      <c r="K148" s="447">
        <v>3962.16</v>
      </c>
    </row>
    <row r="149" spans="1:11" ht="14.4" customHeight="1" x14ac:dyDescent="0.3">
      <c r="A149" s="442" t="s">
        <v>442</v>
      </c>
      <c r="B149" s="443" t="s">
        <v>443</v>
      </c>
      <c r="C149" s="444" t="s">
        <v>447</v>
      </c>
      <c r="D149" s="445" t="s">
        <v>606</v>
      </c>
      <c r="E149" s="444" t="s">
        <v>1066</v>
      </c>
      <c r="F149" s="445" t="s">
        <v>1067</v>
      </c>
      <c r="G149" s="444" t="s">
        <v>908</v>
      </c>
      <c r="H149" s="444" t="s">
        <v>909</v>
      </c>
      <c r="I149" s="446">
        <v>281.93</v>
      </c>
      <c r="J149" s="446">
        <v>2</v>
      </c>
      <c r="K149" s="447">
        <v>563.86</v>
      </c>
    </row>
    <row r="150" spans="1:11" ht="14.4" customHeight="1" x14ac:dyDescent="0.3">
      <c r="A150" s="442" t="s">
        <v>442</v>
      </c>
      <c r="B150" s="443" t="s">
        <v>443</v>
      </c>
      <c r="C150" s="444" t="s">
        <v>447</v>
      </c>
      <c r="D150" s="445" t="s">
        <v>606</v>
      </c>
      <c r="E150" s="444" t="s">
        <v>1066</v>
      </c>
      <c r="F150" s="445" t="s">
        <v>1067</v>
      </c>
      <c r="G150" s="444" t="s">
        <v>910</v>
      </c>
      <c r="H150" s="444" t="s">
        <v>911</v>
      </c>
      <c r="I150" s="446">
        <v>281.93</v>
      </c>
      <c r="J150" s="446">
        <v>2</v>
      </c>
      <c r="K150" s="447">
        <v>563.86</v>
      </c>
    </row>
    <row r="151" spans="1:11" ht="14.4" customHeight="1" x14ac:dyDescent="0.3">
      <c r="A151" s="442" t="s">
        <v>442</v>
      </c>
      <c r="B151" s="443" t="s">
        <v>443</v>
      </c>
      <c r="C151" s="444" t="s">
        <v>447</v>
      </c>
      <c r="D151" s="445" t="s">
        <v>606</v>
      </c>
      <c r="E151" s="444" t="s">
        <v>1066</v>
      </c>
      <c r="F151" s="445" t="s">
        <v>1067</v>
      </c>
      <c r="G151" s="444" t="s">
        <v>912</v>
      </c>
      <c r="H151" s="444" t="s">
        <v>913</v>
      </c>
      <c r="I151" s="446">
        <v>59.52</v>
      </c>
      <c r="J151" s="446">
        <v>20</v>
      </c>
      <c r="K151" s="447">
        <v>1190.4000000000001</v>
      </c>
    </row>
    <row r="152" spans="1:11" ht="14.4" customHeight="1" x14ac:dyDescent="0.3">
      <c r="A152" s="442" t="s">
        <v>442</v>
      </c>
      <c r="B152" s="443" t="s">
        <v>443</v>
      </c>
      <c r="C152" s="444" t="s">
        <v>447</v>
      </c>
      <c r="D152" s="445" t="s">
        <v>606</v>
      </c>
      <c r="E152" s="444" t="s">
        <v>1066</v>
      </c>
      <c r="F152" s="445" t="s">
        <v>1067</v>
      </c>
      <c r="G152" s="444" t="s">
        <v>914</v>
      </c>
      <c r="H152" s="444" t="s">
        <v>915</v>
      </c>
      <c r="I152" s="446">
        <v>1239.0999999999999</v>
      </c>
      <c r="J152" s="446">
        <v>2</v>
      </c>
      <c r="K152" s="447">
        <v>2478.1999999999998</v>
      </c>
    </row>
    <row r="153" spans="1:11" ht="14.4" customHeight="1" x14ac:dyDescent="0.3">
      <c r="A153" s="442" t="s">
        <v>442</v>
      </c>
      <c r="B153" s="443" t="s">
        <v>443</v>
      </c>
      <c r="C153" s="444" t="s">
        <v>447</v>
      </c>
      <c r="D153" s="445" t="s">
        <v>606</v>
      </c>
      <c r="E153" s="444" t="s">
        <v>1066</v>
      </c>
      <c r="F153" s="445" t="s">
        <v>1067</v>
      </c>
      <c r="G153" s="444" t="s">
        <v>916</v>
      </c>
      <c r="H153" s="444" t="s">
        <v>917</v>
      </c>
      <c r="I153" s="446">
        <v>1727</v>
      </c>
      <c r="J153" s="446">
        <v>2</v>
      </c>
      <c r="K153" s="447">
        <v>3454</v>
      </c>
    </row>
    <row r="154" spans="1:11" ht="14.4" customHeight="1" x14ac:dyDescent="0.3">
      <c r="A154" s="442" t="s">
        <v>442</v>
      </c>
      <c r="B154" s="443" t="s">
        <v>443</v>
      </c>
      <c r="C154" s="444" t="s">
        <v>447</v>
      </c>
      <c r="D154" s="445" t="s">
        <v>606</v>
      </c>
      <c r="E154" s="444" t="s">
        <v>1066</v>
      </c>
      <c r="F154" s="445" t="s">
        <v>1067</v>
      </c>
      <c r="G154" s="444" t="s">
        <v>918</v>
      </c>
      <c r="H154" s="444" t="s">
        <v>919</v>
      </c>
      <c r="I154" s="446">
        <v>2602.7066666666665</v>
      </c>
      <c r="J154" s="446">
        <v>3</v>
      </c>
      <c r="K154" s="447">
        <v>7808.12</v>
      </c>
    </row>
    <row r="155" spans="1:11" ht="14.4" customHeight="1" x14ac:dyDescent="0.3">
      <c r="A155" s="442" t="s">
        <v>442</v>
      </c>
      <c r="B155" s="443" t="s">
        <v>443</v>
      </c>
      <c r="C155" s="444" t="s">
        <v>447</v>
      </c>
      <c r="D155" s="445" t="s">
        <v>606</v>
      </c>
      <c r="E155" s="444" t="s">
        <v>1066</v>
      </c>
      <c r="F155" s="445" t="s">
        <v>1067</v>
      </c>
      <c r="G155" s="444" t="s">
        <v>920</v>
      </c>
      <c r="H155" s="444" t="s">
        <v>921</v>
      </c>
      <c r="I155" s="446">
        <v>1393.92</v>
      </c>
      <c r="J155" s="446">
        <v>1</v>
      </c>
      <c r="K155" s="447">
        <v>1393.92</v>
      </c>
    </row>
    <row r="156" spans="1:11" ht="14.4" customHeight="1" x14ac:dyDescent="0.3">
      <c r="A156" s="442" t="s">
        <v>442</v>
      </c>
      <c r="B156" s="443" t="s">
        <v>443</v>
      </c>
      <c r="C156" s="444" t="s">
        <v>447</v>
      </c>
      <c r="D156" s="445" t="s">
        <v>606</v>
      </c>
      <c r="E156" s="444" t="s">
        <v>1066</v>
      </c>
      <c r="F156" s="445" t="s">
        <v>1067</v>
      </c>
      <c r="G156" s="444" t="s">
        <v>922</v>
      </c>
      <c r="H156" s="444" t="s">
        <v>923</v>
      </c>
      <c r="I156" s="446">
        <v>221.44</v>
      </c>
      <c r="J156" s="446">
        <v>3</v>
      </c>
      <c r="K156" s="447">
        <v>664.32</v>
      </c>
    </row>
    <row r="157" spans="1:11" ht="14.4" customHeight="1" x14ac:dyDescent="0.3">
      <c r="A157" s="442" t="s">
        <v>442</v>
      </c>
      <c r="B157" s="443" t="s">
        <v>443</v>
      </c>
      <c r="C157" s="444" t="s">
        <v>447</v>
      </c>
      <c r="D157" s="445" t="s">
        <v>606</v>
      </c>
      <c r="E157" s="444" t="s">
        <v>1066</v>
      </c>
      <c r="F157" s="445" t="s">
        <v>1067</v>
      </c>
      <c r="G157" s="444" t="s">
        <v>924</v>
      </c>
      <c r="H157" s="444" t="s">
        <v>925</v>
      </c>
      <c r="I157" s="446">
        <v>617.1</v>
      </c>
      <c r="J157" s="446">
        <v>5</v>
      </c>
      <c r="K157" s="447">
        <v>3085.5</v>
      </c>
    </row>
    <row r="158" spans="1:11" ht="14.4" customHeight="1" x14ac:dyDescent="0.3">
      <c r="A158" s="442" t="s">
        <v>442</v>
      </c>
      <c r="B158" s="443" t="s">
        <v>443</v>
      </c>
      <c r="C158" s="444" t="s">
        <v>447</v>
      </c>
      <c r="D158" s="445" t="s">
        <v>606</v>
      </c>
      <c r="E158" s="444" t="s">
        <v>1066</v>
      </c>
      <c r="F158" s="445" t="s">
        <v>1067</v>
      </c>
      <c r="G158" s="444" t="s">
        <v>926</v>
      </c>
      <c r="H158" s="444" t="s">
        <v>927</v>
      </c>
      <c r="I158" s="446">
        <v>44.5</v>
      </c>
      <c r="J158" s="446">
        <v>160</v>
      </c>
      <c r="K158" s="447">
        <v>7120</v>
      </c>
    </row>
    <row r="159" spans="1:11" ht="14.4" customHeight="1" x14ac:dyDescent="0.3">
      <c r="A159" s="442" t="s">
        <v>442</v>
      </c>
      <c r="B159" s="443" t="s">
        <v>443</v>
      </c>
      <c r="C159" s="444" t="s">
        <v>447</v>
      </c>
      <c r="D159" s="445" t="s">
        <v>606</v>
      </c>
      <c r="E159" s="444" t="s">
        <v>1066</v>
      </c>
      <c r="F159" s="445" t="s">
        <v>1067</v>
      </c>
      <c r="G159" s="444" t="s">
        <v>928</v>
      </c>
      <c r="H159" s="444" t="s">
        <v>929</v>
      </c>
      <c r="I159" s="446">
        <v>6785</v>
      </c>
      <c r="J159" s="446">
        <v>1</v>
      </c>
      <c r="K159" s="447">
        <v>6785</v>
      </c>
    </row>
    <row r="160" spans="1:11" ht="14.4" customHeight="1" x14ac:dyDescent="0.3">
      <c r="A160" s="442" t="s">
        <v>442</v>
      </c>
      <c r="B160" s="443" t="s">
        <v>443</v>
      </c>
      <c r="C160" s="444" t="s">
        <v>447</v>
      </c>
      <c r="D160" s="445" t="s">
        <v>606</v>
      </c>
      <c r="E160" s="444" t="s">
        <v>1066</v>
      </c>
      <c r="F160" s="445" t="s">
        <v>1067</v>
      </c>
      <c r="G160" s="444" t="s">
        <v>930</v>
      </c>
      <c r="H160" s="444" t="s">
        <v>931</v>
      </c>
      <c r="I160" s="446">
        <v>33.880000000000003</v>
      </c>
      <c r="J160" s="446">
        <v>3</v>
      </c>
      <c r="K160" s="447">
        <v>101.64</v>
      </c>
    </row>
    <row r="161" spans="1:11" ht="14.4" customHeight="1" x14ac:dyDescent="0.3">
      <c r="A161" s="442" t="s">
        <v>442</v>
      </c>
      <c r="B161" s="443" t="s">
        <v>443</v>
      </c>
      <c r="C161" s="444" t="s">
        <v>447</v>
      </c>
      <c r="D161" s="445" t="s">
        <v>606</v>
      </c>
      <c r="E161" s="444" t="s">
        <v>1066</v>
      </c>
      <c r="F161" s="445" t="s">
        <v>1067</v>
      </c>
      <c r="G161" s="444" t="s">
        <v>932</v>
      </c>
      <c r="H161" s="444" t="s">
        <v>933</v>
      </c>
      <c r="I161" s="446">
        <v>118.58</v>
      </c>
      <c r="J161" s="446">
        <v>72</v>
      </c>
      <c r="K161" s="447">
        <v>8537.76</v>
      </c>
    </row>
    <row r="162" spans="1:11" ht="14.4" customHeight="1" x14ac:dyDescent="0.3">
      <c r="A162" s="442" t="s">
        <v>442</v>
      </c>
      <c r="B162" s="443" t="s">
        <v>443</v>
      </c>
      <c r="C162" s="444" t="s">
        <v>447</v>
      </c>
      <c r="D162" s="445" t="s">
        <v>606</v>
      </c>
      <c r="E162" s="444" t="s">
        <v>1066</v>
      </c>
      <c r="F162" s="445" t="s">
        <v>1067</v>
      </c>
      <c r="G162" s="444" t="s">
        <v>934</v>
      </c>
      <c r="H162" s="444" t="s">
        <v>935</v>
      </c>
      <c r="I162" s="446">
        <v>22.324999999999999</v>
      </c>
      <c r="J162" s="446">
        <v>20</v>
      </c>
      <c r="K162" s="447">
        <v>446.48</v>
      </c>
    </row>
    <row r="163" spans="1:11" ht="14.4" customHeight="1" x14ac:dyDescent="0.3">
      <c r="A163" s="442" t="s">
        <v>442</v>
      </c>
      <c r="B163" s="443" t="s">
        <v>443</v>
      </c>
      <c r="C163" s="444" t="s">
        <v>447</v>
      </c>
      <c r="D163" s="445" t="s">
        <v>606</v>
      </c>
      <c r="E163" s="444" t="s">
        <v>1066</v>
      </c>
      <c r="F163" s="445" t="s">
        <v>1067</v>
      </c>
      <c r="G163" s="444" t="s">
        <v>936</v>
      </c>
      <c r="H163" s="444" t="s">
        <v>937</v>
      </c>
      <c r="I163" s="446">
        <v>157.30000000000001</v>
      </c>
      <c r="J163" s="446">
        <v>1</v>
      </c>
      <c r="K163" s="447">
        <v>157.30000000000001</v>
      </c>
    </row>
    <row r="164" spans="1:11" ht="14.4" customHeight="1" x14ac:dyDescent="0.3">
      <c r="A164" s="442" t="s">
        <v>442</v>
      </c>
      <c r="B164" s="443" t="s">
        <v>443</v>
      </c>
      <c r="C164" s="444" t="s">
        <v>447</v>
      </c>
      <c r="D164" s="445" t="s">
        <v>606</v>
      </c>
      <c r="E164" s="444" t="s">
        <v>1066</v>
      </c>
      <c r="F164" s="445" t="s">
        <v>1067</v>
      </c>
      <c r="G164" s="444" t="s">
        <v>938</v>
      </c>
      <c r="H164" s="444" t="s">
        <v>939</v>
      </c>
      <c r="I164" s="446">
        <v>159.71</v>
      </c>
      <c r="J164" s="446">
        <v>1</v>
      </c>
      <c r="K164" s="447">
        <v>159.71</v>
      </c>
    </row>
    <row r="165" spans="1:11" ht="14.4" customHeight="1" x14ac:dyDescent="0.3">
      <c r="A165" s="442" t="s">
        <v>442</v>
      </c>
      <c r="B165" s="443" t="s">
        <v>443</v>
      </c>
      <c r="C165" s="444" t="s">
        <v>447</v>
      </c>
      <c r="D165" s="445" t="s">
        <v>606</v>
      </c>
      <c r="E165" s="444" t="s">
        <v>1066</v>
      </c>
      <c r="F165" s="445" t="s">
        <v>1067</v>
      </c>
      <c r="G165" s="444" t="s">
        <v>940</v>
      </c>
      <c r="H165" s="444" t="s">
        <v>941</v>
      </c>
      <c r="I165" s="446">
        <v>159.72</v>
      </c>
      <c r="J165" s="446">
        <v>1</v>
      </c>
      <c r="K165" s="447">
        <v>159.72</v>
      </c>
    </row>
    <row r="166" spans="1:11" ht="14.4" customHeight="1" x14ac:dyDescent="0.3">
      <c r="A166" s="442" t="s">
        <v>442</v>
      </c>
      <c r="B166" s="443" t="s">
        <v>443</v>
      </c>
      <c r="C166" s="444" t="s">
        <v>447</v>
      </c>
      <c r="D166" s="445" t="s">
        <v>606</v>
      </c>
      <c r="E166" s="444" t="s">
        <v>1066</v>
      </c>
      <c r="F166" s="445" t="s">
        <v>1067</v>
      </c>
      <c r="G166" s="444" t="s">
        <v>942</v>
      </c>
      <c r="H166" s="444" t="s">
        <v>943</v>
      </c>
      <c r="I166" s="446">
        <v>22.32</v>
      </c>
      <c r="J166" s="446">
        <v>10</v>
      </c>
      <c r="K166" s="447">
        <v>223.2</v>
      </c>
    </row>
    <row r="167" spans="1:11" ht="14.4" customHeight="1" x14ac:dyDescent="0.3">
      <c r="A167" s="442" t="s">
        <v>442</v>
      </c>
      <c r="B167" s="443" t="s">
        <v>443</v>
      </c>
      <c r="C167" s="444" t="s">
        <v>447</v>
      </c>
      <c r="D167" s="445" t="s">
        <v>606</v>
      </c>
      <c r="E167" s="444" t="s">
        <v>1066</v>
      </c>
      <c r="F167" s="445" t="s">
        <v>1067</v>
      </c>
      <c r="G167" s="444" t="s">
        <v>944</v>
      </c>
      <c r="H167" s="444" t="s">
        <v>945</v>
      </c>
      <c r="I167" s="446">
        <v>250.68</v>
      </c>
      <c r="J167" s="446">
        <v>1</v>
      </c>
      <c r="K167" s="447">
        <v>250.68</v>
      </c>
    </row>
    <row r="168" spans="1:11" ht="14.4" customHeight="1" x14ac:dyDescent="0.3">
      <c r="A168" s="442" t="s">
        <v>442</v>
      </c>
      <c r="B168" s="443" t="s">
        <v>443</v>
      </c>
      <c r="C168" s="444" t="s">
        <v>447</v>
      </c>
      <c r="D168" s="445" t="s">
        <v>606</v>
      </c>
      <c r="E168" s="444" t="s">
        <v>1066</v>
      </c>
      <c r="F168" s="445" t="s">
        <v>1067</v>
      </c>
      <c r="G168" s="444" t="s">
        <v>946</v>
      </c>
      <c r="H168" s="444" t="s">
        <v>947</v>
      </c>
      <c r="I168" s="446">
        <v>471.9</v>
      </c>
      <c r="J168" s="446">
        <v>1</v>
      </c>
      <c r="K168" s="447">
        <v>471.9</v>
      </c>
    </row>
    <row r="169" spans="1:11" ht="14.4" customHeight="1" x14ac:dyDescent="0.3">
      <c r="A169" s="442" t="s">
        <v>442</v>
      </c>
      <c r="B169" s="443" t="s">
        <v>443</v>
      </c>
      <c r="C169" s="444" t="s">
        <v>447</v>
      </c>
      <c r="D169" s="445" t="s">
        <v>606</v>
      </c>
      <c r="E169" s="444" t="s">
        <v>1066</v>
      </c>
      <c r="F169" s="445" t="s">
        <v>1067</v>
      </c>
      <c r="G169" s="444" t="s">
        <v>948</v>
      </c>
      <c r="H169" s="444" t="s">
        <v>949</v>
      </c>
      <c r="I169" s="446">
        <v>523.92999999999995</v>
      </c>
      <c r="J169" s="446">
        <v>1</v>
      </c>
      <c r="K169" s="447">
        <v>523.92999999999995</v>
      </c>
    </row>
    <row r="170" spans="1:11" ht="14.4" customHeight="1" x14ac:dyDescent="0.3">
      <c r="A170" s="442" t="s">
        <v>442</v>
      </c>
      <c r="B170" s="443" t="s">
        <v>443</v>
      </c>
      <c r="C170" s="444" t="s">
        <v>447</v>
      </c>
      <c r="D170" s="445" t="s">
        <v>606</v>
      </c>
      <c r="E170" s="444" t="s">
        <v>1066</v>
      </c>
      <c r="F170" s="445" t="s">
        <v>1067</v>
      </c>
      <c r="G170" s="444" t="s">
        <v>950</v>
      </c>
      <c r="H170" s="444" t="s">
        <v>951</v>
      </c>
      <c r="I170" s="446">
        <v>6.21</v>
      </c>
      <c r="J170" s="446">
        <v>200</v>
      </c>
      <c r="K170" s="447">
        <v>1242.01</v>
      </c>
    </row>
    <row r="171" spans="1:11" ht="14.4" customHeight="1" x14ac:dyDescent="0.3">
      <c r="A171" s="442" t="s">
        <v>442</v>
      </c>
      <c r="B171" s="443" t="s">
        <v>443</v>
      </c>
      <c r="C171" s="444" t="s">
        <v>447</v>
      </c>
      <c r="D171" s="445" t="s">
        <v>606</v>
      </c>
      <c r="E171" s="444" t="s">
        <v>1066</v>
      </c>
      <c r="F171" s="445" t="s">
        <v>1067</v>
      </c>
      <c r="G171" s="444" t="s">
        <v>952</v>
      </c>
      <c r="H171" s="444" t="s">
        <v>953</v>
      </c>
      <c r="I171" s="446">
        <v>38</v>
      </c>
      <c r="J171" s="446">
        <v>18</v>
      </c>
      <c r="K171" s="447">
        <v>684</v>
      </c>
    </row>
    <row r="172" spans="1:11" ht="14.4" customHeight="1" x14ac:dyDescent="0.3">
      <c r="A172" s="442" t="s">
        <v>442</v>
      </c>
      <c r="B172" s="443" t="s">
        <v>443</v>
      </c>
      <c r="C172" s="444" t="s">
        <v>447</v>
      </c>
      <c r="D172" s="445" t="s">
        <v>606</v>
      </c>
      <c r="E172" s="444" t="s">
        <v>1066</v>
      </c>
      <c r="F172" s="445" t="s">
        <v>1067</v>
      </c>
      <c r="G172" s="444" t="s">
        <v>954</v>
      </c>
      <c r="H172" s="444" t="s">
        <v>955</v>
      </c>
      <c r="I172" s="446">
        <v>39.93</v>
      </c>
      <c r="J172" s="446">
        <v>18</v>
      </c>
      <c r="K172" s="447">
        <v>718.74</v>
      </c>
    </row>
    <row r="173" spans="1:11" ht="14.4" customHeight="1" x14ac:dyDescent="0.3">
      <c r="A173" s="442" t="s">
        <v>442</v>
      </c>
      <c r="B173" s="443" t="s">
        <v>443</v>
      </c>
      <c r="C173" s="444" t="s">
        <v>447</v>
      </c>
      <c r="D173" s="445" t="s">
        <v>606</v>
      </c>
      <c r="E173" s="444" t="s">
        <v>1066</v>
      </c>
      <c r="F173" s="445" t="s">
        <v>1067</v>
      </c>
      <c r="G173" s="444" t="s">
        <v>956</v>
      </c>
      <c r="H173" s="444" t="s">
        <v>957</v>
      </c>
      <c r="I173" s="446">
        <v>81</v>
      </c>
      <c r="J173" s="446">
        <v>30</v>
      </c>
      <c r="K173" s="447">
        <v>2475</v>
      </c>
    </row>
    <row r="174" spans="1:11" ht="14.4" customHeight="1" x14ac:dyDescent="0.3">
      <c r="A174" s="442" t="s">
        <v>442</v>
      </c>
      <c r="B174" s="443" t="s">
        <v>443</v>
      </c>
      <c r="C174" s="444" t="s">
        <v>447</v>
      </c>
      <c r="D174" s="445" t="s">
        <v>606</v>
      </c>
      <c r="E174" s="444" t="s">
        <v>1066</v>
      </c>
      <c r="F174" s="445" t="s">
        <v>1067</v>
      </c>
      <c r="G174" s="444" t="s">
        <v>958</v>
      </c>
      <c r="H174" s="444" t="s">
        <v>959</v>
      </c>
      <c r="I174" s="446">
        <v>76.5</v>
      </c>
      <c r="J174" s="446">
        <v>10</v>
      </c>
      <c r="K174" s="447">
        <v>765</v>
      </c>
    </row>
    <row r="175" spans="1:11" ht="14.4" customHeight="1" x14ac:dyDescent="0.3">
      <c r="A175" s="442" t="s">
        <v>442</v>
      </c>
      <c r="B175" s="443" t="s">
        <v>443</v>
      </c>
      <c r="C175" s="444" t="s">
        <v>447</v>
      </c>
      <c r="D175" s="445" t="s">
        <v>606</v>
      </c>
      <c r="E175" s="444" t="s">
        <v>1066</v>
      </c>
      <c r="F175" s="445" t="s">
        <v>1067</v>
      </c>
      <c r="G175" s="444" t="s">
        <v>960</v>
      </c>
      <c r="H175" s="444" t="s">
        <v>961</v>
      </c>
      <c r="I175" s="446">
        <v>81.67</v>
      </c>
      <c r="J175" s="446">
        <v>10</v>
      </c>
      <c r="K175" s="447">
        <v>816.75</v>
      </c>
    </row>
    <row r="176" spans="1:11" ht="14.4" customHeight="1" x14ac:dyDescent="0.3">
      <c r="A176" s="442" t="s">
        <v>442</v>
      </c>
      <c r="B176" s="443" t="s">
        <v>443</v>
      </c>
      <c r="C176" s="444" t="s">
        <v>447</v>
      </c>
      <c r="D176" s="445" t="s">
        <v>606</v>
      </c>
      <c r="E176" s="444" t="s">
        <v>1066</v>
      </c>
      <c r="F176" s="445" t="s">
        <v>1067</v>
      </c>
      <c r="G176" s="444" t="s">
        <v>962</v>
      </c>
      <c r="H176" s="444" t="s">
        <v>963</v>
      </c>
      <c r="I176" s="446">
        <v>922.02</v>
      </c>
      <c r="J176" s="446">
        <v>1</v>
      </c>
      <c r="K176" s="447">
        <v>922.02</v>
      </c>
    </row>
    <row r="177" spans="1:11" ht="14.4" customHeight="1" x14ac:dyDescent="0.3">
      <c r="A177" s="442" t="s">
        <v>442</v>
      </c>
      <c r="B177" s="443" t="s">
        <v>443</v>
      </c>
      <c r="C177" s="444" t="s">
        <v>447</v>
      </c>
      <c r="D177" s="445" t="s">
        <v>606</v>
      </c>
      <c r="E177" s="444" t="s">
        <v>1066</v>
      </c>
      <c r="F177" s="445" t="s">
        <v>1067</v>
      </c>
      <c r="G177" s="444" t="s">
        <v>964</v>
      </c>
      <c r="H177" s="444" t="s">
        <v>965</v>
      </c>
      <c r="I177" s="446">
        <v>987</v>
      </c>
      <c r="J177" s="446">
        <v>1</v>
      </c>
      <c r="K177" s="447">
        <v>987</v>
      </c>
    </row>
    <row r="178" spans="1:11" ht="14.4" customHeight="1" x14ac:dyDescent="0.3">
      <c r="A178" s="442" t="s">
        <v>442</v>
      </c>
      <c r="B178" s="443" t="s">
        <v>443</v>
      </c>
      <c r="C178" s="444" t="s">
        <v>447</v>
      </c>
      <c r="D178" s="445" t="s">
        <v>606</v>
      </c>
      <c r="E178" s="444" t="s">
        <v>1066</v>
      </c>
      <c r="F178" s="445" t="s">
        <v>1067</v>
      </c>
      <c r="G178" s="444" t="s">
        <v>966</v>
      </c>
      <c r="H178" s="444" t="s">
        <v>967</v>
      </c>
      <c r="I178" s="446">
        <v>227.86</v>
      </c>
      <c r="J178" s="446">
        <v>5</v>
      </c>
      <c r="K178" s="447">
        <v>1139.28</v>
      </c>
    </row>
    <row r="179" spans="1:11" ht="14.4" customHeight="1" x14ac:dyDescent="0.3">
      <c r="A179" s="442" t="s">
        <v>442</v>
      </c>
      <c r="B179" s="443" t="s">
        <v>443</v>
      </c>
      <c r="C179" s="444" t="s">
        <v>447</v>
      </c>
      <c r="D179" s="445" t="s">
        <v>606</v>
      </c>
      <c r="E179" s="444" t="s">
        <v>1066</v>
      </c>
      <c r="F179" s="445" t="s">
        <v>1067</v>
      </c>
      <c r="G179" s="444" t="s">
        <v>968</v>
      </c>
      <c r="H179" s="444" t="s">
        <v>969</v>
      </c>
      <c r="I179" s="446">
        <v>595.20000000000005</v>
      </c>
      <c r="J179" s="446">
        <v>2</v>
      </c>
      <c r="K179" s="447">
        <v>1190.4000000000001</v>
      </c>
    </row>
    <row r="180" spans="1:11" ht="14.4" customHeight="1" x14ac:dyDescent="0.3">
      <c r="A180" s="442" t="s">
        <v>442</v>
      </c>
      <c r="B180" s="443" t="s">
        <v>443</v>
      </c>
      <c r="C180" s="444" t="s">
        <v>447</v>
      </c>
      <c r="D180" s="445" t="s">
        <v>606</v>
      </c>
      <c r="E180" s="444" t="s">
        <v>1066</v>
      </c>
      <c r="F180" s="445" t="s">
        <v>1067</v>
      </c>
      <c r="G180" s="444" t="s">
        <v>970</v>
      </c>
      <c r="H180" s="444" t="s">
        <v>971</v>
      </c>
      <c r="I180" s="446">
        <v>1.31</v>
      </c>
      <c r="J180" s="446">
        <v>1000</v>
      </c>
      <c r="K180" s="447">
        <v>1314.8</v>
      </c>
    </row>
    <row r="181" spans="1:11" ht="14.4" customHeight="1" x14ac:dyDescent="0.3">
      <c r="A181" s="442" t="s">
        <v>442</v>
      </c>
      <c r="B181" s="443" t="s">
        <v>443</v>
      </c>
      <c r="C181" s="444" t="s">
        <v>447</v>
      </c>
      <c r="D181" s="445" t="s">
        <v>606</v>
      </c>
      <c r="E181" s="444" t="s">
        <v>1066</v>
      </c>
      <c r="F181" s="445" t="s">
        <v>1067</v>
      </c>
      <c r="G181" s="444" t="s">
        <v>972</v>
      </c>
      <c r="H181" s="444" t="s">
        <v>973</v>
      </c>
      <c r="I181" s="446">
        <v>1353.84</v>
      </c>
      <c r="J181" s="446">
        <v>1</v>
      </c>
      <c r="K181" s="447">
        <v>1353.84</v>
      </c>
    </row>
    <row r="182" spans="1:11" ht="14.4" customHeight="1" x14ac:dyDescent="0.3">
      <c r="A182" s="442" t="s">
        <v>442</v>
      </c>
      <c r="B182" s="443" t="s">
        <v>443</v>
      </c>
      <c r="C182" s="444" t="s">
        <v>447</v>
      </c>
      <c r="D182" s="445" t="s">
        <v>606</v>
      </c>
      <c r="E182" s="444" t="s">
        <v>1066</v>
      </c>
      <c r="F182" s="445" t="s">
        <v>1067</v>
      </c>
      <c r="G182" s="444" t="s">
        <v>974</v>
      </c>
      <c r="H182" s="444" t="s">
        <v>975</v>
      </c>
      <c r="I182" s="446">
        <v>1508.16</v>
      </c>
      <c r="J182" s="446">
        <v>1</v>
      </c>
      <c r="K182" s="447">
        <v>1508.16</v>
      </c>
    </row>
    <row r="183" spans="1:11" ht="14.4" customHeight="1" x14ac:dyDescent="0.3">
      <c r="A183" s="442" t="s">
        <v>442</v>
      </c>
      <c r="B183" s="443" t="s">
        <v>443</v>
      </c>
      <c r="C183" s="444" t="s">
        <v>447</v>
      </c>
      <c r="D183" s="445" t="s">
        <v>606</v>
      </c>
      <c r="E183" s="444" t="s">
        <v>1066</v>
      </c>
      <c r="F183" s="445" t="s">
        <v>1067</v>
      </c>
      <c r="G183" s="444" t="s">
        <v>976</v>
      </c>
      <c r="H183" s="444" t="s">
        <v>977</v>
      </c>
      <c r="I183" s="446">
        <v>758.67</v>
      </c>
      <c r="J183" s="446">
        <v>2</v>
      </c>
      <c r="K183" s="447">
        <v>1517.34</v>
      </c>
    </row>
    <row r="184" spans="1:11" ht="14.4" customHeight="1" x14ac:dyDescent="0.3">
      <c r="A184" s="442" t="s">
        <v>442</v>
      </c>
      <c r="B184" s="443" t="s">
        <v>443</v>
      </c>
      <c r="C184" s="444" t="s">
        <v>447</v>
      </c>
      <c r="D184" s="445" t="s">
        <v>606</v>
      </c>
      <c r="E184" s="444" t="s">
        <v>1066</v>
      </c>
      <c r="F184" s="445" t="s">
        <v>1067</v>
      </c>
      <c r="G184" s="444" t="s">
        <v>978</v>
      </c>
      <c r="H184" s="444" t="s">
        <v>979</v>
      </c>
      <c r="I184" s="446">
        <v>1727</v>
      </c>
      <c r="J184" s="446">
        <v>1</v>
      </c>
      <c r="K184" s="447">
        <v>1727</v>
      </c>
    </row>
    <row r="185" spans="1:11" ht="14.4" customHeight="1" x14ac:dyDescent="0.3">
      <c r="A185" s="442" t="s">
        <v>442</v>
      </c>
      <c r="B185" s="443" t="s">
        <v>443</v>
      </c>
      <c r="C185" s="444" t="s">
        <v>447</v>
      </c>
      <c r="D185" s="445" t="s">
        <v>606</v>
      </c>
      <c r="E185" s="444" t="s">
        <v>1066</v>
      </c>
      <c r="F185" s="445" t="s">
        <v>1067</v>
      </c>
      <c r="G185" s="444" t="s">
        <v>980</v>
      </c>
      <c r="H185" s="444" t="s">
        <v>981</v>
      </c>
      <c r="I185" s="446">
        <v>987</v>
      </c>
      <c r="J185" s="446">
        <v>2</v>
      </c>
      <c r="K185" s="447">
        <v>1974</v>
      </c>
    </row>
    <row r="186" spans="1:11" ht="14.4" customHeight="1" x14ac:dyDescent="0.3">
      <c r="A186" s="442" t="s">
        <v>442</v>
      </c>
      <c r="B186" s="443" t="s">
        <v>443</v>
      </c>
      <c r="C186" s="444" t="s">
        <v>447</v>
      </c>
      <c r="D186" s="445" t="s">
        <v>606</v>
      </c>
      <c r="E186" s="444" t="s">
        <v>1066</v>
      </c>
      <c r="F186" s="445" t="s">
        <v>1067</v>
      </c>
      <c r="G186" s="444" t="s">
        <v>982</v>
      </c>
      <c r="H186" s="444" t="s">
        <v>983</v>
      </c>
      <c r="I186" s="446">
        <v>2042.48</v>
      </c>
      <c r="J186" s="446">
        <v>1</v>
      </c>
      <c r="K186" s="447">
        <v>2042.48</v>
      </c>
    </row>
    <row r="187" spans="1:11" ht="14.4" customHeight="1" x14ac:dyDescent="0.3">
      <c r="A187" s="442" t="s">
        <v>442</v>
      </c>
      <c r="B187" s="443" t="s">
        <v>443</v>
      </c>
      <c r="C187" s="444" t="s">
        <v>447</v>
      </c>
      <c r="D187" s="445" t="s">
        <v>606</v>
      </c>
      <c r="E187" s="444" t="s">
        <v>1066</v>
      </c>
      <c r="F187" s="445" t="s">
        <v>1067</v>
      </c>
      <c r="G187" s="444" t="s">
        <v>984</v>
      </c>
      <c r="H187" s="444" t="s">
        <v>985</v>
      </c>
      <c r="I187" s="446">
        <v>2064.2600000000002</v>
      </c>
      <c r="J187" s="446">
        <v>1</v>
      </c>
      <c r="K187" s="447">
        <v>2064.2600000000002</v>
      </c>
    </row>
    <row r="188" spans="1:11" ht="14.4" customHeight="1" x14ac:dyDescent="0.3">
      <c r="A188" s="442" t="s">
        <v>442</v>
      </c>
      <c r="B188" s="443" t="s">
        <v>443</v>
      </c>
      <c r="C188" s="444" t="s">
        <v>447</v>
      </c>
      <c r="D188" s="445" t="s">
        <v>606</v>
      </c>
      <c r="E188" s="444" t="s">
        <v>1066</v>
      </c>
      <c r="F188" s="445" t="s">
        <v>1067</v>
      </c>
      <c r="G188" s="444" t="s">
        <v>986</v>
      </c>
      <c r="H188" s="444" t="s">
        <v>987</v>
      </c>
      <c r="I188" s="446">
        <v>2064.2600000000002</v>
      </c>
      <c r="J188" s="446">
        <v>1</v>
      </c>
      <c r="K188" s="447">
        <v>2064.2600000000002</v>
      </c>
    </row>
    <row r="189" spans="1:11" ht="14.4" customHeight="1" x14ac:dyDescent="0.3">
      <c r="A189" s="442" t="s">
        <v>442</v>
      </c>
      <c r="B189" s="443" t="s">
        <v>443</v>
      </c>
      <c r="C189" s="444" t="s">
        <v>447</v>
      </c>
      <c r="D189" s="445" t="s">
        <v>606</v>
      </c>
      <c r="E189" s="444" t="s">
        <v>1066</v>
      </c>
      <c r="F189" s="445" t="s">
        <v>1067</v>
      </c>
      <c r="G189" s="444" t="s">
        <v>988</v>
      </c>
      <c r="H189" s="444" t="s">
        <v>989</v>
      </c>
      <c r="I189" s="446">
        <v>2135.9</v>
      </c>
      <c r="J189" s="446">
        <v>1</v>
      </c>
      <c r="K189" s="447">
        <v>2135.9</v>
      </c>
    </row>
    <row r="190" spans="1:11" ht="14.4" customHeight="1" x14ac:dyDescent="0.3">
      <c r="A190" s="442" t="s">
        <v>442</v>
      </c>
      <c r="B190" s="443" t="s">
        <v>443</v>
      </c>
      <c r="C190" s="444" t="s">
        <v>447</v>
      </c>
      <c r="D190" s="445" t="s">
        <v>606</v>
      </c>
      <c r="E190" s="444" t="s">
        <v>1066</v>
      </c>
      <c r="F190" s="445" t="s">
        <v>1067</v>
      </c>
      <c r="G190" s="444" t="s">
        <v>990</v>
      </c>
      <c r="H190" s="444" t="s">
        <v>991</v>
      </c>
      <c r="I190" s="446">
        <v>2135.9</v>
      </c>
      <c r="J190" s="446">
        <v>1</v>
      </c>
      <c r="K190" s="447">
        <v>2135.9</v>
      </c>
    </row>
    <row r="191" spans="1:11" ht="14.4" customHeight="1" x14ac:dyDescent="0.3">
      <c r="A191" s="442" t="s">
        <v>442</v>
      </c>
      <c r="B191" s="443" t="s">
        <v>443</v>
      </c>
      <c r="C191" s="444" t="s">
        <v>447</v>
      </c>
      <c r="D191" s="445" t="s">
        <v>606</v>
      </c>
      <c r="E191" s="444" t="s">
        <v>1066</v>
      </c>
      <c r="F191" s="445" t="s">
        <v>1067</v>
      </c>
      <c r="G191" s="444" t="s">
        <v>992</v>
      </c>
      <c r="H191" s="444" t="s">
        <v>993</v>
      </c>
      <c r="I191" s="446">
        <v>2990</v>
      </c>
      <c r="J191" s="446">
        <v>1</v>
      </c>
      <c r="K191" s="447">
        <v>2990</v>
      </c>
    </row>
    <row r="192" spans="1:11" ht="14.4" customHeight="1" x14ac:dyDescent="0.3">
      <c r="A192" s="442" t="s">
        <v>442</v>
      </c>
      <c r="B192" s="443" t="s">
        <v>443</v>
      </c>
      <c r="C192" s="444" t="s">
        <v>447</v>
      </c>
      <c r="D192" s="445" t="s">
        <v>606</v>
      </c>
      <c r="E192" s="444" t="s">
        <v>1066</v>
      </c>
      <c r="F192" s="445" t="s">
        <v>1067</v>
      </c>
      <c r="G192" s="444" t="s">
        <v>994</v>
      </c>
      <c r="H192" s="444" t="s">
        <v>995</v>
      </c>
      <c r="I192" s="446">
        <v>1666.17</v>
      </c>
      <c r="J192" s="446">
        <v>2</v>
      </c>
      <c r="K192" s="447">
        <v>3332.34</v>
      </c>
    </row>
    <row r="193" spans="1:11" ht="14.4" customHeight="1" x14ac:dyDescent="0.3">
      <c r="A193" s="442" t="s">
        <v>442</v>
      </c>
      <c r="B193" s="443" t="s">
        <v>443</v>
      </c>
      <c r="C193" s="444" t="s">
        <v>447</v>
      </c>
      <c r="D193" s="445" t="s">
        <v>606</v>
      </c>
      <c r="E193" s="444" t="s">
        <v>1066</v>
      </c>
      <c r="F193" s="445" t="s">
        <v>1067</v>
      </c>
      <c r="G193" s="444" t="s">
        <v>996</v>
      </c>
      <c r="H193" s="444" t="s">
        <v>997</v>
      </c>
      <c r="I193" s="446">
        <v>3357.69</v>
      </c>
      <c r="J193" s="446">
        <v>1</v>
      </c>
      <c r="K193" s="447">
        <v>3357.69</v>
      </c>
    </row>
    <row r="194" spans="1:11" ht="14.4" customHeight="1" x14ac:dyDescent="0.3">
      <c r="A194" s="442" t="s">
        <v>442</v>
      </c>
      <c r="B194" s="443" t="s">
        <v>443</v>
      </c>
      <c r="C194" s="444" t="s">
        <v>447</v>
      </c>
      <c r="D194" s="445" t="s">
        <v>606</v>
      </c>
      <c r="E194" s="444" t="s">
        <v>1066</v>
      </c>
      <c r="F194" s="445" t="s">
        <v>1067</v>
      </c>
      <c r="G194" s="444" t="s">
        <v>998</v>
      </c>
      <c r="H194" s="444" t="s">
        <v>999</v>
      </c>
      <c r="I194" s="446">
        <v>1782.72</v>
      </c>
      <c r="J194" s="446">
        <v>2</v>
      </c>
      <c r="K194" s="447">
        <v>3565.44</v>
      </c>
    </row>
    <row r="195" spans="1:11" ht="14.4" customHeight="1" x14ac:dyDescent="0.3">
      <c r="A195" s="442" t="s">
        <v>442</v>
      </c>
      <c r="B195" s="443" t="s">
        <v>443</v>
      </c>
      <c r="C195" s="444" t="s">
        <v>447</v>
      </c>
      <c r="D195" s="445" t="s">
        <v>606</v>
      </c>
      <c r="E195" s="444" t="s">
        <v>1066</v>
      </c>
      <c r="F195" s="445" t="s">
        <v>1067</v>
      </c>
      <c r="G195" s="444" t="s">
        <v>1000</v>
      </c>
      <c r="H195" s="444" t="s">
        <v>1001</v>
      </c>
      <c r="I195" s="446">
        <v>1908.89</v>
      </c>
      <c r="J195" s="446">
        <v>2</v>
      </c>
      <c r="K195" s="447">
        <v>3817.79</v>
      </c>
    </row>
    <row r="196" spans="1:11" ht="14.4" customHeight="1" x14ac:dyDescent="0.3">
      <c r="A196" s="442" t="s">
        <v>442</v>
      </c>
      <c r="B196" s="443" t="s">
        <v>443</v>
      </c>
      <c r="C196" s="444" t="s">
        <v>447</v>
      </c>
      <c r="D196" s="445" t="s">
        <v>606</v>
      </c>
      <c r="E196" s="444" t="s">
        <v>1066</v>
      </c>
      <c r="F196" s="445" t="s">
        <v>1067</v>
      </c>
      <c r="G196" s="444" t="s">
        <v>1002</v>
      </c>
      <c r="H196" s="444" t="s">
        <v>1003</v>
      </c>
      <c r="I196" s="446">
        <v>1467.84</v>
      </c>
      <c r="J196" s="446">
        <v>3</v>
      </c>
      <c r="K196" s="447">
        <v>4403.5200000000004</v>
      </c>
    </row>
    <row r="197" spans="1:11" ht="14.4" customHeight="1" x14ac:dyDescent="0.3">
      <c r="A197" s="442" t="s">
        <v>442</v>
      </c>
      <c r="B197" s="443" t="s">
        <v>443</v>
      </c>
      <c r="C197" s="444" t="s">
        <v>447</v>
      </c>
      <c r="D197" s="445" t="s">
        <v>606</v>
      </c>
      <c r="E197" s="444" t="s">
        <v>1066</v>
      </c>
      <c r="F197" s="445" t="s">
        <v>1067</v>
      </c>
      <c r="G197" s="444" t="s">
        <v>1004</v>
      </c>
      <c r="H197" s="444" t="s">
        <v>1005</v>
      </c>
      <c r="I197" s="446">
        <v>128.25</v>
      </c>
      <c r="J197" s="446">
        <v>40</v>
      </c>
      <c r="K197" s="447">
        <v>5130</v>
      </c>
    </row>
    <row r="198" spans="1:11" ht="14.4" customHeight="1" x14ac:dyDescent="0.3">
      <c r="A198" s="442" t="s">
        <v>442</v>
      </c>
      <c r="B198" s="443" t="s">
        <v>443</v>
      </c>
      <c r="C198" s="444" t="s">
        <v>447</v>
      </c>
      <c r="D198" s="445" t="s">
        <v>606</v>
      </c>
      <c r="E198" s="444" t="s">
        <v>1066</v>
      </c>
      <c r="F198" s="445" t="s">
        <v>1067</v>
      </c>
      <c r="G198" s="444" t="s">
        <v>1006</v>
      </c>
      <c r="H198" s="444" t="s">
        <v>1007</v>
      </c>
      <c r="I198" s="446">
        <v>6800.08</v>
      </c>
      <c r="J198" s="446">
        <v>1</v>
      </c>
      <c r="K198" s="447">
        <v>6800.08</v>
      </c>
    </row>
    <row r="199" spans="1:11" ht="14.4" customHeight="1" x14ac:dyDescent="0.3">
      <c r="A199" s="442" t="s">
        <v>442</v>
      </c>
      <c r="B199" s="443" t="s">
        <v>443</v>
      </c>
      <c r="C199" s="444" t="s">
        <v>447</v>
      </c>
      <c r="D199" s="445" t="s">
        <v>606</v>
      </c>
      <c r="E199" s="444" t="s">
        <v>1066</v>
      </c>
      <c r="F199" s="445" t="s">
        <v>1067</v>
      </c>
      <c r="G199" s="444" t="s">
        <v>1008</v>
      </c>
      <c r="H199" s="444" t="s">
        <v>1009</v>
      </c>
      <c r="I199" s="446">
        <v>6897</v>
      </c>
      <c r="J199" s="446">
        <v>1</v>
      </c>
      <c r="K199" s="447">
        <v>6897</v>
      </c>
    </row>
    <row r="200" spans="1:11" ht="14.4" customHeight="1" x14ac:dyDescent="0.3">
      <c r="A200" s="442" t="s">
        <v>442</v>
      </c>
      <c r="B200" s="443" t="s">
        <v>443</v>
      </c>
      <c r="C200" s="444" t="s">
        <v>447</v>
      </c>
      <c r="D200" s="445" t="s">
        <v>606</v>
      </c>
      <c r="E200" s="444" t="s">
        <v>1066</v>
      </c>
      <c r="F200" s="445" t="s">
        <v>1067</v>
      </c>
      <c r="G200" s="444" t="s">
        <v>1010</v>
      </c>
      <c r="H200" s="444" t="s">
        <v>1011</v>
      </c>
      <c r="I200" s="446">
        <v>6785</v>
      </c>
      <c r="J200" s="446">
        <v>2</v>
      </c>
      <c r="K200" s="447">
        <v>13570</v>
      </c>
    </row>
    <row r="201" spans="1:11" ht="14.4" customHeight="1" x14ac:dyDescent="0.3">
      <c r="A201" s="442" t="s">
        <v>442</v>
      </c>
      <c r="B201" s="443" t="s">
        <v>443</v>
      </c>
      <c r="C201" s="444" t="s">
        <v>447</v>
      </c>
      <c r="D201" s="445" t="s">
        <v>606</v>
      </c>
      <c r="E201" s="444" t="s">
        <v>1066</v>
      </c>
      <c r="F201" s="445" t="s">
        <v>1067</v>
      </c>
      <c r="G201" s="444" t="s">
        <v>1012</v>
      </c>
      <c r="H201" s="444" t="s">
        <v>1013</v>
      </c>
      <c r="I201" s="446">
        <v>520.95000000000005</v>
      </c>
      <c r="J201" s="446">
        <v>30</v>
      </c>
      <c r="K201" s="447">
        <v>15628.54</v>
      </c>
    </row>
    <row r="202" spans="1:11" ht="14.4" customHeight="1" x14ac:dyDescent="0.3">
      <c r="A202" s="442" t="s">
        <v>442</v>
      </c>
      <c r="B202" s="443" t="s">
        <v>443</v>
      </c>
      <c r="C202" s="444" t="s">
        <v>447</v>
      </c>
      <c r="D202" s="445" t="s">
        <v>606</v>
      </c>
      <c r="E202" s="444" t="s">
        <v>1068</v>
      </c>
      <c r="F202" s="445" t="s">
        <v>1069</v>
      </c>
      <c r="G202" s="444" t="s">
        <v>1014</v>
      </c>
      <c r="H202" s="444" t="s">
        <v>1015</v>
      </c>
      <c r="I202" s="446">
        <v>91.89</v>
      </c>
      <c r="J202" s="446">
        <v>72</v>
      </c>
      <c r="K202" s="447">
        <v>6615.72</v>
      </c>
    </row>
    <row r="203" spans="1:11" ht="14.4" customHeight="1" x14ac:dyDescent="0.3">
      <c r="A203" s="442" t="s">
        <v>442</v>
      </c>
      <c r="B203" s="443" t="s">
        <v>443</v>
      </c>
      <c r="C203" s="444" t="s">
        <v>447</v>
      </c>
      <c r="D203" s="445" t="s">
        <v>606</v>
      </c>
      <c r="E203" s="444" t="s">
        <v>1068</v>
      </c>
      <c r="F203" s="445" t="s">
        <v>1069</v>
      </c>
      <c r="G203" s="444" t="s">
        <v>1016</v>
      </c>
      <c r="H203" s="444" t="s">
        <v>1017</v>
      </c>
      <c r="I203" s="446">
        <v>40.200000000000003</v>
      </c>
      <c r="J203" s="446">
        <v>36</v>
      </c>
      <c r="K203" s="447">
        <v>1447.16</v>
      </c>
    </row>
    <row r="204" spans="1:11" ht="14.4" customHeight="1" x14ac:dyDescent="0.3">
      <c r="A204" s="442" t="s">
        <v>442</v>
      </c>
      <c r="B204" s="443" t="s">
        <v>443</v>
      </c>
      <c r="C204" s="444" t="s">
        <v>447</v>
      </c>
      <c r="D204" s="445" t="s">
        <v>606</v>
      </c>
      <c r="E204" s="444" t="s">
        <v>1068</v>
      </c>
      <c r="F204" s="445" t="s">
        <v>1069</v>
      </c>
      <c r="G204" s="444" t="s">
        <v>1018</v>
      </c>
      <c r="H204" s="444" t="s">
        <v>1019</v>
      </c>
      <c r="I204" s="446">
        <v>65.400000000000006</v>
      </c>
      <c r="J204" s="446">
        <v>24</v>
      </c>
      <c r="K204" s="447">
        <v>1569.55</v>
      </c>
    </row>
    <row r="205" spans="1:11" ht="14.4" customHeight="1" x14ac:dyDescent="0.3">
      <c r="A205" s="442" t="s">
        <v>442</v>
      </c>
      <c r="B205" s="443" t="s">
        <v>443</v>
      </c>
      <c r="C205" s="444" t="s">
        <v>447</v>
      </c>
      <c r="D205" s="445" t="s">
        <v>606</v>
      </c>
      <c r="E205" s="444" t="s">
        <v>1068</v>
      </c>
      <c r="F205" s="445" t="s">
        <v>1069</v>
      </c>
      <c r="G205" s="444" t="s">
        <v>1020</v>
      </c>
      <c r="H205" s="444" t="s">
        <v>1021</v>
      </c>
      <c r="I205" s="446">
        <v>72.69</v>
      </c>
      <c r="J205" s="446">
        <v>36</v>
      </c>
      <c r="K205" s="447">
        <v>2616.83</v>
      </c>
    </row>
    <row r="206" spans="1:11" ht="14.4" customHeight="1" x14ac:dyDescent="0.3">
      <c r="A206" s="442" t="s">
        <v>442</v>
      </c>
      <c r="B206" s="443" t="s">
        <v>443</v>
      </c>
      <c r="C206" s="444" t="s">
        <v>447</v>
      </c>
      <c r="D206" s="445" t="s">
        <v>606</v>
      </c>
      <c r="E206" s="444" t="s">
        <v>1068</v>
      </c>
      <c r="F206" s="445" t="s">
        <v>1069</v>
      </c>
      <c r="G206" s="444" t="s">
        <v>1022</v>
      </c>
      <c r="H206" s="444" t="s">
        <v>1023</v>
      </c>
      <c r="I206" s="446">
        <v>67.42</v>
      </c>
      <c r="J206" s="446">
        <v>48</v>
      </c>
      <c r="K206" s="447">
        <v>3236.22</v>
      </c>
    </row>
    <row r="207" spans="1:11" ht="14.4" customHeight="1" x14ac:dyDescent="0.3">
      <c r="A207" s="442" t="s">
        <v>442</v>
      </c>
      <c r="B207" s="443" t="s">
        <v>443</v>
      </c>
      <c r="C207" s="444" t="s">
        <v>447</v>
      </c>
      <c r="D207" s="445" t="s">
        <v>606</v>
      </c>
      <c r="E207" s="444" t="s">
        <v>1068</v>
      </c>
      <c r="F207" s="445" t="s">
        <v>1069</v>
      </c>
      <c r="G207" s="444" t="s">
        <v>1024</v>
      </c>
      <c r="H207" s="444" t="s">
        <v>1025</v>
      </c>
      <c r="I207" s="446">
        <v>32.61</v>
      </c>
      <c r="J207" s="446">
        <v>36</v>
      </c>
      <c r="K207" s="447">
        <v>1173.81</v>
      </c>
    </row>
    <row r="208" spans="1:11" ht="14.4" customHeight="1" x14ac:dyDescent="0.3">
      <c r="A208" s="442" t="s">
        <v>442</v>
      </c>
      <c r="B208" s="443" t="s">
        <v>443</v>
      </c>
      <c r="C208" s="444" t="s">
        <v>447</v>
      </c>
      <c r="D208" s="445" t="s">
        <v>606</v>
      </c>
      <c r="E208" s="444" t="s">
        <v>1068</v>
      </c>
      <c r="F208" s="445" t="s">
        <v>1069</v>
      </c>
      <c r="G208" s="444" t="s">
        <v>1026</v>
      </c>
      <c r="H208" s="444" t="s">
        <v>1027</v>
      </c>
      <c r="I208" s="446">
        <v>60.93</v>
      </c>
      <c r="J208" s="446">
        <v>36</v>
      </c>
      <c r="K208" s="447">
        <v>2193.4</v>
      </c>
    </row>
    <row r="209" spans="1:11" ht="14.4" customHeight="1" x14ac:dyDescent="0.3">
      <c r="A209" s="442" t="s">
        <v>442</v>
      </c>
      <c r="B209" s="443" t="s">
        <v>443</v>
      </c>
      <c r="C209" s="444" t="s">
        <v>447</v>
      </c>
      <c r="D209" s="445" t="s">
        <v>606</v>
      </c>
      <c r="E209" s="444" t="s">
        <v>1070</v>
      </c>
      <c r="F209" s="445" t="s">
        <v>1071</v>
      </c>
      <c r="G209" s="444" t="s">
        <v>1028</v>
      </c>
      <c r="H209" s="444" t="s">
        <v>1029</v>
      </c>
      <c r="I209" s="446">
        <v>0.3</v>
      </c>
      <c r="J209" s="446">
        <v>900</v>
      </c>
      <c r="K209" s="447">
        <v>270</v>
      </c>
    </row>
    <row r="210" spans="1:11" ht="14.4" customHeight="1" x14ac:dyDescent="0.3">
      <c r="A210" s="442" t="s">
        <v>442</v>
      </c>
      <c r="B210" s="443" t="s">
        <v>443</v>
      </c>
      <c r="C210" s="444" t="s">
        <v>447</v>
      </c>
      <c r="D210" s="445" t="s">
        <v>606</v>
      </c>
      <c r="E210" s="444" t="s">
        <v>1070</v>
      </c>
      <c r="F210" s="445" t="s">
        <v>1071</v>
      </c>
      <c r="G210" s="444" t="s">
        <v>1030</v>
      </c>
      <c r="H210" s="444" t="s">
        <v>1031</v>
      </c>
      <c r="I210" s="446">
        <v>0.30499999999999999</v>
      </c>
      <c r="J210" s="446">
        <v>900</v>
      </c>
      <c r="K210" s="447">
        <v>275</v>
      </c>
    </row>
    <row r="211" spans="1:11" ht="14.4" customHeight="1" x14ac:dyDescent="0.3">
      <c r="A211" s="442" t="s">
        <v>442</v>
      </c>
      <c r="B211" s="443" t="s">
        <v>443</v>
      </c>
      <c r="C211" s="444" t="s">
        <v>447</v>
      </c>
      <c r="D211" s="445" t="s">
        <v>606</v>
      </c>
      <c r="E211" s="444" t="s">
        <v>1072</v>
      </c>
      <c r="F211" s="445" t="s">
        <v>1073</v>
      </c>
      <c r="G211" s="444" t="s">
        <v>1032</v>
      </c>
      <c r="H211" s="444" t="s">
        <v>1033</v>
      </c>
      <c r="I211" s="446">
        <v>0.74</v>
      </c>
      <c r="J211" s="446">
        <v>1000</v>
      </c>
      <c r="K211" s="447">
        <v>740</v>
      </c>
    </row>
    <row r="212" spans="1:11" ht="14.4" customHeight="1" x14ac:dyDescent="0.3">
      <c r="A212" s="442" t="s">
        <v>442</v>
      </c>
      <c r="B212" s="443" t="s">
        <v>443</v>
      </c>
      <c r="C212" s="444" t="s">
        <v>447</v>
      </c>
      <c r="D212" s="445" t="s">
        <v>606</v>
      </c>
      <c r="E212" s="444" t="s">
        <v>1072</v>
      </c>
      <c r="F212" s="445" t="s">
        <v>1073</v>
      </c>
      <c r="G212" s="444" t="s">
        <v>1034</v>
      </c>
      <c r="H212" s="444" t="s">
        <v>1035</v>
      </c>
      <c r="I212" s="446">
        <v>0.74</v>
      </c>
      <c r="J212" s="446">
        <v>300</v>
      </c>
      <c r="K212" s="447">
        <v>221.43</v>
      </c>
    </row>
    <row r="213" spans="1:11" ht="14.4" customHeight="1" x14ac:dyDescent="0.3">
      <c r="A213" s="442" t="s">
        <v>442</v>
      </c>
      <c r="B213" s="443" t="s">
        <v>443</v>
      </c>
      <c r="C213" s="444" t="s">
        <v>447</v>
      </c>
      <c r="D213" s="445" t="s">
        <v>606</v>
      </c>
      <c r="E213" s="444" t="s">
        <v>1072</v>
      </c>
      <c r="F213" s="445" t="s">
        <v>1073</v>
      </c>
      <c r="G213" s="444" t="s">
        <v>1036</v>
      </c>
      <c r="H213" s="444" t="s">
        <v>1037</v>
      </c>
      <c r="I213" s="446">
        <v>7.5</v>
      </c>
      <c r="J213" s="446">
        <v>100</v>
      </c>
      <c r="K213" s="447">
        <v>750</v>
      </c>
    </row>
    <row r="214" spans="1:11" ht="14.4" customHeight="1" x14ac:dyDescent="0.3">
      <c r="A214" s="442" t="s">
        <v>442</v>
      </c>
      <c r="B214" s="443" t="s">
        <v>443</v>
      </c>
      <c r="C214" s="444" t="s">
        <v>447</v>
      </c>
      <c r="D214" s="445" t="s">
        <v>606</v>
      </c>
      <c r="E214" s="444" t="s">
        <v>1072</v>
      </c>
      <c r="F214" s="445" t="s">
        <v>1073</v>
      </c>
      <c r="G214" s="444" t="s">
        <v>1038</v>
      </c>
      <c r="H214" s="444" t="s">
        <v>1039</v>
      </c>
      <c r="I214" s="446">
        <v>1.22</v>
      </c>
      <c r="J214" s="446">
        <v>1000</v>
      </c>
      <c r="K214" s="447">
        <v>1219.0899999999999</v>
      </c>
    </row>
    <row r="215" spans="1:11" ht="14.4" customHeight="1" x14ac:dyDescent="0.3">
      <c r="A215" s="442" t="s">
        <v>442</v>
      </c>
      <c r="B215" s="443" t="s">
        <v>443</v>
      </c>
      <c r="C215" s="444" t="s">
        <v>447</v>
      </c>
      <c r="D215" s="445" t="s">
        <v>606</v>
      </c>
      <c r="E215" s="444" t="s">
        <v>1072</v>
      </c>
      <c r="F215" s="445" t="s">
        <v>1073</v>
      </c>
      <c r="G215" s="444" t="s">
        <v>1040</v>
      </c>
      <c r="H215" s="444" t="s">
        <v>1041</v>
      </c>
      <c r="I215" s="446">
        <v>0.81</v>
      </c>
      <c r="J215" s="446">
        <v>2000</v>
      </c>
      <c r="K215" s="447">
        <v>1614.04</v>
      </c>
    </row>
    <row r="216" spans="1:11" ht="14.4" customHeight="1" x14ac:dyDescent="0.3">
      <c r="A216" s="442" t="s">
        <v>442</v>
      </c>
      <c r="B216" s="443" t="s">
        <v>443</v>
      </c>
      <c r="C216" s="444" t="s">
        <v>447</v>
      </c>
      <c r="D216" s="445" t="s">
        <v>606</v>
      </c>
      <c r="E216" s="444" t="s">
        <v>1072</v>
      </c>
      <c r="F216" s="445" t="s">
        <v>1073</v>
      </c>
      <c r="G216" s="444" t="s">
        <v>1042</v>
      </c>
      <c r="H216" s="444" t="s">
        <v>1043</v>
      </c>
      <c r="I216" s="446">
        <v>0.69</v>
      </c>
      <c r="J216" s="446">
        <v>10000</v>
      </c>
      <c r="K216" s="447">
        <v>6900</v>
      </c>
    </row>
    <row r="217" spans="1:11" ht="14.4" customHeight="1" x14ac:dyDescent="0.3">
      <c r="A217" s="442" t="s">
        <v>442</v>
      </c>
      <c r="B217" s="443" t="s">
        <v>443</v>
      </c>
      <c r="C217" s="444" t="s">
        <v>447</v>
      </c>
      <c r="D217" s="445" t="s">
        <v>606</v>
      </c>
      <c r="E217" s="444" t="s">
        <v>1072</v>
      </c>
      <c r="F217" s="445" t="s">
        <v>1073</v>
      </c>
      <c r="G217" s="444" t="s">
        <v>1044</v>
      </c>
      <c r="H217" s="444" t="s">
        <v>1045</v>
      </c>
      <c r="I217" s="446">
        <v>0.69</v>
      </c>
      <c r="J217" s="446">
        <v>360</v>
      </c>
      <c r="K217" s="447">
        <v>248.4</v>
      </c>
    </row>
    <row r="218" spans="1:11" ht="14.4" customHeight="1" x14ac:dyDescent="0.3">
      <c r="A218" s="442" t="s">
        <v>442</v>
      </c>
      <c r="B218" s="443" t="s">
        <v>443</v>
      </c>
      <c r="C218" s="444" t="s">
        <v>447</v>
      </c>
      <c r="D218" s="445" t="s">
        <v>606</v>
      </c>
      <c r="E218" s="444" t="s">
        <v>1072</v>
      </c>
      <c r="F218" s="445" t="s">
        <v>1073</v>
      </c>
      <c r="G218" s="444" t="s">
        <v>1046</v>
      </c>
      <c r="H218" s="444" t="s">
        <v>1047</v>
      </c>
      <c r="I218" s="446">
        <v>0.69</v>
      </c>
      <c r="J218" s="446">
        <v>10000</v>
      </c>
      <c r="K218" s="447">
        <v>6900</v>
      </c>
    </row>
    <row r="219" spans="1:11" ht="14.4" customHeight="1" x14ac:dyDescent="0.3">
      <c r="A219" s="442" t="s">
        <v>442</v>
      </c>
      <c r="B219" s="443" t="s">
        <v>443</v>
      </c>
      <c r="C219" s="444" t="s">
        <v>447</v>
      </c>
      <c r="D219" s="445" t="s">
        <v>606</v>
      </c>
      <c r="E219" s="444" t="s">
        <v>1072</v>
      </c>
      <c r="F219" s="445" t="s">
        <v>1073</v>
      </c>
      <c r="G219" s="444" t="s">
        <v>1048</v>
      </c>
      <c r="H219" s="444" t="s">
        <v>1049</v>
      </c>
      <c r="I219" s="446">
        <v>0.69</v>
      </c>
      <c r="J219" s="446">
        <v>4000</v>
      </c>
      <c r="K219" s="447">
        <v>2760</v>
      </c>
    </row>
    <row r="220" spans="1:11" ht="14.4" customHeight="1" x14ac:dyDescent="0.3">
      <c r="A220" s="442" t="s">
        <v>442</v>
      </c>
      <c r="B220" s="443" t="s">
        <v>443</v>
      </c>
      <c r="C220" s="444" t="s">
        <v>447</v>
      </c>
      <c r="D220" s="445" t="s">
        <v>606</v>
      </c>
      <c r="E220" s="444" t="s">
        <v>1072</v>
      </c>
      <c r="F220" s="445" t="s">
        <v>1073</v>
      </c>
      <c r="G220" s="444" t="s">
        <v>1050</v>
      </c>
      <c r="H220" s="444" t="s">
        <v>1051</v>
      </c>
      <c r="I220" s="446">
        <v>11.15</v>
      </c>
      <c r="J220" s="446">
        <v>50</v>
      </c>
      <c r="K220" s="447">
        <v>557.5</v>
      </c>
    </row>
    <row r="221" spans="1:11" ht="14.4" customHeight="1" x14ac:dyDescent="0.3">
      <c r="A221" s="442" t="s">
        <v>442</v>
      </c>
      <c r="B221" s="443" t="s">
        <v>443</v>
      </c>
      <c r="C221" s="444" t="s">
        <v>447</v>
      </c>
      <c r="D221" s="445" t="s">
        <v>606</v>
      </c>
      <c r="E221" s="444" t="s">
        <v>1072</v>
      </c>
      <c r="F221" s="445" t="s">
        <v>1073</v>
      </c>
      <c r="G221" s="444" t="s">
        <v>1052</v>
      </c>
      <c r="H221" s="444" t="s">
        <v>1053</v>
      </c>
      <c r="I221" s="446">
        <v>9.44</v>
      </c>
      <c r="J221" s="446">
        <v>50</v>
      </c>
      <c r="K221" s="447">
        <v>472</v>
      </c>
    </row>
    <row r="222" spans="1:11" ht="14.4" customHeight="1" x14ac:dyDescent="0.3">
      <c r="A222" s="442" t="s">
        <v>442</v>
      </c>
      <c r="B222" s="443" t="s">
        <v>443</v>
      </c>
      <c r="C222" s="444" t="s">
        <v>447</v>
      </c>
      <c r="D222" s="445" t="s">
        <v>606</v>
      </c>
      <c r="E222" s="444" t="s">
        <v>1072</v>
      </c>
      <c r="F222" s="445" t="s">
        <v>1073</v>
      </c>
      <c r="G222" s="444" t="s">
        <v>1054</v>
      </c>
      <c r="H222" s="444" t="s">
        <v>1055</v>
      </c>
      <c r="I222" s="446">
        <v>6.24</v>
      </c>
      <c r="J222" s="446">
        <v>140</v>
      </c>
      <c r="K222" s="447">
        <v>873.6</v>
      </c>
    </row>
    <row r="223" spans="1:11" ht="14.4" customHeight="1" x14ac:dyDescent="0.3">
      <c r="A223" s="442" t="s">
        <v>442</v>
      </c>
      <c r="B223" s="443" t="s">
        <v>443</v>
      </c>
      <c r="C223" s="444" t="s">
        <v>447</v>
      </c>
      <c r="D223" s="445" t="s">
        <v>606</v>
      </c>
      <c r="E223" s="444" t="s">
        <v>1072</v>
      </c>
      <c r="F223" s="445" t="s">
        <v>1073</v>
      </c>
      <c r="G223" s="444" t="s">
        <v>1056</v>
      </c>
      <c r="H223" s="444" t="s">
        <v>1057</v>
      </c>
      <c r="I223" s="446">
        <v>6.24</v>
      </c>
      <c r="J223" s="446">
        <v>140</v>
      </c>
      <c r="K223" s="447">
        <v>873.6</v>
      </c>
    </row>
    <row r="224" spans="1:11" ht="14.4" customHeight="1" thickBot="1" x14ac:dyDescent="0.35">
      <c r="A224" s="448" t="s">
        <v>442</v>
      </c>
      <c r="B224" s="449" t="s">
        <v>443</v>
      </c>
      <c r="C224" s="450" t="s">
        <v>447</v>
      </c>
      <c r="D224" s="451" t="s">
        <v>606</v>
      </c>
      <c r="E224" s="450" t="s">
        <v>1072</v>
      </c>
      <c r="F224" s="451" t="s">
        <v>1073</v>
      </c>
      <c r="G224" s="450" t="s">
        <v>1058</v>
      </c>
      <c r="H224" s="450" t="s">
        <v>1059</v>
      </c>
      <c r="I224" s="452">
        <v>6.24</v>
      </c>
      <c r="J224" s="452">
        <v>140</v>
      </c>
      <c r="K224" s="453">
        <v>873.6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5" width="13.109375" customWidth="1"/>
    <col min="6" max="8" width="13.109375" hidden="1" customWidth="1"/>
    <col min="9" max="10" width="13.109375" customWidth="1"/>
    <col min="11" max="11" width="13.109375" hidden="1" customWidth="1"/>
    <col min="12" max="14" width="13.109375" customWidth="1"/>
    <col min="15" max="21" width="13.109375" hidden="1" customWidth="1"/>
    <col min="22" max="22" width="13.109375" customWidth="1"/>
    <col min="23" max="45" width="13.109375" hidden="1" customWidth="1"/>
  </cols>
  <sheetData>
    <row r="1" spans="1:46" ht="18.600000000000001" thickBot="1" x14ac:dyDescent="0.4">
      <c r="A1" s="376" t="s">
        <v>91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</row>
    <row r="2" spans="1:46" ht="15" thickBot="1" x14ac:dyDescent="0.35">
      <c r="A2" s="210" t="s">
        <v>268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</row>
    <row r="3" spans="1:46" x14ac:dyDescent="0.3">
      <c r="A3" s="229" t="s">
        <v>174</v>
      </c>
      <c r="B3" s="377" t="s">
        <v>153</v>
      </c>
      <c r="C3" s="212">
        <v>0</v>
      </c>
      <c r="D3" s="213">
        <v>25</v>
      </c>
      <c r="E3" s="213">
        <v>30</v>
      </c>
      <c r="F3" s="213">
        <v>99</v>
      </c>
      <c r="G3" s="232">
        <v>100</v>
      </c>
      <c r="H3" s="232">
        <v>101</v>
      </c>
      <c r="I3" s="232">
        <v>102</v>
      </c>
      <c r="J3" s="232">
        <v>103</v>
      </c>
      <c r="K3" s="232">
        <v>203</v>
      </c>
      <c r="L3" s="310">
        <v>302</v>
      </c>
      <c r="M3" s="232">
        <v>303</v>
      </c>
      <c r="N3" s="232">
        <v>304</v>
      </c>
      <c r="O3" s="232">
        <v>305</v>
      </c>
      <c r="P3" s="232">
        <v>306</v>
      </c>
      <c r="Q3" s="232">
        <v>407</v>
      </c>
      <c r="R3" s="232">
        <v>408</v>
      </c>
      <c r="S3" s="232">
        <v>409</v>
      </c>
      <c r="T3" s="232">
        <v>410</v>
      </c>
      <c r="U3" s="232">
        <v>415</v>
      </c>
      <c r="V3" s="232">
        <v>416</v>
      </c>
      <c r="W3" s="232">
        <v>418</v>
      </c>
      <c r="X3" s="232">
        <v>419</v>
      </c>
      <c r="Y3" s="232">
        <v>420</v>
      </c>
      <c r="Z3" s="232">
        <v>421</v>
      </c>
      <c r="AA3" s="232">
        <v>422</v>
      </c>
      <c r="AB3" s="232">
        <v>520</v>
      </c>
      <c r="AC3" s="232">
        <v>521</v>
      </c>
      <c r="AD3" s="232">
        <v>522</v>
      </c>
      <c r="AE3" s="232">
        <v>523</v>
      </c>
      <c r="AF3" s="232">
        <v>524</v>
      </c>
      <c r="AG3" s="232">
        <v>525</v>
      </c>
      <c r="AH3" s="232">
        <v>526</v>
      </c>
      <c r="AI3" s="213">
        <v>527</v>
      </c>
      <c r="AJ3" s="213">
        <v>528</v>
      </c>
      <c r="AK3" s="213">
        <v>629</v>
      </c>
      <c r="AL3" s="213">
        <v>630</v>
      </c>
      <c r="AM3" s="213">
        <v>636</v>
      </c>
      <c r="AN3" s="213">
        <v>637</v>
      </c>
      <c r="AO3" s="213">
        <v>640</v>
      </c>
      <c r="AP3" s="213">
        <v>642</v>
      </c>
      <c r="AQ3" s="213">
        <v>743</v>
      </c>
      <c r="AR3" s="213">
        <v>745</v>
      </c>
      <c r="AS3" s="506">
        <v>746</v>
      </c>
      <c r="AT3" s="521"/>
    </row>
    <row r="4" spans="1:46" ht="36.6" outlineLevel="1" thickBot="1" x14ac:dyDescent="0.35">
      <c r="A4" s="230">
        <v>2017</v>
      </c>
      <c r="B4" s="378"/>
      <c r="C4" s="214" t="s">
        <v>154</v>
      </c>
      <c r="D4" s="215" t="s">
        <v>158</v>
      </c>
      <c r="E4" s="215" t="s">
        <v>176</v>
      </c>
      <c r="F4" s="215" t="s">
        <v>155</v>
      </c>
      <c r="G4" s="233" t="s">
        <v>224</v>
      </c>
      <c r="H4" s="233" t="s">
        <v>225</v>
      </c>
      <c r="I4" s="233" t="s">
        <v>156</v>
      </c>
      <c r="J4" s="233" t="s">
        <v>226</v>
      </c>
      <c r="K4" s="233" t="s">
        <v>157</v>
      </c>
      <c r="L4" s="311" t="s">
        <v>227</v>
      </c>
      <c r="M4" s="233" t="s">
        <v>228</v>
      </c>
      <c r="N4" s="233" t="s">
        <v>229</v>
      </c>
      <c r="O4" s="233" t="s">
        <v>230</v>
      </c>
      <c r="P4" s="233" t="s">
        <v>182</v>
      </c>
      <c r="Q4" s="233" t="s">
        <v>222</v>
      </c>
      <c r="R4" s="233" t="s">
        <v>183</v>
      </c>
      <c r="S4" s="233" t="s">
        <v>184</v>
      </c>
      <c r="T4" s="233" t="s">
        <v>185</v>
      </c>
      <c r="U4" s="233" t="s">
        <v>186</v>
      </c>
      <c r="V4" s="233" t="s">
        <v>187</v>
      </c>
      <c r="W4" s="233" t="s">
        <v>188</v>
      </c>
      <c r="X4" s="233" t="s">
        <v>189</v>
      </c>
      <c r="Y4" s="233" t="s">
        <v>190</v>
      </c>
      <c r="Z4" s="233" t="s">
        <v>191</v>
      </c>
      <c r="AA4" s="233" t="s">
        <v>261</v>
      </c>
      <c r="AB4" s="233" t="s">
        <v>231</v>
      </c>
      <c r="AC4" s="233" t="s">
        <v>232</v>
      </c>
      <c r="AD4" s="233" t="s">
        <v>233</v>
      </c>
      <c r="AE4" s="233" t="s">
        <v>192</v>
      </c>
      <c r="AF4" s="233" t="s">
        <v>193</v>
      </c>
      <c r="AG4" s="233" t="s">
        <v>194</v>
      </c>
      <c r="AH4" s="233" t="s">
        <v>195</v>
      </c>
      <c r="AI4" s="215" t="s">
        <v>196</v>
      </c>
      <c r="AJ4" s="215" t="s">
        <v>205</v>
      </c>
      <c r="AK4" s="215" t="s">
        <v>197</v>
      </c>
      <c r="AL4" s="215" t="s">
        <v>206</v>
      </c>
      <c r="AM4" s="215" t="s">
        <v>198</v>
      </c>
      <c r="AN4" s="298" t="s">
        <v>199</v>
      </c>
      <c r="AO4" s="215" t="s">
        <v>200</v>
      </c>
      <c r="AP4" s="215" t="s">
        <v>201</v>
      </c>
      <c r="AQ4" s="215" t="s">
        <v>202</v>
      </c>
      <c r="AR4" s="215" t="s">
        <v>203</v>
      </c>
      <c r="AS4" s="507" t="s">
        <v>204</v>
      </c>
      <c r="AT4" s="521"/>
    </row>
    <row r="5" spans="1:46" x14ac:dyDescent="0.3">
      <c r="A5" s="216" t="s">
        <v>159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99"/>
      <c r="AO5" s="256"/>
      <c r="AP5" s="256"/>
      <c r="AQ5" s="256"/>
      <c r="AR5" s="256"/>
      <c r="AS5" s="508"/>
      <c r="AT5" s="521"/>
    </row>
    <row r="6" spans="1:46" ht="15" collapsed="1" thickBot="1" x14ac:dyDescent="0.35">
      <c r="A6" s="217" t="s">
        <v>60</v>
      </c>
      <c r="B6" s="257">
        <f xml:space="preserve">
TRUNC(IF($A$4&lt;=12,SUMIFS('ON Data'!F:F,'ON Data'!$D:$D,$A$4,'ON Data'!$E:$E,1),SUMIFS('ON Data'!F:F,'ON Data'!$E:$E,1)/'ON Data'!$D$3),1)</f>
        <v>54.2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1</v>
      </c>
      <c r="E6" s="259">
        <f xml:space="preserve">
TRUNC(IF($A$4&lt;=12,SUMIFS('ON Data'!I:I,'ON Data'!$D:$D,$A$4,'ON Data'!$E:$E,1),SUMIFS('ON Data'!I:I,'ON Data'!$E:$E,1)/'ON Data'!$D$3),1)</f>
        <v>0.9</v>
      </c>
      <c r="F6" s="259">
        <f xml:space="preserve">
TRUNC(IF($A$4&lt;=12,SUMIFS('ON Data'!J:J,'ON Data'!$D:$D,$A$4,'ON Data'!$E:$E,1),SUMIFS('ON Data'!J:J,'ON Data'!$E:$E,1)/'ON Data'!$D$3),1)</f>
        <v>0</v>
      </c>
      <c r="G6" s="259">
        <f xml:space="preserve">
TRUNC(IF($A$4&lt;=12,SUMIFS('ON Data'!K:K,'ON Data'!$D:$D,$A$4,'ON Data'!$E:$E,1),SUMIFS('ON Data'!K:K,'ON Data'!$E:$E,1)/'ON Data'!$D$3),1)</f>
        <v>0</v>
      </c>
      <c r="H6" s="259">
        <f xml:space="preserve">
TRUNC(IF($A$4&lt;=12,SUMIFS('ON Data'!L:L,'ON Data'!$D:$D,$A$4,'ON Data'!$E:$E,1),SUMIFS('ON Data'!L:L,'ON Data'!$E:$E,1)/'ON Data'!$D$3),1)</f>
        <v>0</v>
      </c>
      <c r="I6" s="259">
        <f xml:space="preserve">
TRUNC(IF($A$4&lt;=12,SUMIFS('ON Data'!M:M,'ON Data'!$D:$D,$A$4,'ON Data'!$E:$E,1),SUMIFS('ON Data'!M:M,'ON Data'!$E:$E,1)/'ON Data'!$D$3),1)</f>
        <v>4.7</v>
      </c>
      <c r="J6" s="259">
        <f xml:space="preserve">
TRUNC(IF($A$4&lt;=12,SUMIFS('ON Data'!N:N,'ON Data'!$D:$D,$A$4,'ON Data'!$E:$E,1),SUMIFS('ON Data'!N:N,'ON Data'!$E:$E,1)/'ON Data'!$D$3),1)</f>
        <v>6.6</v>
      </c>
      <c r="K6" s="259">
        <f xml:space="preserve">
TRUNC(IF($A$4&lt;=12,SUMIFS('ON Data'!O:O,'ON Data'!$D:$D,$A$4,'ON Data'!$E:$E,1),SUMIFS('ON Data'!O:O,'ON Data'!$E:$E,1)/'ON Data'!$D$3),1)</f>
        <v>0</v>
      </c>
      <c r="L6" s="259">
        <f xml:space="preserve">
TRUNC(IF($A$4&lt;=12,SUMIFS('ON Data'!P:P,'ON Data'!$D:$D,$A$4,'ON Data'!$E:$E,1),SUMIFS('ON Data'!P:P,'ON Data'!$E:$E,1)/'ON Data'!$D$3),1)</f>
        <v>0.4</v>
      </c>
      <c r="M6" s="259">
        <f xml:space="preserve">
TRUNC(IF($A$4&lt;=12,SUMIFS('ON Data'!Q:Q,'ON Data'!$D:$D,$A$4,'ON Data'!$E:$E,1),SUMIFS('ON Data'!Q:Q,'ON Data'!$E:$E,1)/'ON Data'!$D$3),1)</f>
        <v>20.6</v>
      </c>
      <c r="N6" s="259">
        <f xml:space="preserve">
TRUNC(IF($A$4&lt;=12,SUMIFS('ON Data'!R:R,'ON Data'!$D:$D,$A$4,'ON Data'!$E:$E,1),SUMIFS('ON Data'!R:R,'ON Data'!$E:$E,1)/'ON Data'!$D$3),1)</f>
        <v>6.9</v>
      </c>
      <c r="O6" s="259">
        <f xml:space="preserve">
TRUNC(IF($A$4&lt;=12,SUMIFS('ON Data'!S:S,'ON Data'!$D:$D,$A$4,'ON Data'!$E:$E,1),SUMIFS('ON Data'!S:S,'ON Data'!$E:$E,1)/'ON Data'!$D$3),1)</f>
        <v>0</v>
      </c>
      <c r="P6" s="259">
        <f xml:space="preserve">
TRUNC(IF($A$4&lt;=12,SUMIFS('ON Data'!T:T,'ON Data'!$D:$D,$A$4,'ON Data'!$E:$E,1),SUMIFS('ON Data'!T:T,'ON Data'!$E:$E,1)/'ON Data'!$D$3),1)</f>
        <v>0</v>
      </c>
      <c r="Q6" s="259">
        <f xml:space="preserve">
TRUNC(IF($A$4&lt;=12,SUMIFS('ON Data'!U:U,'ON Data'!$D:$D,$A$4,'ON Data'!$E:$E,1),SUMIFS('ON Data'!U:U,'ON Data'!$E:$E,1)/'ON Data'!$D$3),1)</f>
        <v>0</v>
      </c>
      <c r="R6" s="259">
        <f xml:space="preserve">
TRUNC(IF($A$4&lt;=12,SUMIFS('ON Data'!V:V,'ON Data'!$D:$D,$A$4,'ON Data'!$E:$E,1),SUMIFS('ON Data'!V:V,'ON Data'!$E:$E,1)/'ON Data'!$D$3),1)</f>
        <v>0</v>
      </c>
      <c r="S6" s="259">
        <f xml:space="preserve">
TRUNC(IF($A$4&lt;=12,SUMIFS('ON Data'!W:W,'ON Data'!$D:$D,$A$4,'ON Data'!$E:$E,1),SUMIFS('ON Data'!W:W,'ON Data'!$E:$E,1)/'ON Data'!$D$3),1)</f>
        <v>0</v>
      </c>
      <c r="T6" s="259">
        <f xml:space="preserve">
TRUNC(IF($A$4&lt;=12,SUMIFS('ON Data'!X:X,'ON Data'!$D:$D,$A$4,'ON Data'!$E:$E,1),SUMIFS('ON Data'!X:X,'ON Data'!$E:$E,1)/'ON Data'!$D$3),1)</f>
        <v>0</v>
      </c>
      <c r="U6" s="259">
        <f xml:space="preserve">
TRUNC(IF($A$4&lt;=12,SUMIFS('ON Data'!Y:Y,'ON Data'!$D:$D,$A$4,'ON Data'!$E:$E,1),SUMIFS('ON Data'!Y:Y,'ON Data'!$E:$E,1)/'ON Data'!$D$3),1)</f>
        <v>0</v>
      </c>
      <c r="V6" s="259">
        <f xml:space="preserve">
TRUNC(IF($A$4&lt;=12,SUMIFS('ON Data'!Z:Z,'ON Data'!$D:$D,$A$4,'ON Data'!$E:$E,1),SUMIFS('ON Data'!Z:Z,'ON Data'!$E:$E,1)/'ON Data'!$D$3),1)</f>
        <v>13</v>
      </c>
      <c r="W6" s="259">
        <f xml:space="preserve">
TRUNC(IF($A$4&lt;=12,SUMIFS('ON Data'!AA:AA,'ON Data'!$D:$D,$A$4,'ON Data'!$E:$E,1),SUMIFS('ON Data'!AA:AA,'ON Data'!$E:$E,1)/'ON Data'!$D$3),1)</f>
        <v>0</v>
      </c>
      <c r="X6" s="259">
        <f xml:space="preserve">
TRUNC(IF($A$4&lt;=12,SUMIFS('ON Data'!AB:AB,'ON Data'!$D:$D,$A$4,'ON Data'!$E:$E,1),SUMIFS('ON Data'!AB:AB,'ON Data'!$E:$E,1)/'ON Data'!$D$3),1)</f>
        <v>0</v>
      </c>
      <c r="Y6" s="259">
        <f xml:space="preserve">
TRUNC(IF($A$4&lt;=12,SUMIFS('ON Data'!AC:AC,'ON Data'!$D:$D,$A$4,'ON Data'!$E:$E,1),SUMIFS('ON Data'!AC:AC,'ON Data'!$E:$E,1)/'ON Data'!$D$3),1)</f>
        <v>0</v>
      </c>
      <c r="Z6" s="259">
        <f xml:space="preserve">
TRUNC(IF($A$4&lt;=12,SUMIFS('ON Data'!AD:AD,'ON Data'!$D:$D,$A$4,'ON Data'!$E:$E,1),SUMIFS('ON Data'!AD:AD,'ON Data'!$E:$E,1)/'ON Data'!$D$3),1)</f>
        <v>0</v>
      </c>
      <c r="AA6" s="259">
        <f xml:space="preserve">
TRUNC(IF($A$4&lt;=12,SUMIFS('ON Data'!AE:AE,'ON Data'!$D:$D,$A$4,'ON Data'!$E:$E,1),SUMIFS('ON Data'!AE:AE,'ON Data'!$E:$E,1)/'ON Data'!$D$3),1)</f>
        <v>0</v>
      </c>
      <c r="AB6" s="259">
        <f xml:space="preserve">
TRUNC(IF($A$4&lt;=12,SUMIFS('ON Data'!AF:AF,'ON Data'!$D:$D,$A$4,'ON Data'!$E:$E,1),SUMIFS('ON Data'!AF:AF,'ON Data'!$E:$E,1)/'ON Data'!$D$3),1)</f>
        <v>0</v>
      </c>
      <c r="AC6" s="259">
        <f xml:space="preserve">
TRUNC(IF($A$4&lt;=12,SUMIFS('ON Data'!AG:AG,'ON Data'!$D:$D,$A$4,'ON Data'!$E:$E,1),SUMIFS('ON Data'!AG:AG,'ON Data'!$E:$E,1)/'ON Data'!$D$3),1)</f>
        <v>0</v>
      </c>
      <c r="AD6" s="259">
        <f xml:space="preserve">
TRUNC(IF($A$4&lt;=12,SUMIFS('ON Data'!AH:AH,'ON Data'!$D:$D,$A$4,'ON Data'!$E:$E,1),SUMIFS('ON Data'!AH:AH,'ON Data'!$E:$E,1)/'ON Data'!$D$3),1)</f>
        <v>0</v>
      </c>
      <c r="AE6" s="259">
        <f xml:space="preserve">
TRUNC(IF($A$4&lt;=12,SUMIFS('ON Data'!AI:AI,'ON Data'!$D:$D,$A$4,'ON Data'!$E:$E,1),SUMIFS('ON Data'!AI:AI,'ON Data'!$E:$E,1)/'ON Data'!$D$3),1)</f>
        <v>0</v>
      </c>
      <c r="AF6" s="259">
        <f xml:space="preserve">
TRUNC(IF($A$4&lt;=12,SUMIFS('ON Data'!AJ:AJ,'ON Data'!$D:$D,$A$4,'ON Data'!$E:$E,1),SUMIFS('ON Data'!AJ:AJ,'ON Data'!$E:$E,1)/'ON Data'!$D$3),1)</f>
        <v>0</v>
      </c>
      <c r="AG6" s="259">
        <f xml:space="preserve">
TRUNC(IF($A$4&lt;=12,SUMIFS('ON Data'!AK:AK,'ON Data'!$D:$D,$A$4,'ON Data'!$E:$E,1),SUMIFS('ON Data'!AK:AK,'ON Data'!$E:$E,1)/'ON Data'!$D$3),1)</f>
        <v>0</v>
      </c>
      <c r="AH6" s="259">
        <f xml:space="preserve">
TRUNC(IF($A$4&lt;=12,SUMIFS('ON Data'!AL:AL,'ON Data'!$D:$D,$A$4,'ON Data'!$E:$E,1),SUMIFS('ON Data'!AL:AL,'ON Data'!$E:$E,1)/'ON Data'!$D$3),1)</f>
        <v>0</v>
      </c>
      <c r="AI6" s="259">
        <f xml:space="preserve">
TRUNC(IF($A$4&lt;=12,SUMIFS('ON Data'!AM:AM,'ON Data'!$D:$D,$A$4,'ON Data'!$E:$E,1),SUMIFS('ON Data'!AM:AM,'ON Data'!$E:$E,1)/'ON Data'!$D$3),1)</f>
        <v>0</v>
      </c>
      <c r="AJ6" s="259">
        <f xml:space="preserve">
TRUNC(IF($A$4&lt;=12,SUMIFS('ON Data'!AN:AN,'ON Data'!$D:$D,$A$4,'ON Data'!$E:$E,1),SUMIFS('ON Data'!AN:AN,'ON Data'!$E:$E,1)/'ON Data'!$D$3),1)</f>
        <v>0</v>
      </c>
      <c r="AK6" s="259">
        <f xml:space="preserve">
TRUNC(IF($A$4&lt;=12,SUMIFS('ON Data'!AO:AO,'ON Data'!$D:$D,$A$4,'ON Data'!$E:$E,1),SUMIFS('ON Data'!AO:AO,'ON Data'!$E:$E,1)/'ON Data'!$D$3),1)</f>
        <v>0</v>
      </c>
      <c r="AL6" s="259">
        <f xml:space="preserve">
TRUNC(IF($A$4&lt;=12,SUMIFS('ON Data'!AP:AP,'ON Data'!$D:$D,$A$4,'ON Data'!$E:$E,1),SUMIFS('ON Data'!AP:AP,'ON Data'!$E:$E,1)/'ON Data'!$D$3),1)</f>
        <v>0</v>
      </c>
      <c r="AM6" s="259">
        <f xml:space="preserve">
TRUNC(IF($A$4&lt;=12,SUMIFS('ON Data'!AQ:AQ,'ON Data'!$D:$D,$A$4,'ON Data'!$E:$E,1),SUMIFS('ON Data'!AQ:AQ,'ON Data'!$E:$E,1)/'ON Data'!$D$3),1)</f>
        <v>0</v>
      </c>
      <c r="AN6" s="259">
        <f xml:space="preserve">
TRUNC(IF($A$4&lt;=12,SUMIFS('ON Data'!AR:AR,'ON Data'!$D:$D,$A$4,'ON Data'!$E:$E,1),SUMIFS('ON Data'!AR:AR,'ON Data'!$E:$E,1)/'ON Data'!$D$3),1)</f>
        <v>0</v>
      </c>
      <c r="AO6" s="259">
        <f xml:space="preserve">
TRUNC(IF($A$4&lt;=12,SUMIFS('ON Data'!AS:AS,'ON Data'!$D:$D,$A$4,'ON Data'!$E:$E,1),SUMIFS('ON Data'!AS:AS,'ON Data'!$E:$E,1)/'ON Data'!$D$3),1)</f>
        <v>0</v>
      </c>
      <c r="AP6" s="259">
        <f xml:space="preserve">
TRUNC(IF($A$4&lt;=12,SUMIFS('ON Data'!AT:AT,'ON Data'!$D:$D,$A$4,'ON Data'!$E:$E,1),SUMIFS('ON Data'!AT:AT,'ON Data'!$E:$E,1)/'ON Data'!$D$3),1)</f>
        <v>0</v>
      </c>
      <c r="AQ6" s="259">
        <f xml:space="preserve">
TRUNC(IF($A$4&lt;=12,SUMIFS('ON Data'!AU:AU,'ON Data'!$D:$D,$A$4,'ON Data'!$E:$E,1),SUMIFS('ON Data'!AU:AU,'ON Data'!$E:$E,1)/'ON Data'!$D$3),1)</f>
        <v>0</v>
      </c>
      <c r="AR6" s="259">
        <f xml:space="preserve">
TRUNC(IF($A$4&lt;=12,SUMIFS('ON Data'!AV:AV,'ON Data'!$D:$D,$A$4,'ON Data'!$E:$E,1),SUMIFS('ON Data'!AV:AV,'ON Data'!$E:$E,1)/'ON Data'!$D$3),1)</f>
        <v>0</v>
      </c>
      <c r="AS6" s="509">
        <f xml:space="preserve">
TRUNC(IF($A$4&lt;=12,SUMIFS('ON Data'!AW:AW,'ON Data'!$D:$D,$A$4,'ON Data'!$E:$E,1),SUMIFS('ON Data'!AW:AW,'ON Data'!$E:$E,1)/'ON Data'!$D$3),1)</f>
        <v>0</v>
      </c>
      <c r="AT6" s="521"/>
    </row>
    <row r="7" spans="1:46" ht="15" hidden="1" outlineLevel="1" thickBot="1" x14ac:dyDescent="0.35">
      <c r="A7" s="217" t="s">
        <v>92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60"/>
      <c r="AO7" s="259"/>
      <c r="AP7" s="259"/>
      <c r="AQ7" s="259"/>
      <c r="AR7" s="259"/>
      <c r="AS7" s="509"/>
      <c r="AT7" s="521"/>
    </row>
    <row r="8" spans="1:46" ht="15" hidden="1" outlineLevel="1" thickBot="1" x14ac:dyDescent="0.35">
      <c r="A8" s="217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60"/>
      <c r="AO8" s="259"/>
      <c r="AP8" s="259"/>
      <c r="AQ8" s="259"/>
      <c r="AR8" s="259"/>
      <c r="AS8" s="509"/>
      <c r="AT8" s="521"/>
    </row>
    <row r="9" spans="1:46" ht="15" hidden="1" outlineLevel="1" thickBot="1" x14ac:dyDescent="0.35">
      <c r="A9" s="218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2"/>
      <c r="AO9" s="263"/>
      <c r="AP9" s="263"/>
      <c r="AQ9" s="263"/>
      <c r="AR9" s="263"/>
      <c r="AS9" s="510"/>
      <c r="AT9" s="521"/>
    </row>
    <row r="10" spans="1:46" x14ac:dyDescent="0.3">
      <c r="A10" s="219" t="s">
        <v>160</v>
      </c>
      <c r="B10" s="234"/>
      <c r="C10" s="235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300"/>
      <c r="AO10" s="236"/>
      <c r="AP10" s="236"/>
      <c r="AQ10" s="236"/>
      <c r="AR10" s="236"/>
      <c r="AS10" s="511"/>
      <c r="AT10" s="521"/>
    </row>
    <row r="11" spans="1:46" x14ac:dyDescent="0.3">
      <c r="A11" s="220" t="s">
        <v>161</v>
      </c>
      <c r="B11" s="237">
        <f xml:space="preserve">
IF($A$4&lt;=12,SUMIFS('ON Data'!F:F,'ON Data'!$D:$D,$A$4,'ON Data'!$E:$E,2),SUMIFS('ON Data'!F:F,'ON Data'!$E:$E,2))</f>
        <v>16568.100000000002</v>
      </c>
      <c r="C11" s="238">
        <f xml:space="preserve">
IF($A$4&lt;=12,SUMIFS('ON Data'!G:G,'ON Data'!$D:$D,$A$4,'ON Data'!$E:$E,2),SUMIFS('ON Data'!G:G,'ON Data'!$E:$E,2))</f>
        <v>0</v>
      </c>
      <c r="D11" s="239">
        <f xml:space="preserve">
IF($A$4&lt;=12,SUMIFS('ON Data'!H:H,'ON Data'!$D:$D,$A$4,'ON Data'!$E:$E,2),SUMIFS('ON Data'!H:H,'ON Data'!$E:$E,2))</f>
        <v>288</v>
      </c>
      <c r="E11" s="239"/>
      <c r="F11" s="239">
        <f xml:space="preserve">
IF($A$4&lt;=12,SUMIFS('ON Data'!J:J,'ON Data'!$D:$D,$A$4,'ON Data'!$E:$E,2),SUMIFS('ON Data'!J:J,'ON Data'!$E:$E,2))</f>
        <v>0</v>
      </c>
      <c r="G11" s="239">
        <f xml:space="preserve">
IF($A$4&lt;=12,SUMIFS('ON Data'!K:K,'ON Data'!$D:$D,$A$4,'ON Data'!$E:$E,2),SUMIFS('ON Data'!K:K,'ON Data'!$E:$E,2))</f>
        <v>0</v>
      </c>
      <c r="H11" s="239">
        <f xml:space="preserve">
IF($A$4&lt;=12,SUMIFS('ON Data'!L:L,'ON Data'!$D:$D,$A$4,'ON Data'!$E:$E,2),SUMIFS('ON Data'!L:L,'ON Data'!$E:$E,2))</f>
        <v>0</v>
      </c>
      <c r="I11" s="239">
        <f xml:space="preserve">
IF($A$4&lt;=12,SUMIFS('ON Data'!M:M,'ON Data'!$D:$D,$A$4,'ON Data'!$E:$E,2),SUMIFS('ON Data'!M:M,'ON Data'!$E:$E,2))</f>
        <v>1311.6</v>
      </c>
      <c r="J11" s="239">
        <f xml:space="preserve">
IF($A$4&lt;=12,SUMIFS('ON Data'!N:N,'ON Data'!$D:$D,$A$4,'ON Data'!$E:$E,2),SUMIFS('ON Data'!N:N,'ON Data'!$E:$E,2))</f>
        <v>2095.1999999999998</v>
      </c>
      <c r="K11" s="239">
        <f xml:space="preserve">
IF($A$4&lt;=12,SUMIFS('ON Data'!O:O,'ON Data'!$D:$D,$A$4,'ON Data'!$E:$E,2),SUMIFS('ON Data'!O:O,'ON Data'!$E:$E,2))</f>
        <v>0</v>
      </c>
      <c r="L11" s="239">
        <f xml:space="preserve">
IF($A$4&lt;=12,SUMIFS('ON Data'!P:P,'ON Data'!$D:$D,$A$4,'ON Data'!$E:$E,2),SUMIFS('ON Data'!P:P,'ON Data'!$E:$E,2))</f>
        <v>136</v>
      </c>
      <c r="M11" s="239">
        <f xml:space="preserve">
IF($A$4&lt;=12,SUMIFS('ON Data'!Q:Q,'ON Data'!$D:$D,$A$4,'ON Data'!$E:$E,2),SUMIFS('ON Data'!Q:Q,'ON Data'!$E:$E,2))</f>
        <v>6240</v>
      </c>
      <c r="N11" s="239">
        <f xml:space="preserve">
IF($A$4&lt;=12,SUMIFS('ON Data'!R:R,'ON Data'!$D:$D,$A$4,'ON Data'!$E:$E,2),SUMIFS('ON Data'!R:R,'ON Data'!$E:$E,2))</f>
        <v>2116.8000000000002</v>
      </c>
      <c r="O11" s="239">
        <f xml:space="preserve">
IF($A$4&lt;=12,SUMIFS('ON Data'!S:S,'ON Data'!$D:$D,$A$4,'ON Data'!$E:$E,2),SUMIFS('ON Data'!S:S,'ON Data'!$E:$E,2))</f>
        <v>0</v>
      </c>
      <c r="P11" s="239">
        <f xml:space="preserve">
IF($A$4&lt;=12,SUMIFS('ON Data'!T:T,'ON Data'!$D:$D,$A$4,'ON Data'!$E:$E,2),SUMIFS('ON Data'!T:T,'ON Data'!$E:$E,2))</f>
        <v>0</v>
      </c>
      <c r="Q11" s="239">
        <f xml:space="preserve">
IF($A$4&lt;=12,SUMIFS('ON Data'!U:U,'ON Data'!$D:$D,$A$4,'ON Data'!$E:$E,2),SUMIFS('ON Data'!U:U,'ON Data'!$E:$E,2))</f>
        <v>0</v>
      </c>
      <c r="R11" s="239">
        <f xml:space="preserve">
IF($A$4&lt;=12,SUMIFS('ON Data'!V:V,'ON Data'!$D:$D,$A$4,'ON Data'!$E:$E,2),SUMIFS('ON Data'!V:V,'ON Data'!$E:$E,2))</f>
        <v>0</v>
      </c>
      <c r="S11" s="239">
        <f xml:space="preserve">
IF($A$4&lt;=12,SUMIFS('ON Data'!W:W,'ON Data'!$D:$D,$A$4,'ON Data'!$E:$E,2),SUMIFS('ON Data'!W:W,'ON Data'!$E:$E,2))</f>
        <v>0</v>
      </c>
      <c r="T11" s="239">
        <f xml:space="preserve">
IF($A$4&lt;=12,SUMIFS('ON Data'!X:X,'ON Data'!$D:$D,$A$4,'ON Data'!$E:$E,2),SUMIFS('ON Data'!X:X,'ON Data'!$E:$E,2))</f>
        <v>0</v>
      </c>
      <c r="U11" s="239">
        <f xml:space="preserve">
IF($A$4&lt;=12,SUMIFS('ON Data'!Y:Y,'ON Data'!$D:$D,$A$4,'ON Data'!$E:$E,2),SUMIFS('ON Data'!Y:Y,'ON Data'!$E:$E,2))</f>
        <v>0</v>
      </c>
      <c r="V11" s="239">
        <f xml:space="preserve">
IF($A$4&lt;=12,SUMIFS('ON Data'!Z:Z,'ON Data'!$D:$D,$A$4,'ON Data'!$E:$E,2),SUMIFS('ON Data'!Z:Z,'ON Data'!$E:$E,2))</f>
        <v>4070.4</v>
      </c>
      <c r="W11" s="239">
        <f xml:space="preserve">
IF($A$4&lt;=12,SUMIFS('ON Data'!AA:AA,'ON Data'!$D:$D,$A$4,'ON Data'!$E:$E,2),SUMIFS('ON Data'!AA:AA,'ON Data'!$E:$E,2))</f>
        <v>0</v>
      </c>
      <c r="X11" s="239">
        <f xml:space="preserve">
IF($A$4&lt;=12,SUMIFS('ON Data'!AB:AB,'ON Data'!$D:$D,$A$4,'ON Data'!$E:$E,2),SUMIFS('ON Data'!AB:AB,'ON Data'!$E:$E,2))</f>
        <v>0</v>
      </c>
      <c r="Y11" s="239">
        <f xml:space="preserve">
IF($A$4&lt;=12,SUMIFS('ON Data'!AC:AC,'ON Data'!$D:$D,$A$4,'ON Data'!$E:$E,2),SUMIFS('ON Data'!AC:AC,'ON Data'!$E:$E,2))</f>
        <v>0</v>
      </c>
      <c r="Z11" s="239">
        <f xml:space="preserve">
IF($A$4&lt;=12,SUMIFS('ON Data'!AD:AD,'ON Data'!$D:$D,$A$4,'ON Data'!$E:$E,2),SUMIFS('ON Data'!AD:AD,'ON Data'!$E:$E,2))</f>
        <v>0</v>
      </c>
      <c r="AA11" s="239"/>
      <c r="AB11" s="239">
        <f xml:space="preserve">
IF($A$4&lt;=12,SUMIFS('ON Data'!AF:AF,'ON Data'!$D:$D,$A$4,'ON Data'!$E:$E,2),SUMIFS('ON Data'!AF:AF,'ON Data'!$E:$E,2))</f>
        <v>0</v>
      </c>
      <c r="AC11" s="239">
        <f xml:space="preserve">
IF($A$4&lt;=12,SUMIFS('ON Data'!AG:AG,'ON Data'!$D:$D,$A$4,'ON Data'!$E:$E,2),SUMIFS('ON Data'!AG:AG,'ON Data'!$E:$E,2))</f>
        <v>0</v>
      </c>
      <c r="AD11" s="239">
        <f xml:space="preserve">
IF($A$4&lt;=12,SUMIFS('ON Data'!AH:AH,'ON Data'!$D:$D,$A$4,'ON Data'!$E:$E,2),SUMIFS('ON Data'!AH:AH,'ON Data'!$E:$E,2))</f>
        <v>0</v>
      </c>
      <c r="AE11" s="239">
        <f xml:space="preserve">
IF($A$4&lt;=12,SUMIFS('ON Data'!AI:AI,'ON Data'!$D:$D,$A$4,'ON Data'!$E:$E,2),SUMIFS('ON Data'!AI:AI,'ON Data'!$E:$E,2))</f>
        <v>0</v>
      </c>
      <c r="AF11" s="239">
        <f xml:space="preserve">
IF($A$4&lt;=12,SUMIFS('ON Data'!AJ:AJ,'ON Data'!$D:$D,$A$4,'ON Data'!$E:$E,2),SUMIFS('ON Data'!AJ:AJ,'ON Data'!$E:$E,2))</f>
        <v>0</v>
      </c>
      <c r="AG11" s="239">
        <f xml:space="preserve">
IF($A$4&lt;=12,SUMIFS('ON Data'!AK:AK,'ON Data'!$D:$D,$A$4,'ON Data'!$E:$E,2),SUMIFS('ON Data'!AK:AK,'ON Data'!$E:$E,2))</f>
        <v>0</v>
      </c>
      <c r="AH11" s="239">
        <f xml:space="preserve">
IF($A$4&lt;=12,SUMIFS('ON Data'!AL:AL,'ON Data'!$D:$D,$A$4,'ON Data'!$E:$E,2),SUMIFS('ON Data'!AL:AL,'ON Data'!$E:$E,2))</f>
        <v>0</v>
      </c>
      <c r="AI11" s="239">
        <f xml:space="preserve">
IF($A$4&lt;=12,SUMIFS('ON Data'!AM:AM,'ON Data'!$D:$D,$A$4,'ON Data'!$E:$E,2),SUMIFS('ON Data'!AM:AM,'ON Data'!$E:$E,2))</f>
        <v>0</v>
      </c>
      <c r="AJ11" s="239">
        <f xml:space="preserve">
IF($A$4&lt;=12,SUMIFS('ON Data'!AN:AN,'ON Data'!$D:$D,$A$4,'ON Data'!$E:$E,2),SUMIFS('ON Data'!AN:AN,'ON Data'!$E:$E,2))</f>
        <v>0</v>
      </c>
      <c r="AK11" s="239">
        <f xml:space="preserve">
IF($A$4&lt;=12,SUMIFS('ON Data'!AO:AO,'ON Data'!$D:$D,$A$4,'ON Data'!$E:$E,2),SUMIFS('ON Data'!AO:AO,'ON Data'!$E:$E,2))</f>
        <v>0</v>
      </c>
      <c r="AL11" s="239">
        <f xml:space="preserve">
IF($A$4&lt;=12,SUMIFS('ON Data'!AP:AP,'ON Data'!$D:$D,$A$4,'ON Data'!$E:$E,2),SUMIFS('ON Data'!AP:AP,'ON Data'!$E:$E,2))</f>
        <v>0</v>
      </c>
      <c r="AM11" s="239">
        <f xml:space="preserve">
IF($A$4&lt;=12,SUMIFS('ON Data'!AQ:AQ,'ON Data'!$D:$D,$A$4,'ON Data'!$E:$E,2),SUMIFS('ON Data'!AQ:AQ,'ON Data'!$E:$E,2))</f>
        <v>0</v>
      </c>
      <c r="AN11" s="238">
        <f xml:space="preserve">
IF($A$4&lt;=12,SUMIFS('ON Data'!AR:AR,'ON Data'!$D:$D,$A$4,'ON Data'!$E:$E,2),SUMIFS('ON Data'!AR:AR,'ON Data'!$E:$E,2))</f>
        <v>0</v>
      </c>
      <c r="AO11" s="239">
        <f xml:space="preserve">
IF($A$4&lt;=12,SUMIFS('ON Data'!AS:AS,'ON Data'!$D:$D,$A$4,'ON Data'!$E:$E,2),SUMIFS('ON Data'!AS:AS,'ON Data'!$E:$E,2))</f>
        <v>0</v>
      </c>
      <c r="AP11" s="239">
        <f xml:space="preserve">
IF($A$4&lt;=12,SUMIFS('ON Data'!AT:AT,'ON Data'!$D:$D,$A$4,'ON Data'!$E:$E,2),SUMIFS('ON Data'!AT:AT,'ON Data'!$E:$E,2))</f>
        <v>0</v>
      </c>
      <c r="AQ11" s="239">
        <f xml:space="preserve">
IF($A$4&lt;=12,SUMIFS('ON Data'!AU:AU,'ON Data'!$D:$D,$A$4,'ON Data'!$E:$E,2),SUMIFS('ON Data'!AU:AU,'ON Data'!$E:$E,2))</f>
        <v>0</v>
      </c>
      <c r="AR11" s="239">
        <f xml:space="preserve">
IF($A$4&lt;=12,SUMIFS('ON Data'!AV:AV,'ON Data'!$D:$D,$A$4,'ON Data'!$E:$E,2),SUMIFS('ON Data'!AV:AV,'ON Data'!$E:$E,2))</f>
        <v>0</v>
      </c>
      <c r="AS11" s="512">
        <f xml:space="preserve">
IF($A$4&lt;=12,SUMIFS('ON Data'!AW:AW,'ON Data'!$D:$D,$A$4,'ON Data'!$E:$E,2),SUMIFS('ON Data'!AW:AW,'ON Data'!$E:$E,2))</f>
        <v>0</v>
      </c>
      <c r="AT11" s="521"/>
    </row>
    <row r="12" spans="1:46" x14ac:dyDescent="0.3">
      <c r="A12" s="220" t="s">
        <v>162</v>
      </c>
      <c r="B12" s="237">
        <f xml:space="preserve">
IF($A$4&lt;=12,SUMIFS('ON Data'!F:F,'ON Data'!$D:$D,$A$4,'ON Data'!$E:$E,3),SUMIFS('ON Data'!F:F,'ON Data'!$E:$E,3))</f>
        <v>0</v>
      </c>
      <c r="C12" s="238">
        <f xml:space="preserve">
IF($A$4&lt;=12,SUMIFS('ON Data'!G:G,'ON Data'!$D:$D,$A$4,'ON Data'!$E:$E,3),SUMIFS('ON Data'!G:G,'ON Data'!$E:$E,3))</f>
        <v>0</v>
      </c>
      <c r="D12" s="239">
        <f xml:space="preserve">
IF($A$4&lt;=12,SUMIFS('ON Data'!H:H,'ON Data'!$D:$D,$A$4,'ON Data'!$E:$E,3),SUMIFS('ON Data'!H:H,'ON Data'!$E:$E,3))</f>
        <v>0</v>
      </c>
      <c r="E12" s="239"/>
      <c r="F12" s="239">
        <f xml:space="preserve">
IF($A$4&lt;=12,SUMIFS('ON Data'!J:J,'ON Data'!$D:$D,$A$4,'ON Data'!$E:$E,3),SUMIFS('ON Data'!J:J,'ON Data'!$E:$E,3))</f>
        <v>0</v>
      </c>
      <c r="G12" s="239">
        <f xml:space="preserve">
IF($A$4&lt;=12,SUMIFS('ON Data'!K:K,'ON Data'!$D:$D,$A$4,'ON Data'!$E:$E,3),SUMIFS('ON Data'!K:K,'ON Data'!$E:$E,3))</f>
        <v>0</v>
      </c>
      <c r="H12" s="239">
        <f xml:space="preserve">
IF($A$4&lt;=12,SUMIFS('ON Data'!L:L,'ON Data'!$D:$D,$A$4,'ON Data'!$E:$E,3),SUMIFS('ON Data'!L:L,'ON Data'!$E:$E,3))</f>
        <v>0</v>
      </c>
      <c r="I12" s="239">
        <f xml:space="preserve">
IF($A$4&lt;=12,SUMIFS('ON Data'!M:M,'ON Data'!$D:$D,$A$4,'ON Data'!$E:$E,3),SUMIFS('ON Data'!M:M,'ON Data'!$E:$E,3))</f>
        <v>0</v>
      </c>
      <c r="J12" s="239">
        <f xml:space="preserve">
IF($A$4&lt;=12,SUMIFS('ON Data'!N:N,'ON Data'!$D:$D,$A$4,'ON Data'!$E:$E,3),SUMIFS('ON Data'!N:N,'ON Data'!$E:$E,3))</f>
        <v>0</v>
      </c>
      <c r="K12" s="239">
        <f xml:space="preserve">
IF($A$4&lt;=12,SUMIFS('ON Data'!O:O,'ON Data'!$D:$D,$A$4,'ON Data'!$E:$E,3),SUMIFS('ON Data'!O:O,'ON Data'!$E:$E,3))</f>
        <v>0</v>
      </c>
      <c r="L12" s="239">
        <f xml:space="preserve">
IF($A$4&lt;=12,SUMIFS('ON Data'!P:P,'ON Data'!$D:$D,$A$4,'ON Data'!$E:$E,3),SUMIFS('ON Data'!P:P,'ON Data'!$E:$E,3))</f>
        <v>0</v>
      </c>
      <c r="M12" s="239">
        <f xml:space="preserve">
IF($A$4&lt;=12,SUMIFS('ON Data'!Q:Q,'ON Data'!$D:$D,$A$4,'ON Data'!$E:$E,3),SUMIFS('ON Data'!Q:Q,'ON Data'!$E:$E,3))</f>
        <v>0</v>
      </c>
      <c r="N12" s="239">
        <f xml:space="preserve">
IF($A$4&lt;=12,SUMIFS('ON Data'!R:R,'ON Data'!$D:$D,$A$4,'ON Data'!$E:$E,3),SUMIFS('ON Data'!R:R,'ON Data'!$E:$E,3))</f>
        <v>0</v>
      </c>
      <c r="O12" s="239">
        <f xml:space="preserve">
IF($A$4&lt;=12,SUMIFS('ON Data'!S:S,'ON Data'!$D:$D,$A$4,'ON Data'!$E:$E,3),SUMIFS('ON Data'!S:S,'ON Data'!$E:$E,3))</f>
        <v>0</v>
      </c>
      <c r="P12" s="239">
        <f xml:space="preserve">
IF($A$4&lt;=12,SUMIFS('ON Data'!T:T,'ON Data'!$D:$D,$A$4,'ON Data'!$E:$E,3),SUMIFS('ON Data'!T:T,'ON Data'!$E:$E,3))</f>
        <v>0</v>
      </c>
      <c r="Q12" s="239">
        <f xml:space="preserve">
IF($A$4&lt;=12,SUMIFS('ON Data'!U:U,'ON Data'!$D:$D,$A$4,'ON Data'!$E:$E,3),SUMIFS('ON Data'!U:U,'ON Data'!$E:$E,3))</f>
        <v>0</v>
      </c>
      <c r="R12" s="239">
        <f xml:space="preserve">
IF($A$4&lt;=12,SUMIFS('ON Data'!V:V,'ON Data'!$D:$D,$A$4,'ON Data'!$E:$E,3),SUMIFS('ON Data'!V:V,'ON Data'!$E:$E,3))</f>
        <v>0</v>
      </c>
      <c r="S12" s="239">
        <f xml:space="preserve">
IF($A$4&lt;=12,SUMIFS('ON Data'!W:W,'ON Data'!$D:$D,$A$4,'ON Data'!$E:$E,3),SUMIFS('ON Data'!W:W,'ON Data'!$E:$E,3))</f>
        <v>0</v>
      </c>
      <c r="T12" s="239">
        <f xml:space="preserve">
IF($A$4&lt;=12,SUMIFS('ON Data'!X:X,'ON Data'!$D:$D,$A$4,'ON Data'!$E:$E,3),SUMIFS('ON Data'!X:X,'ON Data'!$E:$E,3))</f>
        <v>0</v>
      </c>
      <c r="U12" s="239">
        <f xml:space="preserve">
IF($A$4&lt;=12,SUMIFS('ON Data'!Y:Y,'ON Data'!$D:$D,$A$4,'ON Data'!$E:$E,3),SUMIFS('ON Data'!Y:Y,'ON Data'!$E:$E,3))</f>
        <v>0</v>
      </c>
      <c r="V12" s="239">
        <f xml:space="preserve">
IF($A$4&lt;=12,SUMIFS('ON Data'!Z:Z,'ON Data'!$D:$D,$A$4,'ON Data'!$E:$E,3),SUMIFS('ON Data'!Z:Z,'ON Data'!$E:$E,3))</f>
        <v>0</v>
      </c>
      <c r="W12" s="239">
        <f xml:space="preserve">
IF($A$4&lt;=12,SUMIFS('ON Data'!AA:AA,'ON Data'!$D:$D,$A$4,'ON Data'!$E:$E,3),SUMIFS('ON Data'!AA:AA,'ON Data'!$E:$E,3))</f>
        <v>0</v>
      </c>
      <c r="X12" s="239">
        <f xml:space="preserve">
IF($A$4&lt;=12,SUMIFS('ON Data'!AB:AB,'ON Data'!$D:$D,$A$4,'ON Data'!$E:$E,3),SUMIFS('ON Data'!AB:AB,'ON Data'!$E:$E,3))</f>
        <v>0</v>
      </c>
      <c r="Y12" s="239">
        <f xml:space="preserve">
IF($A$4&lt;=12,SUMIFS('ON Data'!AC:AC,'ON Data'!$D:$D,$A$4,'ON Data'!$E:$E,3),SUMIFS('ON Data'!AC:AC,'ON Data'!$E:$E,3))</f>
        <v>0</v>
      </c>
      <c r="Z12" s="239">
        <f xml:space="preserve">
IF($A$4&lt;=12,SUMIFS('ON Data'!AD:AD,'ON Data'!$D:$D,$A$4,'ON Data'!$E:$E,3),SUMIFS('ON Data'!AD:AD,'ON Data'!$E:$E,3))</f>
        <v>0</v>
      </c>
      <c r="AA12" s="239"/>
      <c r="AB12" s="239">
        <f xml:space="preserve">
IF($A$4&lt;=12,SUMIFS('ON Data'!AF:AF,'ON Data'!$D:$D,$A$4,'ON Data'!$E:$E,3),SUMIFS('ON Data'!AF:AF,'ON Data'!$E:$E,3))</f>
        <v>0</v>
      </c>
      <c r="AC12" s="239">
        <f xml:space="preserve">
IF($A$4&lt;=12,SUMIFS('ON Data'!AG:AG,'ON Data'!$D:$D,$A$4,'ON Data'!$E:$E,3),SUMIFS('ON Data'!AG:AG,'ON Data'!$E:$E,3))</f>
        <v>0</v>
      </c>
      <c r="AD12" s="239">
        <f xml:space="preserve">
IF($A$4&lt;=12,SUMIFS('ON Data'!AH:AH,'ON Data'!$D:$D,$A$4,'ON Data'!$E:$E,3),SUMIFS('ON Data'!AH:AH,'ON Data'!$E:$E,3))</f>
        <v>0</v>
      </c>
      <c r="AE12" s="239">
        <f xml:space="preserve">
IF($A$4&lt;=12,SUMIFS('ON Data'!AI:AI,'ON Data'!$D:$D,$A$4,'ON Data'!$E:$E,3),SUMIFS('ON Data'!AI:AI,'ON Data'!$E:$E,3))</f>
        <v>0</v>
      </c>
      <c r="AF12" s="239">
        <f xml:space="preserve">
IF($A$4&lt;=12,SUMIFS('ON Data'!AJ:AJ,'ON Data'!$D:$D,$A$4,'ON Data'!$E:$E,3),SUMIFS('ON Data'!AJ:AJ,'ON Data'!$E:$E,3))</f>
        <v>0</v>
      </c>
      <c r="AG12" s="239">
        <f xml:space="preserve">
IF($A$4&lt;=12,SUMIFS('ON Data'!AK:AK,'ON Data'!$D:$D,$A$4,'ON Data'!$E:$E,3),SUMIFS('ON Data'!AK:AK,'ON Data'!$E:$E,3))</f>
        <v>0</v>
      </c>
      <c r="AH12" s="239">
        <f xml:space="preserve">
IF($A$4&lt;=12,SUMIFS('ON Data'!AL:AL,'ON Data'!$D:$D,$A$4,'ON Data'!$E:$E,3),SUMIFS('ON Data'!AL:AL,'ON Data'!$E:$E,3))</f>
        <v>0</v>
      </c>
      <c r="AI12" s="239">
        <f xml:space="preserve">
IF($A$4&lt;=12,SUMIFS('ON Data'!AM:AM,'ON Data'!$D:$D,$A$4,'ON Data'!$E:$E,3),SUMIFS('ON Data'!AM:AM,'ON Data'!$E:$E,3))</f>
        <v>0</v>
      </c>
      <c r="AJ12" s="239">
        <f xml:space="preserve">
IF($A$4&lt;=12,SUMIFS('ON Data'!AN:AN,'ON Data'!$D:$D,$A$4,'ON Data'!$E:$E,3),SUMIFS('ON Data'!AN:AN,'ON Data'!$E:$E,3))</f>
        <v>0</v>
      </c>
      <c r="AK12" s="239">
        <f xml:space="preserve">
IF($A$4&lt;=12,SUMIFS('ON Data'!AO:AO,'ON Data'!$D:$D,$A$4,'ON Data'!$E:$E,3),SUMIFS('ON Data'!AO:AO,'ON Data'!$E:$E,3))</f>
        <v>0</v>
      </c>
      <c r="AL12" s="239">
        <f xml:space="preserve">
IF($A$4&lt;=12,SUMIFS('ON Data'!AP:AP,'ON Data'!$D:$D,$A$4,'ON Data'!$E:$E,3),SUMIFS('ON Data'!AP:AP,'ON Data'!$E:$E,3))</f>
        <v>0</v>
      </c>
      <c r="AM12" s="239">
        <f xml:space="preserve">
IF($A$4&lt;=12,SUMIFS('ON Data'!AQ:AQ,'ON Data'!$D:$D,$A$4,'ON Data'!$E:$E,3),SUMIFS('ON Data'!AQ:AQ,'ON Data'!$E:$E,3))</f>
        <v>0</v>
      </c>
      <c r="AN12" s="238">
        <f xml:space="preserve">
IF($A$4&lt;=12,SUMIFS('ON Data'!AR:AR,'ON Data'!$D:$D,$A$4,'ON Data'!$E:$E,3),SUMIFS('ON Data'!AR:AR,'ON Data'!$E:$E,3))</f>
        <v>0</v>
      </c>
      <c r="AO12" s="239">
        <f xml:space="preserve">
IF($A$4&lt;=12,SUMIFS('ON Data'!AS:AS,'ON Data'!$D:$D,$A$4,'ON Data'!$E:$E,3),SUMIFS('ON Data'!AS:AS,'ON Data'!$E:$E,3))</f>
        <v>0</v>
      </c>
      <c r="AP12" s="239">
        <f xml:space="preserve">
IF($A$4&lt;=12,SUMIFS('ON Data'!AT:AT,'ON Data'!$D:$D,$A$4,'ON Data'!$E:$E,3),SUMIFS('ON Data'!AT:AT,'ON Data'!$E:$E,3))</f>
        <v>0</v>
      </c>
      <c r="AQ12" s="239">
        <f xml:space="preserve">
IF($A$4&lt;=12,SUMIFS('ON Data'!AU:AU,'ON Data'!$D:$D,$A$4,'ON Data'!$E:$E,3),SUMIFS('ON Data'!AU:AU,'ON Data'!$E:$E,3))</f>
        <v>0</v>
      </c>
      <c r="AR12" s="239">
        <f xml:space="preserve">
IF($A$4&lt;=12,SUMIFS('ON Data'!AV:AV,'ON Data'!$D:$D,$A$4,'ON Data'!$E:$E,3),SUMIFS('ON Data'!AV:AV,'ON Data'!$E:$E,3))</f>
        <v>0</v>
      </c>
      <c r="AS12" s="512">
        <f xml:space="preserve">
IF($A$4&lt;=12,SUMIFS('ON Data'!AW:AW,'ON Data'!$D:$D,$A$4,'ON Data'!$E:$E,3),SUMIFS('ON Data'!AW:AW,'ON Data'!$E:$E,3))</f>
        <v>0</v>
      </c>
      <c r="AT12" s="521"/>
    </row>
    <row r="13" spans="1:46" x14ac:dyDescent="0.3">
      <c r="A13" s="220" t="s">
        <v>169</v>
      </c>
      <c r="B13" s="237">
        <f xml:space="preserve">
IF($A$4&lt;=12,SUMIFS('ON Data'!F:F,'ON Data'!$D:$D,$A$4,'ON Data'!$E:$E,4),SUMIFS('ON Data'!F:F,'ON Data'!$E:$E,4))</f>
        <v>0</v>
      </c>
      <c r="C13" s="238">
        <f xml:space="preserve">
IF($A$4&lt;=12,SUMIFS('ON Data'!G:G,'ON Data'!$D:$D,$A$4,'ON Data'!$E:$E,4),SUMIFS('ON Data'!G:G,'ON Data'!$E:$E,4))</f>
        <v>0</v>
      </c>
      <c r="D13" s="239">
        <f xml:space="preserve">
IF($A$4&lt;=12,SUMIFS('ON Data'!H:H,'ON Data'!$D:$D,$A$4,'ON Data'!$E:$E,4),SUMIFS('ON Data'!H:H,'ON Data'!$E:$E,4))</f>
        <v>0</v>
      </c>
      <c r="E13" s="239"/>
      <c r="F13" s="239">
        <f xml:space="preserve">
IF($A$4&lt;=12,SUMIFS('ON Data'!J:J,'ON Data'!$D:$D,$A$4,'ON Data'!$E:$E,4),SUMIFS('ON Data'!J:J,'ON Data'!$E:$E,4))</f>
        <v>0</v>
      </c>
      <c r="G13" s="239">
        <f xml:space="preserve">
IF($A$4&lt;=12,SUMIFS('ON Data'!K:K,'ON Data'!$D:$D,$A$4,'ON Data'!$E:$E,4),SUMIFS('ON Data'!K:K,'ON Data'!$E:$E,4))</f>
        <v>0</v>
      </c>
      <c r="H13" s="239">
        <f xml:space="preserve">
IF($A$4&lt;=12,SUMIFS('ON Data'!L:L,'ON Data'!$D:$D,$A$4,'ON Data'!$E:$E,4),SUMIFS('ON Data'!L:L,'ON Data'!$E:$E,4))</f>
        <v>0</v>
      </c>
      <c r="I13" s="239">
        <f xml:space="preserve">
IF($A$4&lt;=12,SUMIFS('ON Data'!M:M,'ON Data'!$D:$D,$A$4,'ON Data'!$E:$E,4),SUMIFS('ON Data'!M:M,'ON Data'!$E:$E,4))</f>
        <v>0</v>
      </c>
      <c r="J13" s="239">
        <f xml:space="preserve">
IF($A$4&lt;=12,SUMIFS('ON Data'!N:N,'ON Data'!$D:$D,$A$4,'ON Data'!$E:$E,4),SUMIFS('ON Data'!N:N,'ON Data'!$E:$E,4))</f>
        <v>0</v>
      </c>
      <c r="K13" s="239">
        <f xml:space="preserve">
IF($A$4&lt;=12,SUMIFS('ON Data'!O:O,'ON Data'!$D:$D,$A$4,'ON Data'!$E:$E,4),SUMIFS('ON Data'!O:O,'ON Data'!$E:$E,4))</f>
        <v>0</v>
      </c>
      <c r="L13" s="239">
        <f xml:space="preserve">
IF($A$4&lt;=12,SUMIFS('ON Data'!P:P,'ON Data'!$D:$D,$A$4,'ON Data'!$E:$E,4),SUMIFS('ON Data'!P:P,'ON Data'!$E:$E,4))</f>
        <v>0</v>
      </c>
      <c r="M13" s="239">
        <f xml:space="preserve">
IF($A$4&lt;=12,SUMIFS('ON Data'!Q:Q,'ON Data'!$D:$D,$A$4,'ON Data'!$E:$E,4),SUMIFS('ON Data'!Q:Q,'ON Data'!$E:$E,4))</f>
        <v>0</v>
      </c>
      <c r="N13" s="239">
        <f xml:space="preserve">
IF($A$4&lt;=12,SUMIFS('ON Data'!R:R,'ON Data'!$D:$D,$A$4,'ON Data'!$E:$E,4),SUMIFS('ON Data'!R:R,'ON Data'!$E:$E,4))</f>
        <v>0</v>
      </c>
      <c r="O13" s="239">
        <f xml:space="preserve">
IF($A$4&lt;=12,SUMIFS('ON Data'!S:S,'ON Data'!$D:$D,$A$4,'ON Data'!$E:$E,4),SUMIFS('ON Data'!S:S,'ON Data'!$E:$E,4))</f>
        <v>0</v>
      </c>
      <c r="P13" s="239">
        <f xml:space="preserve">
IF($A$4&lt;=12,SUMIFS('ON Data'!T:T,'ON Data'!$D:$D,$A$4,'ON Data'!$E:$E,4),SUMIFS('ON Data'!T:T,'ON Data'!$E:$E,4))</f>
        <v>0</v>
      </c>
      <c r="Q13" s="239">
        <f xml:space="preserve">
IF($A$4&lt;=12,SUMIFS('ON Data'!U:U,'ON Data'!$D:$D,$A$4,'ON Data'!$E:$E,4),SUMIFS('ON Data'!U:U,'ON Data'!$E:$E,4))</f>
        <v>0</v>
      </c>
      <c r="R13" s="239">
        <f xml:space="preserve">
IF($A$4&lt;=12,SUMIFS('ON Data'!V:V,'ON Data'!$D:$D,$A$4,'ON Data'!$E:$E,4),SUMIFS('ON Data'!V:V,'ON Data'!$E:$E,4))</f>
        <v>0</v>
      </c>
      <c r="S13" s="239">
        <f xml:space="preserve">
IF($A$4&lt;=12,SUMIFS('ON Data'!W:W,'ON Data'!$D:$D,$A$4,'ON Data'!$E:$E,4),SUMIFS('ON Data'!W:W,'ON Data'!$E:$E,4))</f>
        <v>0</v>
      </c>
      <c r="T13" s="239">
        <f xml:space="preserve">
IF($A$4&lt;=12,SUMIFS('ON Data'!X:X,'ON Data'!$D:$D,$A$4,'ON Data'!$E:$E,4),SUMIFS('ON Data'!X:X,'ON Data'!$E:$E,4))</f>
        <v>0</v>
      </c>
      <c r="U13" s="239">
        <f xml:space="preserve">
IF($A$4&lt;=12,SUMIFS('ON Data'!Y:Y,'ON Data'!$D:$D,$A$4,'ON Data'!$E:$E,4),SUMIFS('ON Data'!Y:Y,'ON Data'!$E:$E,4))</f>
        <v>0</v>
      </c>
      <c r="V13" s="239">
        <f xml:space="preserve">
IF($A$4&lt;=12,SUMIFS('ON Data'!Z:Z,'ON Data'!$D:$D,$A$4,'ON Data'!$E:$E,4),SUMIFS('ON Data'!Z:Z,'ON Data'!$E:$E,4))</f>
        <v>0</v>
      </c>
      <c r="W13" s="239">
        <f xml:space="preserve">
IF($A$4&lt;=12,SUMIFS('ON Data'!AA:AA,'ON Data'!$D:$D,$A$4,'ON Data'!$E:$E,4),SUMIFS('ON Data'!AA:AA,'ON Data'!$E:$E,4))</f>
        <v>0</v>
      </c>
      <c r="X13" s="239">
        <f xml:space="preserve">
IF($A$4&lt;=12,SUMIFS('ON Data'!AB:AB,'ON Data'!$D:$D,$A$4,'ON Data'!$E:$E,4),SUMIFS('ON Data'!AB:AB,'ON Data'!$E:$E,4))</f>
        <v>0</v>
      </c>
      <c r="Y13" s="239">
        <f xml:space="preserve">
IF($A$4&lt;=12,SUMIFS('ON Data'!AC:AC,'ON Data'!$D:$D,$A$4,'ON Data'!$E:$E,4),SUMIFS('ON Data'!AC:AC,'ON Data'!$E:$E,4))</f>
        <v>0</v>
      </c>
      <c r="Z13" s="239">
        <f xml:space="preserve">
IF($A$4&lt;=12,SUMIFS('ON Data'!AD:AD,'ON Data'!$D:$D,$A$4,'ON Data'!$E:$E,4),SUMIFS('ON Data'!AD:AD,'ON Data'!$E:$E,4))</f>
        <v>0</v>
      </c>
      <c r="AA13" s="239"/>
      <c r="AB13" s="239">
        <f xml:space="preserve">
IF($A$4&lt;=12,SUMIFS('ON Data'!AF:AF,'ON Data'!$D:$D,$A$4,'ON Data'!$E:$E,4),SUMIFS('ON Data'!AF:AF,'ON Data'!$E:$E,4))</f>
        <v>0</v>
      </c>
      <c r="AC13" s="239">
        <f xml:space="preserve">
IF($A$4&lt;=12,SUMIFS('ON Data'!AG:AG,'ON Data'!$D:$D,$A$4,'ON Data'!$E:$E,4),SUMIFS('ON Data'!AG:AG,'ON Data'!$E:$E,4))</f>
        <v>0</v>
      </c>
      <c r="AD13" s="239">
        <f xml:space="preserve">
IF($A$4&lt;=12,SUMIFS('ON Data'!AH:AH,'ON Data'!$D:$D,$A$4,'ON Data'!$E:$E,4),SUMIFS('ON Data'!AH:AH,'ON Data'!$E:$E,4))</f>
        <v>0</v>
      </c>
      <c r="AE13" s="239">
        <f xml:space="preserve">
IF($A$4&lt;=12,SUMIFS('ON Data'!AI:AI,'ON Data'!$D:$D,$A$4,'ON Data'!$E:$E,4),SUMIFS('ON Data'!AI:AI,'ON Data'!$E:$E,4))</f>
        <v>0</v>
      </c>
      <c r="AF13" s="239">
        <f xml:space="preserve">
IF($A$4&lt;=12,SUMIFS('ON Data'!AJ:AJ,'ON Data'!$D:$D,$A$4,'ON Data'!$E:$E,4),SUMIFS('ON Data'!AJ:AJ,'ON Data'!$E:$E,4))</f>
        <v>0</v>
      </c>
      <c r="AG13" s="239">
        <f xml:space="preserve">
IF($A$4&lt;=12,SUMIFS('ON Data'!AK:AK,'ON Data'!$D:$D,$A$4,'ON Data'!$E:$E,4),SUMIFS('ON Data'!AK:AK,'ON Data'!$E:$E,4))</f>
        <v>0</v>
      </c>
      <c r="AH13" s="239">
        <f xml:space="preserve">
IF($A$4&lt;=12,SUMIFS('ON Data'!AL:AL,'ON Data'!$D:$D,$A$4,'ON Data'!$E:$E,4),SUMIFS('ON Data'!AL:AL,'ON Data'!$E:$E,4))</f>
        <v>0</v>
      </c>
      <c r="AI13" s="239">
        <f xml:space="preserve">
IF($A$4&lt;=12,SUMIFS('ON Data'!AM:AM,'ON Data'!$D:$D,$A$4,'ON Data'!$E:$E,4),SUMIFS('ON Data'!AM:AM,'ON Data'!$E:$E,4))</f>
        <v>0</v>
      </c>
      <c r="AJ13" s="239">
        <f xml:space="preserve">
IF($A$4&lt;=12,SUMIFS('ON Data'!AN:AN,'ON Data'!$D:$D,$A$4,'ON Data'!$E:$E,4),SUMIFS('ON Data'!AN:AN,'ON Data'!$E:$E,4))</f>
        <v>0</v>
      </c>
      <c r="AK13" s="239">
        <f xml:space="preserve">
IF($A$4&lt;=12,SUMIFS('ON Data'!AO:AO,'ON Data'!$D:$D,$A$4,'ON Data'!$E:$E,4),SUMIFS('ON Data'!AO:AO,'ON Data'!$E:$E,4))</f>
        <v>0</v>
      </c>
      <c r="AL13" s="239">
        <f xml:space="preserve">
IF($A$4&lt;=12,SUMIFS('ON Data'!AP:AP,'ON Data'!$D:$D,$A$4,'ON Data'!$E:$E,4),SUMIFS('ON Data'!AP:AP,'ON Data'!$E:$E,4))</f>
        <v>0</v>
      </c>
      <c r="AM13" s="239">
        <f xml:space="preserve">
IF($A$4&lt;=12,SUMIFS('ON Data'!AQ:AQ,'ON Data'!$D:$D,$A$4,'ON Data'!$E:$E,4),SUMIFS('ON Data'!AQ:AQ,'ON Data'!$E:$E,4))</f>
        <v>0</v>
      </c>
      <c r="AN13" s="238">
        <f xml:space="preserve">
IF($A$4&lt;=12,SUMIFS('ON Data'!AR:AR,'ON Data'!$D:$D,$A$4,'ON Data'!$E:$E,4),SUMIFS('ON Data'!AR:AR,'ON Data'!$E:$E,4))</f>
        <v>0</v>
      </c>
      <c r="AO13" s="239">
        <f xml:space="preserve">
IF($A$4&lt;=12,SUMIFS('ON Data'!AS:AS,'ON Data'!$D:$D,$A$4,'ON Data'!$E:$E,4),SUMIFS('ON Data'!AS:AS,'ON Data'!$E:$E,4))</f>
        <v>0</v>
      </c>
      <c r="AP13" s="239">
        <f xml:space="preserve">
IF($A$4&lt;=12,SUMIFS('ON Data'!AT:AT,'ON Data'!$D:$D,$A$4,'ON Data'!$E:$E,4),SUMIFS('ON Data'!AT:AT,'ON Data'!$E:$E,4))</f>
        <v>0</v>
      </c>
      <c r="AQ13" s="239">
        <f xml:space="preserve">
IF($A$4&lt;=12,SUMIFS('ON Data'!AU:AU,'ON Data'!$D:$D,$A$4,'ON Data'!$E:$E,4),SUMIFS('ON Data'!AU:AU,'ON Data'!$E:$E,4))</f>
        <v>0</v>
      </c>
      <c r="AR13" s="239">
        <f xml:space="preserve">
IF($A$4&lt;=12,SUMIFS('ON Data'!AV:AV,'ON Data'!$D:$D,$A$4,'ON Data'!$E:$E,4),SUMIFS('ON Data'!AV:AV,'ON Data'!$E:$E,4))</f>
        <v>0</v>
      </c>
      <c r="AS13" s="512">
        <f xml:space="preserve">
IF($A$4&lt;=12,SUMIFS('ON Data'!AW:AW,'ON Data'!$D:$D,$A$4,'ON Data'!$E:$E,4),SUMIFS('ON Data'!AW:AW,'ON Data'!$E:$E,4))</f>
        <v>0</v>
      </c>
      <c r="AT13" s="521"/>
    </row>
    <row r="14" spans="1:46" ht="15" thickBot="1" x14ac:dyDescent="0.35">
      <c r="A14" s="221" t="s">
        <v>163</v>
      </c>
      <c r="B14" s="241">
        <f xml:space="preserve">
IF($A$4&lt;=12,SUMIFS('ON Data'!F:F,'ON Data'!$D:$D,$A$4,'ON Data'!$E:$E,5),SUMIFS('ON Data'!F:F,'ON Data'!$E:$E,5))</f>
        <v>229.5</v>
      </c>
      <c r="C14" s="242">
        <f xml:space="preserve">
IF($A$4&lt;=12,SUMIFS('ON Data'!G:G,'ON Data'!$D:$D,$A$4,'ON Data'!$E:$E,5),SUMIFS('ON Data'!G:G,'ON Data'!$E:$E,5))</f>
        <v>0</v>
      </c>
      <c r="D14" s="243">
        <f xml:space="preserve">
IF($A$4&lt;=12,SUMIFS('ON Data'!H:H,'ON Data'!$D:$D,$A$4,'ON Data'!$E:$E,5),SUMIFS('ON Data'!H:H,'ON Data'!$E:$E,5))</f>
        <v>0</v>
      </c>
      <c r="E14" s="243"/>
      <c r="F14" s="243">
        <f xml:space="preserve">
IF($A$4&lt;=12,SUMIFS('ON Data'!J:J,'ON Data'!$D:$D,$A$4,'ON Data'!$E:$E,5),SUMIFS('ON Data'!J:J,'ON Data'!$E:$E,5))</f>
        <v>0</v>
      </c>
      <c r="G14" s="243">
        <f xml:space="preserve">
IF($A$4&lt;=12,SUMIFS('ON Data'!K:K,'ON Data'!$D:$D,$A$4,'ON Data'!$E:$E,5),SUMIFS('ON Data'!K:K,'ON Data'!$E:$E,5))</f>
        <v>0</v>
      </c>
      <c r="H14" s="243">
        <f xml:space="preserve">
IF($A$4&lt;=12,SUMIFS('ON Data'!L:L,'ON Data'!$D:$D,$A$4,'ON Data'!$E:$E,5),SUMIFS('ON Data'!L:L,'ON Data'!$E:$E,5))</f>
        <v>0</v>
      </c>
      <c r="I14" s="243">
        <f xml:space="preserve">
IF($A$4&lt;=12,SUMIFS('ON Data'!M:M,'ON Data'!$D:$D,$A$4,'ON Data'!$E:$E,5),SUMIFS('ON Data'!M:M,'ON Data'!$E:$E,5))</f>
        <v>145.5</v>
      </c>
      <c r="J14" s="243">
        <f xml:space="preserve">
IF($A$4&lt;=12,SUMIFS('ON Data'!N:N,'ON Data'!$D:$D,$A$4,'ON Data'!$E:$E,5),SUMIFS('ON Data'!N:N,'ON Data'!$E:$E,5))</f>
        <v>0</v>
      </c>
      <c r="K14" s="243">
        <f xml:space="preserve">
IF($A$4&lt;=12,SUMIFS('ON Data'!O:O,'ON Data'!$D:$D,$A$4,'ON Data'!$E:$E,5),SUMIFS('ON Data'!O:O,'ON Data'!$E:$E,5))</f>
        <v>0</v>
      </c>
      <c r="L14" s="243">
        <f xml:space="preserve">
IF($A$4&lt;=12,SUMIFS('ON Data'!P:P,'ON Data'!$D:$D,$A$4,'ON Data'!$E:$E,5),SUMIFS('ON Data'!P:P,'ON Data'!$E:$E,5))</f>
        <v>0</v>
      </c>
      <c r="M14" s="243">
        <f xml:space="preserve">
IF($A$4&lt;=12,SUMIFS('ON Data'!Q:Q,'ON Data'!$D:$D,$A$4,'ON Data'!$E:$E,5),SUMIFS('ON Data'!Q:Q,'ON Data'!$E:$E,5))</f>
        <v>0</v>
      </c>
      <c r="N14" s="243">
        <f xml:space="preserve">
IF($A$4&lt;=12,SUMIFS('ON Data'!R:R,'ON Data'!$D:$D,$A$4,'ON Data'!$E:$E,5),SUMIFS('ON Data'!R:R,'ON Data'!$E:$E,5))</f>
        <v>0</v>
      </c>
      <c r="O14" s="243">
        <f xml:space="preserve">
IF($A$4&lt;=12,SUMIFS('ON Data'!S:S,'ON Data'!$D:$D,$A$4,'ON Data'!$E:$E,5),SUMIFS('ON Data'!S:S,'ON Data'!$E:$E,5))</f>
        <v>0</v>
      </c>
      <c r="P14" s="243">
        <f xml:space="preserve">
IF($A$4&lt;=12,SUMIFS('ON Data'!T:T,'ON Data'!$D:$D,$A$4,'ON Data'!$E:$E,5),SUMIFS('ON Data'!T:T,'ON Data'!$E:$E,5))</f>
        <v>0</v>
      </c>
      <c r="Q14" s="243">
        <f xml:space="preserve">
IF($A$4&lt;=12,SUMIFS('ON Data'!U:U,'ON Data'!$D:$D,$A$4,'ON Data'!$E:$E,5),SUMIFS('ON Data'!U:U,'ON Data'!$E:$E,5))</f>
        <v>0</v>
      </c>
      <c r="R14" s="243">
        <f xml:space="preserve">
IF($A$4&lt;=12,SUMIFS('ON Data'!V:V,'ON Data'!$D:$D,$A$4,'ON Data'!$E:$E,5),SUMIFS('ON Data'!V:V,'ON Data'!$E:$E,5))</f>
        <v>0</v>
      </c>
      <c r="S14" s="243">
        <f xml:space="preserve">
IF($A$4&lt;=12,SUMIFS('ON Data'!W:W,'ON Data'!$D:$D,$A$4,'ON Data'!$E:$E,5),SUMIFS('ON Data'!W:W,'ON Data'!$E:$E,5))</f>
        <v>0</v>
      </c>
      <c r="T14" s="243">
        <f xml:space="preserve">
IF($A$4&lt;=12,SUMIFS('ON Data'!X:X,'ON Data'!$D:$D,$A$4,'ON Data'!$E:$E,5),SUMIFS('ON Data'!X:X,'ON Data'!$E:$E,5))</f>
        <v>0</v>
      </c>
      <c r="U14" s="243">
        <f xml:space="preserve">
IF($A$4&lt;=12,SUMIFS('ON Data'!Y:Y,'ON Data'!$D:$D,$A$4,'ON Data'!$E:$E,5),SUMIFS('ON Data'!Y:Y,'ON Data'!$E:$E,5))</f>
        <v>0</v>
      </c>
      <c r="V14" s="243">
        <f xml:space="preserve">
IF($A$4&lt;=12,SUMIFS('ON Data'!Z:Z,'ON Data'!$D:$D,$A$4,'ON Data'!$E:$E,5),SUMIFS('ON Data'!Z:Z,'ON Data'!$E:$E,5))</f>
        <v>0</v>
      </c>
      <c r="W14" s="243">
        <f xml:space="preserve">
IF($A$4&lt;=12,SUMIFS('ON Data'!AA:AA,'ON Data'!$D:$D,$A$4,'ON Data'!$E:$E,5),SUMIFS('ON Data'!AA:AA,'ON Data'!$E:$E,5))</f>
        <v>0</v>
      </c>
      <c r="X14" s="243">
        <f xml:space="preserve">
IF($A$4&lt;=12,SUMIFS('ON Data'!AB:AB,'ON Data'!$D:$D,$A$4,'ON Data'!$E:$E,5),SUMIFS('ON Data'!AB:AB,'ON Data'!$E:$E,5))</f>
        <v>0</v>
      </c>
      <c r="Y14" s="243">
        <f xml:space="preserve">
IF($A$4&lt;=12,SUMIFS('ON Data'!AC:AC,'ON Data'!$D:$D,$A$4,'ON Data'!$E:$E,5),SUMIFS('ON Data'!AC:AC,'ON Data'!$E:$E,5))</f>
        <v>0</v>
      </c>
      <c r="Z14" s="243">
        <f xml:space="preserve">
IF($A$4&lt;=12,SUMIFS('ON Data'!AD:AD,'ON Data'!$D:$D,$A$4,'ON Data'!$E:$E,5),SUMIFS('ON Data'!AD:AD,'ON Data'!$E:$E,5))</f>
        <v>0</v>
      </c>
      <c r="AA14" s="243"/>
      <c r="AB14" s="243">
        <f xml:space="preserve">
IF($A$4&lt;=12,SUMIFS('ON Data'!AF:AF,'ON Data'!$D:$D,$A$4,'ON Data'!$E:$E,5),SUMIFS('ON Data'!AF:AF,'ON Data'!$E:$E,5))</f>
        <v>0</v>
      </c>
      <c r="AC14" s="243">
        <f xml:space="preserve">
IF($A$4&lt;=12,SUMIFS('ON Data'!AG:AG,'ON Data'!$D:$D,$A$4,'ON Data'!$E:$E,5),SUMIFS('ON Data'!AG:AG,'ON Data'!$E:$E,5))</f>
        <v>0</v>
      </c>
      <c r="AD14" s="243">
        <f xml:space="preserve">
IF($A$4&lt;=12,SUMIFS('ON Data'!AH:AH,'ON Data'!$D:$D,$A$4,'ON Data'!$E:$E,5),SUMIFS('ON Data'!AH:AH,'ON Data'!$E:$E,5))</f>
        <v>0</v>
      </c>
      <c r="AE14" s="243">
        <f xml:space="preserve">
IF($A$4&lt;=12,SUMIFS('ON Data'!AI:AI,'ON Data'!$D:$D,$A$4,'ON Data'!$E:$E,5),SUMIFS('ON Data'!AI:AI,'ON Data'!$E:$E,5))</f>
        <v>0</v>
      </c>
      <c r="AF14" s="243">
        <f xml:space="preserve">
IF($A$4&lt;=12,SUMIFS('ON Data'!AJ:AJ,'ON Data'!$D:$D,$A$4,'ON Data'!$E:$E,5),SUMIFS('ON Data'!AJ:AJ,'ON Data'!$E:$E,5))</f>
        <v>0</v>
      </c>
      <c r="AG14" s="243">
        <f xml:space="preserve">
IF($A$4&lt;=12,SUMIFS('ON Data'!AK:AK,'ON Data'!$D:$D,$A$4,'ON Data'!$E:$E,5),SUMIFS('ON Data'!AK:AK,'ON Data'!$E:$E,5))</f>
        <v>0</v>
      </c>
      <c r="AH14" s="243">
        <f xml:space="preserve">
IF($A$4&lt;=12,SUMIFS('ON Data'!AL:AL,'ON Data'!$D:$D,$A$4,'ON Data'!$E:$E,5),SUMIFS('ON Data'!AL:AL,'ON Data'!$E:$E,5))</f>
        <v>0</v>
      </c>
      <c r="AI14" s="243">
        <f xml:space="preserve">
IF($A$4&lt;=12,SUMIFS('ON Data'!AM:AM,'ON Data'!$D:$D,$A$4,'ON Data'!$E:$E,5),SUMIFS('ON Data'!AM:AM,'ON Data'!$E:$E,5))</f>
        <v>0</v>
      </c>
      <c r="AJ14" s="243">
        <f xml:space="preserve">
IF($A$4&lt;=12,SUMIFS('ON Data'!AN:AN,'ON Data'!$D:$D,$A$4,'ON Data'!$E:$E,5),SUMIFS('ON Data'!AN:AN,'ON Data'!$E:$E,5))</f>
        <v>0</v>
      </c>
      <c r="AK14" s="243">
        <f xml:space="preserve">
IF($A$4&lt;=12,SUMIFS('ON Data'!AO:AO,'ON Data'!$D:$D,$A$4,'ON Data'!$E:$E,5),SUMIFS('ON Data'!AO:AO,'ON Data'!$E:$E,5))</f>
        <v>0</v>
      </c>
      <c r="AL14" s="243">
        <f xml:space="preserve">
IF($A$4&lt;=12,SUMIFS('ON Data'!AP:AP,'ON Data'!$D:$D,$A$4,'ON Data'!$E:$E,5),SUMIFS('ON Data'!AP:AP,'ON Data'!$E:$E,5))</f>
        <v>0</v>
      </c>
      <c r="AM14" s="243">
        <f xml:space="preserve">
IF($A$4&lt;=12,SUMIFS('ON Data'!AQ:AQ,'ON Data'!$D:$D,$A$4,'ON Data'!$E:$E,5),SUMIFS('ON Data'!AQ:AQ,'ON Data'!$E:$E,5))</f>
        <v>0</v>
      </c>
      <c r="AN14" s="242">
        <f xml:space="preserve">
IF($A$4&lt;=12,SUMIFS('ON Data'!AR:AR,'ON Data'!$D:$D,$A$4,'ON Data'!$E:$E,5),SUMIFS('ON Data'!AR:AR,'ON Data'!$E:$E,5))</f>
        <v>0</v>
      </c>
      <c r="AO14" s="243">
        <f xml:space="preserve">
IF($A$4&lt;=12,SUMIFS('ON Data'!AS:AS,'ON Data'!$D:$D,$A$4,'ON Data'!$E:$E,5),SUMIFS('ON Data'!AS:AS,'ON Data'!$E:$E,5))</f>
        <v>0</v>
      </c>
      <c r="AP14" s="243">
        <f xml:space="preserve">
IF($A$4&lt;=12,SUMIFS('ON Data'!AT:AT,'ON Data'!$D:$D,$A$4,'ON Data'!$E:$E,5),SUMIFS('ON Data'!AT:AT,'ON Data'!$E:$E,5))</f>
        <v>0</v>
      </c>
      <c r="AQ14" s="243">
        <f xml:space="preserve">
IF($A$4&lt;=12,SUMIFS('ON Data'!AU:AU,'ON Data'!$D:$D,$A$4,'ON Data'!$E:$E,5),SUMIFS('ON Data'!AU:AU,'ON Data'!$E:$E,5))</f>
        <v>0</v>
      </c>
      <c r="AR14" s="243">
        <f xml:space="preserve">
IF($A$4&lt;=12,SUMIFS('ON Data'!AV:AV,'ON Data'!$D:$D,$A$4,'ON Data'!$E:$E,5),SUMIFS('ON Data'!AV:AV,'ON Data'!$E:$E,5))</f>
        <v>0</v>
      </c>
      <c r="AS14" s="513">
        <f xml:space="preserve">
IF($A$4&lt;=12,SUMIFS('ON Data'!AW:AW,'ON Data'!$D:$D,$A$4,'ON Data'!$E:$E,5),SUMIFS('ON Data'!AW:AW,'ON Data'!$E:$E,5))</f>
        <v>0</v>
      </c>
      <c r="AT14" s="521"/>
    </row>
    <row r="15" spans="1:46" x14ac:dyDescent="0.3">
      <c r="A15" s="145" t="s">
        <v>173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301"/>
      <c r="AO15" s="247"/>
      <c r="AP15" s="247"/>
      <c r="AQ15" s="247"/>
      <c r="AR15" s="247"/>
      <c r="AS15" s="514"/>
      <c r="AT15" s="521"/>
    </row>
    <row r="16" spans="1:46" x14ac:dyDescent="0.3">
      <c r="A16" s="222" t="s">
        <v>164</v>
      </c>
      <c r="B16" s="237">
        <f xml:space="preserve">
IF($A$4&lt;=12,SUMIFS('ON Data'!F:F,'ON Data'!$D:$D,$A$4,'ON Data'!$E:$E,7),SUMIFS('ON Data'!F:F,'ON Data'!$E:$E,7))</f>
        <v>0</v>
      </c>
      <c r="C16" s="238">
        <f xml:space="preserve">
IF($A$4&lt;=12,SUMIFS('ON Data'!G:G,'ON Data'!$D:$D,$A$4,'ON Data'!$E:$E,7),SUMIFS('ON Data'!G:G,'ON Data'!$E:$E,7))</f>
        <v>0</v>
      </c>
      <c r="D16" s="239">
        <f xml:space="preserve">
IF($A$4&lt;=12,SUMIFS('ON Data'!H:H,'ON Data'!$D:$D,$A$4,'ON Data'!$E:$E,7),SUMIFS('ON Data'!H:H,'ON Data'!$E:$E,7))</f>
        <v>0</v>
      </c>
      <c r="E16" s="239"/>
      <c r="F16" s="239">
        <f xml:space="preserve">
IF($A$4&lt;=12,SUMIFS('ON Data'!J:J,'ON Data'!$D:$D,$A$4,'ON Data'!$E:$E,7),SUMIFS('ON Data'!J:J,'ON Data'!$E:$E,7))</f>
        <v>0</v>
      </c>
      <c r="G16" s="239">
        <f xml:space="preserve">
IF($A$4&lt;=12,SUMIFS('ON Data'!K:K,'ON Data'!$D:$D,$A$4,'ON Data'!$E:$E,7),SUMIFS('ON Data'!K:K,'ON Data'!$E:$E,7))</f>
        <v>0</v>
      </c>
      <c r="H16" s="239">
        <f xml:space="preserve">
IF($A$4&lt;=12,SUMIFS('ON Data'!L:L,'ON Data'!$D:$D,$A$4,'ON Data'!$E:$E,7),SUMIFS('ON Data'!L:L,'ON Data'!$E:$E,7))</f>
        <v>0</v>
      </c>
      <c r="I16" s="239">
        <f xml:space="preserve">
IF($A$4&lt;=12,SUMIFS('ON Data'!M:M,'ON Data'!$D:$D,$A$4,'ON Data'!$E:$E,7),SUMIFS('ON Data'!M:M,'ON Data'!$E:$E,7))</f>
        <v>0</v>
      </c>
      <c r="J16" s="239">
        <f xml:space="preserve">
IF($A$4&lt;=12,SUMIFS('ON Data'!N:N,'ON Data'!$D:$D,$A$4,'ON Data'!$E:$E,7),SUMIFS('ON Data'!N:N,'ON Data'!$E:$E,7))</f>
        <v>0</v>
      </c>
      <c r="K16" s="239">
        <f xml:space="preserve">
IF($A$4&lt;=12,SUMIFS('ON Data'!O:O,'ON Data'!$D:$D,$A$4,'ON Data'!$E:$E,7),SUMIFS('ON Data'!O:O,'ON Data'!$E:$E,7))</f>
        <v>0</v>
      </c>
      <c r="L16" s="239">
        <f xml:space="preserve">
IF($A$4&lt;=12,SUMIFS('ON Data'!P:P,'ON Data'!$D:$D,$A$4,'ON Data'!$E:$E,7),SUMIFS('ON Data'!P:P,'ON Data'!$E:$E,7))</f>
        <v>0</v>
      </c>
      <c r="M16" s="239">
        <f xml:space="preserve">
IF($A$4&lt;=12,SUMIFS('ON Data'!Q:Q,'ON Data'!$D:$D,$A$4,'ON Data'!$E:$E,7),SUMIFS('ON Data'!Q:Q,'ON Data'!$E:$E,7))</f>
        <v>0</v>
      </c>
      <c r="N16" s="239">
        <f xml:space="preserve">
IF($A$4&lt;=12,SUMIFS('ON Data'!R:R,'ON Data'!$D:$D,$A$4,'ON Data'!$E:$E,7),SUMIFS('ON Data'!R:R,'ON Data'!$E:$E,7))</f>
        <v>0</v>
      </c>
      <c r="O16" s="239">
        <f xml:space="preserve">
IF($A$4&lt;=12,SUMIFS('ON Data'!S:S,'ON Data'!$D:$D,$A$4,'ON Data'!$E:$E,7),SUMIFS('ON Data'!S:S,'ON Data'!$E:$E,7))</f>
        <v>0</v>
      </c>
      <c r="P16" s="239">
        <f xml:space="preserve">
IF($A$4&lt;=12,SUMIFS('ON Data'!T:T,'ON Data'!$D:$D,$A$4,'ON Data'!$E:$E,7),SUMIFS('ON Data'!T:T,'ON Data'!$E:$E,7))</f>
        <v>0</v>
      </c>
      <c r="Q16" s="239">
        <f xml:space="preserve">
IF($A$4&lt;=12,SUMIFS('ON Data'!U:U,'ON Data'!$D:$D,$A$4,'ON Data'!$E:$E,7),SUMIFS('ON Data'!U:U,'ON Data'!$E:$E,7))</f>
        <v>0</v>
      </c>
      <c r="R16" s="239">
        <f xml:space="preserve">
IF($A$4&lt;=12,SUMIFS('ON Data'!V:V,'ON Data'!$D:$D,$A$4,'ON Data'!$E:$E,7),SUMIFS('ON Data'!V:V,'ON Data'!$E:$E,7))</f>
        <v>0</v>
      </c>
      <c r="S16" s="239">
        <f xml:space="preserve">
IF($A$4&lt;=12,SUMIFS('ON Data'!W:W,'ON Data'!$D:$D,$A$4,'ON Data'!$E:$E,7),SUMIFS('ON Data'!W:W,'ON Data'!$E:$E,7))</f>
        <v>0</v>
      </c>
      <c r="T16" s="239">
        <f xml:space="preserve">
IF($A$4&lt;=12,SUMIFS('ON Data'!X:X,'ON Data'!$D:$D,$A$4,'ON Data'!$E:$E,7),SUMIFS('ON Data'!X:X,'ON Data'!$E:$E,7))</f>
        <v>0</v>
      </c>
      <c r="U16" s="239">
        <f xml:space="preserve">
IF($A$4&lt;=12,SUMIFS('ON Data'!Y:Y,'ON Data'!$D:$D,$A$4,'ON Data'!$E:$E,7),SUMIFS('ON Data'!Y:Y,'ON Data'!$E:$E,7))</f>
        <v>0</v>
      </c>
      <c r="V16" s="239">
        <f xml:space="preserve">
IF($A$4&lt;=12,SUMIFS('ON Data'!Z:Z,'ON Data'!$D:$D,$A$4,'ON Data'!$E:$E,7),SUMIFS('ON Data'!Z:Z,'ON Data'!$E:$E,7))</f>
        <v>0</v>
      </c>
      <c r="W16" s="239">
        <f xml:space="preserve">
IF($A$4&lt;=12,SUMIFS('ON Data'!AA:AA,'ON Data'!$D:$D,$A$4,'ON Data'!$E:$E,7),SUMIFS('ON Data'!AA:AA,'ON Data'!$E:$E,7))</f>
        <v>0</v>
      </c>
      <c r="X16" s="239">
        <f xml:space="preserve">
IF($A$4&lt;=12,SUMIFS('ON Data'!AB:AB,'ON Data'!$D:$D,$A$4,'ON Data'!$E:$E,7),SUMIFS('ON Data'!AB:AB,'ON Data'!$E:$E,7))</f>
        <v>0</v>
      </c>
      <c r="Y16" s="239">
        <f xml:space="preserve">
IF($A$4&lt;=12,SUMIFS('ON Data'!AC:AC,'ON Data'!$D:$D,$A$4,'ON Data'!$E:$E,7),SUMIFS('ON Data'!AC:AC,'ON Data'!$E:$E,7))</f>
        <v>0</v>
      </c>
      <c r="Z16" s="239">
        <f xml:space="preserve">
IF($A$4&lt;=12,SUMIFS('ON Data'!AD:AD,'ON Data'!$D:$D,$A$4,'ON Data'!$E:$E,7),SUMIFS('ON Data'!AD:AD,'ON Data'!$E:$E,7))</f>
        <v>0</v>
      </c>
      <c r="AA16" s="239"/>
      <c r="AB16" s="239">
        <f xml:space="preserve">
IF($A$4&lt;=12,SUMIFS('ON Data'!AF:AF,'ON Data'!$D:$D,$A$4,'ON Data'!$E:$E,7),SUMIFS('ON Data'!AF:AF,'ON Data'!$E:$E,7))</f>
        <v>0</v>
      </c>
      <c r="AC16" s="239">
        <f xml:space="preserve">
IF($A$4&lt;=12,SUMIFS('ON Data'!AG:AG,'ON Data'!$D:$D,$A$4,'ON Data'!$E:$E,7),SUMIFS('ON Data'!AG:AG,'ON Data'!$E:$E,7))</f>
        <v>0</v>
      </c>
      <c r="AD16" s="239">
        <f xml:space="preserve">
IF($A$4&lt;=12,SUMIFS('ON Data'!AH:AH,'ON Data'!$D:$D,$A$4,'ON Data'!$E:$E,7),SUMIFS('ON Data'!AH:AH,'ON Data'!$E:$E,7))</f>
        <v>0</v>
      </c>
      <c r="AE16" s="239">
        <f xml:space="preserve">
IF($A$4&lt;=12,SUMIFS('ON Data'!AI:AI,'ON Data'!$D:$D,$A$4,'ON Data'!$E:$E,7),SUMIFS('ON Data'!AI:AI,'ON Data'!$E:$E,7))</f>
        <v>0</v>
      </c>
      <c r="AF16" s="239">
        <f xml:space="preserve">
IF($A$4&lt;=12,SUMIFS('ON Data'!AJ:AJ,'ON Data'!$D:$D,$A$4,'ON Data'!$E:$E,7),SUMIFS('ON Data'!AJ:AJ,'ON Data'!$E:$E,7))</f>
        <v>0</v>
      </c>
      <c r="AG16" s="239">
        <f xml:space="preserve">
IF($A$4&lt;=12,SUMIFS('ON Data'!AK:AK,'ON Data'!$D:$D,$A$4,'ON Data'!$E:$E,7),SUMIFS('ON Data'!AK:AK,'ON Data'!$E:$E,7))</f>
        <v>0</v>
      </c>
      <c r="AH16" s="239">
        <f xml:space="preserve">
IF($A$4&lt;=12,SUMIFS('ON Data'!AL:AL,'ON Data'!$D:$D,$A$4,'ON Data'!$E:$E,7),SUMIFS('ON Data'!AL:AL,'ON Data'!$E:$E,7))</f>
        <v>0</v>
      </c>
      <c r="AI16" s="239">
        <f xml:space="preserve">
IF($A$4&lt;=12,SUMIFS('ON Data'!AM:AM,'ON Data'!$D:$D,$A$4,'ON Data'!$E:$E,7),SUMIFS('ON Data'!AM:AM,'ON Data'!$E:$E,7))</f>
        <v>0</v>
      </c>
      <c r="AJ16" s="239">
        <f xml:space="preserve">
IF($A$4&lt;=12,SUMIFS('ON Data'!AN:AN,'ON Data'!$D:$D,$A$4,'ON Data'!$E:$E,7),SUMIFS('ON Data'!AN:AN,'ON Data'!$E:$E,7))</f>
        <v>0</v>
      </c>
      <c r="AK16" s="239">
        <f xml:space="preserve">
IF($A$4&lt;=12,SUMIFS('ON Data'!AO:AO,'ON Data'!$D:$D,$A$4,'ON Data'!$E:$E,7),SUMIFS('ON Data'!AO:AO,'ON Data'!$E:$E,7))</f>
        <v>0</v>
      </c>
      <c r="AL16" s="239">
        <f xml:space="preserve">
IF($A$4&lt;=12,SUMIFS('ON Data'!AP:AP,'ON Data'!$D:$D,$A$4,'ON Data'!$E:$E,7),SUMIFS('ON Data'!AP:AP,'ON Data'!$E:$E,7))</f>
        <v>0</v>
      </c>
      <c r="AM16" s="239">
        <f xml:space="preserve">
IF($A$4&lt;=12,SUMIFS('ON Data'!AQ:AQ,'ON Data'!$D:$D,$A$4,'ON Data'!$E:$E,7),SUMIFS('ON Data'!AQ:AQ,'ON Data'!$E:$E,7))</f>
        <v>0</v>
      </c>
      <c r="AN16" s="238">
        <f xml:space="preserve">
IF($A$4&lt;=12,SUMIFS('ON Data'!AR:AR,'ON Data'!$D:$D,$A$4,'ON Data'!$E:$E,7),SUMIFS('ON Data'!AR:AR,'ON Data'!$E:$E,7))</f>
        <v>0</v>
      </c>
      <c r="AO16" s="239">
        <f xml:space="preserve">
IF($A$4&lt;=12,SUMIFS('ON Data'!AS:AS,'ON Data'!$D:$D,$A$4,'ON Data'!$E:$E,7),SUMIFS('ON Data'!AS:AS,'ON Data'!$E:$E,7))</f>
        <v>0</v>
      </c>
      <c r="AP16" s="239">
        <f xml:space="preserve">
IF($A$4&lt;=12,SUMIFS('ON Data'!AT:AT,'ON Data'!$D:$D,$A$4,'ON Data'!$E:$E,7),SUMIFS('ON Data'!AT:AT,'ON Data'!$E:$E,7))</f>
        <v>0</v>
      </c>
      <c r="AQ16" s="239">
        <f xml:space="preserve">
IF($A$4&lt;=12,SUMIFS('ON Data'!AU:AU,'ON Data'!$D:$D,$A$4,'ON Data'!$E:$E,7),SUMIFS('ON Data'!AU:AU,'ON Data'!$E:$E,7))</f>
        <v>0</v>
      </c>
      <c r="AR16" s="239">
        <f xml:space="preserve">
IF($A$4&lt;=12,SUMIFS('ON Data'!AV:AV,'ON Data'!$D:$D,$A$4,'ON Data'!$E:$E,7),SUMIFS('ON Data'!AV:AV,'ON Data'!$E:$E,7))</f>
        <v>0</v>
      </c>
      <c r="AS16" s="512">
        <f xml:space="preserve">
IF($A$4&lt;=12,SUMIFS('ON Data'!AW:AW,'ON Data'!$D:$D,$A$4,'ON Data'!$E:$E,7),SUMIFS('ON Data'!AW:AW,'ON Data'!$E:$E,7))</f>
        <v>0</v>
      </c>
      <c r="AT16" s="521"/>
    </row>
    <row r="17" spans="1:46" x14ac:dyDescent="0.3">
      <c r="A17" s="222" t="s">
        <v>165</v>
      </c>
      <c r="B17" s="237">
        <f xml:space="preserve">
IF($A$4&lt;=12,SUMIFS('ON Data'!F:F,'ON Data'!$D:$D,$A$4,'ON Data'!$E:$E,8),SUMIFS('ON Data'!F:F,'ON Data'!$E:$E,8))</f>
        <v>0</v>
      </c>
      <c r="C17" s="238">
        <f xml:space="preserve">
IF($A$4&lt;=12,SUMIFS('ON Data'!G:G,'ON Data'!$D:$D,$A$4,'ON Data'!$E:$E,8),SUMIFS('ON Data'!G:G,'ON Data'!$E:$E,8))</f>
        <v>0</v>
      </c>
      <c r="D17" s="239">
        <f xml:space="preserve">
IF($A$4&lt;=12,SUMIFS('ON Data'!H:H,'ON Data'!$D:$D,$A$4,'ON Data'!$E:$E,8),SUMIFS('ON Data'!H:H,'ON Data'!$E:$E,8))</f>
        <v>0</v>
      </c>
      <c r="E17" s="239"/>
      <c r="F17" s="239">
        <f xml:space="preserve">
IF($A$4&lt;=12,SUMIFS('ON Data'!J:J,'ON Data'!$D:$D,$A$4,'ON Data'!$E:$E,8),SUMIFS('ON Data'!J:J,'ON Data'!$E:$E,8))</f>
        <v>0</v>
      </c>
      <c r="G17" s="239">
        <f xml:space="preserve">
IF($A$4&lt;=12,SUMIFS('ON Data'!K:K,'ON Data'!$D:$D,$A$4,'ON Data'!$E:$E,8),SUMIFS('ON Data'!K:K,'ON Data'!$E:$E,8))</f>
        <v>0</v>
      </c>
      <c r="H17" s="239">
        <f xml:space="preserve">
IF($A$4&lt;=12,SUMIFS('ON Data'!L:L,'ON Data'!$D:$D,$A$4,'ON Data'!$E:$E,8),SUMIFS('ON Data'!L:L,'ON Data'!$E:$E,8))</f>
        <v>0</v>
      </c>
      <c r="I17" s="239">
        <f xml:space="preserve">
IF($A$4&lt;=12,SUMIFS('ON Data'!M:M,'ON Data'!$D:$D,$A$4,'ON Data'!$E:$E,8),SUMIFS('ON Data'!M:M,'ON Data'!$E:$E,8))</f>
        <v>0</v>
      </c>
      <c r="J17" s="239">
        <f xml:space="preserve">
IF($A$4&lt;=12,SUMIFS('ON Data'!N:N,'ON Data'!$D:$D,$A$4,'ON Data'!$E:$E,8),SUMIFS('ON Data'!N:N,'ON Data'!$E:$E,8))</f>
        <v>0</v>
      </c>
      <c r="K17" s="239">
        <f xml:space="preserve">
IF($A$4&lt;=12,SUMIFS('ON Data'!O:O,'ON Data'!$D:$D,$A$4,'ON Data'!$E:$E,8),SUMIFS('ON Data'!O:O,'ON Data'!$E:$E,8))</f>
        <v>0</v>
      </c>
      <c r="L17" s="239">
        <f xml:space="preserve">
IF($A$4&lt;=12,SUMIFS('ON Data'!P:P,'ON Data'!$D:$D,$A$4,'ON Data'!$E:$E,8),SUMIFS('ON Data'!P:P,'ON Data'!$E:$E,8))</f>
        <v>0</v>
      </c>
      <c r="M17" s="239">
        <f xml:space="preserve">
IF($A$4&lt;=12,SUMIFS('ON Data'!Q:Q,'ON Data'!$D:$D,$A$4,'ON Data'!$E:$E,8),SUMIFS('ON Data'!Q:Q,'ON Data'!$E:$E,8))</f>
        <v>0</v>
      </c>
      <c r="N17" s="239">
        <f xml:space="preserve">
IF($A$4&lt;=12,SUMIFS('ON Data'!R:R,'ON Data'!$D:$D,$A$4,'ON Data'!$E:$E,8),SUMIFS('ON Data'!R:R,'ON Data'!$E:$E,8))</f>
        <v>0</v>
      </c>
      <c r="O17" s="239">
        <f xml:space="preserve">
IF($A$4&lt;=12,SUMIFS('ON Data'!S:S,'ON Data'!$D:$D,$A$4,'ON Data'!$E:$E,8),SUMIFS('ON Data'!S:S,'ON Data'!$E:$E,8))</f>
        <v>0</v>
      </c>
      <c r="P17" s="239">
        <f xml:space="preserve">
IF($A$4&lt;=12,SUMIFS('ON Data'!T:T,'ON Data'!$D:$D,$A$4,'ON Data'!$E:$E,8),SUMIFS('ON Data'!T:T,'ON Data'!$E:$E,8))</f>
        <v>0</v>
      </c>
      <c r="Q17" s="239">
        <f xml:space="preserve">
IF($A$4&lt;=12,SUMIFS('ON Data'!U:U,'ON Data'!$D:$D,$A$4,'ON Data'!$E:$E,8),SUMIFS('ON Data'!U:U,'ON Data'!$E:$E,8))</f>
        <v>0</v>
      </c>
      <c r="R17" s="239">
        <f xml:space="preserve">
IF($A$4&lt;=12,SUMIFS('ON Data'!V:V,'ON Data'!$D:$D,$A$4,'ON Data'!$E:$E,8),SUMIFS('ON Data'!V:V,'ON Data'!$E:$E,8))</f>
        <v>0</v>
      </c>
      <c r="S17" s="239">
        <f xml:space="preserve">
IF($A$4&lt;=12,SUMIFS('ON Data'!W:W,'ON Data'!$D:$D,$A$4,'ON Data'!$E:$E,8),SUMIFS('ON Data'!W:W,'ON Data'!$E:$E,8))</f>
        <v>0</v>
      </c>
      <c r="T17" s="239">
        <f xml:space="preserve">
IF($A$4&lt;=12,SUMIFS('ON Data'!X:X,'ON Data'!$D:$D,$A$4,'ON Data'!$E:$E,8),SUMIFS('ON Data'!X:X,'ON Data'!$E:$E,8))</f>
        <v>0</v>
      </c>
      <c r="U17" s="239">
        <f xml:space="preserve">
IF($A$4&lt;=12,SUMIFS('ON Data'!Y:Y,'ON Data'!$D:$D,$A$4,'ON Data'!$E:$E,8),SUMIFS('ON Data'!Y:Y,'ON Data'!$E:$E,8))</f>
        <v>0</v>
      </c>
      <c r="V17" s="239">
        <f xml:space="preserve">
IF($A$4&lt;=12,SUMIFS('ON Data'!Z:Z,'ON Data'!$D:$D,$A$4,'ON Data'!$E:$E,8),SUMIFS('ON Data'!Z:Z,'ON Data'!$E:$E,8))</f>
        <v>0</v>
      </c>
      <c r="W17" s="239">
        <f xml:space="preserve">
IF($A$4&lt;=12,SUMIFS('ON Data'!AA:AA,'ON Data'!$D:$D,$A$4,'ON Data'!$E:$E,8),SUMIFS('ON Data'!AA:AA,'ON Data'!$E:$E,8))</f>
        <v>0</v>
      </c>
      <c r="X17" s="239">
        <f xml:space="preserve">
IF($A$4&lt;=12,SUMIFS('ON Data'!AB:AB,'ON Data'!$D:$D,$A$4,'ON Data'!$E:$E,8),SUMIFS('ON Data'!AB:AB,'ON Data'!$E:$E,8))</f>
        <v>0</v>
      </c>
      <c r="Y17" s="239">
        <f xml:space="preserve">
IF($A$4&lt;=12,SUMIFS('ON Data'!AC:AC,'ON Data'!$D:$D,$A$4,'ON Data'!$E:$E,8),SUMIFS('ON Data'!AC:AC,'ON Data'!$E:$E,8))</f>
        <v>0</v>
      </c>
      <c r="Z17" s="239">
        <f xml:space="preserve">
IF($A$4&lt;=12,SUMIFS('ON Data'!AD:AD,'ON Data'!$D:$D,$A$4,'ON Data'!$E:$E,8),SUMIFS('ON Data'!AD:AD,'ON Data'!$E:$E,8))</f>
        <v>0</v>
      </c>
      <c r="AA17" s="239"/>
      <c r="AB17" s="239">
        <f xml:space="preserve">
IF($A$4&lt;=12,SUMIFS('ON Data'!AF:AF,'ON Data'!$D:$D,$A$4,'ON Data'!$E:$E,8),SUMIFS('ON Data'!AF:AF,'ON Data'!$E:$E,8))</f>
        <v>0</v>
      </c>
      <c r="AC17" s="239">
        <f xml:space="preserve">
IF($A$4&lt;=12,SUMIFS('ON Data'!AG:AG,'ON Data'!$D:$D,$A$4,'ON Data'!$E:$E,8),SUMIFS('ON Data'!AG:AG,'ON Data'!$E:$E,8))</f>
        <v>0</v>
      </c>
      <c r="AD17" s="239">
        <f xml:space="preserve">
IF($A$4&lt;=12,SUMIFS('ON Data'!AH:AH,'ON Data'!$D:$D,$A$4,'ON Data'!$E:$E,8),SUMIFS('ON Data'!AH:AH,'ON Data'!$E:$E,8))</f>
        <v>0</v>
      </c>
      <c r="AE17" s="239">
        <f xml:space="preserve">
IF($A$4&lt;=12,SUMIFS('ON Data'!AI:AI,'ON Data'!$D:$D,$A$4,'ON Data'!$E:$E,8),SUMIFS('ON Data'!AI:AI,'ON Data'!$E:$E,8))</f>
        <v>0</v>
      </c>
      <c r="AF17" s="239">
        <f xml:space="preserve">
IF($A$4&lt;=12,SUMIFS('ON Data'!AJ:AJ,'ON Data'!$D:$D,$A$4,'ON Data'!$E:$E,8),SUMIFS('ON Data'!AJ:AJ,'ON Data'!$E:$E,8))</f>
        <v>0</v>
      </c>
      <c r="AG17" s="239">
        <f xml:space="preserve">
IF($A$4&lt;=12,SUMIFS('ON Data'!AK:AK,'ON Data'!$D:$D,$A$4,'ON Data'!$E:$E,8),SUMIFS('ON Data'!AK:AK,'ON Data'!$E:$E,8))</f>
        <v>0</v>
      </c>
      <c r="AH17" s="239">
        <f xml:space="preserve">
IF($A$4&lt;=12,SUMIFS('ON Data'!AL:AL,'ON Data'!$D:$D,$A$4,'ON Data'!$E:$E,8),SUMIFS('ON Data'!AL:AL,'ON Data'!$E:$E,8))</f>
        <v>0</v>
      </c>
      <c r="AI17" s="239">
        <f xml:space="preserve">
IF($A$4&lt;=12,SUMIFS('ON Data'!AM:AM,'ON Data'!$D:$D,$A$4,'ON Data'!$E:$E,8),SUMIFS('ON Data'!AM:AM,'ON Data'!$E:$E,8))</f>
        <v>0</v>
      </c>
      <c r="AJ17" s="239">
        <f xml:space="preserve">
IF($A$4&lt;=12,SUMIFS('ON Data'!AN:AN,'ON Data'!$D:$D,$A$4,'ON Data'!$E:$E,8),SUMIFS('ON Data'!AN:AN,'ON Data'!$E:$E,8))</f>
        <v>0</v>
      </c>
      <c r="AK17" s="239">
        <f xml:space="preserve">
IF($A$4&lt;=12,SUMIFS('ON Data'!AO:AO,'ON Data'!$D:$D,$A$4,'ON Data'!$E:$E,8),SUMIFS('ON Data'!AO:AO,'ON Data'!$E:$E,8))</f>
        <v>0</v>
      </c>
      <c r="AL17" s="239">
        <f xml:space="preserve">
IF($A$4&lt;=12,SUMIFS('ON Data'!AP:AP,'ON Data'!$D:$D,$A$4,'ON Data'!$E:$E,8),SUMIFS('ON Data'!AP:AP,'ON Data'!$E:$E,8))</f>
        <v>0</v>
      </c>
      <c r="AM17" s="239">
        <f xml:space="preserve">
IF($A$4&lt;=12,SUMIFS('ON Data'!AQ:AQ,'ON Data'!$D:$D,$A$4,'ON Data'!$E:$E,8),SUMIFS('ON Data'!AQ:AQ,'ON Data'!$E:$E,8))</f>
        <v>0</v>
      </c>
      <c r="AN17" s="238">
        <f xml:space="preserve">
IF($A$4&lt;=12,SUMIFS('ON Data'!AR:AR,'ON Data'!$D:$D,$A$4,'ON Data'!$E:$E,8),SUMIFS('ON Data'!AR:AR,'ON Data'!$E:$E,8))</f>
        <v>0</v>
      </c>
      <c r="AO17" s="239">
        <f xml:space="preserve">
IF($A$4&lt;=12,SUMIFS('ON Data'!AS:AS,'ON Data'!$D:$D,$A$4,'ON Data'!$E:$E,8),SUMIFS('ON Data'!AS:AS,'ON Data'!$E:$E,8))</f>
        <v>0</v>
      </c>
      <c r="AP17" s="239">
        <f xml:space="preserve">
IF($A$4&lt;=12,SUMIFS('ON Data'!AT:AT,'ON Data'!$D:$D,$A$4,'ON Data'!$E:$E,8),SUMIFS('ON Data'!AT:AT,'ON Data'!$E:$E,8))</f>
        <v>0</v>
      </c>
      <c r="AQ17" s="239">
        <f xml:space="preserve">
IF($A$4&lt;=12,SUMIFS('ON Data'!AU:AU,'ON Data'!$D:$D,$A$4,'ON Data'!$E:$E,8),SUMIFS('ON Data'!AU:AU,'ON Data'!$E:$E,8))</f>
        <v>0</v>
      </c>
      <c r="AR17" s="239">
        <f xml:space="preserve">
IF($A$4&lt;=12,SUMIFS('ON Data'!AV:AV,'ON Data'!$D:$D,$A$4,'ON Data'!$E:$E,8),SUMIFS('ON Data'!AV:AV,'ON Data'!$E:$E,8))</f>
        <v>0</v>
      </c>
      <c r="AS17" s="512">
        <f xml:space="preserve">
IF($A$4&lt;=12,SUMIFS('ON Data'!AW:AW,'ON Data'!$D:$D,$A$4,'ON Data'!$E:$E,8),SUMIFS('ON Data'!AW:AW,'ON Data'!$E:$E,8))</f>
        <v>0</v>
      </c>
      <c r="AT17" s="521"/>
    </row>
    <row r="18" spans="1:46" x14ac:dyDescent="0.3">
      <c r="A18" s="222" t="s">
        <v>166</v>
      </c>
      <c r="B18" s="237">
        <f xml:space="preserve">
B19-B16-B17</f>
        <v>15164</v>
      </c>
      <c r="C18" s="238">
        <f t="shared" ref="C18:I18" si="0" xml:space="preserve">
C19-C16-C17</f>
        <v>0</v>
      </c>
      <c r="D18" s="239">
        <f t="shared" si="0"/>
        <v>0</v>
      </c>
      <c r="E18" s="239"/>
      <c r="F18" s="239">
        <f t="shared" si="0"/>
        <v>0</v>
      </c>
      <c r="G18" s="239">
        <f t="shared" si="0"/>
        <v>0</v>
      </c>
      <c r="H18" s="239">
        <f t="shared" si="0"/>
        <v>0</v>
      </c>
      <c r="I18" s="239">
        <f t="shared" si="0"/>
        <v>3270</v>
      </c>
      <c r="J18" s="239">
        <f t="shared" ref="J18:AK18" si="1" xml:space="preserve">
J19-J16-J17</f>
        <v>1470</v>
      </c>
      <c r="K18" s="239">
        <f t="shared" si="1"/>
        <v>0</v>
      </c>
      <c r="L18" s="239">
        <f t="shared" si="1"/>
        <v>0</v>
      </c>
      <c r="M18" s="239">
        <f t="shared" si="1"/>
        <v>8624</v>
      </c>
      <c r="N18" s="239">
        <f t="shared" si="1"/>
        <v>0</v>
      </c>
      <c r="O18" s="239">
        <f t="shared" si="1"/>
        <v>0</v>
      </c>
      <c r="P18" s="239">
        <f t="shared" si="1"/>
        <v>0</v>
      </c>
      <c r="Q18" s="239">
        <f t="shared" si="1"/>
        <v>0</v>
      </c>
      <c r="R18" s="239">
        <f t="shared" si="1"/>
        <v>0</v>
      </c>
      <c r="S18" s="239">
        <f t="shared" si="1"/>
        <v>0</v>
      </c>
      <c r="T18" s="239">
        <f t="shared" si="1"/>
        <v>0</v>
      </c>
      <c r="U18" s="239">
        <f t="shared" si="1"/>
        <v>0</v>
      </c>
      <c r="V18" s="239">
        <f t="shared" si="1"/>
        <v>1800</v>
      </c>
      <c r="W18" s="239">
        <f t="shared" si="1"/>
        <v>0</v>
      </c>
      <c r="X18" s="239">
        <f t="shared" si="1"/>
        <v>0</v>
      </c>
      <c r="Y18" s="239">
        <f t="shared" si="1"/>
        <v>0</v>
      </c>
      <c r="Z18" s="239">
        <f t="shared" si="1"/>
        <v>0</v>
      </c>
      <c r="AA18" s="239"/>
      <c r="AB18" s="239">
        <f t="shared" si="1"/>
        <v>0</v>
      </c>
      <c r="AC18" s="239">
        <f t="shared" si="1"/>
        <v>0</v>
      </c>
      <c r="AD18" s="239">
        <f t="shared" si="1"/>
        <v>0</v>
      </c>
      <c r="AE18" s="239">
        <f t="shared" si="1"/>
        <v>0</v>
      </c>
      <c r="AF18" s="239">
        <f t="shared" si="1"/>
        <v>0</v>
      </c>
      <c r="AG18" s="239">
        <f t="shared" si="1"/>
        <v>0</v>
      </c>
      <c r="AH18" s="239">
        <f t="shared" si="1"/>
        <v>0</v>
      </c>
      <c r="AI18" s="239">
        <f t="shared" si="1"/>
        <v>0</v>
      </c>
      <c r="AJ18" s="239">
        <f t="shared" si="1"/>
        <v>0</v>
      </c>
      <c r="AK18" s="239">
        <f t="shared" si="1"/>
        <v>0</v>
      </c>
      <c r="AL18" s="239">
        <f t="shared" ref="AL18:AS18" si="2" xml:space="preserve">
AL19-AL16-AL17</f>
        <v>0</v>
      </c>
      <c r="AM18" s="239">
        <f t="shared" si="2"/>
        <v>0</v>
      </c>
      <c r="AN18" s="238">
        <f t="shared" si="2"/>
        <v>0</v>
      </c>
      <c r="AO18" s="239">
        <f t="shared" si="2"/>
        <v>0</v>
      </c>
      <c r="AP18" s="239">
        <f t="shared" si="2"/>
        <v>0</v>
      </c>
      <c r="AQ18" s="239">
        <f t="shared" si="2"/>
        <v>0</v>
      </c>
      <c r="AR18" s="239">
        <f t="shared" si="2"/>
        <v>0</v>
      </c>
      <c r="AS18" s="512">
        <f t="shared" si="2"/>
        <v>0</v>
      </c>
      <c r="AT18" s="521"/>
    </row>
    <row r="19" spans="1:46" ht="15" thickBot="1" x14ac:dyDescent="0.35">
      <c r="A19" s="223" t="s">
        <v>167</v>
      </c>
      <c r="B19" s="248">
        <f xml:space="preserve">
IF($A$4&lt;=12,SUMIFS('ON Data'!F:F,'ON Data'!$D:$D,$A$4,'ON Data'!$E:$E,9),SUMIFS('ON Data'!F:F,'ON Data'!$E:$E,9))</f>
        <v>15164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/>
      <c r="F19" s="250">
        <f xml:space="preserve">
IF($A$4&lt;=12,SUMIFS('ON Data'!J:J,'ON Data'!$D:$D,$A$4,'ON Data'!$E:$E,9),SUMIFS('ON Data'!J:J,'ON Data'!$E:$E,9))</f>
        <v>0</v>
      </c>
      <c r="G19" s="250">
        <f xml:space="preserve">
IF($A$4&lt;=12,SUMIFS('ON Data'!K:K,'ON Data'!$D:$D,$A$4,'ON Data'!$E:$E,9),SUMIFS('ON Data'!K:K,'ON Data'!$E:$E,9))</f>
        <v>0</v>
      </c>
      <c r="H19" s="250">
        <f xml:space="preserve">
IF($A$4&lt;=12,SUMIFS('ON Data'!L:L,'ON Data'!$D:$D,$A$4,'ON Data'!$E:$E,9),SUMIFS('ON Data'!L:L,'ON Data'!$E:$E,9))</f>
        <v>0</v>
      </c>
      <c r="I19" s="250">
        <f xml:space="preserve">
IF($A$4&lt;=12,SUMIFS('ON Data'!M:M,'ON Data'!$D:$D,$A$4,'ON Data'!$E:$E,9),SUMIFS('ON Data'!M:M,'ON Data'!$E:$E,9))</f>
        <v>3270</v>
      </c>
      <c r="J19" s="250">
        <f xml:space="preserve">
IF($A$4&lt;=12,SUMIFS('ON Data'!N:N,'ON Data'!$D:$D,$A$4,'ON Data'!$E:$E,9),SUMIFS('ON Data'!N:N,'ON Data'!$E:$E,9))</f>
        <v>1470</v>
      </c>
      <c r="K19" s="250">
        <f xml:space="preserve">
IF($A$4&lt;=12,SUMIFS('ON Data'!O:O,'ON Data'!$D:$D,$A$4,'ON Data'!$E:$E,9),SUMIFS('ON Data'!O:O,'ON Data'!$E:$E,9))</f>
        <v>0</v>
      </c>
      <c r="L19" s="250">
        <f xml:space="preserve">
IF($A$4&lt;=12,SUMIFS('ON Data'!P:P,'ON Data'!$D:$D,$A$4,'ON Data'!$E:$E,9),SUMIFS('ON Data'!P:P,'ON Data'!$E:$E,9))</f>
        <v>0</v>
      </c>
      <c r="M19" s="250">
        <f xml:space="preserve">
IF($A$4&lt;=12,SUMIFS('ON Data'!Q:Q,'ON Data'!$D:$D,$A$4,'ON Data'!$E:$E,9),SUMIFS('ON Data'!Q:Q,'ON Data'!$E:$E,9))</f>
        <v>8624</v>
      </c>
      <c r="N19" s="250">
        <f xml:space="preserve">
IF($A$4&lt;=12,SUMIFS('ON Data'!R:R,'ON Data'!$D:$D,$A$4,'ON Data'!$E:$E,9),SUMIFS('ON Data'!R:R,'ON Data'!$E:$E,9))</f>
        <v>0</v>
      </c>
      <c r="O19" s="250">
        <f xml:space="preserve">
IF($A$4&lt;=12,SUMIFS('ON Data'!S:S,'ON Data'!$D:$D,$A$4,'ON Data'!$E:$E,9),SUMIFS('ON Data'!S:S,'ON Data'!$E:$E,9))</f>
        <v>0</v>
      </c>
      <c r="P19" s="250">
        <f xml:space="preserve">
IF($A$4&lt;=12,SUMIFS('ON Data'!T:T,'ON Data'!$D:$D,$A$4,'ON Data'!$E:$E,9),SUMIFS('ON Data'!T:T,'ON Data'!$E:$E,9))</f>
        <v>0</v>
      </c>
      <c r="Q19" s="250">
        <f xml:space="preserve">
IF($A$4&lt;=12,SUMIFS('ON Data'!U:U,'ON Data'!$D:$D,$A$4,'ON Data'!$E:$E,9),SUMIFS('ON Data'!U:U,'ON Data'!$E:$E,9))</f>
        <v>0</v>
      </c>
      <c r="R19" s="250">
        <f xml:space="preserve">
IF($A$4&lt;=12,SUMIFS('ON Data'!V:V,'ON Data'!$D:$D,$A$4,'ON Data'!$E:$E,9),SUMIFS('ON Data'!V:V,'ON Data'!$E:$E,9))</f>
        <v>0</v>
      </c>
      <c r="S19" s="250">
        <f xml:space="preserve">
IF($A$4&lt;=12,SUMIFS('ON Data'!W:W,'ON Data'!$D:$D,$A$4,'ON Data'!$E:$E,9),SUMIFS('ON Data'!W:W,'ON Data'!$E:$E,9))</f>
        <v>0</v>
      </c>
      <c r="T19" s="250">
        <f xml:space="preserve">
IF($A$4&lt;=12,SUMIFS('ON Data'!X:X,'ON Data'!$D:$D,$A$4,'ON Data'!$E:$E,9),SUMIFS('ON Data'!X:X,'ON Data'!$E:$E,9))</f>
        <v>0</v>
      </c>
      <c r="U19" s="250">
        <f xml:space="preserve">
IF($A$4&lt;=12,SUMIFS('ON Data'!Y:Y,'ON Data'!$D:$D,$A$4,'ON Data'!$E:$E,9),SUMIFS('ON Data'!Y:Y,'ON Data'!$E:$E,9))</f>
        <v>0</v>
      </c>
      <c r="V19" s="250">
        <f xml:space="preserve">
IF($A$4&lt;=12,SUMIFS('ON Data'!Z:Z,'ON Data'!$D:$D,$A$4,'ON Data'!$E:$E,9),SUMIFS('ON Data'!Z:Z,'ON Data'!$E:$E,9))</f>
        <v>1800</v>
      </c>
      <c r="W19" s="250">
        <f xml:space="preserve">
IF($A$4&lt;=12,SUMIFS('ON Data'!AA:AA,'ON Data'!$D:$D,$A$4,'ON Data'!$E:$E,9),SUMIFS('ON Data'!AA:AA,'ON Data'!$E:$E,9))</f>
        <v>0</v>
      </c>
      <c r="X19" s="250">
        <f xml:space="preserve">
IF($A$4&lt;=12,SUMIFS('ON Data'!AB:AB,'ON Data'!$D:$D,$A$4,'ON Data'!$E:$E,9),SUMIFS('ON Data'!AB:AB,'ON Data'!$E:$E,9))</f>
        <v>0</v>
      </c>
      <c r="Y19" s="250">
        <f xml:space="preserve">
IF($A$4&lt;=12,SUMIFS('ON Data'!AC:AC,'ON Data'!$D:$D,$A$4,'ON Data'!$E:$E,9),SUMIFS('ON Data'!AC:AC,'ON Data'!$E:$E,9))</f>
        <v>0</v>
      </c>
      <c r="Z19" s="250">
        <f xml:space="preserve">
IF($A$4&lt;=12,SUMIFS('ON Data'!AD:AD,'ON Data'!$D:$D,$A$4,'ON Data'!$E:$E,9),SUMIFS('ON Data'!AD:AD,'ON Data'!$E:$E,9))</f>
        <v>0</v>
      </c>
      <c r="AA19" s="250"/>
      <c r="AB19" s="250">
        <f xml:space="preserve">
IF($A$4&lt;=12,SUMIFS('ON Data'!AF:AF,'ON Data'!$D:$D,$A$4,'ON Data'!$E:$E,9),SUMIFS('ON Data'!AF:AF,'ON Data'!$E:$E,9))</f>
        <v>0</v>
      </c>
      <c r="AC19" s="250">
        <f xml:space="preserve">
IF($A$4&lt;=12,SUMIFS('ON Data'!AG:AG,'ON Data'!$D:$D,$A$4,'ON Data'!$E:$E,9),SUMIFS('ON Data'!AG:AG,'ON Data'!$E:$E,9))</f>
        <v>0</v>
      </c>
      <c r="AD19" s="250">
        <f xml:space="preserve">
IF($A$4&lt;=12,SUMIFS('ON Data'!AH:AH,'ON Data'!$D:$D,$A$4,'ON Data'!$E:$E,9),SUMIFS('ON Data'!AH:AH,'ON Data'!$E:$E,9))</f>
        <v>0</v>
      </c>
      <c r="AE19" s="250">
        <f xml:space="preserve">
IF($A$4&lt;=12,SUMIFS('ON Data'!AI:AI,'ON Data'!$D:$D,$A$4,'ON Data'!$E:$E,9),SUMIFS('ON Data'!AI:AI,'ON Data'!$E:$E,9))</f>
        <v>0</v>
      </c>
      <c r="AF19" s="250">
        <f xml:space="preserve">
IF($A$4&lt;=12,SUMIFS('ON Data'!AJ:AJ,'ON Data'!$D:$D,$A$4,'ON Data'!$E:$E,9),SUMIFS('ON Data'!AJ:AJ,'ON Data'!$E:$E,9))</f>
        <v>0</v>
      </c>
      <c r="AG19" s="250">
        <f xml:space="preserve">
IF($A$4&lt;=12,SUMIFS('ON Data'!AK:AK,'ON Data'!$D:$D,$A$4,'ON Data'!$E:$E,9),SUMIFS('ON Data'!AK:AK,'ON Data'!$E:$E,9))</f>
        <v>0</v>
      </c>
      <c r="AH19" s="250">
        <f xml:space="preserve">
IF($A$4&lt;=12,SUMIFS('ON Data'!AL:AL,'ON Data'!$D:$D,$A$4,'ON Data'!$E:$E,9),SUMIFS('ON Data'!AL:AL,'ON Data'!$E:$E,9))</f>
        <v>0</v>
      </c>
      <c r="AI19" s="250">
        <f xml:space="preserve">
IF($A$4&lt;=12,SUMIFS('ON Data'!AM:AM,'ON Data'!$D:$D,$A$4,'ON Data'!$E:$E,9),SUMIFS('ON Data'!AM:AM,'ON Data'!$E:$E,9))</f>
        <v>0</v>
      </c>
      <c r="AJ19" s="250">
        <f xml:space="preserve">
IF($A$4&lt;=12,SUMIFS('ON Data'!AN:AN,'ON Data'!$D:$D,$A$4,'ON Data'!$E:$E,9),SUMIFS('ON Data'!AN:AN,'ON Data'!$E:$E,9))</f>
        <v>0</v>
      </c>
      <c r="AK19" s="250">
        <f xml:space="preserve">
IF($A$4&lt;=12,SUMIFS('ON Data'!AO:AO,'ON Data'!$D:$D,$A$4,'ON Data'!$E:$E,9),SUMIFS('ON Data'!AO:AO,'ON Data'!$E:$E,9))</f>
        <v>0</v>
      </c>
      <c r="AL19" s="250">
        <f xml:space="preserve">
IF($A$4&lt;=12,SUMIFS('ON Data'!AP:AP,'ON Data'!$D:$D,$A$4,'ON Data'!$E:$E,9),SUMIFS('ON Data'!AP:AP,'ON Data'!$E:$E,9))</f>
        <v>0</v>
      </c>
      <c r="AM19" s="250">
        <f xml:space="preserve">
IF($A$4&lt;=12,SUMIFS('ON Data'!AQ:AQ,'ON Data'!$D:$D,$A$4,'ON Data'!$E:$E,9),SUMIFS('ON Data'!AQ:AQ,'ON Data'!$E:$E,9))</f>
        <v>0</v>
      </c>
      <c r="AN19" s="249">
        <f xml:space="preserve">
IF($A$4&lt;=12,SUMIFS('ON Data'!AR:AR,'ON Data'!$D:$D,$A$4,'ON Data'!$E:$E,9),SUMIFS('ON Data'!AR:AR,'ON Data'!$E:$E,9))</f>
        <v>0</v>
      </c>
      <c r="AO19" s="250">
        <f xml:space="preserve">
IF($A$4&lt;=12,SUMIFS('ON Data'!AS:AS,'ON Data'!$D:$D,$A$4,'ON Data'!$E:$E,9),SUMIFS('ON Data'!AS:AS,'ON Data'!$E:$E,9))</f>
        <v>0</v>
      </c>
      <c r="AP19" s="250">
        <f xml:space="preserve">
IF($A$4&lt;=12,SUMIFS('ON Data'!AT:AT,'ON Data'!$D:$D,$A$4,'ON Data'!$E:$E,9),SUMIFS('ON Data'!AT:AT,'ON Data'!$E:$E,9))</f>
        <v>0</v>
      </c>
      <c r="AQ19" s="250">
        <f xml:space="preserve">
IF($A$4&lt;=12,SUMIFS('ON Data'!AU:AU,'ON Data'!$D:$D,$A$4,'ON Data'!$E:$E,9),SUMIFS('ON Data'!AU:AU,'ON Data'!$E:$E,9))</f>
        <v>0</v>
      </c>
      <c r="AR19" s="250">
        <f xml:space="preserve">
IF($A$4&lt;=12,SUMIFS('ON Data'!AV:AV,'ON Data'!$D:$D,$A$4,'ON Data'!$E:$E,9),SUMIFS('ON Data'!AV:AV,'ON Data'!$E:$E,9))</f>
        <v>0</v>
      </c>
      <c r="AS19" s="515">
        <f xml:space="preserve">
IF($A$4&lt;=12,SUMIFS('ON Data'!AW:AW,'ON Data'!$D:$D,$A$4,'ON Data'!$E:$E,9),SUMIFS('ON Data'!AW:AW,'ON Data'!$E:$E,9))</f>
        <v>0</v>
      </c>
      <c r="AT19" s="521"/>
    </row>
    <row r="20" spans="1:46" ht="15" collapsed="1" thickBot="1" x14ac:dyDescent="0.35">
      <c r="A20" s="224" t="s">
        <v>60</v>
      </c>
      <c r="B20" s="251">
        <f xml:space="preserve">
IF($A$4&lt;=12,SUMIFS('ON Data'!F:F,'ON Data'!$D:$D,$A$4,'ON Data'!$E:$E,6),SUMIFS('ON Data'!F:F,'ON Data'!$E:$E,6))</f>
        <v>3606582</v>
      </c>
      <c r="C20" s="252">
        <f xml:space="preserve">
IF($A$4&lt;=12,SUMIFS('ON Data'!G:G,'ON Data'!$D:$D,$A$4,'ON Data'!$E:$E,6),SUMIFS('ON Data'!G:G,'ON Data'!$E:$E,6))</f>
        <v>0</v>
      </c>
      <c r="D20" s="253">
        <f xml:space="preserve">
IF($A$4&lt;=12,SUMIFS('ON Data'!H:H,'ON Data'!$D:$D,$A$4,'ON Data'!$E:$E,6),SUMIFS('ON Data'!H:H,'ON Data'!$E:$E,6))</f>
        <v>29700</v>
      </c>
      <c r="E20" s="253"/>
      <c r="F20" s="253">
        <f xml:space="preserve">
IF($A$4&lt;=12,SUMIFS('ON Data'!J:J,'ON Data'!$D:$D,$A$4,'ON Data'!$E:$E,6),SUMIFS('ON Data'!J:J,'ON Data'!$E:$E,6))</f>
        <v>0</v>
      </c>
      <c r="G20" s="253">
        <f xml:space="preserve">
IF($A$4&lt;=12,SUMIFS('ON Data'!K:K,'ON Data'!$D:$D,$A$4,'ON Data'!$E:$E,6),SUMIFS('ON Data'!K:K,'ON Data'!$E:$E,6))</f>
        <v>0</v>
      </c>
      <c r="H20" s="253">
        <f xml:space="preserve">
IF($A$4&lt;=12,SUMIFS('ON Data'!L:L,'ON Data'!$D:$D,$A$4,'ON Data'!$E:$E,6),SUMIFS('ON Data'!L:L,'ON Data'!$E:$E,6))</f>
        <v>0</v>
      </c>
      <c r="I20" s="253">
        <f xml:space="preserve">
IF($A$4&lt;=12,SUMIFS('ON Data'!M:M,'ON Data'!$D:$D,$A$4,'ON Data'!$E:$E,6),SUMIFS('ON Data'!M:M,'ON Data'!$E:$E,6))</f>
        <v>311247</v>
      </c>
      <c r="J20" s="253">
        <f xml:space="preserve">
IF($A$4&lt;=12,SUMIFS('ON Data'!N:N,'ON Data'!$D:$D,$A$4,'ON Data'!$E:$E,6),SUMIFS('ON Data'!N:N,'ON Data'!$E:$E,6))</f>
        <v>830110</v>
      </c>
      <c r="K20" s="253">
        <f xml:space="preserve">
IF($A$4&lt;=12,SUMIFS('ON Data'!O:O,'ON Data'!$D:$D,$A$4,'ON Data'!$E:$E,6),SUMIFS('ON Data'!O:O,'ON Data'!$E:$E,6))</f>
        <v>0</v>
      </c>
      <c r="L20" s="253">
        <f xml:space="preserve">
IF($A$4&lt;=12,SUMIFS('ON Data'!P:P,'ON Data'!$D:$D,$A$4,'ON Data'!$E:$E,6),SUMIFS('ON Data'!P:P,'ON Data'!$E:$E,6))</f>
        <v>18536</v>
      </c>
      <c r="M20" s="253">
        <f xml:space="preserve">
IF($A$4&lt;=12,SUMIFS('ON Data'!Q:Q,'ON Data'!$D:$D,$A$4,'ON Data'!$E:$E,6),SUMIFS('ON Data'!Q:Q,'ON Data'!$E:$E,6))</f>
        <v>1182790</v>
      </c>
      <c r="N20" s="253">
        <f xml:space="preserve">
IF($A$4&lt;=12,SUMIFS('ON Data'!R:R,'ON Data'!$D:$D,$A$4,'ON Data'!$E:$E,6),SUMIFS('ON Data'!R:R,'ON Data'!$E:$E,6))</f>
        <v>493901</v>
      </c>
      <c r="O20" s="253">
        <f xml:space="preserve">
IF($A$4&lt;=12,SUMIFS('ON Data'!S:S,'ON Data'!$D:$D,$A$4,'ON Data'!$E:$E,6),SUMIFS('ON Data'!S:S,'ON Data'!$E:$E,6))</f>
        <v>0</v>
      </c>
      <c r="P20" s="253">
        <f xml:space="preserve">
IF($A$4&lt;=12,SUMIFS('ON Data'!T:T,'ON Data'!$D:$D,$A$4,'ON Data'!$E:$E,6),SUMIFS('ON Data'!T:T,'ON Data'!$E:$E,6))</f>
        <v>0</v>
      </c>
      <c r="Q20" s="253">
        <f xml:space="preserve">
IF($A$4&lt;=12,SUMIFS('ON Data'!U:U,'ON Data'!$D:$D,$A$4,'ON Data'!$E:$E,6),SUMIFS('ON Data'!U:U,'ON Data'!$E:$E,6))</f>
        <v>0</v>
      </c>
      <c r="R20" s="253">
        <f xml:space="preserve">
IF($A$4&lt;=12,SUMIFS('ON Data'!V:V,'ON Data'!$D:$D,$A$4,'ON Data'!$E:$E,6),SUMIFS('ON Data'!V:V,'ON Data'!$E:$E,6))</f>
        <v>0</v>
      </c>
      <c r="S20" s="253">
        <f xml:space="preserve">
IF($A$4&lt;=12,SUMIFS('ON Data'!W:W,'ON Data'!$D:$D,$A$4,'ON Data'!$E:$E,6),SUMIFS('ON Data'!W:W,'ON Data'!$E:$E,6))</f>
        <v>0</v>
      </c>
      <c r="T20" s="253">
        <f xml:space="preserve">
IF($A$4&lt;=12,SUMIFS('ON Data'!X:X,'ON Data'!$D:$D,$A$4,'ON Data'!$E:$E,6),SUMIFS('ON Data'!X:X,'ON Data'!$E:$E,6))</f>
        <v>0</v>
      </c>
      <c r="U20" s="253">
        <f xml:space="preserve">
IF($A$4&lt;=12,SUMIFS('ON Data'!Y:Y,'ON Data'!$D:$D,$A$4,'ON Data'!$E:$E,6),SUMIFS('ON Data'!Y:Y,'ON Data'!$E:$E,6))</f>
        <v>0</v>
      </c>
      <c r="V20" s="253">
        <f xml:space="preserve">
IF($A$4&lt;=12,SUMIFS('ON Data'!Z:Z,'ON Data'!$D:$D,$A$4,'ON Data'!$E:$E,6),SUMIFS('ON Data'!Z:Z,'ON Data'!$E:$E,6))</f>
        <v>695121</v>
      </c>
      <c r="W20" s="253">
        <f xml:space="preserve">
IF($A$4&lt;=12,SUMIFS('ON Data'!AA:AA,'ON Data'!$D:$D,$A$4,'ON Data'!$E:$E,6),SUMIFS('ON Data'!AA:AA,'ON Data'!$E:$E,6))</f>
        <v>0</v>
      </c>
      <c r="X20" s="253">
        <f xml:space="preserve">
IF($A$4&lt;=12,SUMIFS('ON Data'!AB:AB,'ON Data'!$D:$D,$A$4,'ON Data'!$E:$E,6),SUMIFS('ON Data'!AB:AB,'ON Data'!$E:$E,6))</f>
        <v>0</v>
      </c>
      <c r="Y20" s="253">
        <f xml:space="preserve">
IF($A$4&lt;=12,SUMIFS('ON Data'!AC:AC,'ON Data'!$D:$D,$A$4,'ON Data'!$E:$E,6),SUMIFS('ON Data'!AC:AC,'ON Data'!$E:$E,6))</f>
        <v>0</v>
      </c>
      <c r="Z20" s="253">
        <f xml:space="preserve">
IF($A$4&lt;=12,SUMIFS('ON Data'!AD:AD,'ON Data'!$D:$D,$A$4,'ON Data'!$E:$E,6),SUMIFS('ON Data'!AD:AD,'ON Data'!$E:$E,6))</f>
        <v>0</v>
      </c>
      <c r="AA20" s="253"/>
      <c r="AB20" s="253">
        <f xml:space="preserve">
IF($A$4&lt;=12,SUMIFS('ON Data'!AF:AF,'ON Data'!$D:$D,$A$4,'ON Data'!$E:$E,6),SUMIFS('ON Data'!AF:AF,'ON Data'!$E:$E,6))</f>
        <v>0</v>
      </c>
      <c r="AC20" s="253">
        <f xml:space="preserve">
IF($A$4&lt;=12,SUMIFS('ON Data'!AG:AG,'ON Data'!$D:$D,$A$4,'ON Data'!$E:$E,6),SUMIFS('ON Data'!AG:AG,'ON Data'!$E:$E,6))</f>
        <v>0</v>
      </c>
      <c r="AD20" s="253">
        <f xml:space="preserve">
IF($A$4&lt;=12,SUMIFS('ON Data'!AH:AH,'ON Data'!$D:$D,$A$4,'ON Data'!$E:$E,6),SUMIFS('ON Data'!AH:AH,'ON Data'!$E:$E,6))</f>
        <v>0</v>
      </c>
      <c r="AE20" s="253">
        <f xml:space="preserve">
IF($A$4&lt;=12,SUMIFS('ON Data'!AI:AI,'ON Data'!$D:$D,$A$4,'ON Data'!$E:$E,6),SUMIFS('ON Data'!AI:AI,'ON Data'!$E:$E,6))</f>
        <v>0</v>
      </c>
      <c r="AF20" s="253">
        <f xml:space="preserve">
IF($A$4&lt;=12,SUMIFS('ON Data'!AJ:AJ,'ON Data'!$D:$D,$A$4,'ON Data'!$E:$E,6),SUMIFS('ON Data'!AJ:AJ,'ON Data'!$E:$E,6))</f>
        <v>0</v>
      </c>
      <c r="AG20" s="253">
        <f xml:space="preserve">
IF($A$4&lt;=12,SUMIFS('ON Data'!AK:AK,'ON Data'!$D:$D,$A$4,'ON Data'!$E:$E,6),SUMIFS('ON Data'!AK:AK,'ON Data'!$E:$E,6))</f>
        <v>0</v>
      </c>
      <c r="AH20" s="253">
        <f xml:space="preserve">
IF($A$4&lt;=12,SUMIFS('ON Data'!AL:AL,'ON Data'!$D:$D,$A$4,'ON Data'!$E:$E,6),SUMIFS('ON Data'!AL:AL,'ON Data'!$E:$E,6))</f>
        <v>0</v>
      </c>
      <c r="AI20" s="253">
        <f xml:space="preserve">
IF($A$4&lt;=12,SUMIFS('ON Data'!AM:AM,'ON Data'!$D:$D,$A$4,'ON Data'!$E:$E,6),SUMIFS('ON Data'!AM:AM,'ON Data'!$E:$E,6))</f>
        <v>0</v>
      </c>
      <c r="AJ20" s="253">
        <f xml:space="preserve">
IF($A$4&lt;=12,SUMIFS('ON Data'!AN:AN,'ON Data'!$D:$D,$A$4,'ON Data'!$E:$E,6),SUMIFS('ON Data'!AN:AN,'ON Data'!$E:$E,6))</f>
        <v>0</v>
      </c>
      <c r="AK20" s="253">
        <f xml:space="preserve">
IF($A$4&lt;=12,SUMIFS('ON Data'!AO:AO,'ON Data'!$D:$D,$A$4,'ON Data'!$E:$E,6),SUMIFS('ON Data'!AO:AO,'ON Data'!$E:$E,6))</f>
        <v>0</v>
      </c>
      <c r="AL20" s="253">
        <f xml:space="preserve">
IF($A$4&lt;=12,SUMIFS('ON Data'!AP:AP,'ON Data'!$D:$D,$A$4,'ON Data'!$E:$E,6),SUMIFS('ON Data'!AP:AP,'ON Data'!$E:$E,6))</f>
        <v>0</v>
      </c>
      <c r="AM20" s="253">
        <f xml:space="preserve">
IF($A$4&lt;=12,SUMIFS('ON Data'!AQ:AQ,'ON Data'!$D:$D,$A$4,'ON Data'!$E:$E,6),SUMIFS('ON Data'!AQ:AQ,'ON Data'!$E:$E,6))</f>
        <v>0</v>
      </c>
      <c r="AN20" s="252">
        <f xml:space="preserve">
IF($A$4&lt;=12,SUMIFS('ON Data'!AR:AR,'ON Data'!$D:$D,$A$4,'ON Data'!$E:$E,6),SUMIFS('ON Data'!AR:AR,'ON Data'!$E:$E,6))</f>
        <v>0</v>
      </c>
      <c r="AO20" s="253">
        <f xml:space="preserve">
IF($A$4&lt;=12,SUMIFS('ON Data'!AS:AS,'ON Data'!$D:$D,$A$4,'ON Data'!$E:$E,6),SUMIFS('ON Data'!AS:AS,'ON Data'!$E:$E,6))</f>
        <v>0</v>
      </c>
      <c r="AP20" s="253">
        <f xml:space="preserve">
IF($A$4&lt;=12,SUMIFS('ON Data'!AT:AT,'ON Data'!$D:$D,$A$4,'ON Data'!$E:$E,6),SUMIFS('ON Data'!AT:AT,'ON Data'!$E:$E,6))</f>
        <v>0</v>
      </c>
      <c r="AQ20" s="253">
        <f xml:space="preserve">
IF($A$4&lt;=12,SUMIFS('ON Data'!AU:AU,'ON Data'!$D:$D,$A$4,'ON Data'!$E:$E,6),SUMIFS('ON Data'!AU:AU,'ON Data'!$E:$E,6))</f>
        <v>0</v>
      </c>
      <c r="AR20" s="253">
        <f xml:space="preserve">
IF($A$4&lt;=12,SUMIFS('ON Data'!AV:AV,'ON Data'!$D:$D,$A$4,'ON Data'!$E:$E,6),SUMIFS('ON Data'!AV:AV,'ON Data'!$E:$E,6))</f>
        <v>0</v>
      </c>
      <c r="AS20" s="516">
        <f xml:space="preserve">
IF($A$4&lt;=12,SUMIFS('ON Data'!AW:AW,'ON Data'!$D:$D,$A$4,'ON Data'!$E:$E,6),SUMIFS('ON Data'!AW:AW,'ON Data'!$E:$E,6))</f>
        <v>0</v>
      </c>
      <c r="AT20" s="521"/>
    </row>
    <row r="21" spans="1:46" ht="15" hidden="1" outlineLevel="1" thickBot="1" x14ac:dyDescent="0.35">
      <c r="A21" s="217" t="s">
        <v>92</v>
      </c>
      <c r="B21" s="237">
        <f xml:space="preserve">
IF($A$4&lt;=12,SUMIFS('ON Data'!F:F,'ON Data'!$D:$D,$A$4,'ON Data'!$E:$E,12),SUMIFS('ON Data'!F:F,'ON Data'!$E:$E,12))</f>
        <v>0</v>
      </c>
      <c r="C21" s="238">
        <f xml:space="preserve">
IF($A$4&lt;=12,SUMIFS('ON Data'!G:G,'ON Data'!$D:$D,$A$4,'ON Data'!$E:$E,12),SUMIFS('ON Data'!G:G,'ON Data'!$E:$E,12))</f>
        <v>0</v>
      </c>
      <c r="D21" s="239">
        <f xml:space="preserve">
IF($A$4&lt;=12,SUMIFS('ON Data'!H:H,'ON Data'!$D:$D,$A$4,'ON Data'!$E:$E,12),SUMIFS('ON Data'!H:H,'ON Data'!$E:$E,12))</f>
        <v>0</v>
      </c>
      <c r="E21" s="239"/>
      <c r="F21" s="239">
        <f xml:space="preserve">
IF($A$4&lt;=12,SUMIFS('ON Data'!J:J,'ON Data'!$D:$D,$A$4,'ON Data'!$E:$E,12),SUMIFS('ON Data'!J:J,'ON Data'!$E:$E,12))</f>
        <v>0</v>
      </c>
      <c r="G21" s="239">
        <f xml:space="preserve">
IF($A$4&lt;=12,SUMIFS('ON Data'!K:K,'ON Data'!$D:$D,$A$4,'ON Data'!$E:$E,12),SUMIFS('ON Data'!K:K,'ON Data'!$E:$E,12))</f>
        <v>0</v>
      </c>
      <c r="H21" s="239">
        <f xml:space="preserve">
IF($A$4&lt;=12,SUMIFS('ON Data'!L:L,'ON Data'!$D:$D,$A$4,'ON Data'!$E:$E,12),SUMIFS('ON Data'!L:L,'ON Data'!$E:$E,12))</f>
        <v>0</v>
      </c>
      <c r="I21" s="239">
        <f xml:space="preserve">
IF($A$4&lt;=12,SUMIFS('ON Data'!M:M,'ON Data'!$D:$D,$A$4,'ON Data'!$E:$E,12),SUMIFS('ON Data'!M:M,'ON Data'!$E:$E,12))</f>
        <v>0</v>
      </c>
      <c r="J21" s="239">
        <f xml:space="preserve">
IF($A$4&lt;=12,SUMIFS('ON Data'!N:N,'ON Data'!$D:$D,$A$4,'ON Data'!$E:$E,12),SUMIFS('ON Data'!N:N,'ON Data'!$E:$E,12))</f>
        <v>0</v>
      </c>
      <c r="K21" s="239">
        <f xml:space="preserve">
IF($A$4&lt;=12,SUMIFS('ON Data'!O:O,'ON Data'!$D:$D,$A$4,'ON Data'!$E:$E,12),SUMIFS('ON Data'!O:O,'ON Data'!$E:$E,12))</f>
        <v>0</v>
      </c>
      <c r="L21" s="239">
        <f xml:space="preserve">
IF($A$4&lt;=12,SUMIFS('ON Data'!P:P,'ON Data'!$D:$D,$A$4,'ON Data'!$E:$E,12),SUMIFS('ON Data'!P:P,'ON Data'!$E:$E,12))</f>
        <v>0</v>
      </c>
      <c r="M21" s="239">
        <f xml:space="preserve">
IF($A$4&lt;=12,SUMIFS('ON Data'!Q:Q,'ON Data'!$D:$D,$A$4,'ON Data'!$E:$E,12),SUMIFS('ON Data'!Q:Q,'ON Data'!$E:$E,12))</f>
        <v>0</v>
      </c>
      <c r="N21" s="239">
        <f xml:space="preserve">
IF($A$4&lt;=12,SUMIFS('ON Data'!R:R,'ON Data'!$D:$D,$A$4,'ON Data'!$E:$E,12),SUMIFS('ON Data'!R:R,'ON Data'!$E:$E,12))</f>
        <v>0</v>
      </c>
      <c r="O21" s="239">
        <f xml:space="preserve">
IF($A$4&lt;=12,SUMIFS('ON Data'!S:S,'ON Data'!$D:$D,$A$4,'ON Data'!$E:$E,12),SUMIFS('ON Data'!S:S,'ON Data'!$E:$E,12))</f>
        <v>0</v>
      </c>
      <c r="P21" s="239">
        <f xml:space="preserve">
IF($A$4&lt;=12,SUMIFS('ON Data'!T:T,'ON Data'!$D:$D,$A$4,'ON Data'!$E:$E,12),SUMIFS('ON Data'!T:T,'ON Data'!$E:$E,12))</f>
        <v>0</v>
      </c>
      <c r="Q21" s="239">
        <f xml:space="preserve">
IF($A$4&lt;=12,SUMIFS('ON Data'!U:U,'ON Data'!$D:$D,$A$4,'ON Data'!$E:$E,12),SUMIFS('ON Data'!U:U,'ON Data'!$E:$E,12))</f>
        <v>0</v>
      </c>
      <c r="R21" s="239">
        <f xml:space="preserve">
IF($A$4&lt;=12,SUMIFS('ON Data'!V:V,'ON Data'!$D:$D,$A$4,'ON Data'!$E:$E,12),SUMIFS('ON Data'!V:V,'ON Data'!$E:$E,12))</f>
        <v>0</v>
      </c>
      <c r="S21" s="239">
        <f xml:space="preserve">
IF($A$4&lt;=12,SUMIFS('ON Data'!W:W,'ON Data'!$D:$D,$A$4,'ON Data'!$E:$E,12),SUMIFS('ON Data'!W:W,'ON Data'!$E:$E,12))</f>
        <v>0</v>
      </c>
      <c r="T21" s="239">
        <f xml:space="preserve">
IF($A$4&lt;=12,SUMIFS('ON Data'!X:X,'ON Data'!$D:$D,$A$4,'ON Data'!$E:$E,12),SUMIFS('ON Data'!X:X,'ON Data'!$E:$E,12))</f>
        <v>0</v>
      </c>
      <c r="U21" s="239">
        <f xml:space="preserve">
IF($A$4&lt;=12,SUMIFS('ON Data'!Y:Y,'ON Data'!$D:$D,$A$4,'ON Data'!$E:$E,12),SUMIFS('ON Data'!Y:Y,'ON Data'!$E:$E,12))</f>
        <v>0</v>
      </c>
      <c r="V21" s="239">
        <f xml:space="preserve">
IF($A$4&lt;=12,SUMIFS('ON Data'!Z:Z,'ON Data'!$D:$D,$A$4,'ON Data'!$E:$E,12),SUMIFS('ON Data'!Z:Z,'ON Data'!$E:$E,12))</f>
        <v>0</v>
      </c>
      <c r="W21" s="239">
        <f xml:space="preserve">
IF($A$4&lt;=12,SUMIFS('ON Data'!AA:AA,'ON Data'!$D:$D,$A$4,'ON Data'!$E:$E,12),SUMIFS('ON Data'!AA:AA,'ON Data'!$E:$E,12))</f>
        <v>0</v>
      </c>
      <c r="X21" s="239">
        <f xml:space="preserve">
IF($A$4&lt;=12,SUMIFS('ON Data'!AB:AB,'ON Data'!$D:$D,$A$4,'ON Data'!$E:$E,12),SUMIFS('ON Data'!AB:AB,'ON Data'!$E:$E,12))</f>
        <v>0</v>
      </c>
      <c r="Y21" s="239">
        <f xml:space="preserve">
IF($A$4&lt;=12,SUMIFS('ON Data'!AC:AC,'ON Data'!$D:$D,$A$4,'ON Data'!$E:$E,12),SUMIFS('ON Data'!AC:AC,'ON Data'!$E:$E,12))</f>
        <v>0</v>
      </c>
      <c r="Z21" s="239">
        <f xml:space="preserve">
IF($A$4&lt;=12,SUMIFS('ON Data'!AD:AD,'ON Data'!$D:$D,$A$4,'ON Data'!$E:$E,12),SUMIFS('ON Data'!AD:AD,'ON Data'!$E:$E,12))</f>
        <v>0</v>
      </c>
      <c r="AA21" s="239"/>
      <c r="AB21" s="239">
        <f xml:space="preserve">
IF($A$4&lt;=12,SUMIFS('ON Data'!AF:AF,'ON Data'!$D:$D,$A$4,'ON Data'!$E:$E,12),SUMIFS('ON Data'!AF:AF,'ON Data'!$E:$E,12))</f>
        <v>0</v>
      </c>
      <c r="AC21" s="239">
        <f xml:space="preserve">
IF($A$4&lt;=12,SUMIFS('ON Data'!AG:AG,'ON Data'!$D:$D,$A$4,'ON Data'!$E:$E,12),SUMIFS('ON Data'!AG:AG,'ON Data'!$E:$E,12))</f>
        <v>0</v>
      </c>
      <c r="AD21" s="239">
        <f xml:space="preserve">
IF($A$4&lt;=12,SUMIFS('ON Data'!AH:AH,'ON Data'!$D:$D,$A$4,'ON Data'!$E:$E,12),SUMIFS('ON Data'!AH:AH,'ON Data'!$E:$E,12))</f>
        <v>0</v>
      </c>
      <c r="AE21" s="239">
        <f xml:space="preserve">
IF($A$4&lt;=12,SUMIFS('ON Data'!AI:AI,'ON Data'!$D:$D,$A$4,'ON Data'!$E:$E,12),SUMIFS('ON Data'!AI:AI,'ON Data'!$E:$E,12))</f>
        <v>0</v>
      </c>
      <c r="AF21" s="239">
        <f xml:space="preserve">
IF($A$4&lt;=12,SUMIFS('ON Data'!AJ:AJ,'ON Data'!$D:$D,$A$4,'ON Data'!$E:$E,12),SUMIFS('ON Data'!AJ:AJ,'ON Data'!$E:$E,12))</f>
        <v>0</v>
      </c>
      <c r="AG21" s="239">
        <f xml:space="preserve">
IF($A$4&lt;=12,SUMIFS('ON Data'!AK:AK,'ON Data'!$D:$D,$A$4,'ON Data'!$E:$E,12),SUMIFS('ON Data'!AK:AK,'ON Data'!$E:$E,12))</f>
        <v>0</v>
      </c>
      <c r="AH21" s="239">
        <f xml:space="preserve">
IF($A$4&lt;=12,SUMIFS('ON Data'!AL:AL,'ON Data'!$D:$D,$A$4,'ON Data'!$E:$E,12),SUMIFS('ON Data'!AL:AL,'ON Data'!$E:$E,12))</f>
        <v>0</v>
      </c>
      <c r="AI21" s="239">
        <f xml:space="preserve">
IF($A$4&lt;=12,SUMIFS('ON Data'!AM:AM,'ON Data'!$D:$D,$A$4,'ON Data'!$E:$E,12),SUMIFS('ON Data'!AM:AM,'ON Data'!$E:$E,12))</f>
        <v>0</v>
      </c>
      <c r="AJ21" s="239">
        <f xml:space="preserve">
IF($A$4&lt;=12,SUMIFS('ON Data'!AN:AN,'ON Data'!$D:$D,$A$4,'ON Data'!$E:$E,12),SUMIFS('ON Data'!AN:AN,'ON Data'!$E:$E,12))</f>
        <v>0</v>
      </c>
      <c r="AK21" s="239">
        <f xml:space="preserve">
IF($A$4&lt;=12,SUMIFS('ON Data'!AO:AO,'ON Data'!$D:$D,$A$4,'ON Data'!$E:$E,12),SUMIFS('ON Data'!AO:AO,'ON Data'!$E:$E,12))</f>
        <v>0</v>
      </c>
      <c r="AL21" s="239">
        <f xml:space="preserve">
IF($A$4&lt;=12,SUMIFS('ON Data'!AP:AP,'ON Data'!$D:$D,$A$4,'ON Data'!$E:$E,12),SUMIFS('ON Data'!AP:AP,'ON Data'!$E:$E,12))</f>
        <v>0</v>
      </c>
      <c r="AM21" s="240">
        <f xml:space="preserve">
IF($A$4&lt;=12,SUMIFS('ON Data'!AQ:AQ,'ON Data'!$D:$D,$A$4,'ON Data'!$E:$E,12),SUMIFS('ON Data'!AQ:AQ,'ON Data'!$E:$E,12))</f>
        <v>0</v>
      </c>
      <c r="AN21" s="312"/>
      <c r="AO21" s="312"/>
      <c r="AP21" s="312"/>
      <c r="AQ21" s="312"/>
      <c r="AR21" s="312"/>
      <c r="AS21" s="312"/>
      <c r="AT21" s="521"/>
    </row>
    <row r="22" spans="1:46" ht="15" hidden="1" outlineLevel="1" thickBot="1" x14ac:dyDescent="0.35">
      <c r="A22" s="217" t="s">
        <v>62</v>
      </c>
      <c r="B22" s="294" t="str">
        <f xml:space="preserve">
IF(OR(B21="",B21=0),"",B20/B21)</f>
        <v/>
      </c>
      <c r="C22" s="295" t="str">
        <f t="shared" ref="C22:I22" si="3" xml:space="preserve">
IF(OR(C21="",C21=0),"",C20/C21)</f>
        <v/>
      </c>
      <c r="D22" s="296" t="str">
        <f t="shared" si="3"/>
        <v/>
      </c>
      <c r="E22" s="296"/>
      <c r="F22" s="296" t="str">
        <f t="shared" si="3"/>
        <v/>
      </c>
      <c r="G22" s="296" t="str">
        <f t="shared" si="3"/>
        <v/>
      </c>
      <c r="H22" s="296" t="str">
        <f t="shared" si="3"/>
        <v/>
      </c>
      <c r="I22" s="296" t="str">
        <f t="shared" si="3"/>
        <v/>
      </c>
      <c r="J22" s="296" t="str">
        <f t="shared" ref="J22:AM22" si="4" xml:space="preserve">
IF(OR(J21="",J21=0),"",J20/J21)</f>
        <v/>
      </c>
      <c r="K22" s="296" t="str">
        <f t="shared" si="4"/>
        <v/>
      </c>
      <c r="L22" s="296" t="str">
        <f t="shared" si="4"/>
        <v/>
      </c>
      <c r="M22" s="296" t="str">
        <f t="shared" si="4"/>
        <v/>
      </c>
      <c r="N22" s="296" t="str">
        <f t="shared" si="4"/>
        <v/>
      </c>
      <c r="O22" s="296" t="str">
        <f t="shared" si="4"/>
        <v/>
      </c>
      <c r="P22" s="296" t="str">
        <f t="shared" si="4"/>
        <v/>
      </c>
      <c r="Q22" s="296" t="str">
        <f t="shared" si="4"/>
        <v/>
      </c>
      <c r="R22" s="296" t="str">
        <f t="shared" si="4"/>
        <v/>
      </c>
      <c r="S22" s="296" t="str">
        <f t="shared" si="4"/>
        <v/>
      </c>
      <c r="T22" s="296" t="str">
        <f t="shared" si="4"/>
        <v/>
      </c>
      <c r="U22" s="296" t="str">
        <f t="shared" si="4"/>
        <v/>
      </c>
      <c r="V22" s="296" t="str">
        <f t="shared" si="4"/>
        <v/>
      </c>
      <c r="W22" s="296" t="str">
        <f t="shared" si="4"/>
        <v/>
      </c>
      <c r="X22" s="296" t="str">
        <f t="shared" si="4"/>
        <v/>
      </c>
      <c r="Y22" s="296" t="str">
        <f t="shared" si="4"/>
        <v/>
      </c>
      <c r="Z22" s="296" t="str">
        <f t="shared" si="4"/>
        <v/>
      </c>
      <c r="AA22" s="296"/>
      <c r="AB22" s="296" t="str">
        <f t="shared" si="4"/>
        <v/>
      </c>
      <c r="AC22" s="296" t="str">
        <f t="shared" si="4"/>
        <v/>
      </c>
      <c r="AD22" s="296" t="str">
        <f t="shared" si="4"/>
        <v/>
      </c>
      <c r="AE22" s="296" t="str">
        <f t="shared" si="4"/>
        <v/>
      </c>
      <c r="AF22" s="296" t="str">
        <f t="shared" si="4"/>
        <v/>
      </c>
      <c r="AG22" s="296" t="str">
        <f t="shared" si="4"/>
        <v/>
      </c>
      <c r="AH22" s="296" t="str">
        <f t="shared" si="4"/>
        <v/>
      </c>
      <c r="AI22" s="296" t="str">
        <f t="shared" si="4"/>
        <v/>
      </c>
      <c r="AJ22" s="296" t="str">
        <f t="shared" si="4"/>
        <v/>
      </c>
      <c r="AK22" s="296" t="str">
        <f t="shared" si="4"/>
        <v/>
      </c>
      <c r="AL22" s="296" t="str">
        <f t="shared" si="4"/>
        <v/>
      </c>
      <c r="AM22" s="297" t="str">
        <f t="shared" si="4"/>
        <v/>
      </c>
      <c r="AN22" s="312"/>
      <c r="AO22" s="312"/>
      <c r="AP22" s="312"/>
      <c r="AQ22" s="312"/>
      <c r="AR22" s="312"/>
      <c r="AS22" s="312"/>
      <c r="AT22" s="521"/>
    </row>
    <row r="23" spans="1:46" ht="15" hidden="1" outlineLevel="1" thickBot="1" x14ac:dyDescent="0.35">
      <c r="A23" s="225" t="s">
        <v>55</v>
      </c>
      <c r="B23" s="241">
        <f xml:space="preserve">
IF(B21="","",B20-B21)</f>
        <v>3606582</v>
      </c>
      <c r="C23" s="242">
        <f t="shared" ref="C23:I23" si="5" xml:space="preserve">
IF(C21="","",C20-C21)</f>
        <v>0</v>
      </c>
      <c r="D23" s="243">
        <f t="shared" si="5"/>
        <v>29700</v>
      </c>
      <c r="E23" s="243"/>
      <c r="F23" s="243">
        <f t="shared" si="5"/>
        <v>0</v>
      </c>
      <c r="G23" s="243">
        <f t="shared" si="5"/>
        <v>0</v>
      </c>
      <c r="H23" s="243">
        <f t="shared" si="5"/>
        <v>0</v>
      </c>
      <c r="I23" s="243">
        <f t="shared" si="5"/>
        <v>311247</v>
      </c>
      <c r="J23" s="243">
        <f t="shared" ref="J23:AM23" si="6" xml:space="preserve">
IF(J21="","",J20-J21)</f>
        <v>830110</v>
      </c>
      <c r="K23" s="243">
        <f t="shared" si="6"/>
        <v>0</v>
      </c>
      <c r="L23" s="243">
        <f t="shared" si="6"/>
        <v>18536</v>
      </c>
      <c r="M23" s="243">
        <f t="shared" si="6"/>
        <v>1182790</v>
      </c>
      <c r="N23" s="243">
        <f t="shared" si="6"/>
        <v>493901</v>
      </c>
      <c r="O23" s="243">
        <f t="shared" si="6"/>
        <v>0</v>
      </c>
      <c r="P23" s="243">
        <f t="shared" si="6"/>
        <v>0</v>
      </c>
      <c r="Q23" s="243">
        <f t="shared" si="6"/>
        <v>0</v>
      </c>
      <c r="R23" s="243">
        <f t="shared" si="6"/>
        <v>0</v>
      </c>
      <c r="S23" s="243">
        <f t="shared" si="6"/>
        <v>0</v>
      </c>
      <c r="T23" s="243">
        <f t="shared" si="6"/>
        <v>0</v>
      </c>
      <c r="U23" s="243">
        <f t="shared" si="6"/>
        <v>0</v>
      </c>
      <c r="V23" s="243">
        <f t="shared" si="6"/>
        <v>695121</v>
      </c>
      <c r="W23" s="243">
        <f t="shared" si="6"/>
        <v>0</v>
      </c>
      <c r="X23" s="243">
        <f t="shared" si="6"/>
        <v>0</v>
      </c>
      <c r="Y23" s="243">
        <f t="shared" si="6"/>
        <v>0</v>
      </c>
      <c r="Z23" s="243">
        <f t="shared" si="6"/>
        <v>0</v>
      </c>
      <c r="AA23" s="243"/>
      <c r="AB23" s="243">
        <f t="shared" si="6"/>
        <v>0</v>
      </c>
      <c r="AC23" s="243">
        <f t="shared" si="6"/>
        <v>0</v>
      </c>
      <c r="AD23" s="243">
        <f t="shared" si="6"/>
        <v>0</v>
      </c>
      <c r="AE23" s="243">
        <f t="shared" si="6"/>
        <v>0</v>
      </c>
      <c r="AF23" s="243">
        <f t="shared" si="6"/>
        <v>0</v>
      </c>
      <c r="AG23" s="243">
        <f t="shared" si="6"/>
        <v>0</v>
      </c>
      <c r="AH23" s="243">
        <f t="shared" si="6"/>
        <v>0</v>
      </c>
      <c r="AI23" s="243">
        <f t="shared" si="6"/>
        <v>0</v>
      </c>
      <c r="AJ23" s="243">
        <f t="shared" si="6"/>
        <v>0</v>
      </c>
      <c r="AK23" s="243">
        <f t="shared" si="6"/>
        <v>0</v>
      </c>
      <c r="AL23" s="243">
        <f t="shared" si="6"/>
        <v>0</v>
      </c>
      <c r="AM23" s="244">
        <f t="shared" si="6"/>
        <v>0</v>
      </c>
      <c r="AN23" s="312"/>
      <c r="AO23" s="312"/>
      <c r="AP23" s="312"/>
      <c r="AQ23" s="312"/>
      <c r="AR23" s="312"/>
      <c r="AS23" s="312"/>
      <c r="AT23" s="521"/>
    </row>
    <row r="24" spans="1:46" x14ac:dyDescent="0.3">
      <c r="A24" s="219" t="s">
        <v>168</v>
      </c>
      <c r="B24" s="268" t="s">
        <v>3</v>
      </c>
      <c r="C24" s="522" t="s">
        <v>180</v>
      </c>
      <c r="D24" s="493"/>
      <c r="E24" s="494"/>
      <c r="F24" s="495" t="s">
        <v>266</v>
      </c>
      <c r="G24" s="496"/>
      <c r="H24" s="496"/>
      <c r="I24" s="496"/>
      <c r="J24" s="496"/>
      <c r="K24" s="496"/>
      <c r="L24" s="495" t="s">
        <v>179</v>
      </c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494"/>
      <c r="AE24" s="494"/>
      <c r="AF24" s="494"/>
      <c r="AG24" s="494"/>
      <c r="AH24" s="494"/>
      <c r="AI24" s="494"/>
      <c r="AJ24" s="494"/>
      <c r="AK24" s="494"/>
      <c r="AL24" s="494"/>
      <c r="AM24" s="494"/>
      <c r="AN24" s="494"/>
      <c r="AO24" s="494"/>
      <c r="AP24" s="494"/>
      <c r="AQ24" s="495" t="s">
        <v>267</v>
      </c>
      <c r="AR24" s="494"/>
      <c r="AS24" s="517"/>
      <c r="AT24" s="521"/>
    </row>
    <row r="25" spans="1:46" x14ac:dyDescent="0.3">
      <c r="A25" s="220" t="s">
        <v>60</v>
      </c>
      <c r="B25" s="237">
        <f xml:space="preserve">
SUM(C25:AS25)</f>
        <v>27799.98</v>
      </c>
      <c r="C25" s="523">
        <f xml:space="preserve">
IF($A$4&lt;=12,SUMIFS('ON Data'!$I:$I,'ON Data'!$D:$D,$A$4,'ON Data'!$E:$E,10),SUMIFS('ON Data'!$I:$I,'ON Data'!$E:$E,10))</f>
        <v>0</v>
      </c>
      <c r="D25" s="497"/>
      <c r="E25" s="498"/>
      <c r="F25" s="499">
        <f xml:space="preserve">
IF($A$4&lt;=12,SUMIFS('ON Data'!K:K,'ON Data'!$D:$D,$A$4,'ON Data'!$E:$E,10),SUMIFS('ON Data'!K:K,'ON Data'!$E:$E,10))</f>
        <v>0</v>
      </c>
      <c r="G25" s="498"/>
      <c r="H25" s="498"/>
      <c r="I25" s="498"/>
      <c r="J25" s="498"/>
      <c r="K25" s="498"/>
      <c r="L25" s="499">
        <f xml:space="preserve">
IF($A$4&lt;=12,SUMIFS('ON Data'!P:P,'ON Data'!$D:$D,$A$4,'ON Data'!$E:$E,10),SUMIFS('ON Data'!P:P,'ON Data'!$E:$E,10))</f>
        <v>27799.98</v>
      </c>
      <c r="M25" s="498"/>
      <c r="N25" s="498"/>
      <c r="O25" s="498"/>
      <c r="P25" s="498"/>
      <c r="Q25" s="498"/>
      <c r="R25" s="498"/>
      <c r="S25" s="498"/>
      <c r="T25" s="498"/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  <c r="AL25" s="498"/>
      <c r="AM25" s="498"/>
      <c r="AN25" s="498"/>
      <c r="AO25" s="498"/>
      <c r="AP25" s="498"/>
      <c r="AQ25" s="499">
        <f xml:space="preserve">
IF($A$4&lt;=12,SUMIFS('ON Data'!AW:AW,'ON Data'!$D:$D,$A$4,'ON Data'!$E:$E,10),SUMIFS('ON Data'!AW:AW,'ON Data'!$E:$E,10))</f>
        <v>0</v>
      </c>
      <c r="AR25" s="498"/>
      <c r="AS25" s="518"/>
      <c r="AT25" s="521"/>
    </row>
    <row r="26" spans="1:46" x14ac:dyDescent="0.3">
      <c r="A26" s="226" t="s">
        <v>178</v>
      </c>
      <c r="B26" s="248">
        <f xml:space="preserve">
SUM(C26:AS26)</f>
        <v>17167.194512405626</v>
      </c>
      <c r="C26" s="523">
        <f xml:space="preserve">
IF($A$4&lt;=12,SUMIFS('ON Data'!$I:$I,'ON Data'!$D:$D,$A$4,'ON Data'!$E:$E,11),SUMIFS('ON Data'!$I:$I,'ON Data'!$E:$E,11))</f>
        <v>0</v>
      </c>
      <c r="D26" s="497"/>
      <c r="E26" s="498"/>
      <c r="F26" s="499">
        <f xml:space="preserve">
IF($A$4&lt;=12,SUMIFS('ON Data'!K:K,'ON Data'!$D:$D,$A$4,'ON Data'!$E:$E,11),SUMIFS('ON Data'!K:K,'ON Data'!$E:$E,11))</f>
        <v>7167.1945124056247</v>
      </c>
      <c r="G26" s="498"/>
      <c r="H26" s="498"/>
      <c r="I26" s="498"/>
      <c r="J26" s="498"/>
      <c r="K26" s="498"/>
      <c r="L26" s="500">
        <f xml:space="preserve">
IF($A$4&lt;=12,SUMIFS('ON Data'!P:P,'ON Data'!$D:$D,$A$4,'ON Data'!$E:$E,11),SUMIFS('ON Data'!P:P,'ON Data'!$E:$E,11))</f>
        <v>10000</v>
      </c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1"/>
      <c r="X26" s="501"/>
      <c r="Y26" s="501"/>
      <c r="Z26" s="501"/>
      <c r="AA26" s="501"/>
      <c r="AB26" s="501"/>
      <c r="AC26" s="501"/>
      <c r="AD26" s="501"/>
      <c r="AE26" s="501"/>
      <c r="AF26" s="501"/>
      <c r="AG26" s="501"/>
      <c r="AH26" s="501"/>
      <c r="AI26" s="501"/>
      <c r="AJ26" s="501"/>
      <c r="AK26" s="501"/>
      <c r="AL26" s="501"/>
      <c r="AM26" s="501"/>
      <c r="AN26" s="501"/>
      <c r="AO26" s="501"/>
      <c r="AP26" s="501"/>
      <c r="AQ26" s="500">
        <f xml:space="preserve">
IF($A$4&lt;=12,SUMIFS('ON Data'!AW:AW,'ON Data'!$D:$D,$A$4,'ON Data'!$E:$E,11),SUMIFS('ON Data'!AW:AW,'ON Data'!$E:$E,11))</f>
        <v>0</v>
      </c>
      <c r="AR26" s="501"/>
      <c r="AS26" s="519"/>
      <c r="AT26" s="521"/>
    </row>
    <row r="27" spans="1:46" x14ac:dyDescent="0.3">
      <c r="A27" s="226" t="s">
        <v>62</v>
      </c>
      <c r="B27" s="269">
        <f xml:space="preserve">
IF(B26=0,0,B25/B26)</f>
        <v>1.619366517919439</v>
      </c>
      <c r="C27" s="524">
        <f xml:space="preserve">
IF(C26=0,0,C25/C26)</f>
        <v>0</v>
      </c>
      <c r="D27" s="497"/>
      <c r="E27" s="498"/>
      <c r="F27" s="502">
        <f xml:space="preserve">
IF(F26=0,0,F25/F26)</f>
        <v>0</v>
      </c>
      <c r="G27" s="498"/>
      <c r="H27" s="498"/>
      <c r="I27" s="498"/>
      <c r="J27" s="498"/>
      <c r="K27" s="498"/>
      <c r="L27" s="502">
        <f xml:space="preserve">
IF(L26=0,0,L25/L26)</f>
        <v>2.779998</v>
      </c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  <c r="AM27" s="498"/>
      <c r="AN27" s="498"/>
      <c r="AO27" s="498"/>
      <c r="AP27" s="498"/>
      <c r="AQ27" s="502">
        <f xml:space="preserve">
IF(AQ26=0,0,AQ25/AQ26)</f>
        <v>0</v>
      </c>
      <c r="AR27" s="498"/>
      <c r="AS27" s="518"/>
      <c r="AT27" s="521"/>
    </row>
    <row r="28" spans="1:46" ht="15" thickBot="1" x14ac:dyDescent="0.35">
      <c r="A28" s="226" t="s">
        <v>177</v>
      </c>
      <c r="B28" s="248">
        <f xml:space="preserve">
SUM(C28:AS28)</f>
        <v>-10632.785487594374</v>
      </c>
      <c r="C28" s="525">
        <f xml:space="preserve">
C26-C25</f>
        <v>0</v>
      </c>
      <c r="D28" s="503"/>
      <c r="E28" s="504"/>
      <c r="F28" s="505">
        <f xml:space="preserve">
F26-F25</f>
        <v>7167.1945124056247</v>
      </c>
      <c r="G28" s="504"/>
      <c r="H28" s="504"/>
      <c r="I28" s="504"/>
      <c r="J28" s="504"/>
      <c r="K28" s="504"/>
      <c r="L28" s="505">
        <f xml:space="preserve">
L26-L25</f>
        <v>-17799.98</v>
      </c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/>
      <c r="AB28" s="504"/>
      <c r="AC28" s="504"/>
      <c r="AD28" s="504"/>
      <c r="AE28" s="504"/>
      <c r="AF28" s="504"/>
      <c r="AG28" s="504"/>
      <c r="AH28" s="504"/>
      <c r="AI28" s="504"/>
      <c r="AJ28" s="504"/>
      <c r="AK28" s="504"/>
      <c r="AL28" s="504"/>
      <c r="AM28" s="504"/>
      <c r="AN28" s="504"/>
      <c r="AO28" s="504"/>
      <c r="AP28" s="504"/>
      <c r="AQ28" s="505">
        <f xml:space="preserve">
AQ26-AQ25</f>
        <v>0</v>
      </c>
      <c r="AR28" s="504"/>
      <c r="AS28" s="520"/>
      <c r="AT28" s="521"/>
    </row>
    <row r="29" spans="1:46" x14ac:dyDescent="0.3">
      <c r="A29" s="227"/>
      <c r="B29" s="227"/>
      <c r="C29" s="228"/>
      <c r="D29" s="227"/>
      <c r="E29" s="227"/>
      <c r="F29" s="227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7"/>
      <c r="AJ29" s="227"/>
      <c r="AK29" s="227"/>
      <c r="AL29" s="227"/>
      <c r="AM29" s="227"/>
    </row>
    <row r="30" spans="1:46" x14ac:dyDescent="0.3">
      <c r="A30" s="98" t="s">
        <v>134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33"/>
      <c r="AL30" s="133"/>
      <c r="AM30" s="133"/>
    </row>
    <row r="31" spans="1:46" x14ac:dyDescent="0.3">
      <c r="A31" s="99" t="s">
        <v>175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33"/>
      <c r="AL31" s="133"/>
      <c r="AM31" s="133"/>
    </row>
    <row r="32" spans="1:46" ht="14.4" customHeight="1" x14ac:dyDescent="0.3">
      <c r="A32" s="265" t="s">
        <v>172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</row>
    <row r="33" spans="1:1" x14ac:dyDescent="0.3">
      <c r="A33" s="267" t="s">
        <v>262</v>
      </c>
    </row>
    <row r="34" spans="1:1" x14ac:dyDescent="0.3">
      <c r="A34" s="267" t="s">
        <v>263</v>
      </c>
    </row>
    <row r="35" spans="1:1" x14ac:dyDescent="0.3">
      <c r="A35" s="267" t="s">
        <v>264</v>
      </c>
    </row>
    <row r="36" spans="1:1" x14ac:dyDescent="0.3">
      <c r="A36" s="267" t="s">
        <v>265</v>
      </c>
    </row>
    <row r="37" spans="1:1" x14ac:dyDescent="0.3">
      <c r="A37" s="267" t="s">
        <v>181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206"/>
  </cols>
  <sheetData>
    <row r="1" spans="1:49" x14ac:dyDescent="0.3">
      <c r="A1" s="206" t="s">
        <v>1075</v>
      </c>
    </row>
    <row r="2" spans="1:49" x14ac:dyDescent="0.3">
      <c r="A2" s="210" t="s">
        <v>268</v>
      </c>
    </row>
    <row r="3" spans="1:49" x14ac:dyDescent="0.3">
      <c r="A3" s="206" t="s">
        <v>140</v>
      </c>
      <c r="B3" s="231">
        <v>2017</v>
      </c>
      <c r="D3" s="207">
        <f>MAX(D5:D1048576)</f>
        <v>2</v>
      </c>
      <c r="F3" s="207">
        <f>SUMIF($E5:$E1048576,"&lt;10",F5:F1048576)</f>
        <v>3638652.05</v>
      </c>
      <c r="G3" s="207">
        <f t="shared" ref="G3:AW3" si="0">SUMIF($E5:$E1048576,"&lt;10",G5:G1048576)</f>
        <v>0</v>
      </c>
      <c r="H3" s="207">
        <f t="shared" si="0"/>
        <v>29990</v>
      </c>
      <c r="I3" s="207">
        <f t="shared" si="0"/>
        <v>45573</v>
      </c>
      <c r="J3" s="207">
        <f t="shared" si="0"/>
        <v>0</v>
      </c>
      <c r="K3" s="207">
        <f t="shared" si="0"/>
        <v>0</v>
      </c>
      <c r="L3" s="207">
        <f t="shared" si="0"/>
        <v>0</v>
      </c>
      <c r="M3" s="207">
        <f t="shared" si="0"/>
        <v>315983.55</v>
      </c>
      <c r="N3" s="207">
        <f t="shared" si="0"/>
        <v>833688.5</v>
      </c>
      <c r="O3" s="207">
        <f t="shared" si="0"/>
        <v>0</v>
      </c>
      <c r="P3" s="207">
        <f t="shared" si="0"/>
        <v>18672.8</v>
      </c>
      <c r="Q3" s="207">
        <f t="shared" si="0"/>
        <v>1197695.2</v>
      </c>
      <c r="R3" s="207">
        <f t="shared" si="0"/>
        <v>496031.6</v>
      </c>
      <c r="S3" s="207">
        <f t="shared" si="0"/>
        <v>0</v>
      </c>
      <c r="T3" s="207">
        <f t="shared" si="0"/>
        <v>0</v>
      </c>
      <c r="U3" s="207">
        <f t="shared" si="0"/>
        <v>0</v>
      </c>
      <c r="V3" s="207">
        <f t="shared" si="0"/>
        <v>0</v>
      </c>
      <c r="W3" s="207">
        <f t="shared" si="0"/>
        <v>0</v>
      </c>
      <c r="X3" s="207">
        <f t="shared" si="0"/>
        <v>0</v>
      </c>
      <c r="Y3" s="207">
        <f t="shared" si="0"/>
        <v>0</v>
      </c>
      <c r="Z3" s="207">
        <f t="shared" si="0"/>
        <v>701017.4</v>
      </c>
      <c r="AA3" s="207">
        <f t="shared" si="0"/>
        <v>0</v>
      </c>
      <c r="AB3" s="207">
        <f t="shared" si="0"/>
        <v>0</v>
      </c>
      <c r="AC3" s="207">
        <f t="shared" si="0"/>
        <v>0</v>
      </c>
      <c r="AD3" s="207">
        <f t="shared" si="0"/>
        <v>0</v>
      </c>
      <c r="AE3" s="207">
        <f t="shared" si="0"/>
        <v>0</v>
      </c>
      <c r="AF3" s="207">
        <f t="shared" si="0"/>
        <v>0</v>
      </c>
      <c r="AG3" s="207">
        <f t="shared" si="0"/>
        <v>0</v>
      </c>
      <c r="AH3" s="207">
        <f t="shared" si="0"/>
        <v>0</v>
      </c>
      <c r="AI3" s="207">
        <f t="shared" si="0"/>
        <v>0</v>
      </c>
      <c r="AJ3" s="207">
        <f t="shared" si="0"/>
        <v>0</v>
      </c>
      <c r="AK3" s="207">
        <f t="shared" si="0"/>
        <v>0</v>
      </c>
      <c r="AL3" s="207">
        <f t="shared" si="0"/>
        <v>0</v>
      </c>
      <c r="AM3" s="207">
        <f t="shared" si="0"/>
        <v>0</v>
      </c>
      <c r="AN3" s="207">
        <f t="shared" si="0"/>
        <v>0</v>
      </c>
      <c r="AO3" s="207">
        <f t="shared" si="0"/>
        <v>0</v>
      </c>
      <c r="AP3" s="207">
        <f t="shared" si="0"/>
        <v>0</v>
      </c>
      <c r="AQ3" s="207">
        <f t="shared" si="0"/>
        <v>0</v>
      </c>
      <c r="AR3" s="207">
        <f t="shared" si="0"/>
        <v>0</v>
      </c>
      <c r="AS3" s="207">
        <f t="shared" si="0"/>
        <v>0</v>
      </c>
      <c r="AT3" s="207">
        <f t="shared" si="0"/>
        <v>0</v>
      </c>
      <c r="AU3" s="207">
        <f t="shared" si="0"/>
        <v>0</v>
      </c>
      <c r="AV3" s="207">
        <f t="shared" si="0"/>
        <v>0</v>
      </c>
      <c r="AW3" s="207">
        <f t="shared" si="0"/>
        <v>0</v>
      </c>
    </row>
    <row r="4" spans="1:49" x14ac:dyDescent="0.3">
      <c r="A4" s="206" t="s">
        <v>141</v>
      </c>
      <c r="B4" s="231">
        <v>1</v>
      </c>
      <c r="C4" s="208" t="s">
        <v>5</v>
      </c>
      <c r="D4" s="209" t="s">
        <v>54</v>
      </c>
      <c r="E4" s="209" t="s">
        <v>139</v>
      </c>
      <c r="F4" s="209" t="s">
        <v>3</v>
      </c>
      <c r="G4" s="209">
        <v>0</v>
      </c>
      <c r="H4" s="209">
        <v>25</v>
      </c>
      <c r="I4" s="209">
        <v>30</v>
      </c>
      <c r="J4" s="209">
        <v>99</v>
      </c>
      <c r="K4" s="209">
        <v>100</v>
      </c>
      <c r="L4" s="209">
        <v>101</v>
      </c>
      <c r="M4" s="209">
        <v>102</v>
      </c>
      <c r="N4" s="209">
        <v>103</v>
      </c>
      <c r="O4" s="209">
        <v>203</v>
      </c>
      <c r="P4" s="209">
        <v>302</v>
      </c>
      <c r="Q4" s="209">
        <v>303</v>
      </c>
      <c r="R4" s="209">
        <v>304</v>
      </c>
      <c r="S4" s="209">
        <v>305</v>
      </c>
      <c r="T4" s="209">
        <v>306</v>
      </c>
      <c r="U4" s="209">
        <v>407</v>
      </c>
      <c r="V4" s="209">
        <v>408</v>
      </c>
      <c r="W4" s="209">
        <v>409</v>
      </c>
      <c r="X4" s="209">
        <v>410</v>
      </c>
      <c r="Y4" s="209">
        <v>415</v>
      </c>
      <c r="Z4" s="209">
        <v>416</v>
      </c>
      <c r="AA4" s="209">
        <v>418</v>
      </c>
      <c r="AB4" s="209">
        <v>419</v>
      </c>
      <c r="AC4" s="209">
        <v>420</v>
      </c>
      <c r="AD4" s="209">
        <v>421</v>
      </c>
      <c r="AE4" s="209">
        <v>422</v>
      </c>
      <c r="AF4" s="209">
        <v>520</v>
      </c>
      <c r="AG4" s="209">
        <v>521</v>
      </c>
      <c r="AH4" s="209">
        <v>522</v>
      </c>
      <c r="AI4" s="209">
        <v>523</v>
      </c>
      <c r="AJ4" s="209">
        <v>524</v>
      </c>
      <c r="AK4" s="209">
        <v>525</v>
      </c>
      <c r="AL4" s="209">
        <v>526</v>
      </c>
      <c r="AM4" s="209">
        <v>527</v>
      </c>
      <c r="AN4" s="209">
        <v>528</v>
      </c>
      <c r="AO4" s="209">
        <v>629</v>
      </c>
      <c r="AP4" s="209">
        <v>630</v>
      </c>
      <c r="AQ4" s="209">
        <v>636</v>
      </c>
      <c r="AR4" s="209">
        <v>637</v>
      </c>
      <c r="AS4" s="209">
        <v>640</v>
      </c>
      <c r="AT4" s="209">
        <v>642</v>
      </c>
      <c r="AU4" s="209">
        <v>743</v>
      </c>
      <c r="AV4" s="209">
        <v>745</v>
      </c>
      <c r="AW4" s="209">
        <v>746</v>
      </c>
    </row>
    <row r="5" spans="1:49" x14ac:dyDescent="0.3">
      <c r="A5" s="206" t="s">
        <v>142</v>
      </c>
      <c r="B5" s="231">
        <v>2</v>
      </c>
      <c r="C5" s="206">
        <v>24</v>
      </c>
      <c r="D5" s="206">
        <v>1</v>
      </c>
      <c r="E5" s="206">
        <v>1</v>
      </c>
      <c r="F5" s="206">
        <v>54.5</v>
      </c>
      <c r="G5" s="206">
        <v>0</v>
      </c>
      <c r="H5" s="206">
        <v>1</v>
      </c>
      <c r="I5" s="206">
        <v>0.95000000000000007</v>
      </c>
      <c r="J5" s="206">
        <v>0</v>
      </c>
      <c r="K5" s="206">
        <v>0</v>
      </c>
      <c r="L5" s="206">
        <v>0</v>
      </c>
      <c r="M5" s="206">
        <v>5</v>
      </c>
      <c r="N5" s="206">
        <v>6.65</v>
      </c>
      <c r="O5" s="206">
        <v>0</v>
      </c>
      <c r="P5" s="206">
        <v>0.4</v>
      </c>
      <c r="Q5" s="206">
        <v>20.6</v>
      </c>
      <c r="R5" s="206">
        <v>6.9</v>
      </c>
      <c r="S5" s="206">
        <v>0</v>
      </c>
      <c r="T5" s="206">
        <v>0</v>
      </c>
      <c r="U5" s="206">
        <v>0</v>
      </c>
      <c r="V5" s="206">
        <v>0</v>
      </c>
      <c r="W5" s="206">
        <v>0</v>
      </c>
      <c r="X5" s="206">
        <v>0</v>
      </c>
      <c r="Y5" s="206">
        <v>0</v>
      </c>
      <c r="Z5" s="206">
        <v>13</v>
      </c>
      <c r="AA5" s="206">
        <v>0</v>
      </c>
      <c r="AB5" s="206">
        <v>0</v>
      </c>
      <c r="AC5" s="206">
        <v>0</v>
      </c>
      <c r="AD5" s="206">
        <v>0</v>
      </c>
      <c r="AE5" s="206">
        <v>0</v>
      </c>
      <c r="AF5" s="206">
        <v>0</v>
      </c>
      <c r="AG5" s="206">
        <v>0</v>
      </c>
      <c r="AH5" s="206">
        <v>0</v>
      </c>
      <c r="AI5" s="206">
        <v>0</v>
      </c>
      <c r="AJ5" s="206">
        <v>0</v>
      </c>
      <c r="AK5" s="206">
        <v>0</v>
      </c>
      <c r="AL5" s="206">
        <v>0</v>
      </c>
      <c r="AM5" s="206">
        <v>0</v>
      </c>
      <c r="AN5" s="206">
        <v>0</v>
      </c>
      <c r="AO5" s="206">
        <v>0</v>
      </c>
      <c r="AP5" s="206">
        <v>0</v>
      </c>
      <c r="AQ5" s="206">
        <v>0</v>
      </c>
      <c r="AR5" s="206">
        <v>0</v>
      </c>
      <c r="AS5" s="206">
        <v>0</v>
      </c>
      <c r="AT5" s="206">
        <v>0</v>
      </c>
      <c r="AU5" s="206">
        <v>0</v>
      </c>
      <c r="AV5" s="206">
        <v>0</v>
      </c>
      <c r="AW5" s="206">
        <v>0</v>
      </c>
    </row>
    <row r="6" spans="1:49" x14ac:dyDescent="0.3">
      <c r="A6" s="206" t="s">
        <v>143</v>
      </c>
      <c r="B6" s="231">
        <v>3</v>
      </c>
      <c r="C6" s="206">
        <v>24</v>
      </c>
      <c r="D6" s="206">
        <v>1</v>
      </c>
      <c r="E6" s="206">
        <v>2</v>
      </c>
      <c r="F6" s="206">
        <v>8591.4000000000015</v>
      </c>
      <c r="G6" s="206">
        <v>0</v>
      </c>
      <c r="H6" s="206">
        <v>176</v>
      </c>
      <c r="I6" s="206">
        <v>161.30000000000001</v>
      </c>
      <c r="J6" s="206">
        <v>0</v>
      </c>
      <c r="K6" s="206">
        <v>0</v>
      </c>
      <c r="L6" s="206">
        <v>0</v>
      </c>
      <c r="M6" s="206">
        <v>661.3</v>
      </c>
      <c r="N6" s="206">
        <v>1124</v>
      </c>
      <c r="O6" s="206">
        <v>0</v>
      </c>
      <c r="P6" s="206">
        <v>72</v>
      </c>
      <c r="Q6" s="206">
        <v>3256</v>
      </c>
      <c r="R6" s="206">
        <v>1072.8000000000002</v>
      </c>
      <c r="S6" s="206">
        <v>0</v>
      </c>
      <c r="T6" s="206">
        <v>0</v>
      </c>
      <c r="U6" s="206">
        <v>0</v>
      </c>
      <c r="V6" s="206">
        <v>0</v>
      </c>
      <c r="W6" s="206">
        <v>0</v>
      </c>
      <c r="X6" s="206">
        <v>0</v>
      </c>
      <c r="Y6" s="206">
        <v>0</v>
      </c>
      <c r="Z6" s="206">
        <v>2068</v>
      </c>
      <c r="AA6" s="206">
        <v>0</v>
      </c>
      <c r="AB6" s="206">
        <v>0</v>
      </c>
      <c r="AC6" s="206">
        <v>0</v>
      </c>
      <c r="AD6" s="206">
        <v>0</v>
      </c>
      <c r="AE6" s="206">
        <v>0</v>
      </c>
      <c r="AF6" s="206">
        <v>0</v>
      </c>
      <c r="AG6" s="206">
        <v>0</v>
      </c>
      <c r="AH6" s="206">
        <v>0</v>
      </c>
      <c r="AI6" s="206">
        <v>0</v>
      </c>
      <c r="AJ6" s="206">
        <v>0</v>
      </c>
      <c r="AK6" s="206">
        <v>0</v>
      </c>
      <c r="AL6" s="206">
        <v>0</v>
      </c>
      <c r="AM6" s="206">
        <v>0</v>
      </c>
      <c r="AN6" s="206">
        <v>0</v>
      </c>
      <c r="AO6" s="206">
        <v>0</v>
      </c>
      <c r="AP6" s="206">
        <v>0</v>
      </c>
      <c r="AQ6" s="206">
        <v>0</v>
      </c>
      <c r="AR6" s="206">
        <v>0</v>
      </c>
      <c r="AS6" s="206">
        <v>0</v>
      </c>
      <c r="AT6" s="206">
        <v>0</v>
      </c>
      <c r="AU6" s="206">
        <v>0</v>
      </c>
      <c r="AV6" s="206">
        <v>0</v>
      </c>
      <c r="AW6" s="206">
        <v>0</v>
      </c>
    </row>
    <row r="7" spans="1:49" x14ac:dyDescent="0.3">
      <c r="A7" s="206" t="s">
        <v>144</v>
      </c>
      <c r="B7" s="231">
        <v>4</v>
      </c>
      <c r="C7" s="206">
        <v>24</v>
      </c>
      <c r="D7" s="206">
        <v>1</v>
      </c>
      <c r="E7" s="206">
        <v>5</v>
      </c>
      <c r="F7" s="206">
        <v>112.5</v>
      </c>
      <c r="G7" s="206">
        <v>0</v>
      </c>
      <c r="H7" s="206">
        <v>0</v>
      </c>
      <c r="I7" s="206">
        <v>44</v>
      </c>
      <c r="J7" s="206">
        <v>0</v>
      </c>
      <c r="K7" s="206">
        <v>0</v>
      </c>
      <c r="L7" s="206">
        <v>0</v>
      </c>
      <c r="M7" s="206">
        <v>68.5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  <c r="AH7" s="206">
        <v>0</v>
      </c>
      <c r="AI7" s="206">
        <v>0</v>
      </c>
      <c r="AJ7" s="206">
        <v>0</v>
      </c>
      <c r="AK7" s="206">
        <v>0</v>
      </c>
      <c r="AL7" s="206">
        <v>0</v>
      </c>
      <c r="AM7" s="206">
        <v>0</v>
      </c>
      <c r="AN7" s="206">
        <v>0</v>
      </c>
      <c r="AO7" s="206">
        <v>0</v>
      </c>
      <c r="AP7" s="206">
        <v>0</v>
      </c>
      <c r="AQ7" s="206">
        <v>0</v>
      </c>
      <c r="AR7" s="206">
        <v>0</v>
      </c>
      <c r="AS7" s="206">
        <v>0</v>
      </c>
      <c r="AT7" s="206">
        <v>0</v>
      </c>
      <c r="AU7" s="206">
        <v>0</v>
      </c>
      <c r="AV7" s="206">
        <v>0</v>
      </c>
      <c r="AW7" s="206">
        <v>0</v>
      </c>
    </row>
    <row r="8" spans="1:49" x14ac:dyDescent="0.3">
      <c r="A8" s="206" t="s">
        <v>145</v>
      </c>
      <c r="B8" s="231">
        <v>5</v>
      </c>
      <c r="C8" s="206">
        <v>24</v>
      </c>
      <c r="D8" s="206">
        <v>1</v>
      </c>
      <c r="E8" s="206">
        <v>6</v>
      </c>
      <c r="F8" s="206">
        <v>1773475</v>
      </c>
      <c r="G8" s="206">
        <v>0</v>
      </c>
      <c r="H8" s="206">
        <v>16690</v>
      </c>
      <c r="I8" s="206">
        <v>22810</v>
      </c>
      <c r="J8" s="206">
        <v>0</v>
      </c>
      <c r="K8" s="206">
        <v>0</v>
      </c>
      <c r="L8" s="206">
        <v>0</v>
      </c>
      <c r="M8" s="206">
        <v>154417</v>
      </c>
      <c r="N8" s="206">
        <v>411268</v>
      </c>
      <c r="O8" s="206">
        <v>0</v>
      </c>
      <c r="P8" s="206">
        <v>9268</v>
      </c>
      <c r="Q8" s="206">
        <v>588284</v>
      </c>
      <c r="R8" s="206">
        <v>235892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334846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  <c r="AH8" s="206">
        <v>0</v>
      </c>
      <c r="AI8" s="206">
        <v>0</v>
      </c>
      <c r="AJ8" s="206">
        <v>0</v>
      </c>
      <c r="AK8" s="206">
        <v>0</v>
      </c>
      <c r="AL8" s="206">
        <v>0</v>
      </c>
      <c r="AM8" s="206">
        <v>0</v>
      </c>
      <c r="AN8" s="206">
        <v>0</v>
      </c>
      <c r="AO8" s="206">
        <v>0</v>
      </c>
      <c r="AP8" s="206">
        <v>0</v>
      </c>
      <c r="AQ8" s="206">
        <v>0</v>
      </c>
      <c r="AR8" s="206">
        <v>0</v>
      </c>
      <c r="AS8" s="206">
        <v>0</v>
      </c>
      <c r="AT8" s="206">
        <v>0</v>
      </c>
      <c r="AU8" s="206">
        <v>0</v>
      </c>
      <c r="AV8" s="206">
        <v>0</v>
      </c>
      <c r="AW8" s="206">
        <v>0</v>
      </c>
    </row>
    <row r="9" spans="1:49" x14ac:dyDescent="0.3">
      <c r="A9" s="206" t="s">
        <v>146</v>
      </c>
      <c r="B9" s="231">
        <v>6</v>
      </c>
      <c r="C9" s="206">
        <v>24</v>
      </c>
      <c r="D9" s="206">
        <v>1</v>
      </c>
      <c r="E9" s="206">
        <v>11</v>
      </c>
      <c r="F9" s="206">
        <v>8583.5972562028128</v>
      </c>
      <c r="G9" s="206">
        <v>0</v>
      </c>
      <c r="H9" s="206">
        <v>0</v>
      </c>
      <c r="I9" s="206">
        <v>0</v>
      </c>
      <c r="J9" s="206">
        <v>0</v>
      </c>
      <c r="K9" s="206">
        <v>3583.5972562028123</v>
      </c>
      <c r="L9" s="206">
        <v>0</v>
      </c>
      <c r="M9" s="206">
        <v>0</v>
      </c>
      <c r="N9" s="206">
        <v>0</v>
      </c>
      <c r="O9" s="206">
        <v>0</v>
      </c>
      <c r="P9" s="206">
        <v>5000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06">
        <v>0</v>
      </c>
      <c r="AH9" s="206">
        <v>0</v>
      </c>
      <c r="AI9" s="206">
        <v>0</v>
      </c>
      <c r="AJ9" s="206">
        <v>0</v>
      </c>
      <c r="AK9" s="206">
        <v>0</v>
      </c>
      <c r="AL9" s="206">
        <v>0</v>
      </c>
      <c r="AM9" s="206">
        <v>0</v>
      </c>
      <c r="AN9" s="206">
        <v>0</v>
      </c>
      <c r="AO9" s="206">
        <v>0</v>
      </c>
      <c r="AP9" s="206">
        <v>0</v>
      </c>
      <c r="AQ9" s="206">
        <v>0</v>
      </c>
      <c r="AR9" s="206">
        <v>0</v>
      </c>
      <c r="AS9" s="206">
        <v>0</v>
      </c>
      <c r="AT9" s="206">
        <v>0</v>
      </c>
      <c r="AU9" s="206">
        <v>0</v>
      </c>
      <c r="AV9" s="206">
        <v>0</v>
      </c>
      <c r="AW9" s="206">
        <v>0</v>
      </c>
    </row>
    <row r="10" spans="1:49" x14ac:dyDescent="0.3">
      <c r="A10" s="206" t="s">
        <v>147</v>
      </c>
      <c r="B10" s="231">
        <v>7</v>
      </c>
      <c r="C10" s="206">
        <v>24</v>
      </c>
      <c r="D10" s="206">
        <v>2</v>
      </c>
      <c r="E10" s="206">
        <v>1</v>
      </c>
      <c r="F10" s="206">
        <v>53.95</v>
      </c>
      <c r="G10" s="206">
        <v>0</v>
      </c>
      <c r="H10" s="206">
        <v>1</v>
      </c>
      <c r="I10" s="206">
        <v>0.95000000000000007</v>
      </c>
      <c r="J10" s="206">
        <v>0</v>
      </c>
      <c r="K10" s="206">
        <v>0</v>
      </c>
      <c r="L10" s="206">
        <v>0</v>
      </c>
      <c r="M10" s="206">
        <v>4.45</v>
      </c>
      <c r="N10" s="206">
        <v>6.65</v>
      </c>
      <c r="O10" s="206">
        <v>0</v>
      </c>
      <c r="P10" s="206">
        <v>0.4</v>
      </c>
      <c r="Q10" s="206">
        <v>20.6</v>
      </c>
      <c r="R10" s="206">
        <v>6.9</v>
      </c>
      <c r="S10" s="206">
        <v>0</v>
      </c>
      <c r="T10" s="206">
        <v>0</v>
      </c>
      <c r="U10" s="206">
        <v>0</v>
      </c>
      <c r="V10" s="206">
        <v>0</v>
      </c>
      <c r="W10" s="206">
        <v>0</v>
      </c>
      <c r="X10" s="206">
        <v>0</v>
      </c>
      <c r="Y10" s="206">
        <v>0</v>
      </c>
      <c r="Z10" s="206">
        <v>13</v>
      </c>
      <c r="AA10" s="206">
        <v>0</v>
      </c>
      <c r="AB10" s="206">
        <v>0</v>
      </c>
      <c r="AC10" s="206">
        <v>0</v>
      </c>
      <c r="AD10" s="206">
        <v>0</v>
      </c>
      <c r="AE10" s="206">
        <v>0</v>
      </c>
      <c r="AF10" s="206">
        <v>0</v>
      </c>
      <c r="AG10" s="206">
        <v>0</v>
      </c>
      <c r="AH10" s="206">
        <v>0</v>
      </c>
      <c r="AI10" s="206">
        <v>0</v>
      </c>
      <c r="AJ10" s="206">
        <v>0</v>
      </c>
      <c r="AK10" s="206">
        <v>0</v>
      </c>
      <c r="AL10" s="206">
        <v>0</v>
      </c>
      <c r="AM10" s="206">
        <v>0</v>
      </c>
      <c r="AN10" s="206">
        <v>0</v>
      </c>
      <c r="AO10" s="206">
        <v>0</v>
      </c>
      <c r="AP10" s="206">
        <v>0</v>
      </c>
      <c r="AQ10" s="206">
        <v>0</v>
      </c>
      <c r="AR10" s="206">
        <v>0</v>
      </c>
      <c r="AS10" s="206">
        <v>0</v>
      </c>
      <c r="AT10" s="206">
        <v>0</v>
      </c>
      <c r="AU10" s="206">
        <v>0</v>
      </c>
      <c r="AV10" s="206">
        <v>0</v>
      </c>
      <c r="AW10" s="206">
        <v>0</v>
      </c>
    </row>
    <row r="11" spans="1:49" x14ac:dyDescent="0.3">
      <c r="A11" s="206" t="s">
        <v>148</v>
      </c>
      <c r="B11" s="231">
        <v>8</v>
      </c>
      <c r="C11" s="206">
        <v>24</v>
      </c>
      <c r="D11" s="206">
        <v>2</v>
      </c>
      <c r="E11" s="206">
        <v>2</v>
      </c>
      <c r="F11" s="206">
        <v>7976.7000000000007</v>
      </c>
      <c r="G11" s="206">
        <v>0</v>
      </c>
      <c r="H11" s="206">
        <v>112</v>
      </c>
      <c r="I11" s="206">
        <v>148.80000000000001</v>
      </c>
      <c r="J11" s="206">
        <v>0</v>
      </c>
      <c r="K11" s="206">
        <v>0</v>
      </c>
      <c r="L11" s="206">
        <v>0</v>
      </c>
      <c r="M11" s="206">
        <v>650.29999999999995</v>
      </c>
      <c r="N11" s="206">
        <v>971.2</v>
      </c>
      <c r="O11" s="206">
        <v>0</v>
      </c>
      <c r="P11" s="206">
        <v>64</v>
      </c>
      <c r="Q11" s="206">
        <v>2984</v>
      </c>
      <c r="R11" s="206">
        <v>1044</v>
      </c>
      <c r="S11" s="206">
        <v>0</v>
      </c>
      <c r="T11" s="206">
        <v>0</v>
      </c>
      <c r="U11" s="206">
        <v>0</v>
      </c>
      <c r="V11" s="206">
        <v>0</v>
      </c>
      <c r="W11" s="206">
        <v>0</v>
      </c>
      <c r="X11" s="206">
        <v>0</v>
      </c>
      <c r="Y11" s="206">
        <v>0</v>
      </c>
      <c r="Z11" s="206">
        <v>2002.4</v>
      </c>
      <c r="AA11" s="206">
        <v>0</v>
      </c>
      <c r="AB11" s="206">
        <v>0</v>
      </c>
      <c r="AC11" s="206">
        <v>0</v>
      </c>
      <c r="AD11" s="206">
        <v>0</v>
      </c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0</v>
      </c>
      <c r="AS11" s="206">
        <v>0</v>
      </c>
      <c r="AT11" s="206">
        <v>0</v>
      </c>
      <c r="AU11" s="206">
        <v>0</v>
      </c>
      <c r="AV11" s="206">
        <v>0</v>
      </c>
      <c r="AW11" s="206">
        <v>0</v>
      </c>
    </row>
    <row r="12" spans="1:49" x14ac:dyDescent="0.3">
      <c r="A12" s="206" t="s">
        <v>149</v>
      </c>
      <c r="B12" s="231">
        <v>9</v>
      </c>
      <c r="C12" s="206">
        <v>24</v>
      </c>
      <c r="D12" s="206">
        <v>2</v>
      </c>
      <c r="E12" s="206">
        <v>5</v>
      </c>
      <c r="F12" s="206">
        <v>117</v>
      </c>
      <c r="G12" s="206">
        <v>0</v>
      </c>
      <c r="H12" s="206">
        <v>0</v>
      </c>
      <c r="I12" s="206">
        <v>40</v>
      </c>
      <c r="J12" s="206">
        <v>0</v>
      </c>
      <c r="K12" s="206">
        <v>0</v>
      </c>
      <c r="L12" s="206">
        <v>0</v>
      </c>
      <c r="M12" s="206">
        <v>77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  <c r="Y12" s="206">
        <v>0</v>
      </c>
      <c r="Z12" s="206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</row>
    <row r="13" spans="1:49" x14ac:dyDescent="0.3">
      <c r="A13" s="206" t="s">
        <v>150</v>
      </c>
      <c r="B13" s="231">
        <v>10</v>
      </c>
      <c r="C13" s="206">
        <v>24</v>
      </c>
      <c r="D13" s="206">
        <v>2</v>
      </c>
      <c r="E13" s="206">
        <v>6</v>
      </c>
      <c r="F13" s="206">
        <v>1833107</v>
      </c>
      <c r="G13" s="206">
        <v>0</v>
      </c>
      <c r="H13" s="206">
        <v>13010</v>
      </c>
      <c r="I13" s="206">
        <v>22367</v>
      </c>
      <c r="J13" s="206">
        <v>0</v>
      </c>
      <c r="K13" s="206">
        <v>0</v>
      </c>
      <c r="L13" s="206">
        <v>0</v>
      </c>
      <c r="M13" s="206">
        <v>156830</v>
      </c>
      <c r="N13" s="206">
        <v>418842</v>
      </c>
      <c r="O13" s="206">
        <v>0</v>
      </c>
      <c r="P13" s="206">
        <v>9268</v>
      </c>
      <c r="Q13" s="206">
        <v>594506</v>
      </c>
      <c r="R13" s="206">
        <v>258009</v>
      </c>
      <c r="S13" s="206">
        <v>0</v>
      </c>
      <c r="T13" s="206">
        <v>0</v>
      </c>
      <c r="U13" s="206">
        <v>0</v>
      </c>
      <c r="V13" s="206">
        <v>0</v>
      </c>
      <c r="W13" s="206">
        <v>0</v>
      </c>
      <c r="X13" s="206">
        <v>0</v>
      </c>
      <c r="Y13" s="206">
        <v>0</v>
      </c>
      <c r="Z13" s="206">
        <v>360275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</row>
    <row r="14" spans="1:49" x14ac:dyDescent="0.3">
      <c r="A14" s="206" t="s">
        <v>151</v>
      </c>
      <c r="B14" s="231">
        <v>11</v>
      </c>
      <c r="C14" s="206">
        <v>24</v>
      </c>
      <c r="D14" s="206">
        <v>2</v>
      </c>
      <c r="E14" s="206">
        <v>9</v>
      </c>
      <c r="F14" s="206">
        <v>15164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  <c r="M14" s="206">
        <v>3270</v>
      </c>
      <c r="N14" s="206">
        <v>1470</v>
      </c>
      <c r="O14" s="206">
        <v>0</v>
      </c>
      <c r="P14" s="206">
        <v>0</v>
      </c>
      <c r="Q14" s="206">
        <v>8624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  <c r="Y14" s="206">
        <v>0</v>
      </c>
      <c r="Z14" s="206">
        <v>1800</v>
      </c>
      <c r="AA14" s="206">
        <v>0</v>
      </c>
      <c r="AB14" s="206">
        <v>0</v>
      </c>
      <c r="AC14" s="206">
        <v>0</v>
      </c>
      <c r="AD14" s="206">
        <v>0</v>
      </c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</row>
    <row r="15" spans="1:49" x14ac:dyDescent="0.3">
      <c r="A15" s="206" t="s">
        <v>152</v>
      </c>
      <c r="B15" s="231">
        <v>12</v>
      </c>
      <c r="C15" s="206">
        <v>24</v>
      </c>
      <c r="D15" s="206">
        <v>2</v>
      </c>
      <c r="E15" s="206">
        <v>10</v>
      </c>
      <c r="F15" s="206">
        <v>27799.98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27799.98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</row>
    <row r="16" spans="1:49" x14ac:dyDescent="0.3">
      <c r="A16" s="206" t="s">
        <v>140</v>
      </c>
      <c r="B16" s="231">
        <v>2017</v>
      </c>
      <c r="C16" s="206">
        <v>24</v>
      </c>
      <c r="D16" s="206">
        <v>2</v>
      </c>
      <c r="E16" s="206">
        <v>11</v>
      </c>
      <c r="F16" s="206">
        <v>8583.5972562028128</v>
      </c>
      <c r="G16" s="206">
        <v>0</v>
      </c>
      <c r="H16" s="206">
        <v>0</v>
      </c>
      <c r="I16" s="206">
        <v>0</v>
      </c>
      <c r="J16" s="206">
        <v>0</v>
      </c>
      <c r="K16" s="206">
        <v>3583.5972562028123</v>
      </c>
      <c r="L16" s="206">
        <v>0</v>
      </c>
      <c r="M16" s="206">
        <v>0</v>
      </c>
      <c r="N16" s="206">
        <v>0</v>
      </c>
      <c r="O16" s="206">
        <v>0</v>
      </c>
      <c r="P16" s="206">
        <v>5000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0</v>
      </c>
      <c r="Z16" s="206">
        <v>0</v>
      </c>
      <c r="AA16" s="206">
        <v>0</v>
      </c>
      <c r="AB16" s="206">
        <v>0</v>
      </c>
      <c r="AC16" s="206">
        <v>0</v>
      </c>
      <c r="AD16" s="206">
        <v>0</v>
      </c>
      <c r="AE16" s="206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79" t="s">
        <v>1079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</row>
    <row r="2" spans="1:28" ht="14.4" customHeight="1" thickBot="1" x14ac:dyDescent="0.35">
      <c r="A2" s="210" t="s">
        <v>268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108</v>
      </c>
      <c r="B3" s="199">
        <f>SUBTOTAL(9,B6:B1048576)/4</f>
        <v>3419555.5599999991</v>
      </c>
      <c r="C3" s="200">
        <f t="shared" ref="C3:Z3" si="0">SUBTOTAL(9,C6:C1048576)</f>
        <v>13</v>
      </c>
      <c r="D3" s="200"/>
      <c r="E3" s="200">
        <f>SUBTOTAL(9,E6:E1048576)/4</f>
        <v>3526990.0999999987</v>
      </c>
      <c r="F3" s="200"/>
      <c r="G3" s="200">
        <f t="shared" si="0"/>
        <v>13</v>
      </c>
      <c r="H3" s="200">
        <f>SUBTOTAL(9,H6:H1048576)/4</f>
        <v>3383826.5599999991</v>
      </c>
      <c r="I3" s="203">
        <f>IF(B3&lt;&gt;0,H3/B3,"")</f>
        <v>0.98955156616902573</v>
      </c>
      <c r="J3" s="201">
        <f>IF(E3&lt;&gt;0,H3/E3,"")</f>
        <v>0.95940914605912853</v>
      </c>
      <c r="K3" s="202">
        <f t="shared" si="0"/>
        <v>751410</v>
      </c>
      <c r="L3" s="202"/>
      <c r="M3" s="200">
        <f t="shared" si="0"/>
        <v>3.8767936819091773</v>
      </c>
      <c r="N3" s="200">
        <f t="shared" si="0"/>
        <v>586158</v>
      </c>
      <c r="O3" s="200"/>
      <c r="P3" s="200">
        <f t="shared" si="0"/>
        <v>3</v>
      </c>
      <c r="Q3" s="200">
        <f t="shared" si="0"/>
        <v>755150</v>
      </c>
      <c r="R3" s="203">
        <f>IF(K3&lt;&gt;0,Q3/K3,"")</f>
        <v>1.0049773093251355</v>
      </c>
      <c r="S3" s="203">
        <f>IF(N3&lt;&gt;0,Q3/N3,"")</f>
        <v>1.2883045185769024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80" t="s">
        <v>223</v>
      </c>
      <c r="B4" s="381" t="s">
        <v>85</v>
      </c>
      <c r="C4" s="382"/>
      <c r="D4" s="383"/>
      <c r="E4" s="382"/>
      <c r="F4" s="383"/>
      <c r="G4" s="382"/>
      <c r="H4" s="382"/>
      <c r="I4" s="383"/>
      <c r="J4" s="384"/>
      <c r="K4" s="381" t="s">
        <v>86</v>
      </c>
      <c r="L4" s="383"/>
      <c r="M4" s="382"/>
      <c r="N4" s="382"/>
      <c r="O4" s="383"/>
      <c r="P4" s="382"/>
      <c r="Q4" s="382"/>
      <c r="R4" s="383"/>
      <c r="S4" s="384"/>
      <c r="T4" s="381" t="s">
        <v>87</v>
      </c>
      <c r="U4" s="383"/>
      <c r="V4" s="382"/>
      <c r="W4" s="382"/>
      <c r="X4" s="383"/>
      <c r="Y4" s="382"/>
      <c r="Z4" s="382"/>
      <c r="AA4" s="383"/>
      <c r="AB4" s="384"/>
    </row>
    <row r="5" spans="1:28" ht="14.4" customHeight="1" thickBot="1" x14ac:dyDescent="0.35">
      <c r="A5" s="526"/>
      <c r="B5" s="527">
        <v>2015</v>
      </c>
      <c r="C5" s="528"/>
      <c r="D5" s="528"/>
      <c r="E5" s="528">
        <v>2016</v>
      </c>
      <c r="F5" s="528"/>
      <c r="G5" s="528"/>
      <c r="H5" s="528">
        <v>2017</v>
      </c>
      <c r="I5" s="529" t="s">
        <v>255</v>
      </c>
      <c r="J5" s="530" t="s">
        <v>2</v>
      </c>
      <c r="K5" s="527">
        <v>2015</v>
      </c>
      <c r="L5" s="528"/>
      <c r="M5" s="528"/>
      <c r="N5" s="528">
        <v>2016</v>
      </c>
      <c r="O5" s="528"/>
      <c r="P5" s="528"/>
      <c r="Q5" s="528">
        <v>2017</v>
      </c>
      <c r="R5" s="529" t="s">
        <v>255</v>
      </c>
      <c r="S5" s="530" t="s">
        <v>2</v>
      </c>
      <c r="T5" s="527">
        <v>2015</v>
      </c>
      <c r="U5" s="528"/>
      <c r="V5" s="528"/>
      <c r="W5" s="528">
        <v>2016</v>
      </c>
      <c r="X5" s="528"/>
      <c r="Y5" s="528"/>
      <c r="Z5" s="528">
        <v>2017</v>
      </c>
      <c r="AA5" s="529" t="s">
        <v>255</v>
      </c>
      <c r="AB5" s="530" t="s">
        <v>2</v>
      </c>
    </row>
    <row r="6" spans="1:28" ht="14.4" customHeight="1" x14ac:dyDescent="0.3">
      <c r="A6" s="531" t="s">
        <v>1076</v>
      </c>
      <c r="B6" s="532">
        <v>3419555.5599999991</v>
      </c>
      <c r="C6" s="533">
        <v>1</v>
      </c>
      <c r="D6" s="533">
        <v>0.96953931342194566</v>
      </c>
      <c r="E6" s="532">
        <v>3526990.0999999996</v>
      </c>
      <c r="F6" s="533">
        <v>1.0314176910171333</v>
      </c>
      <c r="G6" s="533">
        <v>1</v>
      </c>
      <c r="H6" s="532">
        <v>3383826.5600000005</v>
      </c>
      <c r="I6" s="533">
        <v>0.98955156616902618</v>
      </c>
      <c r="J6" s="533">
        <v>0.95940914605912864</v>
      </c>
      <c r="K6" s="532">
        <v>375705</v>
      </c>
      <c r="L6" s="533">
        <v>1</v>
      </c>
      <c r="M6" s="533">
        <v>1.281923986365451</v>
      </c>
      <c r="N6" s="532">
        <v>293079</v>
      </c>
      <c r="O6" s="533">
        <v>0.78007745438575482</v>
      </c>
      <c r="P6" s="533">
        <v>1</v>
      </c>
      <c r="Q6" s="532">
        <v>377575</v>
      </c>
      <c r="R6" s="533">
        <v>1.0049773093251355</v>
      </c>
      <c r="S6" s="533">
        <v>1.2883045185769024</v>
      </c>
      <c r="T6" s="532"/>
      <c r="U6" s="533"/>
      <c r="V6" s="533"/>
      <c r="W6" s="532"/>
      <c r="X6" s="533"/>
      <c r="Y6" s="533"/>
      <c r="Z6" s="532"/>
      <c r="AA6" s="533"/>
      <c r="AB6" s="534"/>
    </row>
    <row r="7" spans="1:28" ht="14.4" customHeight="1" x14ac:dyDescent="0.3">
      <c r="A7" s="541" t="s">
        <v>1077</v>
      </c>
      <c r="B7" s="535">
        <v>2303119.9899999993</v>
      </c>
      <c r="C7" s="536">
        <v>1</v>
      </c>
      <c r="D7" s="536">
        <v>0.96683982286939563</v>
      </c>
      <c r="E7" s="535">
        <v>2382111.2199999993</v>
      </c>
      <c r="F7" s="536">
        <v>1.0342974879046576</v>
      </c>
      <c r="G7" s="536">
        <v>1</v>
      </c>
      <c r="H7" s="535">
        <v>2278076.5500000007</v>
      </c>
      <c r="I7" s="536">
        <v>0.98912629819169839</v>
      </c>
      <c r="J7" s="536">
        <v>0.9563266949391227</v>
      </c>
      <c r="K7" s="535">
        <v>227044</v>
      </c>
      <c r="L7" s="536">
        <v>1</v>
      </c>
      <c r="M7" s="536">
        <v>1.6261101243339253</v>
      </c>
      <c r="N7" s="535">
        <v>139624</v>
      </c>
      <c r="O7" s="536">
        <v>0.61496450027307481</v>
      </c>
      <c r="P7" s="536">
        <v>1</v>
      </c>
      <c r="Q7" s="535">
        <v>204570</v>
      </c>
      <c r="R7" s="536">
        <v>0.90101478127587609</v>
      </c>
      <c r="S7" s="536">
        <v>1.4651492580072194</v>
      </c>
      <c r="T7" s="535"/>
      <c r="U7" s="536"/>
      <c r="V7" s="536"/>
      <c r="W7" s="535"/>
      <c r="X7" s="536"/>
      <c r="Y7" s="536"/>
      <c r="Z7" s="535"/>
      <c r="AA7" s="536"/>
      <c r="AB7" s="537"/>
    </row>
    <row r="8" spans="1:28" ht="14.4" customHeight="1" thickBot="1" x14ac:dyDescent="0.35">
      <c r="A8" s="542" t="s">
        <v>1078</v>
      </c>
      <c r="B8" s="538">
        <v>1116435.5699999998</v>
      </c>
      <c r="C8" s="539">
        <v>1</v>
      </c>
      <c r="D8" s="539">
        <v>0.97515605318878773</v>
      </c>
      <c r="E8" s="538">
        <v>1144878.8800000001</v>
      </c>
      <c r="F8" s="539">
        <v>1.0254768933956486</v>
      </c>
      <c r="G8" s="539">
        <v>1</v>
      </c>
      <c r="H8" s="538">
        <v>1105750.01</v>
      </c>
      <c r="I8" s="539">
        <v>0.99042886102240557</v>
      </c>
      <c r="J8" s="539">
        <v>0.96582269907887541</v>
      </c>
      <c r="K8" s="538">
        <v>148661</v>
      </c>
      <c r="L8" s="539">
        <v>1</v>
      </c>
      <c r="M8" s="539">
        <v>0.96875957120980094</v>
      </c>
      <c r="N8" s="538">
        <v>153455</v>
      </c>
      <c r="O8" s="539">
        <v>1.0322478659500474</v>
      </c>
      <c r="P8" s="539">
        <v>1</v>
      </c>
      <c r="Q8" s="538">
        <v>173005</v>
      </c>
      <c r="R8" s="539">
        <v>1.1637551207108792</v>
      </c>
      <c r="S8" s="539">
        <v>1.1273989117330814</v>
      </c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" customHeight="1" thickBot="1" x14ac:dyDescent="0.35"/>
    <row r="10" spans="1:28" ht="14.4" customHeight="1" x14ac:dyDescent="0.3">
      <c r="A10" s="531" t="s">
        <v>447</v>
      </c>
      <c r="B10" s="532">
        <v>295842.18999999989</v>
      </c>
      <c r="C10" s="533">
        <v>1</v>
      </c>
      <c r="D10" s="533">
        <v>1.199084537509173</v>
      </c>
      <c r="E10" s="532">
        <v>246723.37999999995</v>
      </c>
      <c r="F10" s="533">
        <v>0.83396955653958638</v>
      </c>
      <c r="G10" s="533">
        <v>1</v>
      </c>
      <c r="H10" s="532">
        <v>209513.30000000005</v>
      </c>
      <c r="I10" s="533">
        <v>0.70819276993589086</v>
      </c>
      <c r="J10" s="534">
        <v>0.84918300000591795</v>
      </c>
    </row>
    <row r="11" spans="1:28" ht="14.4" customHeight="1" x14ac:dyDescent="0.3">
      <c r="A11" s="541" t="s">
        <v>1080</v>
      </c>
      <c r="B11" s="535">
        <v>295842.18999999989</v>
      </c>
      <c r="C11" s="536">
        <v>1</v>
      </c>
      <c r="D11" s="536">
        <v>1.199084537509173</v>
      </c>
      <c r="E11" s="535">
        <v>246723.37999999995</v>
      </c>
      <c r="F11" s="536">
        <v>0.83396955653958638</v>
      </c>
      <c r="G11" s="536">
        <v>1</v>
      </c>
      <c r="H11" s="535">
        <v>209513.30000000005</v>
      </c>
      <c r="I11" s="536">
        <v>0.70819276993589086</v>
      </c>
      <c r="J11" s="537">
        <v>0.84918300000591795</v>
      </c>
    </row>
    <row r="12" spans="1:28" ht="14.4" customHeight="1" x14ac:dyDescent="0.3">
      <c r="A12" s="543" t="s">
        <v>1081</v>
      </c>
      <c r="B12" s="544">
        <v>1116435.5699999998</v>
      </c>
      <c r="C12" s="545">
        <v>1</v>
      </c>
      <c r="D12" s="545">
        <v>0.97515605318878751</v>
      </c>
      <c r="E12" s="544">
        <v>1144878.8800000004</v>
      </c>
      <c r="F12" s="545">
        <v>1.0254768933956488</v>
      </c>
      <c r="G12" s="545">
        <v>1</v>
      </c>
      <c r="H12" s="544">
        <v>1105750.0099999998</v>
      </c>
      <c r="I12" s="545">
        <v>0.99042886102240535</v>
      </c>
      <c r="J12" s="546">
        <v>0.96582269907887497</v>
      </c>
    </row>
    <row r="13" spans="1:28" ht="14.4" customHeight="1" x14ac:dyDescent="0.3">
      <c r="A13" s="541" t="s">
        <v>1080</v>
      </c>
      <c r="B13" s="535">
        <v>1116435.5699999998</v>
      </c>
      <c r="C13" s="536">
        <v>1</v>
      </c>
      <c r="D13" s="536">
        <v>0.97515605318878751</v>
      </c>
      <c r="E13" s="535">
        <v>1144878.8800000004</v>
      </c>
      <c r="F13" s="536">
        <v>1.0254768933956488</v>
      </c>
      <c r="G13" s="536">
        <v>1</v>
      </c>
      <c r="H13" s="535">
        <v>1105750.0099999998</v>
      </c>
      <c r="I13" s="536">
        <v>0.99042886102240535</v>
      </c>
      <c r="J13" s="537">
        <v>0.96582269907887497</v>
      </c>
    </row>
    <row r="14" spans="1:28" ht="14.4" customHeight="1" x14ac:dyDescent="0.3">
      <c r="A14" s="543" t="s">
        <v>1082</v>
      </c>
      <c r="B14" s="544">
        <v>553113.31999999972</v>
      </c>
      <c r="C14" s="545">
        <v>1</v>
      </c>
      <c r="D14" s="545">
        <v>0.89455339110619259</v>
      </c>
      <c r="E14" s="544">
        <v>618312.24999999977</v>
      </c>
      <c r="F14" s="545">
        <v>1.1178762608718229</v>
      </c>
      <c r="G14" s="545">
        <v>1</v>
      </c>
      <c r="H14" s="544">
        <v>468051.07000000018</v>
      </c>
      <c r="I14" s="545">
        <v>0.84621189379420558</v>
      </c>
      <c r="J14" s="546">
        <v>0.75698171918799984</v>
      </c>
    </row>
    <row r="15" spans="1:28" ht="14.4" customHeight="1" x14ac:dyDescent="0.3">
      <c r="A15" s="541" t="s">
        <v>1080</v>
      </c>
      <c r="B15" s="535">
        <v>553113.31999999972</v>
      </c>
      <c r="C15" s="536">
        <v>1</v>
      </c>
      <c r="D15" s="536">
        <v>0.89455339110619259</v>
      </c>
      <c r="E15" s="535">
        <v>618312.24999999977</v>
      </c>
      <c r="F15" s="536">
        <v>1.1178762608718229</v>
      </c>
      <c r="G15" s="536">
        <v>1</v>
      </c>
      <c r="H15" s="535">
        <v>468051.07000000018</v>
      </c>
      <c r="I15" s="536">
        <v>0.84621189379420558</v>
      </c>
      <c r="J15" s="537">
        <v>0.75698171918799984</v>
      </c>
    </row>
    <row r="16" spans="1:28" ht="14.4" customHeight="1" x14ac:dyDescent="0.3">
      <c r="A16" s="543" t="s">
        <v>1083</v>
      </c>
      <c r="B16" s="544">
        <v>472911.11999999982</v>
      </c>
      <c r="C16" s="545">
        <v>1</v>
      </c>
      <c r="D16" s="545">
        <v>0.91414018873255243</v>
      </c>
      <c r="E16" s="544">
        <v>517328.87999999983</v>
      </c>
      <c r="F16" s="545">
        <v>1.0939241183417299</v>
      </c>
      <c r="G16" s="545">
        <v>1</v>
      </c>
      <c r="H16" s="544">
        <v>619345.53999999969</v>
      </c>
      <c r="I16" s="545">
        <v>1.3096446960266019</v>
      </c>
      <c r="J16" s="546">
        <v>1.1971988495983443</v>
      </c>
    </row>
    <row r="17" spans="1:10" ht="14.4" customHeight="1" x14ac:dyDescent="0.3">
      <c r="A17" s="541" t="s">
        <v>1080</v>
      </c>
      <c r="B17" s="535">
        <v>472911.11999999982</v>
      </c>
      <c r="C17" s="536">
        <v>1</v>
      </c>
      <c r="D17" s="536">
        <v>0.91414018873255243</v>
      </c>
      <c r="E17" s="535">
        <v>517328.87999999983</v>
      </c>
      <c r="F17" s="536">
        <v>1.0939241183417299</v>
      </c>
      <c r="G17" s="536">
        <v>1</v>
      </c>
      <c r="H17" s="535">
        <v>619345.53999999969</v>
      </c>
      <c r="I17" s="536">
        <v>1.3096446960266019</v>
      </c>
      <c r="J17" s="537">
        <v>1.1971988495983443</v>
      </c>
    </row>
    <row r="18" spans="1:10" ht="14.4" customHeight="1" x14ac:dyDescent="0.3">
      <c r="A18" s="543" t="s">
        <v>1084</v>
      </c>
      <c r="B18" s="544">
        <v>981253.36</v>
      </c>
      <c r="C18" s="545">
        <v>1</v>
      </c>
      <c r="D18" s="545">
        <v>0.98150196463262196</v>
      </c>
      <c r="E18" s="544">
        <v>999746.70999999985</v>
      </c>
      <c r="F18" s="545">
        <v>1.0188466615798388</v>
      </c>
      <c r="G18" s="545">
        <v>1</v>
      </c>
      <c r="H18" s="544">
        <v>981166.63999999943</v>
      </c>
      <c r="I18" s="545">
        <v>0.99991162323255578</v>
      </c>
      <c r="J18" s="546">
        <v>0.98141522266174752</v>
      </c>
    </row>
    <row r="19" spans="1:10" ht="14.4" customHeight="1" thickBot="1" x14ac:dyDescent="0.35">
      <c r="A19" s="542" t="s">
        <v>1080</v>
      </c>
      <c r="B19" s="538">
        <v>981253.36</v>
      </c>
      <c r="C19" s="539">
        <v>1</v>
      </c>
      <c r="D19" s="539">
        <v>0.98150196463262196</v>
      </c>
      <c r="E19" s="538">
        <v>999746.70999999985</v>
      </c>
      <c r="F19" s="539">
        <v>1.0188466615798388</v>
      </c>
      <c r="G19" s="539">
        <v>1</v>
      </c>
      <c r="H19" s="538">
        <v>981166.63999999943</v>
      </c>
      <c r="I19" s="539">
        <v>0.99991162323255578</v>
      </c>
      <c r="J19" s="540">
        <v>0.98141522266174752</v>
      </c>
    </row>
    <row r="20" spans="1:10" ht="14.4" customHeight="1" x14ac:dyDescent="0.3">
      <c r="A20" s="547" t="s">
        <v>1085</v>
      </c>
    </row>
    <row r="21" spans="1:10" ht="14.4" customHeight="1" x14ac:dyDescent="0.3">
      <c r="A21" s="548" t="s">
        <v>1086</v>
      </c>
    </row>
    <row r="22" spans="1:10" ht="14.4" customHeight="1" x14ac:dyDescent="0.3">
      <c r="A22" s="547" t="s">
        <v>1087</v>
      </c>
    </row>
    <row r="23" spans="1:10" ht="14.4" customHeight="1" x14ac:dyDescent="0.3">
      <c r="A23" s="547" t="s">
        <v>1088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79" t="s">
        <v>1089</v>
      </c>
      <c r="B1" s="321"/>
      <c r="C1" s="321"/>
      <c r="D1" s="321"/>
      <c r="E1" s="321"/>
      <c r="F1" s="321"/>
      <c r="G1" s="321"/>
    </row>
    <row r="2" spans="1:7" ht="14.4" customHeight="1" thickBot="1" x14ac:dyDescent="0.35">
      <c r="A2" s="210" t="s">
        <v>268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316" t="s">
        <v>108</v>
      </c>
      <c r="B3" s="291">
        <f t="shared" ref="B3:G3" si="0">SUBTOTAL(9,B6:B1048576)</f>
        <v>12109</v>
      </c>
      <c r="C3" s="292">
        <f t="shared" si="0"/>
        <v>13450</v>
      </c>
      <c r="D3" s="315">
        <f t="shared" si="0"/>
        <v>14468</v>
      </c>
      <c r="E3" s="202">
        <f t="shared" si="0"/>
        <v>3419555.560000001</v>
      </c>
      <c r="F3" s="200">
        <f t="shared" si="0"/>
        <v>3526990.0999999982</v>
      </c>
      <c r="G3" s="293">
        <f t="shared" si="0"/>
        <v>3383826.5600000033</v>
      </c>
    </row>
    <row r="4" spans="1:7" ht="14.4" customHeight="1" x14ac:dyDescent="0.3">
      <c r="A4" s="380" t="s">
        <v>116</v>
      </c>
      <c r="B4" s="385" t="s">
        <v>220</v>
      </c>
      <c r="C4" s="383"/>
      <c r="D4" s="386"/>
      <c r="E4" s="385" t="s">
        <v>85</v>
      </c>
      <c r="F4" s="383"/>
      <c r="G4" s="386"/>
    </row>
    <row r="5" spans="1:7" ht="14.4" customHeight="1" thickBot="1" x14ac:dyDescent="0.35">
      <c r="A5" s="526"/>
      <c r="B5" s="527">
        <v>2015</v>
      </c>
      <c r="C5" s="528">
        <v>2016</v>
      </c>
      <c r="D5" s="549">
        <v>2017</v>
      </c>
      <c r="E5" s="527">
        <v>2015</v>
      </c>
      <c r="F5" s="528">
        <v>2016</v>
      </c>
      <c r="G5" s="549">
        <v>2017</v>
      </c>
    </row>
    <row r="6" spans="1:7" ht="14.4" customHeight="1" thickBot="1" x14ac:dyDescent="0.35">
      <c r="A6" s="552" t="s">
        <v>1080</v>
      </c>
      <c r="B6" s="461">
        <v>12109</v>
      </c>
      <c r="C6" s="461">
        <v>13450</v>
      </c>
      <c r="D6" s="461">
        <v>14468</v>
      </c>
      <c r="E6" s="550">
        <v>3419555.560000001</v>
      </c>
      <c r="F6" s="550">
        <v>3526990.0999999982</v>
      </c>
      <c r="G6" s="551">
        <v>3383826.5600000033</v>
      </c>
    </row>
    <row r="7" spans="1:7" ht="14.4" customHeight="1" x14ac:dyDescent="0.3">
      <c r="A7" s="547" t="s">
        <v>1085</v>
      </c>
    </row>
    <row r="8" spans="1:7" ht="14.4" customHeight="1" x14ac:dyDescent="0.3">
      <c r="A8" s="548" t="s">
        <v>1086</v>
      </c>
    </row>
    <row r="9" spans="1:7" ht="14.4" customHeight="1" x14ac:dyDescent="0.3">
      <c r="A9" s="547" t="s">
        <v>1087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21" t="s">
        <v>1294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</row>
    <row r="2" spans="1:18" ht="14.4" customHeight="1" thickBot="1" x14ac:dyDescent="0.35">
      <c r="A2" s="210" t="s">
        <v>268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108</v>
      </c>
      <c r="G3" s="88">
        <f t="shared" ref="G3:P3" si="0">SUBTOTAL(9,G6:G1048576)</f>
        <v>12632</v>
      </c>
      <c r="H3" s="89">
        <f t="shared" si="0"/>
        <v>3795260.5599999991</v>
      </c>
      <c r="I3" s="66"/>
      <c r="J3" s="66"/>
      <c r="K3" s="89">
        <f t="shared" si="0"/>
        <v>13917</v>
      </c>
      <c r="L3" s="89">
        <f t="shared" si="0"/>
        <v>3820069.0999999996</v>
      </c>
      <c r="M3" s="66"/>
      <c r="N3" s="66"/>
      <c r="O3" s="89">
        <f t="shared" si="0"/>
        <v>15027</v>
      </c>
      <c r="P3" s="89">
        <f t="shared" si="0"/>
        <v>3761401.5599999991</v>
      </c>
      <c r="Q3" s="67">
        <f>IF(L3=0,0,P3/L3)</f>
        <v>0.98464228304142443</v>
      </c>
      <c r="R3" s="90">
        <f>IF(O3=0,0,P3/O3)</f>
        <v>250.30954681573164</v>
      </c>
    </row>
    <row r="4" spans="1:18" ht="14.4" customHeight="1" x14ac:dyDescent="0.3">
      <c r="A4" s="387" t="s">
        <v>256</v>
      </c>
      <c r="B4" s="387" t="s">
        <v>82</v>
      </c>
      <c r="C4" s="395" t="s">
        <v>0</v>
      </c>
      <c r="D4" s="389" t="s">
        <v>83</v>
      </c>
      <c r="E4" s="394" t="s">
        <v>58</v>
      </c>
      <c r="F4" s="390" t="s">
        <v>57</v>
      </c>
      <c r="G4" s="391">
        <v>2015</v>
      </c>
      <c r="H4" s="392"/>
      <c r="I4" s="87"/>
      <c r="J4" s="87"/>
      <c r="K4" s="391">
        <v>2016</v>
      </c>
      <c r="L4" s="392"/>
      <c r="M4" s="87"/>
      <c r="N4" s="87"/>
      <c r="O4" s="391">
        <v>2017</v>
      </c>
      <c r="P4" s="392"/>
      <c r="Q4" s="393" t="s">
        <v>2</v>
      </c>
      <c r="R4" s="388" t="s">
        <v>84</v>
      </c>
    </row>
    <row r="5" spans="1:18" ht="14.4" customHeight="1" thickBot="1" x14ac:dyDescent="0.35">
      <c r="A5" s="553"/>
      <c r="B5" s="553"/>
      <c r="C5" s="554"/>
      <c r="D5" s="555"/>
      <c r="E5" s="556"/>
      <c r="F5" s="557"/>
      <c r="G5" s="558" t="s">
        <v>59</v>
      </c>
      <c r="H5" s="559" t="s">
        <v>14</v>
      </c>
      <c r="I5" s="560"/>
      <c r="J5" s="560"/>
      <c r="K5" s="558" t="s">
        <v>59</v>
      </c>
      <c r="L5" s="559" t="s">
        <v>14</v>
      </c>
      <c r="M5" s="560"/>
      <c r="N5" s="560"/>
      <c r="O5" s="558" t="s">
        <v>59</v>
      </c>
      <c r="P5" s="559" t="s">
        <v>14</v>
      </c>
      <c r="Q5" s="561"/>
      <c r="R5" s="562"/>
    </row>
    <row r="6" spans="1:18" ht="14.4" customHeight="1" x14ac:dyDescent="0.3">
      <c r="A6" s="436"/>
      <c r="B6" s="437" t="s">
        <v>1090</v>
      </c>
      <c r="C6" s="437" t="s">
        <v>447</v>
      </c>
      <c r="D6" s="437" t="s">
        <v>1091</v>
      </c>
      <c r="E6" s="437" t="s">
        <v>1092</v>
      </c>
      <c r="F6" s="437"/>
      <c r="G6" s="440">
        <v>1</v>
      </c>
      <c r="H6" s="440">
        <v>333</v>
      </c>
      <c r="I6" s="437"/>
      <c r="J6" s="437">
        <v>333</v>
      </c>
      <c r="K6" s="440"/>
      <c r="L6" s="440"/>
      <c r="M6" s="437"/>
      <c r="N6" s="437"/>
      <c r="O6" s="440"/>
      <c r="P6" s="440"/>
      <c r="Q6" s="459"/>
      <c r="R6" s="441"/>
    </row>
    <row r="7" spans="1:18" ht="14.4" customHeight="1" x14ac:dyDescent="0.3">
      <c r="A7" s="442"/>
      <c r="B7" s="443" t="s">
        <v>1090</v>
      </c>
      <c r="C7" s="443" t="s">
        <v>447</v>
      </c>
      <c r="D7" s="443" t="s">
        <v>1091</v>
      </c>
      <c r="E7" s="443" t="s">
        <v>1093</v>
      </c>
      <c r="F7" s="443"/>
      <c r="G7" s="446">
        <v>25</v>
      </c>
      <c r="H7" s="446">
        <v>2825</v>
      </c>
      <c r="I7" s="443">
        <v>1.3157894736842106</v>
      </c>
      <c r="J7" s="443">
        <v>113</v>
      </c>
      <c r="K7" s="446">
        <v>19</v>
      </c>
      <c r="L7" s="446">
        <v>2147</v>
      </c>
      <c r="M7" s="443">
        <v>1</v>
      </c>
      <c r="N7" s="443">
        <v>113</v>
      </c>
      <c r="O7" s="446">
        <v>40</v>
      </c>
      <c r="P7" s="446">
        <v>4520</v>
      </c>
      <c r="Q7" s="468">
        <v>2.1052631578947367</v>
      </c>
      <c r="R7" s="447">
        <v>113</v>
      </c>
    </row>
    <row r="8" spans="1:18" ht="14.4" customHeight="1" x14ac:dyDescent="0.3">
      <c r="A8" s="442"/>
      <c r="B8" s="443" t="s">
        <v>1090</v>
      </c>
      <c r="C8" s="443" t="s">
        <v>447</v>
      </c>
      <c r="D8" s="443" t="s">
        <v>1091</v>
      </c>
      <c r="E8" s="443" t="s">
        <v>1094</v>
      </c>
      <c r="F8" s="443"/>
      <c r="G8" s="446"/>
      <c r="H8" s="446"/>
      <c r="I8" s="443"/>
      <c r="J8" s="443"/>
      <c r="K8" s="446">
        <v>1</v>
      </c>
      <c r="L8" s="446">
        <v>132</v>
      </c>
      <c r="M8" s="443">
        <v>1</v>
      </c>
      <c r="N8" s="443">
        <v>132</v>
      </c>
      <c r="O8" s="446"/>
      <c r="P8" s="446"/>
      <c r="Q8" s="468"/>
      <c r="R8" s="447"/>
    </row>
    <row r="9" spans="1:18" ht="14.4" customHeight="1" x14ac:dyDescent="0.3">
      <c r="A9" s="442"/>
      <c r="B9" s="443" t="s">
        <v>1090</v>
      </c>
      <c r="C9" s="443" t="s">
        <v>447</v>
      </c>
      <c r="D9" s="443" t="s">
        <v>1091</v>
      </c>
      <c r="E9" s="443" t="s">
        <v>1095</v>
      </c>
      <c r="F9" s="443"/>
      <c r="G9" s="446">
        <v>5</v>
      </c>
      <c r="H9" s="446">
        <v>1095</v>
      </c>
      <c r="I9" s="443">
        <v>1.6666666666666667</v>
      </c>
      <c r="J9" s="443">
        <v>219</v>
      </c>
      <c r="K9" s="446">
        <v>3</v>
      </c>
      <c r="L9" s="446">
        <v>657</v>
      </c>
      <c r="M9" s="443">
        <v>1</v>
      </c>
      <c r="N9" s="443">
        <v>219</v>
      </c>
      <c r="O9" s="446">
        <v>1</v>
      </c>
      <c r="P9" s="446">
        <v>219</v>
      </c>
      <c r="Q9" s="468">
        <v>0.33333333333333331</v>
      </c>
      <c r="R9" s="447">
        <v>219</v>
      </c>
    </row>
    <row r="10" spans="1:18" ht="14.4" customHeight="1" x14ac:dyDescent="0.3">
      <c r="A10" s="442"/>
      <c r="B10" s="443" t="s">
        <v>1090</v>
      </c>
      <c r="C10" s="443" t="s">
        <v>447</v>
      </c>
      <c r="D10" s="443" t="s">
        <v>1091</v>
      </c>
      <c r="E10" s="443" t="s">
        <v>1096</v>
      </c>
      <c r="F10" s="443"/>
      <c r="G10" s="446">
        <v>3</v>
      </c>
      <c r="H10" s="446">
        <v>708</v>
      </c>
      <c r="I10" s="443">
        <v>1.5</v>
      </c>
      <c r="J10" s="443">
        <v>236</v>
      </c>
      <c r="K10" s="446">
        <v>2</v>
      </c>
      <c r="L10" s="446">
        <v>472</v>
      </c>
      <c r="M10" s="443">
        <v>1</v>
      </c>
      <c r="N10" s="443">
        <v>236</v>
      </c>
      <c r="O10" s="446"/>
      <c r="P10" s="446"/>
      <c r="Q10" s="468"/>
      <c r="R10" s="447"/>
    </row>
    <row r="11" spans="1:18" ht="14.4" customHeight="1" x14ac:dyDescent="0.3">
      <c r="A11" s="442"/>
      <c r="B11" s="443" t="s">
        <v>1090</v>
      </c>
      <c r="C11" s="443" t="s">
        <v>447</v>
      </c>
      <c r="D11" s="443" t="s">
        <v>1091</v>
      </c>
      <c r="E11" s="443" t="s">
        <v>1097</v>
      </c>
      <c r="F11" s="443"/>
      <c r="G11" s="446">
        <v>7</v>
      </c>
      <c r="H11" s="446">
        <v>1092</v>
      </c>
      <c r="I11" s="443">
        <v>0.875</v>
      </c>
      <c r="J11" s="443">
        <v>156</v>
      </c>
      <c r="K11" s="446">
        <v>8</v>
      </c>
      <c r="L11" s="446">
        <v>1248</v>
      </c>
      <c r="M11" s="443">
        <v>1</v>
      </c>
      <c r="N11" s="443">
        <v>156</v>
      </c>
      <c r="O11" s="446">
        <v>8</v>
      </c>
      <c r="P11" s="446">
        <v>1248</v>
      </c>
      <c r="Q11" s="468">
        <v>1</v>
      </c>
      <c r="R11" s="447">
        <v>156</v>
      </c>
    </row>
    <row r="12" spans="1:18" ht="14.4" customHeight="1" x14ac:dyDescent="0.3">
      <c r="A12" s="442"/>
      <c r="B12" s="443" t="s">
        <v>1090</v>
      </c>
      <c r="C12" s="443" t="s">
        <v>447</v>
      </c>
      <c r="D12" s="443" t="s">
        <v>1091</v>
      </c>
      <c r="E12" s="443" t="s">
        <v>1098</v>
      </c>
      <c r="F12" s="443"/>
      <c r="G12" s="446">
        <v>2</v>
      </c>
      <c r="H12" s="446">
        <v>380</v>
      </c>
      <c r="I12" s="443">
        <v>0.4</v>
      </c>
      <c r="J12" s="443">
        <v>190</v>
      </c>
      <c r="K12" s="446">
        <v>5</v>
      </c>
      <c r="L12" s="446">
        <v>950</v>
      </c>
      <c r="M12" s="443">
        <v>1</v>
      </c>
      <c r="N12" s="443">
        <v>190</v>
      </c>
      <c r="O12" s="446">
        <v>2</v>
      </c>
      <c r="P12" s="446">
        <v>380</v>
      </c>
      <c r="Q12" s="468">
        <v>0.4</v>
      </c>
      <c r="R12" s="447">
        <v>190</v>
      </c>
    </row>
    <row r="13" spans="1:18" ht="14.4" customHeight="1" x14ac:dyDescent="0.3">
      <c r="A13" s="442"/>
      <c r="B13" s="443" t="s">
        <v>1090</v>
      </c>
      <c r="C13" s="443" t="s">
        <v>447</v>
      </c>
      <c r="D13" s="443" t="s">
        <v>1091</v>
      </c>
      <c r="E13" s="443" t="s">
        <v>1099</v>
      </c>
      <c r="F13" s="443"/>
      <c r="G13" s="446">
        <v>2</v>
      </c>
      <c r="H13" s="446">
        <v>168</v>
      </c>
      <c r="I13" s="443"/>
      <c r="J13" s="443">
        <v>84</v>
      </c>
      <c r="K13" s="446"/>
      <c r="L13" s="446"/>
      <c r="M13" s="443"/>
      <c r="N13" s="443"/>
      <c r="O13" s="446"/>
      <c r="P13" s="446"/>
      <c r="Q13" s="468"/>
      <c r="R13" s="447"/>
    </row>
    <row r="14" spans="1:18" ht="14.4" customHeight="1" x14ac:dyDescent="0.3">
      <c r="A14" s="442"/>
      <c r="B14" s="443" t="s">
        <v>1090</v>
      </c>
      <c r="C14" s="443" t="s">
        <v>447</v>
      </c>
      <c r="D14" s="443" t="s">
        <v>1091</v>
      </c>
      <c r="E14" s="443" t="s">
        <v>1100</v>
      </c>
      <c r="F14" s="443"/>
      <c r="G14" s="446">
        <v>1</v>
      </c>
      <c r="H14" s="446">
        <v>105</v>
      </c>
      <c r="I14" s="443"/>
      <c r="J14" s="443">
        <v>105</v>
      </c>
      <c r="K14" s="446"/>
      <c r="L14" s="446"/>
      <c r="M14" s="443"/>
      <c r="N14" s="443"/>
      <c r="O14" s="446"/>
      <c r="P14" s="446"/>
      <c r="Q14" s="468"/>
      <c r="R14" s="447"/>
    </row>
    <row r="15" spans="1:18" ht="14.4" customHeight="1" x14ac:dyDescent="0.3">
      <c r="A15" s="442"/>
      <c r="B15" s="443" t="s">
        <v>1090</v>
      </c>
      <c r="C15" s="443" t="s">
        <v>447</v>
      </c>
      <c r="D15" s="443" t="s">
        <v>1091</v>
      </c>
      <c r="E15" s="443" t="s">
        <v>1101</v>
      </c>
      <c r="F15" s="443"/>
      <c r="G15" s="446">
        <v>18</v>
      </c>
      <c r="H15" s="446">
        <v>10728</v>
      </c>
      <c r="I15" s="443">
        <v>2</v>
      </c>
      <c r="J15" s="443">
        <v>596</v>
      </c>
      <c r="K15" s="446">
        <v>9</v>
      </c>
      <c r="L15" s="446">
        <v>5364</v>
      </c>
      <c r="M15" s="443">
        <v>1</v>
      </c>
      <c r="N15" s="443">
        <v>596</v>
      </c>
      <c r="O15" s="446">
        <v>1</v>
      </c>
      <c r="P15" s="446">
        <v>596</v>
      </c>
      <c r="Q15" s="468">
        <v>0.1111111111111111</v>
      </c>
      <c r="R15" s="447">
        <v>596</v>
      </c>
    </row>
    <row r="16" spans="1:18" ht="14.4" customHeight="1" x14ac:dyDescent="0.3">
      <c r="A16" s="442"/>
      <c r="B16" s="443" t="s">
        <v>1090</v>
      </c>
      <c r="C16" s="443" t="s">
        <v>447</v>
      </c>
      <c r="D16" s="443" t="s">
        <v>1091</v>
      </c>
      <c r="E16" s="443" t="s">
        <v>1102</v>
      </c>
      <c r="F16" s="443"/>
      <c r="G16" s="446">
        <v>4</v>
      </c>
      <c r="H16" s="446">
        <v>2664</v>
      </c>
      <c r="I16" s="443">
        <v>4</v>
      </c>
      <c r="J16" s="443">
        <v>666</v>
      </c>
      <c r="K16" s="446">
        <v>1</v>
      </c>
      <c r="L16" s="446">
        <v>666</v>
      </c>
      <c r="M16" s="443">
        <v>1</v>
      </c>
      <c r="N16" s="443">
        <v>666</v>
      </c>
      <c r="O16" s="446">
        <v>2</v>
      </c>
      <c r="P16" s="446">
        <v>1332</v>
      </c>
      <c r="Q16" s="468">
        <v>2</v>
      </c>
      <c r="R16" s="447">
        <v>666</v>
      </c>
    </row>
    <row r="17" spans="1:18" ht="14.4" customHeight="1" x14ac:dyDescent="0.3">
      <c r="A17" s="442"/>
      <c r="B17" s="443" t="s">
        <v>1090</v>
      </c>
      <c r="C17" s="443" t="s">
        <v>447</v>
      </c>
      <c r="D17" s="443" t="s">
        <v>1091</v>
      </c>
      <c r="E17" s="443" t="s">
        <v>1103</v>
      </c>
      <c r="F17" s="443"/>
      <c r="G17" s="446">
        <v>6</v>
      </c>
      <c r="H17" s="446">
        <v>7032</v>
      </c>
      <c r="I17" s="443">
        <v>1.2</v>
      </c>
      <c r="J17" s="443">
        <v>1172</v>
      </c>
      <c r="K17" s="446">
        <v>5</v>
      </c>
      <c r="L17" s="446">
        <v>5860</v>
      </c>
      <c r="M17" s="443">
        <v>1</v>
      </c>
      <c r="N17" s="443">
        <v>1172</v>
      </c>
      <c r="O17" s="446">
        <v>3</v>
      </c>
      <c r="P17" s="446">
        <v>3516</v>
      </c>
      <c r="Q17" s="468">
        <v>0.6</v>
      </c>
      <c r="R17" s="447">
        <v>1172</v>
      </c>
    </row>
    <row r="18" spans="1:18" ht="14.4" customHeight="1" x14ac:dyDescent="0.3">
      <c r="A18" s="442"/>
      <c r="B18" s="443" t="s">
        <v>1090</v>
      </c>
      <c r="C18" s="443" t="s">
        <v>447</v>
      </c>
      <c r="D18" s="443" t="s">
        <v>1091</v>
      </c>
      <c r="E18" s="443" t="s">
        <v>1104</v>
      </c>
      <c r="F18" s="443"/>
      <c r="G18" s="446">
        <v>4</v>
      </c>
      <c r="H18" s="446">
        <v>3200</v>
      </c>
      <c r="I18" s="443">
        <v>0.5714285714285714</v>
      </c>
      <c r="J18" s="443">
        <v>800</v>
      </c>
      <c r="K18" s="446">
        <v>7</v>
      </c>
      <c r="L18" s="446">
        <v>5600</v>
      </c>
      <c r="M18" s="443">
        <v>1</v>
      </c>
      <c r="N18" s="443">
        <v>800</v>
      </c>
      <c r="O18" s="446">
        <v>10</v>
      </c>
      <c r="P18" s="446">
        <v>8000</v>
      </c>
      <c r="Q18" s="468">
        <v>1.4285714285714286</v>
      </c>
      <c r="R18" s="447">
        <v>800</v>
      </c>
    </row>
    <row r="19" spans="1:18" ht="14.4" customHeight="1" x14ac:dyDescent="0.3">
      <c r="A19" s="442"/>
      <c r="B19" s="443" t="s">
        <v>1090</v>
      </c>
      <c r="C19" s="443" t="s">
        <v>447</v>
      </c>
      <c r="D19" s="443" t="s">
        <v>1091</v>
      </c>
      <c r="E19" s="443" t="s">
        <v>1105</v>
      </c>
      <c r="F19" s="443"/>
      <c r="G19" s="446">
        <v>4</v>
      </c>
      <c r="H19" s="446">
        <v>2980</v>
      </c>
      <c r="I19" s="443"/>
      <c r="J19" s="443">
        <v>745</v>
      </c>
      <c r="K19" s="446"/>
      <c r="L19" s="446"/>
      <c r="M19" s="443"/>
      <c r="N19" s="443"/>
      <c r="O19" s="446">
        <v>1</v>
      </c>
      <c r="P19" s="446">
        <v>745</v>
      </c>
      <c r="Q19" s="468"/>
      <c r="R19" s="447">
        <v>745</v>
      </c>
    </row>
    <row r="20" spans="1:18" ht="14.4" customHeight="1" x14ac:dyDescent="0.3">
      <c r="A20" s="442"/>
      <c r="B20" s="443" t="s">
        <v>1090</v>
      </c>
      <c r="C20" s="443" t="s">
        <v>447</v>
      </c>
      <c r="D20" s="443" t="s">
        <v>1091</v>
      </c>
      <c r="E20" s="443" t="s">
        <v>1106</v>
      </c>
      <c r="F20" s="443"/>
      <c r="G20" s="446">
        <v>8</v>
      </c>
      <c r="H20" s="446">
        <v>5960</v>
      </c>
      <c r="I20" s="443">
        <v>1.3333333333333333</v>
      </c>
      <c r="J20" s="443">
        <v>745</v>
      </c>
      <c r="K20" s="446">
        <v>6</v>
      </c>
      <c r="L20" s="446">
        <v>4470</v>
      </c>
      <c r="M20" s="443">
        <v>1</v>
      </c>
      <c r="N20" s="443">
        <v>745</v>
      </c>
      <c r="O20" s="446">
        <v>26</v>
      </c>
      <c r="P20" s="446">
        <v>19370</v>
      </c>
      <c r="Q20" s="468">
        <v>4.333333333333333</v>
      </c>
      <c r="R20" s="447">
        <v>745</v>
      </c>
    </row>
    <row r="21" spans="1:18" ht="14.4" customHeight="1" x14ac:dyDescent="0.3">
      <c r="A21" s="442"/>
      <c r="B21" s="443" t="s">
        <v>1090</v>
      </c>
      <c r="C21" s="443" t="s">
        <v>447</v>
      </c>
      <c r="D21" s="443" t="s">
        <v>1091</v>
      </c>
      <c r="E21" s="443" t="s">
        <v>1107</v>
      </c>
      <c r="F21" s="443"/>
      <c r="G21" s="446"/>
      <c r="H21" s="446"/>
      <c r="I21" s="443"/>
      <c r="J21" s="443"/>
      <c r="K21" s="446"/>
      <c r="L21" s="446"/>
      <c r="M21" s="443"/>
      <c r="N21" s="443"/>
      <c r="O21" s="446">
        <v>1</v>
      </c>
      <c r="P21" s="446">
        <v>592</v>
      </c>
      <c r="Q21" s="468"/>
      <c r="R21" s="447">
        <v>592</v>
      </c>
    </row>
    <row r="22" spans="1:18" ht="14.4" customHeight="1" x14ac:dyDescent="0.3">
      <c r="A22" s="442"/>
      <c r="B22" s="443" t="s">
        <v>1090</v>
      </c>
      <c r="C22" s="443" t="s">
        <v>447</v>
      </c>
      <c r="D22" s="443" t="s">
        <v>1091</v>
      </c>
      <c r="E22" s="443" t="s">
        <v>1108</v>
      </c>
      <c r="F22" s="443"/>
      <c r="G22" s="446">
        <v>26</v>
      </c>
      <c r="H22" s="446">
        <v>14586</v>
      </c>
      <c r="I22" s="443">
        <v>0.9285714285714286</v>
      </c>
      <c r="J22" s="443">
        <v>561</v>
      </c>
      <c r="K22" s="446">
        <v>28</v>
      </c>
      <c r="L22" s="446">
        <v>15708</v>
      </c>
      <c r="M22" s="443">
        <v>1</v>
      </c>
      <c r="N22" s="443">
        <v>561</v>
      </c>
      <c r="O22" s="446">
        <v>19</v>
      </c>
      <c r="P22" s="446">
        <v>10659</v>
      </c>
      <c r="Q22" s="468">
        <v>0.6785714285714286</v>
      </c>
      <c r="R22" s="447">
        <v>561</v>
      </c>
    </row>
    <row r="23" spans="1:18" ht="14.4" customHeight="1" x14ac:dyDescent="0.3">
      <c r="A23" s="442"/>
      <c r="B23" s="443" t="s">
        <v>1090</v>
      </c>
      <c r="C23" s="443" t="s">
        <v>447</v>
      </c>
      <c r="D23" s="443" t="s">
        <v>1091</v>
      </c>
      <c r="E23" s="443" t="s">
        <v>1109</v>
      </c>
      <c r="F23" s="443"/>
      <c r="G23" s="446">
        <v>4</v>
      </c>
      <c r="H23" s="446">
        <v>2076</v>
      </c>
      <c r="I23" s="443">
        <v>0.5714285714285714</v>
      </c>
      <c r="J23" s="443">
        <v>519</v>
      </c>
      <c r="K23" s="446">
        <v>7</v>
      </c>
      <c r="L23" s="446">
        <v>3633</v>
      </c>
      <c r="M23" s="443">
        <v>1</v>
      </c>
      <c r="N23" s="443">
        <v>519</v>
      </c>
      <c r="O23" s="446">
        <v>14</v>
      </c>
      <c r="P23" s="446">
        <v>7266</v>
      </c>
      <c r="Q23" s="468">
        <v>2</v>
      </c>
      <c r="R23" s="447">
        <v>519</v>
      </c>
    </row>
    <row r="24" spans="1:18" ht="14.4" customHeight="1" x14ac:dyDescent="0.3">
      <c r="A24" s="442"/>
      <c r="B24" s="443" t="s">
        <v>1090</v>
      </c>
      <c r="C24" s="443" t="s">
        <v>447</v>
      </c>
      <c r="D24" s="443" t="s">
        <v>1091</v>
      </c>
      <c r="E24" s="443" t="s">
        <v>1110</v>
      </c>
      <c r="F24" s="443"/>
      <c r="G24" s="446">
        <v>3</v>
      </c>
      <c r="H24" s="446">
        <v>963</v>
      </c>
      <c r="I24" s="443"/>
      <c r="J24" s="443">
        <v>321</v>
      </c>
      <c r="K24" s="446"/>
      <c r="L24" s="446"/>
      <c r="M24" s="443"/>
      <c r="N24" s="443"/>
      <c r="O24" s="446"/>
      <c r="P24" s="446"/>
      <c r="Q24" s="468"/>
      <c r="R24" s="447"/>
    </row>
    <row r="25" spans="1:18" ht="14.4" customHeight="1" x14ac:dyDescent="0.3">
      <c r="A25" s="442"/>
      <c r="B25" s="443" t="s">
        <v>1090</v>
      </c>
      <c r="C25" s="443" t="s">
        <v>447</v>
      </c>
      <c r="D25" s="443" t="s">
        <v>1091</v>
      </c>
      <c r="E25" s="443" t="s">
        <v>1111</v>
      </c>
      <c r="F25" s="443"/>
      <c r="G25" s="446"/>
      <c r="H25" s="446"/>
      <c r="I25" s="443"/>
      <c r="J25" s="443"/>
      <c r="K25" s="446"/>
      <c r="L25" s="446"/>
      <c r="M25" s="443"/>
      <c r="N25" s="443"/>
      <c r="O25" s="446">
        <v>2</v>
      </c>
      <c r="P25" s="446">
        <v>642</v>
      </c>
      <c r="Q25" s="468"/>
      <c r="R25" s="447">
        <v>321</v>
      </c>
    </row>
    <row r="26" spans="1:18" ht="14.4" customHeight="1" x14ac:dyDescent="0.3">
      <c r="A26" s="442"/>
      <c r="B26" s="443" t="s">
        <v>1090</v>
      </c>
      <c r="C26" s="443" t="s">
        <v>447</v>
      </c>
      <c r="D26" s="443" t="s">
        <v>1091</v>
      </c>
      <c r="E26" s="443" t="s">
        <v>1112</v>
      </c>
      <c r="F26" s="443"/>
      <c r="G26" s="446">
        <v>2</v>
      </c>
      <c r="H26" s="446">
        <v>642</v>
      </c>
      <c r="I26" s="443">
        <v>0.33333333333333331</v>
      </c>
      <c r="J26" s="443">
        <v>321</v>
      </c>
      <c r="K26" s="446">
        <v>6</v>
      </c>
      <c r="L26" s="446">
        <v>1926</v>
      </c>
      <c r="M26" s="443">
        <v>1</v>
      </c>
      <c r="N26" s="443">
        <v>321</v>
      </c>
      <c r="O26" s="446">
        <v>12</v>
      </c>
      <c r="P26" s="446">
        <v>3852</v>
      </c>
      <c r="Q26" s="468">
        <v>2</v>
      </c>
      <c r="R26" s="447">
        <v>321</v>
      </c>
    </row>
    <row r="27" spans="1:18" ht="14.4" customHeight="1" x14ac:dyDescent="0.3">
      <c r="A27" s="442"/>
      <c r="B27" s="443" t="s">
        <v>1090</v>
      </c>
      <c r="C27" s="443" t="s">
        <v>447</v>
      </c>
      <c r="D27" s="443" t="s">
        <v>1091</v>
      </c>
      <c r="E27" s="443" t="s">
        <v>1113</v>
      </c>
      <c r="F27" s="443"/>
      <c r="G27" s="446"/>
      <c r="H27" s="446"/>
      <c r="I27" s="443"/>
      <c r="J27" s="443"/>
      <c r="K27" s="446"/>
      <c r="L27" s="446"/>
      <c r="M27" s="443"/>
      <c r="N27" s="443"/>
      <c r="O27" s="446">
        <v>1</v>
      </c>
      <c r="P27" s="446">
        <v>1230</v>
      </c>
      <c r="Q27" s="468"/>
      <c r="R27" s="447">
        <v>1230</v>
      </c>
    </row>
    <row r="28" spans="1:18" ht="14.4" customHeight="1" x14ac:dyDescent="0.3">
      <c r="A28" s="442"/>
      <c r="B28" s="443" t="s">
        <v>1090</v>
      </c>
      <c r="C28" s="443" t="s">
        <v>447</v>
      </c>
      <c r="D28" s="443" t="s">
        <v>1091</v>
      </c>
      <c r="E28" s="443" t="s">
        <v>1114</v>
      </c>
      <c r="F28" s="443"/>
      <c r="G28" s="446">
        <v>22</v>
      </c>
      <c r="H28" s="446">
        <v>6204</v>
      </c>
      <c r="I28" s="443">
        <v>1.4666666666666666</v>
      </c>
      <c r="J28" s="443">
        <v>282</v>
      </c>
      <c r="K28" s="446">
        <v>15</v>
      </c>
      <c r="L28" s="446">
        <v>4230</v>
      </c>
      <c r="M28" s="443">
        <v>1</v>
      </c>
      <c r="N28" s="443">
        <v>282</v>
      </c>
      <c r="O28" s="446">
        <v>12</v>
      </c>
      <c r="P28" s="446">
        <v>3384</v>
      </c>
      <c r="Q28" s="468">
        <v>0.8</v>
      </c>
      <c r="R28" s="447">
        <v>282</v>
      </c>
    </row>
    <row r="29" spans="1:18" ht="14.4" customHeight="1" x14ac:dyDescent="0.3">
      <c r="A29" s="442"/>
      <c r="B29" s="443" t="s">
        <v>1090</v>
      </c>
      <c r="C29" s="443" t="s">
        <v>447</v>
      </c>
      <c r="D29" s="443" t="s">
        <v>1091</v>
      </c>
      <c r="E29" s="443" t="s">
        <v>1115</v>
      </c>
      <c r="F29" s="443"/>
      <c r="G29" s="446">
        <v>10</v>
      </c>
      <c r="H29" s="446">
        <v>6790</v>
      </c>
      <c r="I29" s="443">
        <v>1.4285714285714286</v>
      </c>
      <c r="J29" s="443">
        <v>679</v>
      </c>
      <c r="K29" s="446">
        <v>7</v>
      </c>
      <c r="L29" s="446">
        <v>4753</v>
      </c>
      <c r="M29" s="443">
        <v>1</v>
      </c>
      <c r="N29" s="443">
        <v>679</v>
      </c>
      <c r="O29" s="446">
        <v>7</v>
      </c>
      <c r="P29" s="446">
        <v>4753</v>
      </c>
      <c r="Q29" s="468">
        <v>1</v>
      </c>
      <c r="R29" s="447">
        <v>679</v>
      </c>
    </row>
    <row r="30" spans="1:18" ht="14.4" customHeight="1" x14ac:dyDescent="0.3">
      <c r="A30" s="442"/>
      <c r="B30" s="443" t="s">
        <v>1090</v>
      </c>
      <c r="C30" s="443" t="s">
        <v>447</v>
      </c>
      <c r="D30" s="443" t="s">
        <v>1091</v>
      </c>
      <c r="E30" s="443" t="s">
        <v>1116</v>
      </c>
      <c r="F30" s="443"/>
      <c r="G30" s="446">
        <v>8</v>
      </c>
      <c r="H30" s="446">
        <v>7432</v>
      </c>
      <c r="I30" s="443">
        <v>8</v>
      </c>
      <c r="J30" s="443">
        <v>929</v>
      </c>
      <c r="K30" s="446">
        <v>1</v>
      </c>
      <c r="L30" s="446">
        <v>929</v>
      </c>
      <c r="M30" s="443">
        <v>1</v>
      </c>
      <c r="N30" s="443">
        <v>929</v>
      </c>
      <c r="O30" s="446">
        <v>7</v>
      </c>
      <c r="P30" s="446">
        <v>6503</v>
      </c>
      <c r="Q30" s="468">
        <v>7</v>
      </c>
      <c r="R30" s="447">
        <v>929</v>
      </c>
    </row>
    <row r="31" spans="1:18" ht="14.4" customHeight="1" x14ac:dyDescent="0.3">
      <c r="A31" s="442"/>
      <c r="B31" s="443" t="s">
        <v>1090</v>
      </c>
      <c r="C31" s="443" t="s">
        <v>447</v>
      </c>
      <c r="D31" s="443" t="s">
        <v>1091</v>
      </c>
      <c r="E31" s="443" t="s">
        <v>1117</v>
      </c>
      <c r="F31" s="443"/>
      <c r="G31" s="446">
        <v>1</v>
      </c>
      <c r="H31" s="446">
        <v>208</v>
      </c>
      <c r="I31" s="443"/>
      <c r="J31" s="443">
        <v>208</v>
      </c>
      <c r="K31" s="446"/>
      <c r="L31" s="446"/>
      <c r="M31" s="443"/>
      <c r="N31" s="443"/>
      <c r="O31" s="446"/>
      <c r="P31" s="446"/>
      <c r="Q31" s="468"/>
      <c r="R31" s="447"/>
    </row>
    <row r="32" spans="1:18" ht="14.4" customHeight="1" x14ac:dyDescent="0.3">
      <c r="A32" s="442"/>
      <c r="B32" s="443" t="s">
        <v>1090</v>
      </c>
      <c r="C32" s="443" t="s">
        <v>447</v>
      </c>
      <c r="D32" s="443" t="s">
        <v>1091</v>
      </c>
      <c r="E32" s="443" t="s">
        <v>1118</v>
      </c>
      <c r="F32" s="443"/>
      <c r="G32" s="446">
        <v>1</v>
      </c>
      <c r="H32" s="446">
        <v>508</v>
      </c>
      <c r="I32" s="443"/>
      <c r="J32" s="443">
        <v>508</v>
      </c>
      <c r="K32" s="446"/>
      <c r="L32" s="446"/>
      <c r="M32" s="443"/>
      <c r="N32" s="443"/>
      <c r="O32" s="446"/>
      <c r="P32" s="446"/>
      <c r="Q32" s="468"/>
      <c r="R32" s="447"/>
    </row>
    <row r="33" spans="1:18" ht="14.4" customHeight="1" x14ac:dyDescent="0.3">
      <c r="A33" s="442"/>
      <c r="B33" s="443" t="s">
        <v>1090</v>
      </c>
      <c r="C33" s="443" t="s">
        <v>447</v>
      </c>
      <c r="D33" s="443" t="s">
        <v>1091</v>
      </c>
      <c r="E33" s="443" t="s">
        <v>1119</v>
      </c>
      <c r="F33" s="443"/>
      <c r="G33" s="446">
        <v>6</v>
      </c>
      <c r="H33" s="446">
        <v>10440</v>
      </c>
      <c r="I33" s="443">
        <v>3</v>
      </c>
      <c r="J33" s="443">
        <v>1740</v>
      </c>
      <c r="K33" s="446">
        <v>2</v>
      </c>
      <c r="L33" s="446">
        <v>3480</v>
      </c>
      <c r="M33" s="443">
        <v>1</v>
      </c>
      <c r="N33" s="443">
        <v>1740</v>
      </c>
      <c r="O33" s="446">
        <v>9</v>
      </c>
      <c r="P33" s="446">
        <v>18000</v>
      </c>
      <c r="Q33" s="468">
        <v>5.1724137931034484</v>
      </c>
      <c r="R33" s="447">
        <v>2000</v>
      </c>
    </row>
    <row r="34" spans="1:18" ht="14.4" customHeight="1" x14ac:dyDescent="0.3">
      <c r="A34" s="442"/>
      <c r="B34" s="443" t="s">
        <v>1090</v>
      </c>
      <c r="C34" s="443" t="s">
        <v>447</v>
      </c>
      <c r="D34" s="443" t="s">
        <v>1091</v>
      </c>
      <c r="E34" s="443" t="s">
        <v>1120</v>
      </c>
      <c r="F34" s="443"/>
      <c r="G34" s="446">
        <v>1</v>
      </c>
      <c r="H34" s="446">
        <v>2024</v>
      </c>
      <c r="I34" s="443">
        <v>1</v>
      </c>
      <c r="J34" s="443">
        <v>2024</v>
      </c>
      <c r="K34" s="446">
        <v>1</v>
      </c>
      <c r="L34" s="446">
        <v>2024</v>
      </c>
      <c r="M34" s="443">
        <v>1</v>
      </c>
      <c r="N34" s="443">
        <v>2024</v>
      </c>
      <c r="O34" s="446">
        <v>1</v>
      </c>
      <c r="P34" s="446">
        <v>2024</v>
      </c>
      <c r="Q34" s="468">
        <v>1</v>
      </c>
      <c r="R34" s="447">
        <v>2024</v>
      </c>
    </row>
    <row r="35" spans="1:18" ht="14.4" customHeight="1" x14ac:dyDescent="0.3">
      <c r="A35" s="442"/>
      <c r="B35" s="443" t="s">
        <v>1090</v>
      </c>
      <c r="C35" s="443" t="s">
        <v>447</v>
      </c>
      <c r="D35" s="443" t="s">
        <v>1091</v>
      </c>
      <c r="E35" s="443" t="s">
        <v>1121</v>
      </c>
      <c r="F35" s="443"/>
      <c r="G35" s="446"/>
      <c r="H35" s="446"/>
      <c r="I35" s="443"/>
      <c r="J35" s="443"/>
      <c r="K35" s="446">
        <v>1</v>
      </c>
      <c r="L35" s="446">
        <v>2010</v>
      </c>
      <c r="M35" s="443">
        <v>1</v>
      </c>
      <c r="N35" s="443">
        <v>2010</v>
      </c>
      <c r="O35" s="446"/>
      <c r="P35" s="446"/>
      <c r="Q35" s="468"/>
      <c r="R35" s="447"/>
    </row>
    <row r="36" spans="1:18" ht="14.4" customHeight="1" x14ac:dyDescent="0.3">
      <c r="A36" s="442"/>
      <c r="B36" s="443" t="s">
        <v>1090</v>
      </c>
      <c r="C36" s="443" t="s">
        <v>447</v>
      </c>
      <c r="D36" s="443" t="s">
        <v>1091</v>
      </c>
      <c r="E36" s="443" t="s">
        <v>1122</v>
      </c>
      <c r="F36" s="443"/>
      <c r="G36" s="446">
        <v>4</v>
      </c>
      <c r="H36" s="446">
        <v>8584</v>
      </c>
      <c r="I36" s="443"/>
      <c r="J36" s="443">
        <v>2146</v>
      </c>
      <c r="K36" s="446"/>
      <c r="L36" s="446"/>
      <c r="M36" s="443"/>
      <c r="N36" s="443"/>
      <c r="O36" s="446"/>
      <c r="P36" s="446"/>
      <c r="Q36" s="468"/>
      <c r="R36" s="447"/>
    </row>
    <row r="37" spans="1:18" ht="14.4" customHeight="1" x14ac:dyDescent="0.3">
      <c r="A37" s="442"/>
      <c r="B37" s="443" t="s">
        <v>1090</v>
      </c>
      <c r="C37" s="443" t="s">
        <v>447</v>
      </c>
      <c r="D37" s="443" t="s">
        <v>1091</v>
      </c>
      <c r="E37" s="443" t="s">
        <v>1123</v>
      </c>
      <c r="F37" s="443"/>
      <c r="G37" s="446"/>
      <c r="H37" s="446"/>
      <c r="I37" s="443"/>
      <c r="J37" s="443"/>
      <c r="K37" s="446">
        <v>1</v>
      </c>
      <c r="L37" s="446">
        <v>1246</v>
      </c>
      <c r="M37" s="443">
        <v>1</v>
      </c>
      <c r="N37" s="443">
        <v>1246</v>
      </c>
      <c r="O37" s="446"/>
      <c r="P37" s="446"/>
      <c r="Q37" s="468"/>
      <c r="R37" s="447"/>
    </row>
    <row r="38" spans="1:18" ht="14.4" customHeight="1" x14ac:dyDescent="0.3">
      <c r="A38" s="442"/>
      <c r="B38" s="443" t="s">
        <v>1090</v>
      </c>
      <c r="C38" s="443" t="s">
        <v>447</v>
      </c>
      <c r="D38" s="443" t="s">
        <v>1091</v>
      </c>
      <c r="E38" s="443" t="s">
        <v>1124</v>
      </c>
      <c r="F38" s="443"/>
      <c r="G38" s="446">
        <v>16</v>
      </c>
      <c r="H38" s="446">
        <v>56864</v>
      </c>
      <c r="I38" s="443">
        <v>1.6</v>
      </c>
      <c r="J38" s="443">
        <v>3554</v>
      </c>
      <c r="K38" s="446">
        <v>10</v>
      </c>
      <c r="L38" s="446">
        <v>35540</v>
      </c>
      <c r="M38" s="443">
        <v>1</v>
      </c>
      <c r="N38" s="443">
        <v>3554</v>
      </c>
      <c r="O38" s="446">
        <v>12</v>
      </c>
      <c r="P38" s="446">
        <v>46800</v>
      </c>
      <c r="Q38" s="468">
        <v>1.3168261114237478</v>
      </c>
      <c r="R38" s="447">
        <v>3900</v>
      </c>
    </row>
    <row r="39" spans="1:18" ht="14.4" customHeight="1" x14ac:dyDescent="0.3">
      <c r="A39" s="442"/>
      <c r="B39" s="443" t="s">
        <v>1090</v>
      </c>
      <c r="C39" s="443" t="s">
        <v>447</v>
      </c>
      <c r="D39" s="443" t="s">
        <v>1091</v>
      </c>
      <c r="E39" s="443" t="s">
        <v>1125</v>
      </c>
      <c r="F39" s="443"/>
      <c r="G39" s="446">
        <v>14</v>
      </c>
      <c r="H39" s="446">
        <v>50638</v>
      </c>
      <c r="I39" s="443">
        <v>1.75</v>
      </c>
      <c r="J39" s="443">
        <v>3617</v>
      </c>
      <c r="K39" s="446">
        <v>8</v>
      </c>
      <c r="L39" s="446">
        <v>28936</v>
      </c>
      <c r="M39" s="443">
        <v>1</v>
      </c>
      <c r="N39" s="443">
        <v>3617</v>
      </c>
      <c r="O39" s="446">
        <v>9</v>
      </c>
      <c r="P39" s="446">
        <v>35100</v>
      </c>
      <c r="Q39" s="468">
        <v>1.2130218413049489</v>
      </c>
      <c r="R39" s="447">
        <v>3900</v>
      </c>
    </row>
    <row r="40" spans="1:18" ht="14.4" customHeight="1" x14ac:dyDescent="0.3">
      <c r="A40" s="442"/>
      <c r="B40" s="443" t="s">
        <v>1090</v>
      </c>
      <c r="C40" s="443" t="s">
        <v>447</v>
      </c>
      <c r="D40" s="443" t="s">
        <v>1091</v>
      </c>
      <c r="E40" s="443" t="s">
        <v>1126</v>
      </c>
      <c r="F40" s="443"/>
      <c r="G40" s="446">
        <v>2</v>
      </c>
      <c r="H40" s="446">
        <v>328</v>
      </c>
      <c r="I40" s="443"/>
      <c r="J40" s="443">
        <v>164</v>
      </c>
      <c r="K40" s="446"/>
      <c r="L40" s="446"/>
      <c r="M40" s="443"/>
      <c r="N40" s="443"/>
      <c r="O40" s="446">
        <v>3</v>
      </c>
      <c r="P40" s="446">
        <v>492</v>
      </c>
      <c r="Q40" s="468"/>
      <c r="R40" s="447">
        <v>164</v>
      </c>
    </row>
    <row r="41" spans="1:18" ht="14.4" customHeight="1" x14ac:dyDescent="0.3">
      <c r="A41" s="442"/>
      <c r="B41" s="443" t="s">
        <v>1090</v>
      </c>
      <c r="C41" s="443" t="s">
        <v>447</v>
      </c>
      <c r="D41" s="443" t="s">
        <v>1091</v>
      </c>
      <c r="E41" s="443" t="s">
        <v>1127</v>
      </c>
      <c r="F41" s="443"/>
      <c r="G41" s="446">
        <v>8</v>
      </c>
      <c r="H41" s="446">
        <v>1800</v>
      </c>
      <c r="I41" s="443">
        <v>1.3333333333333333</v>
      </c>
      <c r="J41" s="443">
        <v>225</v>
      </c>
      <c r="K41" s="446">
        <v>6</v>
      </c>
      <c r="L41" s="446">
        <v>1350</v>
      </c>
      <c r="M41" s="443">
        <v>1</v>
      </c>
      <c r="N41" s="443">
        <v>225</v>
      </c>
      <c r="O41" s="446">
        <v>12</v>
      </c>
      <c r="P41" s="446">
        <v>2700</v>
      </c>
      <c r="Q41" s="468">
        <v>2</v>
      </c>
      <c r="R41" s="447">
        <v>225</v>
      </c>
    </row>
    <row r="42" spans="1:18" ht="14.4" customHeight="1" x14ac:dyDescent="0.3">
      <c r="A42" s="442"/>
      <c r="B42" s="443" t="s">
        <v>1090</v>
      </c>
      <c r="C42" s="443" t="s">
        <v>447</v>
      </c>
      <c r="D42" s="443" t="s">
        <v>1091</v>
      </c>
      <c r="E42" s="443" t="s">
        <v>1128</v>
      </c>
      <c r="F42" s="443"/>
      <c r="G42" s="446">
        <v>6</v>
      </c>
      <c r="H42" s="446">
        <v>2178</v>
      </c>
      <c r="I42" s="443">
        <v>1.5</v>
      </c>
      <c r="J42" s="443">
        <v>363</v>
      </c>
      <c r="K42" s="446">
        <v>4</v>
      </c>
      <c r="L42" s="446">
        <v>1452</v>
      </c>
      <c r="M42" s="443">
        <v>1</v>
      </c>
      <c r="N42" s="443">
        <v>363</v>
      </c>
      <c r="O42" s="446">
        <v>5</v>
      </c>
      <c r="P42" s="446">
        <v>1815</v>
      </c>
      <c r="Q42" s="468">
        <v>1.25</v>
      </c>
      <c r="R42" s="447">
        <v>363</v>
      </c>
    </row>
    <row r="43" spans="1:18" ht="14.4" customHeight="1" x14ac:dyDescent="0.3">
      <c r="A43" s="442"/>
      <c r="B43" s="443" t="s">
        <v>1090</v>
      </c>
      <c r="C43" s="443" t="s">
        <v>447</v>
      </c>
      <c r="D43" s="443" t="s">
        <v>1091</v>
      </c>
      <c r="E43" s="443" t="s">
        <v>1129</v>
      </c>
      <c r="F43" s="443"/>
      <c r="G43" s="446">
        <v>8</v>
      </c>
      <c r="H43" s="446">
        <v>4696</v>
      </c>
      <c r="I43" s="443">
        <v>1.6</v>
      </c>
      <c r="J43" s="443">
        <v>587</v>
      </c>
      <c r="K43" s="446">
        <v>5</v>
      </c>
      <c r="L43" s="446">
        <v>2935</v>
      </c>
      <c r="M43" s="443">
        <v>1</v>
      </c>
      <c r="N43" s="443">
        <v>587</v>
      </c>
      <c r="O43" s="446">
        <v>6</v>
      </c>
      <c r="P43" s="446">
        <v>3522</v>
      </c>
      <c r="Q43" s="468">
        <v>1.2</v>
      </c>
      <c r="R43" s="447">
        <v>587</v>
      </c>
    </row>
    <row r="44" spans="1:18" ht="14.4" customHeight="1" x14ac:dyDescent="0.3">
      <c r="A44" s="442"/>
      <c r="B44" s="443" t="s">
        <v>1090</v>
      </c>
      <c r="C44" s="443" t="s">
        <v>447</v>
      </c>
      <c r="D44" s="443" t="s">
        <v>1091</v>
      </c>
      <c r="E44" s="443" t="s">
        <v>1130</v>
      </c>
      <c r="F44" s="443"/>
      <c r="G44" s="446">
        <v>2</v>
      </c>
      <c r="H44" s="446">
        <v>1200</v>
      </c>
      <c r="I44" s="443">
        <v>2</v>
      </c>
      <c r="J44" s="443">
        <v>600</v>
      </c>
      <c r="K44" s="446">
        <v>1</v>
      </c>
      <c r="L44" s="446">
        <v>600</v>
      </c>
      <c r="M44" s="443">
        <v>1</v>
      </c>
      <c r="N44" s="443">
        <v>600</v>
      </c>
      <c r="O44" s="446">
        <v>1</v>
      </c>
      <c r="P44" s="446">
        <v>600</v>
      </c>
      <c r="Q44" s="468">
        <v>1</v>
      </c>
      <c r="R44" s="447">
        <v>600</v>
      </c>
    </row>
    <row r="45" spans="1:18" ht="14.4" customHeight="1" x14ac:dyDescent="0.3">
      <c r="A45" s="442"/>
      <c r="B45" s="443" t="s">
        <v>1090</v>
      </c>
      <c r="C45" s="443" t="s">
        <v>447</v>
      </c>
      <c r="D45" s="443" t="s">
        <v>1091</v>
      </c>
      <c r="E45" s="443" t="s">
        <v>1131</v>
      </c>
      <c r="F45" s="443"/>
      <c r="G45" s="446">
        <v>1</v>
      </c>
      <c r="H45" s="446">
        <v>4359</v>
      </c>
      <c r="I45" s="443"/>
      <c r="J45" s="443">
        <v>4359</v>
      </c>
      <c r="K45" s="446"/>
      <c r="L45" s="446"/>
      <c r="M45" s="443"/>
      <c r="N45" s="443"/>
      <c r="O45" s="446"/>
      <c r="P45" s="446"/>
      <c r="Q45" s="468"/>
      <c r="R45" s="447"/>
    </row>
    <row r="46" spans="1:18" ht="14.4" customHeight="1" x14ac:dyDescent="0.3">
      <c r="A46" s="442"/>
      <c r="B46" s="443" t="s">
        <v>1090</v>
      </c>
      <c r="C46" s="443" t="s">
        <v>447</v>
      </c>
      <c r="D46" s="443" t="s">
        <v>1091</v>
      </c>
      <c r="E46" s="443" t="s">
        <v>1132</v>
      </c>
      <c r="F46" s="443"/>
      <c r="G46" s="446"/>
      <c r="H46" s="446"/>
      <c r="I46" s="443"/>
      <c r="J46" s="443"/>
      <c r="K46" s="446"/>
      <c r="L46" s="446"/>
      <c r="M46" s="443"/>
      <c r="N46" s="443"/>
      <c r="O46" s="446">
        <v>1</v>
      </c>
      <c r="P46" s="446">
        <v>745</v>
      </c>
      <c r="Q46" s="468"/>
      <c r="R46" s="447">
        <v>745</v>
      </c>
    </row>
    <row r="47" spans="1:18" ht="14.4" customHeight="1" x14ac:dyDescent="0.3">
      <c r="A47" s="442"/>
      <c r="B47" s="443" t="s">
        <v>1090</v>
      </c>
      <c r="C47" s="443" t="s">
        <v>447</v>
      </c>
      <c r="D47" s="443" t="s">
        <v>1091</v>
      </c>
      <c r="E47" s="443" t="s">
        <v>1133</v>
      </c>
      <c r="F47" s="443"/>
      <c r="G47" s="446">
        <v>1</v>
      </c>
      <c r="H47" s="446">
        <v>561</v>
      </c>
      <c r="I47" s="443">
        <v>1</v>
      </c>
      <c r="J47" s="443">
        <v>561</v>
      </c>
      <c r="K47" s="446">
        <v>1</v>
      </c>
      <c r="L47" s="446">
        <v>561</v>
      </c>
      <c r="M47" s="443">
        <v>1</v>
      </c>
      <c r="N47" s="443">
        <v>561</v>
      </c>
      <c r="O47" s="446">
        <v>2</v>
      </c>
      <c r="P47" s="446">
        <v>1122</v>
      </c>
      <c r="Q47" s="468">
        <v>2</v>
      </c>
      <c r="R47" s="447">
        <v>561</v>
      </c>
    </row>
    <row r="48" spans="1:18" ht="14.4" customHeight="1" x14ac:dyDescent="0.3">
      <c r="A48" s="442"/>
      <c r="B48" s="443" t="s">
        <v>1090</v>
      </c>
      <c r="C48" s="443" t="s">
        <v>447</v>
      </c>
      <c r="D48" s="443" t="s">
        <v>1091</v>
      </c>
      <c r="E48" s="443" t="s">
        <v>1134</v>
      </c>
      <c r="F48" s="443"/>
      <c r="G48" s="446">
        <v>2</v>
      </c>
      <c r="H48" s="446">
        <v>1734</v>
      </c>
      <c r="I48" s="443"/>
      <c r="J48" s="443">
        <v>867</v>
      </c>
      <c r="K48" s="446"/>
      <c r="L48" s="446"/>
      <c r="M48" s="443"/>
      <c r="N48" s="443"/>
      <c r="O48" s="446">
        <v>2</v>
      </c>
      <c r="P48" s="446">
        <v>1734</v>
      </c>
      <c r="Q48" s="468"/>
      <c r="R48" s="447">
        <v>867</v>
      </c>
    </row>
    <row r="49" spans="1:18" ht="14.4" customHeight="1" x14ac:dyDescent="0.3">
      <c r="A49" s="442"/>
      <c r="B49" s="443" t="s">
        <v>1090</v>
      </c>
      <c r="C49" s="443" t="s">
        <v>447</v>
      </c>
      <c r="D49" s="443" t="s">
        <v>1091</v>
      </c>
      <c r="E49" s="443" t="s">
        <v>1135</v>
      </c>
      <c r="F49" s="443"/>
      <c r="G49" s="446">
        <v>3</v>
      </c>
      <c r="H49" s="446">
        <v>1650</v>
      </c>
      <c r="I49" s="443"/>
      <c r="J49" s="443">
        <v>550</v>
      </c>
      <c r="K49" s="446"/>
      <c r="L49" s="446"/>
      <c r="M49" s="443"/>
      <c r="N49" s="443"/>
      <c r="O49" s="446"/>
      <c r="P49" s="446"/>
      <c r="Q49" s="468"/>
      <c r="R49" s="447"/>
    </row>
    <row r="50" spans="1:18" ht="14.4" customHeight="1" x14ac:dyDescent="0.3">
      <c r="A50" s="442"/>
      <c r="B50" s="443" t="s">
        <v>1090</v>
      </c>
      <c r="C50" s="443" t="s">
        <v>447</v>
      </c>
      <c r="D50" s="443" t="s">
        <v>1091</v>
      </c>
      <c r="E50" s="443" t="s">
        <v>1136</v>
      </c>
      <c r="F50" s="443"/>
      <c r="G50" s="446"/>
      <c r="H50" s="446"/>
      <c r="I50" s="443"/>
      <c r="J50" s="443"/>
      <c r="K50" s="446">
        <v>1</v>
      </c>
      <c r="L50" s="446">
        <v>519</v>
      </c>
      <c r="M50" s="443">
        <v>1</v>
      </c>
      <c r="N50" s="443">
        <v>519</v>
      </c>
      <c r="O50" s="446"/>
      <c r="P50" s="446"/>
      <c r="Q50" s="468"/>
      <c r="R50" s="447"/>
    </row>
    <row r="51" spans="1:18" ht="14.4" customHeight="1" x14ac:dyDescent="0.3">
      <c r="A51" s="442"/>
      <c r="B51" s="443" t="s">
        <v>1090</v>
      </c>
      <c r="C51" s="443" t="s">
        <v>447</v>
      </c>
      <c r="D51" s="443" t="s">
        <v>1091</v>
      </c>
      <c r="E51" s="443" t="s">
        <v>1137</v>
      </c>
      <c r="F51" s="443"/>
      <c r="G51" s="446"/>
      <c r="H51" s="446"/>
      <c r="I51" s="443"/>
      <c r="J51" s="443"/>
      <c r="K51" s="446"/>
      <c r="L51" s="446"/>
      <c r="M51" s="443"/>
      <c r="N51" s="443"/>
      <c r="O51" s="446">
        <v>2</v>
      </c>
      <c r="P51" s="446">
        <v>2652</v>
      </c>
      <c r="Q51" s="468"/>
      <c r="R51" s="447">
        <v>1326</v>
      </c>
    </row>
    <row r="52" spans="1:18" ht="14.4" customHeight="1" x14ac:dyDescent="0.3">
      <c r="A52" s="442"/>
      <c r="B52" s="443" t="s">
        <v>1090</v>
      </c>
      <c r="C52" s="443" t="s">
        <v>447</v>
      </c>
      <c r="D52" s="443" t="s">
        <v>1091</v>
      </c>
      <c r="E52" s="443" t="s">
        <v>1138</v>
      </c>
      <c r="F52" s="443"/>
      <c r="G52" s="446">
        <v>1</v>
      </c>
      <c r="H52" s="446">
        <v>405</v>
      </c>
      <c r="I52" s="443"/>
      <c r="J52" s="443">
        <v>405</v>
      </c>
      <c r="K52" s="446"/>
      <c r="L52" s="446"/>
      <c r="M52" s="443"/>
      <c r="N52" s="443"/>
      <c r="O52" s="446"/>
      <c r="P52" s="446"/>
      <c r="Q52" s="468"/>
      <c r="R52" s="447"/>
    </row>
    <row r="53" spans="1:18" ht="14.4" customHeight="1" x14ac:dyDescent="0.3">
      <c r="A53" s="442"/>
      <c r="B53" s="443" t="s">
        <v>1090</v>
      </c>
      <c r="C53" s="443" t="s">
        <v>447</v>
      </c>
      <c r="D53" s="443" t="s">
        <v>1091</v>
      </c>
      <c r="E53" s="443" t="s">
        <v>1139</v>
      </c>
      <c r="F53" s="443"/>
      <c r="G53" s="446"/>
      <c r="H53" s="446"/>
      <c r="I53" s="443"/>
      <c r="J53" s="443"/>
      <c r="K53" s="446"/>
      <c r="L53" s="446"/>
      <c r="M53" s="443"/>
      <c r="N53" s="443"/>
      <c r="O53" s="446">
        <v>6</v>
      </c>
      <c r="P53" s="446">
        <v>3300</v>
      </c>
      <c r="Q53" s="468"/>
      <c r="R53" s="447">
        <v>550</v>
      </c>
    </row>
    <row r="54" spans="1:18" ht="14.4" customHeight="1" x14ac:dyDescent="0.3">
      <c r="A54" s="442"/>
      <c r="B54" s="443" t="s">
        <v>1090</v>
      </c>
      <c r="C54" s="443" t="s">
        <v>447</v>
      </c>
      <c r="D54" s="443" t="s">
        <v>1091</v>
      </c>
      <c r="E54" s="443" t="s">
        <v>1140</v>
      </c>
      <c r="F54" s="443"/>
      <c r="G54" s="446"/>
      <c r="H54" s="446"/>
      <c r="I54" s="443"/>
      <c r="J54" s="443"/>
      <c r="K54" s="446"/>
      <c r="L54" s="446"/>
      <c r="M54" s="443"/>
      <c r="N54" s="443"/>
      <c r="O54" s="446">
        <v>4</v>
      </c>
      <c r="P54" s="446">
        <v>0</v>
      </c>
      <c r="Q54" s="468"/>
      <c r="R54" s="447">
        <v>0</v>
      </c>
    </row>
    <row r="55" spans="1:18" ht="14.4" customHeight="1" x14ac:dyDescent="0.3">
      <c r="A55" s="442"/>
      <c r="B55" s="443" t="s">
        <v>1090</v>
      </c>
      <c r="C55" s="443" t="s">
        <v>447</v>
      </c>
      <c r="D55" s="443" t="s">
        <v>1141</v>
      </c>
      <c r="E55" s="443" t="s">
        <v>1142</v>
      </c>
      <c r="F55" s="443" t="s">
        <v>1143</v>
      </c>
      <c r="G55" s="446">
        <v>2</v>
      </c>
      <c r="H55" s="446">
        <v>884.44</v>
      </c>
      <c r="I55" s="443">
        <v>1.8597863571368494</v>
      </c>
      <c r="J55" s="443">
        <v>442.22</v>
      </c>
      <c r="K55" s="446">
        <v>1</v>
      </c>
      <c r="L55" s="446">
        <v>475.56</v>
      </c>
      <c r="M55" s="443">
        <v>1</v>
      </c>
      <c r="N55" s="443">
        <v>475.56</v>
      </c>
      <c r="O55" s="446"/>
      <c r="P55" s="446"/>
      <c r="Q55" s="468"/>
      <c r="R55" s="447"/>
    </row>
    <row r="56" spans="1:18" ht="14.4" customHeight="1" x14ac:dyDescent="0.3">
      <c r="A56" s="442"/>
      <c r="B56" s="443" t="s">
        <v>1090</v>
      </c>
      <c r="C56" s="443" t="s">
        <v>447</v>
      </c>
      <c r="D56" s="443" t="s">
        <v>1141</v>
      </c>
      <c r="E56" s="443" t="s">
        <v>1144</v>
      </c>
      <c r="F56" s="443" t="s">
        <v>1145</v>
      </c>
      <c r="G56" s="446">
        <v>11</v>
      </c>
      <c r="H56" s="446">
        <v>5011.1100000000006</v>
      </c>
      <c r="I56" s="443">
        <v>0.61111097560975614</v>
      </c>
      <c r="J56" s="443">
        <v>455.55545454545461</v>
      </c>
      <c r="K56" s="446">
        <v>18</v>
      </c>
      <c r="L56" s="446">
        <v>8200</v>
      </c>
      <c r="M56" s="443">
        <v>1</v>
      </c>
      <c r="N56" s="443">
        <v>455.55555555555554</v>
      </c>
      <c r="O56" s="446">
        <v>12</v>
      </c>
      <c r="P56" s="446">
        <v>6000</v>
      </c>
      <c r="Q56" s="468">
        <v>0.73170731707317072</v>
      </c>
      <c r="R56" s="447">
        <v>500</v>
      </c>
    </row>
    <row r="57" spans="1:18" ht="14.4" customHeight="1" x14ac:dyDescent="0.3">
      <c r="A57" s="442"/>
      <c r="B57" s="443" t="s">
        <v>1090</v>
      </c>
      <c r="C57" s="443" t="s">
        <v>447</v>
      </c>
      <c r="D57" s="443" t="s">
        <v>1141</v>
      </c>
      <c r="E57" s="443" t="s">
        <v>1146</v>
      </c>
      <c r="F57" s="443" t="s">
        <v>1147</v>
      </c>
      <c r="G57" s="446">
        <v>148</v>
      </c>
      <c r="H57" s="446">
        <v>11511.119999999999</v>
      </c>
      <c r="I57" s="443">
        <v>0.69811412297257291</v>
      </c>
      <c r="J57" s="443">
        <v>77.777837837837836</v>
      </c>
      <c r="K57" s="446">
        <v>212</v>
      </c>
      <c r="L57" s="446">
        <v>16488.88</v>
      </c>
      <c r="M57" s="443">
        <v>1</v>
      </c>
      <c r="N57" s="443">
        <v>77.777735849056612</v>
      </c>
      <c r="O57" s="446">
        <v>277</v>
      </c>
      <c r="P57" s="446">
        <v>21544.43</v>
      </c>
      <c r="Q57" s="468">
        <v>1.3066036019426426</v>
      </c>
      <c r="R57" s="447">
        <v>77.777725631768959</v>
      </c>
    </row>
    <row r="58" spans="1:18" ht="14.4" customHeight="1" x14ac:dyDescent="0.3">
      <c r="A58" s="442"/>
      <c r="B58" s="443" t="s">
        <v>1090</v>
      </c>
      <c r="C58" s="443" t="s">
        <v>447</v>
      </c>
      <c r="D58" s="443" t="s">
        <v>1141</v>
      </c>
      <c r="E58" s="443" t="s">
        <v>1148</v>
      </c>
      <c r="F58" s="443" t="s">
        <v>1149</v>
      </c>
      <c r="G58" s="446"/>
      <c r="H58" s="446"/>
      <c r="I58" s="443"/>
      <c r="J58" s="443"/>
      <c r="K58" s="446"/>
      <c r="L58" s="446"/>
      <c r="M58" s="443"/>
      <c r="N58" s="443"/>
      <c r="O58" s="446">
        <v>8</v>
      </c>
      <c r="P58" s="446">
        <v>2000</v>
      </c>
      <c r="Q58" s="468"/>
      <c r="R58" s="447">
        <v>250</v>
      </c>
    </row>
    <row r="59" spans="1:18" ht="14.4" customHeight="1" x14ac:dyDescent="0.3">
      <c r="A59" s="442"/>
      <c r="B59" s="443" t="s">
        <v>1090</v>
      </c>
      <c r="C59" s="443" t="s">
        <v>447</v>
      </c>
      <c r="D59" s="443" t="s">
        <v>1141</v>
      </c>
      <c r="E59" s="443" t="s">
        <v>1150</v>
      </c>
      <c r="F59" s="443" t="s">
        <v>1151</v>
      </c>
      <c r="G59" s="446"/>
      <c r="H59" s="446"/>
      <c r="I59" s="443"/>
      <c r="J59" s="443"/>
      <c r="K59" s="446">
        <v>1</v>
      </c>
      <c r="L59" s="446">
        <v>300</v>
      </c>
      <c r="M59" s="443">
        <v>1</v>
      </c>
      <c r="N59" s="443">
        <v>300</v>
      </c>
      <c r="O59" s="446"/>
      <c r="P59" s="446"/>
      <c r="Q59" s="468"/>
      <c r="R59" s="447"/>
    </row>
    <row r="60" spans="1:18" ht="14.4" customHeight="1" x14ac:dyDescent="0.3">
      <c r="A60" s="442"/>
      <c r="B60" s="443" t="s">
        <v>1090</v>
      </c>
      <c r="C60" s="443" t="s">
        <v>447</v>
      </c>
      <c r="D60" s="443" t="s">
        <v>1141</v>
      </c>
      <c r="E60" s="443" t="s">
        <v>1152</v>
      </c>
      <c r="F60" s="443" t="s">
        <v>1153</v>
      </c>
      <c r="G60" s="446">
        <v>70</v>
      </c>
      <c r="H60" s="446">
        <v>7777.76</v>
      </c>
      <c r="I60" s="443">
        <v>0.8888868571428572</v>
      </c>
      <c r="J60" s="443">
        <v>111.11085714285714</v>
      </c>
      <c r="K60" s="446">
        <v>75</v>
      </c>
      <c r="L60" s="446">
        <v>8750</v>
      </c>
      <c r="M60" s="443">
        <v>1</v>
      </c>
      <c r="N60" s="443">
        <v>116.66666666666667</v>
      </c>
      <c r="O60" s="446">
        <v>84</v>
      </c>
      <c r="P60" s="446">
        <v>9799.99</v>
      </c>
      <c r="Q60" s="468">
        <v>1.1199988571428572</v>
      </c>
      <c r="R60" s="447">
        <v>116.66654761904762</v>
      </c>
    </row>
    <row r="61" spans="1:18" ht="14.4" customHeight="1" x14ac:dyDescent="0.3">
      <c r="A61" s="442"/>
      <c r="B61" s="443" t="s">
        <v>1090</v>
      </c>
      <c r="C61" s="443" t="s">
        <v>447</v>
      </c>
      <c r="D61" s="443" t="s">
        <v>1141</v>
      </c>
      <c r="E61" s="443" t="s">
        <v>1154</v>
      </c>
      <c r="F61" s="443" t="s">
        <v>1155</v>
      </c>
      <c r="G61" s="446">
        <v>157</v>
      </c>
      <c r="H61" s="446">
        <v>42215.55</v>
      </c>
      <c r="I61" s="443">
        <v>4.3974531250000002</v>
      </c>
      <c r="J61" s="443">
        <v>268.88885350318475</v>
      </c>
      <c r="K61" s="446">
        <v>32</v>
      </c>
      <c r="L61" s="446">
        <v>9600</v>
      </c>
      <c r="M61" s="443">
        <v>1</v>
      </c>
      <c r="N61" s="443">
        <v>300</v>
      </c>
      <c r="O61" s="446">
        <v>30</v>
      </c>
      <c r="P61" s="446">
        <v>9000</v>
      </c>
      <c r="Q61" s="468">
        <v>0.9375</v>
      </c>
      <c r="R61" s="447">
        <v>300</v>
      </c>
    </row>
    <row r="62" spans="1:18" ht="14.4" customHeight="1" x14ac:dyDescent="0.3">
      <c r="A62" s="442"/>
      <c r="B62" s="443" t="s">
        <v>1090</v>
      </c>
      <c r="C62" s="443" t="s">
        <v>447</v>
      </c>
      <c r="D62" s="443" t="s">
        <v>1141</v>
      </c>
      <c r="E62" s="443" t="s">
        <v>1156</v>
      </c>
      <c r="F62" s="443" t="s">
        <v>1157</v>
      </c>
      <c r="G62" s="446">
        <v>24</v>
      </c>
      <c r="H62" s="446">
        <v>7066.66</v>
      </c>
      <c r="I62" s="443">
        <v>6.0000339624884313</v>
      </c>
      <c r="J62" s="443">
        <v>294.44416666666666</v>
      </c>
      <c r="K62" s="446">
        <v>4</v>
      </c>
      <c r="L62" s="446">
        <v>1177.77</v>
      </c>
      <c r="M62" s="443">
        <v>1</v>
      </c>
      <c r="N62" s="443">
        <v>294.4425</v>
      </c>
      <c r="O62" s="446">
        <v>1</v>
      </c>
      <c r="P62" s="446">
        <v>294.44</v>
      </c>
      <c r="Q62" s="468">
        <v>0.24999787734447304</v>
      </c>
      <c r="R62" s="447">
        <v>294.44</v>
      </c>
    </row>
    <row r="63" spans="1:18" ht="14.4" customHeight="1" x14ac:dyDescent="0.3">
      <c r="A63" s="442"/>
      <c r="B63" s="443" t="s">
        <v>1090</v>
      </c>
      <c r="C63" s="443" t="s">
        <v>447</v>
      </c>
      <c r="D63" s="443" t="s">
        <v>1141</v>
      </c>
      <c r="E63" s="443" t="s">
        <v>1158</v>
      </c>
      <c r="F63" s="443" t="s">
        <v>1159</v>
      </c>
      <c r="G63" s="446">
        <v>7</v>
      </c>
      <c r="H63" s="446">
        <v>77.77</v>
      </c>
      <c r="I63" s="443"/>
      <c r="J63" s="443">
        <v>11.11</v>
      </c>
      <c r="K63" s="446"/>
      <c r="L63" s="446"/>
      <c r="M63" s="443"/>
      <c r="N63" s="443"/>
      <c r="O63" s="446"/>
      <c r="P63" s="446"/>
      <c r="Q63" s="468"/>
      <c r="R63" s="447"/>
    </row>
    <row r="64" spans="1:18" ht="14.4" customHeight="1" x14ac:dyDescent="0.3">
      <c r="A64" s="442"/>
      <c r="B64" s="443" t="s">
        <v>1090</v>
      </c>
      <c r="C64" s="443" t="s">
        <v>447</v>
      </c>
      <c r="D64" s="443" t="s">
        <v>1141</v>
      </c>
      <c r="E64" s="443" t="s">
        <v>1160</v>
      </c>
      <c r="F64" s="443" t="s">
        <v>1145</v>
      </c>
      <c r="G64" s="446">
        <v>260</v>
      </c>
      <c r="H64" s="446">
        <v>97066.66</v>
      </c>
      <c r="I64" s="443">
        <v>1.5476189413265307</v>
      </c>
      <c r="J64" s="443">
        <v>373.3333076923077</v>
      </c>
      <c r="K64" s="446">
        <v>168</v>
      </c>
      <c r="L64" s="446">
        <v>62720</v>
      </c>
      <c r="M64" s="443">
        <v>1</v>
      </c>
      <c r="N64" s="443">
        <v>373.33333333333331</v>
      </c>
      <c r="O64" s="446">
        <v>57</v>
      </c>
      <c r="P64" s="446">
        <v>23813.32</v>
      </c>
      <c r="Q64" s="468">
        <v>0.37967665816326529</v>
      </c>
      <c r="R64" s="447">
        <v>417.77754385964914</v>
      </c>
    </row>
    <row r="65" spans="1:18" ht="14.4" customHeight="1" x14ac:dyDescent="0.3">
      <c r="A65" s="442"/>
      <c r="B65" s="443" t="s">
        <v>1090</v>
      </c>
      <c r="C65" s="443" t="s">
        <v>447</v>
      </c>
      <c r="D65" s="443" t="s">
        <v>1141</v>
      </c>
      <c r="E65" s="443" t="s">
        <v>1161</v>
      </c>
      <c r="F65" s="443" t="s">
        <v>1162</v>
      </c>
      <c r="G65" s="446">
        <v>93</v>
      </c>
      <c r="H65" s="446">
        <v>17360.010000000002</v>
      </c>
      <c r="I65" s="443">
        <v>1.1581910613854254</v>
      </c>
      <c r="J65" s="443">
        <v>186.66677419354841</v>
      </c>
      <c r="K65" s="446">
        <v>71</v>
      </c>
      <c r="L65" s="446">
        <v>14988.9</v>
      </c>
      <c r="M65" s="443">
        <v>1</v>
      </c>
      <c r="N65" s="443">
        <v>211.1112676056338</v>
      </c>
      <c r="O65" s="446">
        <v>44</v>
      </c>
      <c r="P65" s="446">
        <v>9288.89</v>
      </c>
      <c r="Q65" s="468">
        <v>0.6197179245975355</v>
      </c>
      <c r="R65" s="447">
        <v>211.11113636363635</v>
      </c>
    </row>
    <row r="66" spans="1:18" ht="14.4" customHeight="1" x14ac:dyDescent="0.3">
      <c r="A66" s="442"/>
      <c r="B66" s="443" t="s">
        <v>1090</v>
      </c>
      <c r="C66" s="443" t="s">
        <v>447</v>
      </c>
      <c r="D66" s="443" t="s">
        <v>1141</v>
      </c>
      <c r="E66" s="443" t="s">
        <v>1163</v>
      </c>
      <c r="F66" s="443" t="s">
        <v>1164</v>
      </c>
      <c r="G66" s="446">
        <v>12</v>
      </c>
      <c r="H66" s="446">
        <v>6999.99</v>
      </c>
      <c r="I66" s="443">
        <v>0.59999948571399186</v>
      </c>
      <c r="J66" s="443">
        <v>583.33249999999998</v>
      </c>
      <c r="K66" s="446">
        <v>20</v>
      </c>
      <c r="L66" s="446">
        <v>11666.66</v>
      </c>
      <c r="M66" s="443">
        <v>1</v>
      </c>
      <c r="N66" s="443">
        <v>583.33299999999997</v>
      </c>
      <c r="O66" s="446">
        <v>23</v>
      </c>
      <c r="P66" s="446">
        <v>13416.66</v>
      </c>
      <c r="Q66" s="468">
        <v>1.1500000857143347</v>
      </c>
      <c r="R66" s="447">
        <v>583.33304347826083</v>
      </c>
    </row>
    <row r="67" spans="1:18" ht="14.4" customHeight="1" x14ac:dyDescent="0.3">
      <c r="A67" s="442"/>
      <c r="B67" s="443" t="s">
        <v>1090</v>
      </c>
      <c r="C67" s="443" t="s">
        <v>447</v>
      </c>
      <c r="D67" s="443" t="s">
        <v>1141</v>
      </c>
      <c r="E67" s="443" t="s">
        <v>1165</v>
      </c>
      <c r="F67" s="443" t="s">
        <v>1166</v>
      </c>
      <c r="G67" s="446">
        <v>24</v>
      </c>
      <c r="H67" s="446">
        <v>11200.01</v>
      </c>
      <c r="I67" s="443">
        <v>0.96000140571508896</v>
      </c>
      <c r="J67" s="443">
        <v>466.66708333333332</v>
      </c>
      <c r="K67" s="446">
        <v>25</v>
      </c>
      <c r="L67" s="446">
        <v>11666.66</v>
      </c>
      <c r="M67" s="443">
        <v>1</v>
      </c>
      <c r="N67" s="443">
        <v>466.66640000000001</v>
      </c>
      <c r="O67" s="446">
        <v>25</v>
      </c>
      <c r="P67" s="446">
        <v>11666.68</v>
      </c>
      <c r="Q67" s="468">
        <v>1.0000017142866939</v>
      </c>
      <c r="R67" s="447">
        <v>466.66720000000004</v>
      </c>
    </row>
    <row r="68" spans="1:18" ht="14.4" customHeight="1" x14ac:dyDescent="0.3">
      <c r="A68" s="442"/>
      <c r="B68" s="443" t="s">
        <v>1090</v>
      </c>
      <c r="C68" s="443" t="s">
        <v>447</v>
      </c>
      <c r="D68" s="443" t="s">
        <v>1141</v>
      </c>
      <c r="E68" s="443" t="s">
        <v>1167</v>
      </c>
      <c r="F68" s="443" t="s">
        <v>1168</v>
      </c>
      <c r="G68" s="446">
        <v>24</v>
      </c>
      <c r="H68" s="446">
        <v>1200</v>
      </c>
      <c r="I68" s="443">
        <v>1.7142857142857142</v>
      </c>
      <c r="J68" s="443">
        <v>50</v>
      </c>
      <c r="K68" s="446">
        <v>14</v>
      </c>
      <c r="L68" s="446">
        <v>700</v>
      </c>
      <c r="M68" s="443">
        <v>1</v>
      </c>
      <c r="N68" s="443">
        <v>50</v>
      </c>
      <c r="O68" s="446">
        <v>14</v>
      </c>
      <c r="P68" s="446">
        <v>700</v>
      </c>
      <c r="Q68" s="468">
        <v>1</v>
      </c>
      <c r="R68" s="447">
        <v>50</v>
      </c>
    </row>
    <row r="69" spans="1:18" ht="14.4" customHeight="1" x14ac:dyDescent="0.3">
      <c r="A69" s="442"/>
      <c r="B69" s="443" t="s">
        <v>1090</v>
      </c>
      <c r="C69" s="443" t="s">
        <v>447</v>
      </c>
      <c r="D69" s="443" t="s">
        <v>1141</v>
      </c>
      <c r="E69" s="443" t="s">
        <v>1169</v>
      </c>
      <c r="F69" s="443" t="s">
        <v>1170</v>
      </c>
      <c r="G69" s="446">
        <v>97</v>
      </c>
      <c r="H69" s="446">
        <v>9807.7800000000007</v>
      </c>
      <c r="I69" s="443">
        <v>2.4249972184104145</v>
      </c>
      <c r="J69" s="443">
        <v>101.11113402061856</v>
      </c>
      <c r="K69" s="446">
        <v>40</v>
      </c>
      <c r="L69" s="446">
        <v>4044.45</v>
      </c>
      <c r="M69" s="443">
        <v>1</v>
      </c>
      <c r="N69" s="443">
        <v>101.11125</v>
      </c>
      <c r="O69" s="446">
        <v>46</v>
      </c>
      <c r="P69" s="446">
        <v>4651.1099999999997</v>
      </c>
      <c r="Q69" s="468">
        <v>1.1499981456069428</v>
      </c>
      <c r="R69" s="447">
        <v>101.11108695652173</v>
      </c>
    </row>
    <row r="70" spans="1:18" ht="14.4" customHeight="1" x14ac:dyDescent="0.3">
      <c r="A70" s="442"/>
      <c r="B70" s="443" t="s">
        <v>1090</v>
      </c>
      <c r="C70" s="443" t="s">
        <v>447</v>
      </c>
      <c r="D70" s="443" t="s">
        <v>1141</v>
      </c>
      <c r="E70" s="443" t="s">
        <v>1171</v>
      </c>
      <c r="F70" s="443" t="s">
        <v>1172</v>
      </c>
      <c r="G70" s="446">
        <v>42</v>
      </c>
      <c r="H70" s="446">
        <v>3219.99</v>
      </c>
      <c r="I70" s="443">
        <v>4.199913914540617</v>
      </c>
      <c r="J70" s="443">
        <v>76.666428571428568</v>
      </c>
      <c r="K70" s="446">
        <v>10</v>
      </c>
      <c r="L70" s="446">
        <v>766.68</v>
      </c>
      <c r="M70" s="443">
        <v>1</v>
      </c>
      <c r="N70" s="443">
        <v>76.667999999999992</v>
      </c>
      <c r="O70" s="446">
        <v>32</v>
      </c>
      <c r="P70" s="446">
        <v>2453.33</v>
      </c>
      <c r="Q70" s="468">
        <v>3.1999400010434602</v>
      </c>
      <c r="R70" s="447">
        <v>76.666562499999998</v>
      </c>
    </row>
    <row r="71" spans="1:18" ht="14.4" customHeight="1" x14ac:dyDescent="0.3">
      <c r="A71" s="442"/>
      <c r="B71" s="443" t="s">
        <v>1090</v>
      </c>
      <c r="C71" s="443" t="s">
        <v>447</v>
      </c>
      <c r="D71" s="443" t="s">
        <v>1141</v>
      </c>
      <c r="E71" s="443" t="s">
        <v>1173</v>
      </c>
      <c r="F71" s="443" t="s">
        <v>1174</v>
      </c>
      <c r="G71" s="446">
        <v>155</v>
      </c>
      <c r="H71" s="446">
        <v>0</v>
      </c>
      <c r="I71" s="443"/>
      <c r="J71" s="443">
        <v>0</v>
      </c>
      <c r="K71" s="446">
        <v>135</v>
      </c>
      <c r="L71" s="446">
        <v>0</v>
      </c>
      <c r="M71" s="443"/>
      <c r="N71" s="443">
        <v>0</v>
      </c>
      <c r="O71" s="446">
        <v>200</v>
      </c>
      <c r="P71" s="446">
        <v>0</v>
      </c>
      <c r="Q71" s="468"/>
      <c r="R71" s="447">
        <v>0</v>
      </c>
    </row>
    <row r="72" spans="1:18" ht="14.4" customHeight="1" x14ac:dyDescent="0.3">
      <c r="A72" s="442"/>
      <c r="B72" s="443" t="s">
        <v>1090</v>
      </c>
      <c r="C72" s="443" t="s">
        <v>447</v>
      </c>
      <c r="D72" s="443" t="s">
        <v>1141</v>
      </c>
      <c r="E72" s="443" t="s">
        <v>1175</v>
      </c>
      <c r="F72" s="443" t="s">
        <v>1176</v>
      </c>
      <c r="G72" s="446">
        <v>77</v>
      </c>
      <c r="H72" s="446">
        <v>23527.78</v>
      </c>
      <c r="I72" s="443">
        <v>0.90588216722245252</v>
      </c>
      <c r="J72" s="443">
        <v>305.55558441558441</v>
      </c>
      <c r="K72" s="446">
        <v>85</v>
      </c>
      <c r="L72" s="446">
        <v>25972.23</v>
      </c>
      <c r="M72" s="443">
        <v>1</v>
      </c>
      <c r="N72" s="443">
        <v>305.55564705882352</v>
      </c>
      <c r="O72" s="446">
        <v>71</v>
      </c>
      <c r="P72" s="446">
        <v>21694.44</v>
      </c>
      <c r="Q72" s="468">
        <v>0.83529369638263629</v>
      </c>
      <c r="R72" s="447">
        <v>305.55549295774648</v>
      </c>
    </row>
    <row r="73" spans="1:18" ht="14.4" customHeight="1" x14ac:dyDescent="0.3">
      <c r="A73" s="442"/>
      <c r="B73" s="443" t="s">
        <v>1090</v>
      </c>
      <c r="C73" s="443" t="s">
        <v>447</v>
      </c>
      <c r="D73" s="443" t="s">
        <v>1141</v>
      </c>
      <c r="E73" s="443" t="s">
        <v>1177</v>
      </c>
      <c r="F73" s="443" t="s">
        <v>1178</v>
      </c>
      <c r="G73" s="446">
        <v>20</v>
      </c>
      <c r="H73" s="446">
        <v>0</v>
      </c>
      <c r="I73" s="443">
        <v>0</v>
      </c>
      <c r="J73" s="443">
        <v>0</v>
      </c>
      <c r="K73" s="446">
        <v>34</v>
      </c>
      <c r="L73" s="446">
        <v>1133.3399999999999</v>
      </c>
      <c r="M73" s="443">
        <v>1</v>
      </c>
      <c r="N73" s="443">
        <v>33.333529411764701</v>
      </c>
      <c r="O73" s="446">
        <v>77</v>
      </c>
      <c r="P73" s="446">
        <v>2566.67</v>
      </c>
      <c r="Q73" s="468">
        <v>2.2646955017911661</v>
      </c>
      <c r="R73" s="447">
        <v>33.333376623376623</v>
      </c>
    </row>
    <row r="74" spans="1:18" ht="14.4" customHeight="1" x14ac:dyDescent="0.3">
      <c r="A74" s="442"/>
      <c r="B74" s="443" t="s">
        <v>1090</v>
      </c>
      <c r="C74" s="443" t="s">
        <v>447</v>
      </c>
      <c r="D74" s="443" t="s">
        <v>1141</v>
      </c>
      <c r="E74" s="443" t="s">
        <v>1179</v>
      </c>
      <c r="F74" s="443" t="s">
        <v>1180</v>
      </c>
      <c r="G74" s="446">
        <v>65</v>
      </c>
      <c r="H74" s="446">
        <v>29611.100000000002</v>
      </c>
      <c r="I74" s="443">
        <v>0.63725461712664155</v>
      </c>
      <c r="J74" s="443">
        <v>455.55538461538464</v>
      </c>
      <c r="K74" s="446">
        <v>102</v>
      </c>
      <c r="L74" s="446">
        <v>46466.67</v>
      </c>
      <c r="M74" s="443">
        <v>1</v>
      </c>
      <c r="N74" s="443">
        <v>455.55558823529412</v>
      </c>
      <c r="O74" s="446">
        <v>80</v>
      </c>
      <c r="P74" s="446">
        <v>36444.44</v>
      </c>
      <c r="Q74" s="468">
        <v>0.78431357357865339</v>
      </c>
      <c r="R74" s="447">
        <v>455.55550000000005</v>
      </c>
    </row>
    <row r="75" spans="1:18" ht="14.4" customHeight="1" x14ac:dyDescent="0.3">
      <c r="A75" s="442"/>
      <c r="B75" s="443" t="s">
        <v>1090</v>
      </c>
      <c r="C75" s="443" t="s">
        <v>447</v>
      </c>
      <c r="D75" s="443" t="s">
        <v>1141</v>
      </c>
      <c r="E75" s="443" t="s">
        <v>1181</v>
      </c>
      <c r="F75" s="443" t="s">
        <v>1182</v>
      </c>
      <c r="G75" s="446">
        <v>89</v>
      </c>
      <c r="H75" s="446">
        <v>6922.2299999999987</v>
      </c>
      <c r="I75" s="443">
        <v>1.0348831646459058</v>
      </c>
      <c r="J75" s="443">
        <v>77.777865168539307</v>
      </c>
      <c r="K75" s="446">
        <v>86</v>
      </c>
      <c r="L75" s="446">
        <v>6688.9</v>
      </c>
      <c r="M75" s="443">
        <v>1</v>
      </c>
      <c r="N75" s="443">
        <v>77.777906976744177</v>
      </c>
      <c r="O75" s="446">
        <v>74</v>
      </c>
      <c r="P75" s="446">
        <v>5755.56</v>
      </c>
      <c r="Q75" s="468">
        <v>0.86046435138812072</v>
      </c>
      <c r="R75" s="447">
        <v>77.777837837837836</v>
      </c>
    </row>
    <row r="76" spans="1:18" ht="14.4" customHeight="1" x14ac:dyDescent="0.3">
      <c r="A76" s="442"/>
      <c r="B76" s="443" t="s">
        <v>1090</v>
      </c>
      <c r="C76" s="443" t="s">
        <v>447</v>
      </c>
      <c r="D76" s="443" t="s">
        <v>1141</v>
      </c>
      <c r="E76" s="443" t="s">
        <v>1183</v>
      </c>
      <c r="F76" s="443" t="s">
        <v>1184</v>
      </c>
      <c r="G76" s="446"/>
      <c r="H76" s="446"/>
      <c r="I76" s="443"/>
      <c r="J76" s="443"/>
      <c r="K76" s="446"/>
      <c r="L76" s="446"/>
      <c r="M76" s="443"/>
      <c r="N76" s="443"/>
      <c r="O76" s="446">
        <v>12</v>
      </c>
      <c r="P76" s="446">
        <v>3240</v>
      </c>
      <c r="Q76" s="468"/>
      <c r="R76" s="447">
        <v>270</v>
      </c>
    </row>
    <row r="77" spans="1:18" ht="14.4" customHeight="1" x14ac:dyDescent="0.3">
      <c r="A77" s="442"/>
      <c r="B77" s="443" t="s">
        <v>1090</v>
      </c>
      <c r="C77" s="443" t="s">
        <v>447</v>
      </c>
      <c r="D77" s="443" t="s">
        <v>1141</v>
      </c>
      <c r="E77" s="443" t="s">
        <v>1185</v>
      </c>
      <c r="F77" s="443" t="s">
        <v>1186</v>
      </c>
      <c r="G77" s="446">
        <v>121</v>
      </c>
      <c r="H77" s="446">
        <v>10755.560000000001</v>
      </c>
      <c r="I77" s="443">
        <v>0.86274522386491337</v>
      </c>
      <c r="J77" s="443">
        <v>88.888925619834723</v>
      </c>
      <c r="K77" s="446">
        <v>132</v>
      </c>
      <c r="L77" s="446">
        <v>12466.670000000002</v>
      </c>
      <c r="M77" s="443">
        <v>1</v>
      </c>
      <c r="N77" s="443">
        <v>94.444469696969705</v>
      </c>
      <c r="O77" s="446">
        <v>198</v>
      </c>
      <c r="P77" s="446">
        <v>18700</v>
      </c>
      <c r="Q77" s="468">
        <v>1.4999995989305883</v>
      </c>
      <c r="R77" s="447">
        <v>94.444444444444443</v>
      </c>
    </row>
    <row r="78" spans="1:18" ht="14.4" customHeight="1" x14ac:dyDescent="0.3">
      <c r="A78" s="442"/>
      <c r="B78" s="443" t="s">
        <v>1090</v>
      </c>
      <c r="C78" s="443" t="s">
        <v>447</v>
      </c>
      <c r="D78" s="443" t="s">
        <v>1141</v>
      </c>
      <c r="E78" s="443" t="s">
        <v>1187</v>
      </c>
      <c r="F78" s="443" t="s">
        <v>1188</v>
      </c>
      <c r="G78" s="446">
        <v>81</v>
      </c>
      <c r="H78" s="446">
        <v>3510</v>
      </c>
      <c r="I78" s="443">
        <v>2.3823421613476863</v>
      </c>
      <c r="J78" s="443">
        <v>43.333333333333336</v>
      </c>
      <c r="K78" s="446">
        <v>34</v>
      </c>
      <c r="L78" s="446">
        <v>1473.34</v>
      </c>
      <c r="M78" s="443">
        <v>1</v>
      </c>
      <c r="N78" s="443">
        <v>43.333529411764701</v>
      </c>
      <c r="O78" s="446">
        <v>48</v>
      </c>
      <c r="P78" s="446">
        <v>2080.0100000000002</v>
      </c>
      <c r="Q78" s="468">
        <v>1.4117651051352711</v>
      </c>
      <c r="R78" s="447">
        <v>43.333541666666669</v>
      </c>
    </row>
    <row r="79" spans="1:18" ht="14.4" customHeight="1" x14ac:dyDescent="0.3">
      <c r="A79" s="442"/>
      <c r="B79" s="443" t="s">
        <v>1090</v>
      </c>
      <c r="C79" s="443" t="s">
        <v>447</v>
      </c>
      <c r="D79" s="443" t="s">
        <v>1141</v>
      </c>
      <c r="E79" s="443" t="s">
        <v>1189</v>
      </c>
      <c r="F79" s="443" t="s">
        <v>1190</v>
      </c>
      <c r="G79" s="446"/>
      <c r="H79" s="446"/>
      <c r="I79" s="443"/>
      <c r="J79" s="443"/>
      <c r="K79" s="446">
        <v>3</v>
      </c>
      <c r="L79" s="446">
        <v>586.67000000000007</v>
      </c>
      <c r="M79" s="443">
        <v>1</v>
      </c>
      <c r="N79" s="443">
        <v>195.5566666666667</v>
      </c>
      <c r="O79" s="446">
        <v>1</v>
      </c>
      <c r="P79" s="446">
        <v>195.56</v>
      </c>
      <c r="Q79" s="468">
        <v>0.33333901511923225</v>
      </c>
      <c r="R79" s="447">
        <v>195.56</v>
      </c>
    </row>
    <row r="80" spans="1:18" ht="14.4" customHeight="1" x14ac:dyDescent="0.3">
      <c r="A80" s="442"/>
      <c r="B80" s="443" t="s">
        <v>1090</v>
      </c>
      <c r="C80" s="443" t="s">
        <v>447</v>
      </c>
      <c r="D80" s="443" t="s">
        <v>1141</v>
      </c>
      <c r="E80" s="443" t="s">
        <v>1191</v>
      </c>
      <c r="F80" s="443" t="s">
        <v>1192</v>
      </c>
      <c r="G80" s="446">
        <v>1</v>
      </c>
      <c r="H80" s="446">
        <v>116.67</v>
      </c>
      <c r="I80" s="443"/>
      <c r="J80" s="443">
        <v>116.67</v>
      </c>
      <c r="K80" s="446"/>
      <c r="L80" s="446"/>
      <c r="M80" s="443"/>
      <c r="N80" s="443"/>
      <c r="O80" s="446">
        <v>1</v>
      </c>
      <c r="P80" s="446">
        <v>116.67</v>
      </c>
      <c r="Q80" s="468"/>
      <c r="R80" s="447">
        <v>116.67</v>
      </c>
    </row>
    <row r="81" spans="1:18" ht="14.4" customHeight="1" x14ac:dyDescent="0.3">
      <c r="A81" s="442"/>
      <c r="B81" s="443" t="s">
        <v>1090</v>
      </c>
      <c r="C81" s="443" t="s">
        <v>447</v>
      </c>
      <c r="D81" s="443" t="s">
        <v>1141</v>
      </c>
      <c r="E81" s="443" t="s">
        <v>1193</v>
      </c>
      <c r="F81" s="443" t="s">
        <v>1194</v>
      </c>
      <c r="G81" s="446"/>
      <c r="H81" s="446"/>
      <c r="I81" s="443"/>
      <c r="J81" s="443"/>
      <c r="K81" s="446">
        <v>2</v>
      </c>
      <c r="L81" s="446">
        <v>97.78</v>
      </c>
      <c r="M81" s="443">
        <v>1</v>
      </c>
      <c r="N81" s="443">
        <v>48.89</v>
      </c>
      <c r="O81" s="446">
        <v>13</v>
      </c>
      <c r="P81" s="446">
        <v>635.55999999999995</v>
      </c>
      <c r="Q81" s="468">
        <v>6.4998977295970537</v>
      </c>
      <c r="R81" s="447">
        <v>48.889230769230764</v>
      </c>
    </row>
    <row r="82" spans="1:18" ht="14.4" customHeight="1" x14ac:dyDescent="0.3">
      <c r="A82" s="442"/>
      <c r="B82" s="443" t="s">
        <v>1090</v>
      </c>
      <c r="C82" s="443" t="s">
        <v>447</v>
      </c>
      <c r="D82" s="443" t="s">
        <v>1141</v>
      </c>
      <c r="E82" s="443" t="s">
        <v>1195</v>
      </c>
      <c r="F82" s="443" t="s">
        <v>1196</v>
      </c>
      <c r="G82" s="446"/>
      <c r="H82" s="446"/>
      <c r="I82" s="443"/>
      <c r="J82" s="443"/>
      <c r="K82" s="446"/>
      <c r="L82" s="446"/>
      <c r="M82" s="443"/>
      <c r="N82" s="443"/>
      <c r="O82" s="446">
        <v>1</v>
      </c>
      <c r="P82" s="446">
        <v>344.44</v>
      </c>
      <c r="Q82" s="468"/>
      <c r="R82" s="447">
        <v>344.44</v>
      </c>
    </row>
    <row r="83" spans="1:18" ht="14.4" customHeight="1" x14ac:dyDescent="0.3">
      <c r="A83" s="442"/>
      <c r="B83" s="443" t="s">
        <v>1090</v>
      </c>
      <c r="C83" s="443" t="s">
        <v>447</v>
      </c>
      <c r="D83" s="443" t="s">
        <v>1141</v>
      </c>
      <c r="E83" s="443" t="s">
        <v>1197</v>
      </c>
      <c r="F83" s="443" t="s">
        <v>1198</v>
      </c>
      <c r="G83" s="446"/>
      <c r="H83" s="446"/>
      <c r="I83" s="443"/>
      <c r="J83" s="443"/>
      <c r="K83" s="446">
        <v>1</v>
      </c>
      <c r="L83" s="446">
        <v>292.22000000000003</v>
      </c>
      <c r="M83" s="443">
        <v>1</v>
      </c>
      <c r="N83" s="443">
        <v>292.22000000000003</v>
      </c>
      <c r="O83" s="446"/>
      <c r="P83" s="446"/>
      <c r="Q83" s="468"/>
      <c r="R83" s="447"/>
    </row>
    <row r="84" spans="1:18" ht="14.4" customHeight="1" x14ac:dyDescent="0.3">
      <c r="A84" s="442"/>
      <c r="B84" s="443" t="s">
        <v>1090</v>
      </c>
      <c r="C84" s="443" t="s">
        <v>447</v>
      </c>
      <c r="D84" s="443" t="s">
        <v>1141</v>
      </c>
      <c r="E84" s="443" t="s">
        <v>1199</v>
      </c>
      <c r="F84" s="443" t="s">
        <v>1200</v>
      </c>
      <c r="G84" s="446"/>
      <c r="H84" s="446"/>
      <c r="I84" s="443"/>
      <c r="J84" s="443"/>
      <c r="K84" s="446"/>
      <c r="L84" s="446"/>
      <c r="M84" s="443"/>
      <c r="N84" s="443"/>
      <c r="O84" s="446">
        <v>14</v>
      </c>
      <c r="P84" s="446">
        <v>3111.1</v>
      </c>
      <c r="Q84" s="468"/>
      <c r="R84" s="447">
        <v>222.22142857142856</v>
      </c>
    </row>
    <row r="85" spans="1:18" ht="14.4" customHeight="1" x14ac:dyDescent="0.3">
      <c r="A85" s="442"/>
      <c r="B85" s="443" t="s">
        <v>1090</v>
      </c>
      <c r="C85" s="443" t="s">
        <v>1082</v>
      </c>
      <c r="D85" s="443" t="s">
        <v>1091</v>
      </c>
      <c r="E85" s="443" t="s">
        <v>1093</v>
      </c>
      <c r="F85" s="443"/>
      <c r="G85" s="446"/>
      <c r="H85" s="446"/>
      <c r="I85" s="443"/>
      <c r="J85" s="443"/>
      <c r="K85" s="446">
        <v>2</v>
      </c>
      <c r="L85" s="446">
        <v>226</v>
      </c>
      <c r="M85" s="443">
        <v>1</v>
      </c>
      <c r="N85" s="443">
        <v>113</v>
      </c>
      <c r="O85" s="446"/>
      <c r="P85" s="446"/>
      <c r="Q85" s="468"/>
      <c r="R85" s="447"/>
    </row>
    <row r="86" spans="1:18" ht="14.4" customHeight="1" x14ac:dyDescent="0.3">
      <c r="A86" s="442"/>
      <c r="B86" s="443" t="s">
        <v>1090</v>
      </c>
      <c r="C86" s="443" t="s">
        <v>1082</v>
      </c>
      <c r="D86" s="443" t="s">
        <v>1091</v>
      </c>
      <c r="E86" s="443" t="s">
        <v>1115</v>
      </c>
      <c r="F86" s="443"/>
      <c r="G86" s="446">
        <v>1</v>
      </c>
      <c r="H86" s="446">
        <v>679</v>
      </c>
      <c r="I86" s="443"/>
      <c r="J86" s="443">
        <v>679</v>
      </c>
      <c r="K86" s="446"/>
      <c r="L86" s="446"/>
      <c r="M86" s="443"/>
      <c r="N86" s="443"/>
      <c r="O86" s="446"/>
      <c r="P86" s="446"/>
      <c r="Q86" s="468"/>
      <c r="R86" s="447"/>
    </row>
    <row r="87" spans="1:18" ht="14.4" customHeight="1" x14ac:dyDescent="0.3">
      <c r="A87" s="442"/>
      <c r="B87" s="443" t="s">
        <v>1090</v>
      </c>
      <c r="C87" s="443" t="s">
        <v>1082</v>
      </c>
      <c r="D87" s="443" t="s">
        <v>1141</v>
      </c>
      <c r="E87" s="443" t="s">
        <v>1142</v>
      </c>
      <c r="F87" s="443" t="s">
        <v>1143</v>
      </c>
      <c r="G87" s="446">
        <v>3</v>
      </c>
      <c r="H87" s="446">
        <v>1326.66</v>
      </c>
      <c r="I87" s="443">
        <v>0.30996656549867874</v>
      </c>
      <c r="J87" s="443">
        <v>442.22</v>
      </c>
      <c r="K87" s="446">
        <v>9</v>
      </c>
      <c r="L87" s="446">
        <v>4280.01</v>
      </c>
      <c r="M87" s="443">
        <v>1</v>
      </c>
      <c r="N87" s="443">
        <v>475.55666666666667</v>
      </c>
      <c r="O87" s="446">
        <v>7</v>
      </c>
      <c r="P87" s="446">
        <v>3562.22</v>
      </c>
      <c r="Q87" s="468">
        <v>0.83229244791484125</v>
      </c>
      <c r="R87" s="447">
        <v>508.88857142857142</v>
      </c>
    </row>
    <row r="88" spans="1:18" ht="14.4" customHeight="1" x14ac:dyDescent="0.3">
      <c r="A88" s="442"/>
      <c r="B88" s="443" t="s">
        <v>1090</v>
      </c>
      <c r="C88" s="443" t="s">
        <v>1082</v>
      </c>
      <c r="D88" s="443" t="s">
        <v>1141</v>
      </c>
      <c r="E88" s="443" t="s">
        <v>1144</v>
      </c>
      <c r="F88" s="443" t="s">
        <v>1145</v>
      </c>
      <c r="G88" s="446">
        <v>147</v>
      </c>
      <c r="H88" s="446">
        <v>66966.66</v>
      </c>
      <c r="I88" s="443">
        <v>1.0500000235191667</v>
      </c>
      <c r="J88" s="443">
        <v>455.55551020408166</v>
      </c>
      <c r="K88" s="446">
        <v>140</v>
      </c>
      <c r="L88" s="446">
        <v>63777.770000000004</v>
      </c>
      <c r="M88" s="443">
        <v>1</v>
      </c>
      <c r="N88" s="443">
        <v>455.55550000000005</v>
      </c>
      <c r="O88" s="446">
        <v>97</v>
      </c>
      <c r="P88" s="446">
        <v>48500</v>
      </c>
      <c r="Q88" s="468">
        <v>0.76045305441065114</v>
      </c>
      <c r="R88" s="447">
        <v>500</v>
      </c>
    </row>
    <row r="89" spans="1:18" ht="14.4" customHeight="1" x14ac:dyDescent="0.3">
      <c r="A89" s="442"/>
      <c r="B89" s="443" t="s">
        <v>1090</v>
      </c>
      <c r="C89" s="443" t="s">
        <v>1082</v>
      </c>
      <c r="D89" s="443" t="s">
        <v>1141</v>
      </c>
      <c r="E89" s="443" t="s">
        <v>1201</v>
      </c>
      <c r="F89" s="443" t="s">
        <v>1202</v>
      </c>
      <c r="G89" s="446">
        <v>29</v>
      </c>
      <c r="H89" s="446">
        <v>3061.1100000000006</v>
      </c>
      <c r="I89" s="443">
        <v>1.0740699155441564</v>
      </c>
      <c r="J89" s="443">
        <v>105.55551724137933</v>
      </c>
      <c r="K89" s="446">
        <v>27</v>
      </c>
      <c r="L89" s="446">
        <v>2850.0099999999993</v>
      </c>
      <c r="M89" s="443">
        <v>1</v>
      </c>
      <c r="N89" s="443">
        <v>105.55592592592591</v>
      </c>
      <c r="O89" s="446">
        <v>18</v>
      </c>
      <c r="P89" s="446">
        <v>1900</v>
      </c>
      <c r="Q89" s="468">
        <v>0.66666432749358795</v>
      </c>
      <c r="R89" s="447">
        <v>105.55555555555556</v>
      </c>
    </row>
    <row r="90" spans="1:18" ht="14.4" customHeight="1" x14ac:dyDescent="0.3">
      <c r="A90" s="442"/>
      <c r="B90" s="443" t="s">
        <v>1090</v>
      </c>
      <c r="C90" s="443" t="s">
        <v>1082</v>
      </c>
      <c r="D90" s="443" t="s">
        <v>1141</v>
      </c>
      <c r="E90" s="443" t="s">
        <v>1146</v>
      </c>
      <c r="F90" s="443" t="s">
        <v>1147</v>
      </c>
      <c r="G90" s="446">
        <v>733</v>
      </c>
      <c r="H90" s="446">
        <v>57011.11</v>
      </c>
      <c r="I90" s="443">
        <v>0.73668348734340128</v>
      </c>
      <c r="J90" s="443">
        <v>77.777776261937248</v>
      </c>
      <c r="K90" s="446">
        <v>995</v>
      </c>
      <c r="L90" s="446">
        <v>77388.88</v>
      </c>
      <c r="M90" s="443">
        <v>1</v>
      </c>
      <c r="N90" s="443">
        <v>77.777768844221114</v>
      </c>
      <c r="O90" s="446">
        <v>846</v>
      </c>
      <c r="P90" s="446">
        <v>65800.009999999995</v>
      </c>
      <c r="Q90" s="468">
        <v>0.8502514831588206</v>
      </c>
      <c r="R90" s="447">
        <v>77.77778959810874</v>
      </c>
    </row>
    <row r="91" spans="1:18" ht="14.4" customHeight="1" x14ac:dyDescent="0.3">
      <c r="A91" s="442"/>
      <c r="B91" s="443" t="s">
        <v>1090</v>
      </c>
      <c r="C91" s="443" t="s">
        <v>1082</v>
      </c>
      <c r="D91" s="443" t="s">
        <v>1141</v>
      </c>
      <c r="E91" s="443" t="s">
        <v>1148</v>
      </c>
      <c r="F91" s="443" t="s">
        <v>1149</v>
      </c>
      <c r="G91" s="446">
        <v>3</v>
      </c>
      <c r="H91" s="446">
        <v>750</v>
      </c>
      <c r="I91" s="443">
        <v>3</v>
      </c>
      <c r="J91" s="443">
        <v>250</v>
      </c>
      <c r="K91" s="446">
        <v>1</v>
      </c>
      <c r="L91" s="446">
        <v>250</v>
      </c>
      <c r="M91" s="443">
        <v>1</v>
      </c>
      <c r="N91" s="443">
        <v>250</v>
      </c>
      <c r="O91" s="446"/>
      <c r="P91" s="446"/>
      <c r="Q91" s="468"/>
      <c r="R91" s="447"/>
    </row>
    <row r="92" spans="1:18" ht="14.4" customHeight="1" x14ac:dyDescent="0.3">
      <c r="A92" s="442"/>
      <c r="B92" s="443" t="s">
        <v>1090</v>
      </c>
      <c r="C92" s="443" t="s">
        <v>1082</v>
      </c>
      <c r="D92" s="443" t="s">
        <v>1141</v>
      </c>
      <c r="E92" s="443" t="s">
        <v>1152</v>
      </c>
      <c r="F92" s="443" t="s">
        <v>1153</v>
      </c>
      <c r="G92" s="446">
        <v>221</v>
      </c>
      <c r="H92" s="446">
        <v>24555.56</v>
      </c>
      <c r="I92" s="443">
        <v>0.69235594996654615</v>
      </c>
      <c r="J92" s="443">
        <v>111.11113122171946</v>
      </c>
      <c r="K92" s="446">
        <v>304</v>
      </c>
      <c r="L92" s="446">
        <v>35466.67</v>
      </c>
      <c r="M92" s="443">
        <v>1</v>
      </c>
      <c r="N92" s="443">
        <v>116.66667763157893</v>
      </c>
      <c r="O92" s="446">
        <v>268</v>
      </c>
      <c r="P92" s="446">
        <v>31266.660000000003</v>
      </c>
      <c r="Q92" s="468">
        <v>0.88157867654335764</v>
      </c>
      <c r="R92" s="447">
        <v>116.6666417910448</v>
      </c>
    </row>
    <row r="93" spans="1:18" ht="14.4" customHeight="1" x14ac:dyDescent="0.3">
      <c r="A93" s="442"/>
      <c r="B93" s="443" t="s">
        <v>1090</v>
      </c>
      <c r="C93" s="443" t="s">
        <v>1082</v>
      </c>
      <c r="D93" s="443" t="s">
        <v>1141</v>
      </c>
      <c r="E93" s="443" t="s">
        <v>1203</v>
      </c>
      <c r="F93" s="443" t="s">
        <v>1204</v>
      </c>
      <c r="G93" s="446">
        <v>2</v>
      </c>
      <c r="H93" s="446">
        <v>700</v>
      </c>
      <c r="I93" s="443"/>
      <c r="J93" s="443">
        <v>350</v>
      </c>
      <c r="K93" s="446"/>
      <c r="L93" s="446"/>
      <c r="M93" s="443"/>
      <c r="N93" s="443"/>
      <c r="O93" s="446"/>
      <c r="P93" s="446"/>
      <c r="Q93" s="468"/>
      <c r="R93" s="447"/>
    </row>
    <row r="94" spans="1:18" ht="14.4" customHeight="1" x14ac:dyDescent="0.3">
      <c r="A94" s="442"/>
      <c r="B94" s="443" t="s">
        <v>1090</v>
      </c>
      <c r="C94" s="443" t="s">
        <v>1082</v>
      </c>
      <c r="D94" s="443" t="s">
        <v>1141</v>
      </c>
      <c r="E94" s="443" t="s">
        <v>1154</v>
      </c>
      <c r="F94" s="443" t="s">
        <v>1155</v>
      </c>
      <c r="G94" s="446">
        <v>352</v>
      </c>
      <c r="H94" s="446">
        <v>94648.89</v>
      </c>
      <c r="I94" s="443">
        <v>0.85732690217391305</v>
      </c>
      <c r="J94" s="443">
        <v>268.88889204545455</v>
      </c>
      <c r="K94" s="446">
        <v>368</v>
      </c>
      <c r="L94" s="446">
        <v>110400</v>
      </c>
      <c r="M94" s="443">
        <v>1</v>
      </c>
      <c r="N94" s="443">
        <v>300</v>
      </c>
      <c r="O94" s="446">
        <v>267</v>
      </c>
      <c r="P94" s="446">
        <v>80100</v>
      </c>
      <c r="Q94" s="468">
        <v>0.72554347826086951</v>
      </c>
      <c r="R94" s="447">
        <v>300</v>
      </c>
    </row>
    <row r="95" spans="1:18" ht="14.4" customHeight="1" x14ac:dyDescent="0.3">
      <c r="A95" s="442"/>
      <c r="B95" s="443" t="s">
        <v>1090</v>
      </c>
      <c r="C95" s="443" t="s">
        <v>1082</v>
      </c>
      <c r="D95" s="443" t="s">
        <v>1141</v>
      </c>
      <c r="E95" s="443" t="s">
        <v>1156</v>
      </c>
      <c r="F95" s="443" t="s">
        <v>1157</v>
      </c>
      <c r="G95" s="446">
        <v>149</v>
      </c>
      <c r="H95" s="446">
        <v>43872.22</v>
      </c>
      <c r="I95" s="443">
        <v>1.2956521508007268</v>
      </c>
      <c r="J95" s="443">
        <v>294.44442953020138</v>
      </c>
      <c r="K95" s="446">
        <v>115</v>
      </c>
      <c r="L95" s="446">
        <v>33861.11</v>
      </c>
      <c r="M95" s="443">
        <v>1</v>
      </c>
      <c r="N95" s="443">
        <v>294.44443478260871</v>
      </c>
      <c r="O95" s="446">
        <v>48</v>
      </c>
      <c r="P95" s="446">
        <v>14133.330000000002</v>
      </c>
      <c r="Q95" s="468">
        <v>0.41739121960266518</v>
      </c>
      <c r="R95" s="447">
        <v>294.44437500000004</v>
      </c>
    </row>
    <row r="96" spans="1:18" ht="14.4" customHeight="1" x14ac:dyDescent="0.3">
      <c r="A96" s="442"/>
      <c r="B96" s="443" t="s">
        <v>1090</v>
      </c>
      <c r="C96" s="443" t="s">
        <v>1082</v>
      </c>
      <c r="D96" s="443" t="s">
        <v>1141</v>
      </c>
      <c r="E96" s="443" t="s">
        <v>1160</v>
      </c>
      <c r="F96" s="443" t="s">
        <v>1145</v>
      </c>
      <c r="G96" s="446">
        <v>243</v>
      </c>
      <c r="H96" s="446">
        <v>90720.01</v>
      </c>
      <c r="I96" s="443">
        <v>1.0124999986049108</v>
      </c>
      <c r="J96" s="443">
        <v>373.33337448559666</v>
      </c>
      <c r="K96" s="446">
        <v>240</v>
      </c>
      <c r="L96" s="446">
        <v>89600.01</v>
      </c>
      <c r="M96" s="443">
        <v>1</v>
      </c>
      <c r="N96" s="443">
        <v>373.33337499999999</v>
      </c>
      <c r="O96" s="446">
        <v>164</v>
      </c>
      <c r="P96" s="446">
        <v>68515.55</v>
      </c>
      <c r="Q96" s="468">
        <v>0.76468239233455448</v>
      </c>
      <c r="R96" s="447">
        <v>417.77774390243906</v>
      </c>
    </row>
    <row r="97" spans="1:18" ht="14.4" customHeight="1" x14ac:dyDescent="0.3">
      <c r="A97" s="442"/>
      <c r="B97" s="443" t="s">
        <v>1090</v>
      </c>
      <c r="C97" s="443" t="s">
        <v>1082</v>
      </c>
      <c r="D97" s="443" t="s">
        <v>1141</v>
      </c>
      <c r="E97" s="443" t="s">
        <v>1161</v>
      </c>
      <c r="F97" s="443" t="s">
        <v>1162</v>
      </c>
      <c r="G97" s="446">
        <v>7</v>
      </c>
      <c r="H97" s="446">
        <v>1306.67</v>
      </c>
      <c r="I97" s="443">
        <v>0.38684283760339633</v>
      </c>
      <c r="J97" s="443">
        <v>186.66714285714286</v>
      </c>
      <c r="K97" s="446">
        <v>16</v>
      </c>
      <c r="L97" s="446">
        <v>3377.78</v>
      </c>
      <c r="M97" s="443">
        <v>1</v>
      </c>
      <c r="N97" s="443">
        <v>211.11125000000001</v>
      </c>
      <c r="O97" s="446">
        <v>24</v>
      </c>
      <c r="P97" s="446">
        <v>5066.66</v>
      </c>
      <c r="Q97" s="468">
        <v>1.4999970394756319</v>
      </c>
      <c r="R97" s="447">
        <v>211.11083333333332</v>
      </c>
    </row>
    <row r="98" spans="1:18" ht="14.4" customHeight="1" x14ac:dyDescent="0.3">
      <c r="A98" s="442"/>
      <c r="B98" s="443" t="s">
        <v>1090</v>
      </c>
      <c r="C98" s="443" t="s">
        <v>1082</v>
      </c>
      <c r="D98" s="443" t="s">
        <v>1141</v>
      </c>
      <c r="E98" s="443" t="s">
        <v>1163</v>
      </c>
      <c r="F98" s="443" t="s">
        <v>1164</v>
      </c>
      <c r="G98" s="446">
        <v>15</v>
      </c>
      <c r="H98" s="446">
        <v>8750</v>
      </c>
      <c r="I98" s="443">
        <v>1.4999982857162448</v>
      </c>
      <c r="J98" s="443">
        <v>583.33333333333337</v>
      </c>
      <c r="K98" s="446">
        <v>10</v>
      </c>
      <c r="L98" s="446">
        <v>5833.34</v>
      </c>
      <c r="M98" s="443">
        <v>1</v>
      </c>
      <c r="N98" s="443">
        <v>583.33400000000006</v>
      </c>
      <c r="O98" s="446">
        <v>14</v>
      </c>
      <c r="P98" s="446">
        <v>8166.66</v>
      </c>
      <c r="Q98" s="468">
        <v>1.3999972571459918</v>
      </c>
      <c r="R98" s="447">
        <v>583.33285714285716</v>
      </c>
    </row>
    <row r="99" spans="1:18" ht="14.4" customHeight="1" x14ac:dyDescent="0.3">
      <c r="A99" s="442"/>
      <c r="B99" s="443" t="s">
        <v>1090</v>
      </c>
      <c r="C99" s="443" t="s">
        <v>1082</v>
      </c>
      <c r="D99" s="443" t="s">
        <v>1141</v>
      </c>
      <c r="E99" s="443" t="s">
        <v>1165</v>
      </c>
      <c r="F99" s="443" t="s">
        <v>1166</v>
      </c>
      <c r="G99" s="446">
        <v>52</v>
      </c>
      <c r="H99" s="446">
        <v>24266.66</v>
      </c>
      <c r="I99" s="443">
        <v>0.7323940176269581</v>
      </c>
      <c r="J99" s="443">
        <v>466.66653846153844</v>
      </c>
      <c r="K99" s="446">
        <v>71</v>
      </c>
      <c r="L99" s="446">
        <v>33133.340000000004</v>
      </c>
      <c r="M99" s="443">
        <v>1</v>
      </c>
      <c r="N99" s="443">
        <v>466.66676056338031</v>
      </c>
      <c r="O99" s="446">
        <v>29</v>
      </c>
      <c r="P99" s="446">
        <v>13533.33</v>
      </c>
      <c r="Q99" s="468">
        <v>0.40845052143852684</v>
      </c>
      <c r="R99" s="447">
        <v>466.66655172413795</v>
      </c>
    </row>
    <row r="100" spans="1:18" ht="14.4" customHeight="1" x14ac:dyDescent="0.3">
      <c r="A100" s="442"/>
      <c r="B100" s="443" t="s">
        <v>1090</v>
      </c>
      <c r="C100" s="443" t="s">
        <v>1082</v>
      </c>
      <c r="D100" s="443" t="s">
        <v>1141</v>
      </c>
      <c r="E100" s="443" t="s">
        <v>1167</v>
      </c>
      <c r="F100" s="443" t="s">
        <v>1168</v>
      </c>
      <c r="G100" s="446">
        <v>19</v>
      </c>
      <c r="H100" s="446">
        <v>950</v>
      </c>
      <c r="I100" s="443">
        <v>1.1875</v>
      </c>
      <c r="J100" s="443">
        <v>50</v>
      </c>
      <c r="K100" s="446">
        <v>16</v>
      </c>
      <c r="L100" s="446">
        <v>800</v>
      </c>
      <c r="M100" s="443">
        <v>1</v>
      </c>
      <c r="N100" s="443">
        <v>50</v>
      </c>
      <c r="O100" s="446">
        <v>13</v>
      </c>
      <c r="P100" s="446">
        <v>650</v>
      </c>
      <c r="Q100" s="468">
        <v>0.8125</v>
      </c>
      <c r="R100" s="447">
        <v>50</v>
      </c>
    </row>
    <row r="101" spans="1:18" ht="14.4" customHeight="1" x14ac:dyDescent="0.3">
      <c r="A101" s="442"/>
      <c r="B101" s="443" t="s">
        <v>1090</v>
      </c>
      <c r="C101" s="443" t="s">
        <v>1082</v>
      </c>
      <c r="D101" s="443" t="s">
        <v>1141</v>
      </c>
      <c r="E101" s="443" t="s">
        <v>1169</v>
      </c>
      <c r="F101" s="443" t="s">
        <v>1170</v>
      </c>
      <c r="G101" s="446">
        <v>2</v>
      </c>
      <c r="H101" s="446">
        <v>202.22</v>
      </c>
      <c r="I101" s="443">
        <v>0.5</v>
      </c>
      <c r="J101" s="443">
        <v>101.11</v>
      </c>
      <c r="K101" s="446">
        <v>4</v>
      </c>
      <c r="L101" s="446">
        <v>404.44</v>
      </c>
      <c r="M101" s="443">
        <v>1</v>
      </c>
      <c r="N101" s="443">
        <v>101.11</v>
      </c>
      <c r="O101" s="446">
        <v>4</v>
      </c>
      <c r="P101" s="446">
        <v>404.44</v>
      </c>
      <c r="Q101" s="468">
        <v>1</v>
      </c>
      <c r="R101" s="447">
        <v>101.11</v>
      </c>
    </row>
    <row r="102" spans="1:18" ht="14.4" customHeight="1" x14ac:dyDescent="0.3">
      <c r="A102" s="442"/>
      <c r="B102" s="443" t="s">
        <v>1090</v>
      </c>
      <c r="C102" s="443" t="s">
        <v>1082</v>
      </c>
      <c r="D102" s="443" t="s">
        <v>1141</v>
      </c>
      <c r="E102" s="443" t="s">
        <v>1171</v>
      </c>
      <c r="F102" s="443" t="s">
        <v>1172</v>
      </c>
      <c r="G102" s="446"/>
      <c r="H102" s="446"/>
      <c r="I102" s="443"/>
      <c r="J102" s="443"/>
      <c r="K102" s="446">
        <v>4</v>
      </c>
      <c r="L102" s="446">
        <v>306.67</v>
      </c>
      <c r="M102" s="443">
        <v>1</v>
      </c>
      <c r="N102" s="443">
        <v>76.667500000000004</v>
      </c>
      <c r="O102" s="446"/>
      <c r="P102" s="446"/>
      <c r="Q102" s="468"/>
      <c r="R102" s="447"/>
    </row>
    <row r="103" spans="1:18" ht="14.4" customHeight="1" x14ac:dyDescent="0.3">
      <c r="A103" s="442"/>
      <c r="B103" s="443" t="s">
        <v>1090</v>
      </c>
      <c r="C103" s="443" t="s">
        <v>1082</v>
      </c>
      <c r="D103" s="443" t="s">
        <v>1141</v>
      </c>
      <c r="E103" s="443" t="s">
        <v>1173</v>
      </c>
      <c r="F103" s="443" t="s">
        <v>1174</v>
      </c>
      <c r="G103" s="446">
        <v>1</v>
      </c>
      <c r="H103" s="446">
        <v>0</v>
      </c>
      <c r="I103" s="443"/>
      <c r="J103" s="443">
        <v>0</v>
      </c>
      <c r="K103" s="446">
        <v>1</v>
      </c>
      <c r="L103" s="446">
        <v>0</v>
      </c>
      <c r="M103" s="443"/>
      <c r="N103" s="443">
        <v>0</v>
      </c>
      <c r="O103" s="446"/>
      <c r="P103" s="446"/>
      <c r="Q103" s="468"/>
      <c r="R103" s="447"/>
    </row>
    <row r="104" spans="1:18" ht="14.4" customHeight="1" x14ac:dyDescent="0.3">
      <c r="A104" s="442"/>
      <c r="B104" s="443" t="s">
        <v>1090</v>
      </c>
      <c r="C104" s="443" t="s">
        <v>1082</v>
      </c>
      <c r="D104" s="443" t="s">
        <v>1141</v>
      </c>
      <c r="E104" s="443" t="s">
        <v>1175</v>
      </c>
      <c r="F104" s="443" t="s">
        <v>1176</v>
      </c>
      <c r="G104" s="446">
        <v>129</v>
      </c>
      <c r="H104" s="446">
        <v>39416.68</v>
      </c>
      <c r="I104" s="443">
        <v>0.871621766551539</v>
      </c>
      <c r="J104" s="443">
        <v>305.55565891472867</v>
      </c>
      <c r="K104" s="446">
        <v>148</v>
      </c>
      <c r="L104" s="446">
        <v>45222.229999999996</v>
      </c>
      <c r="M104" s="443">
        <v>1</v>
      </c>
      <c r="N104" s="443">
        <v>305.55560810810806</v>
      </c>
      <c r="O104" s="446">
        <v>113</v>
      </c>
      <c r="P104" s="446">
        <v>34527.770000000004</v>
      </c>
      <c r="Q104" s="468">
        <v>0.76351321020657337</v>
      </c>
      <c r="R104" s="447">
        <v>305.55548672566374</v>
      </c>
    </row>
    <row r="105" spans="1:18" ht="14.4" customHeight="1" x14ac:dyDescent="0.3">
      <c r="A105" s="442"/>
      <c r="B105" s="443" t="s">
        <v>1090</v>
      </c>
      <c r="C105" s="443" t="s">
        <v>1082</v>
      </c>
      <c r="D105" s="443" t="s">
        <v>1141</v>
      </c>
      <c r="E105" s="443" t="s">
        <v>1177</v>
      </c>
      <c r="F105" s="443" t="s">
        <v>1178</v>
      </c>
      <c r="G105" s="446">
        <v>70</v>
      </c>
      <c r="H105" s="446">
        <v>0</v>
      </c>
      <c r="I105" s="443">
        <v>0</v>
      </c>
      <c r="J105" s="443">
        <v>0</v>
      </c>
      <c r="K105" s="446">
        <v>116</v>
      </c>
      <c r="L105" s="446">
        <v>3866.66</v>
      </c>
      <c r="M105" s="443">
        <v>1</v>
      </c>
      <c r="N105" s="443">
        <v>33.333275862068966</v>
      </c>
      <c r="O105" s="446">
        <v>120</v>
      </c>
      <c r="P105" s="446">
        <v>4000</v>
      </c>
      <c r="Q105" s="468">
        <v>1.034484542214728</v>
      </c>
      <c r="R105" s="447">
        <v>33.333333333333336</v>
      </c>
    </row>
    <row r="106" spans="1:18" ht="14.4" customHeight="1" x14ac:dyDescent="0.3">
      <c r="A106" s="442"/>
      <c r="B106" s="443" t="s">
        <v>1090</v>
      </c>
      <c r="C106" s="443" t="s">
        <v>1082</v>
      </c>
      <c r="D106" s="443" t="s">
        <v>1141</v>
      </c>
      <c r="E106" s="443" t="s">
        <v>1179</v>
      </c>
      <c r="F106" s="443" t="s">
        <v>1180</v>
      </c>
      <c r="G106" s="446">
        <v>137</v>
      </c>
      <c r="H106" s="446">
        <v>62411.100000000006</v>
      </c>
      <c r="I106" s="443">
        <v>0.85624983450838676</v>
      </c>
      <c r="J106" s="443">
        <v>455.55547445255479</v>
      </c>
      <c r="K106" s="446">
        <v>160</v>
      </c>
      <c r="L106" s="446">
        <v>72888.89</v>
      </c>
      <c r="M106" s="443">
        <v>1</v>
      </c>
      <c r="N106" s="443">
        <v>455.55556250000001</v>
      </c>
      <c r="O106" s="446">
        <v>134</v>
      </c>
      <c r="P106" s="446">
        <v>61044.429999999993</v>
      </c>
      <c r="Q106" s="468">
        <v>0.83749978906250311</v>
      </c>
      <c r="R106" s="447">
        <v>455.55544776119399</v>
      </c>
    </row>
    <row r="107" spans="1:18" ht="14.4" customHeight="1" x14ac:dyDescent="0.3">
      <c r="A107" s="442"/>
      <c r="B107" s="443" t="s">
        <v>1090</v>
      </c>
      <c r="C107" s="443" t="s">
        <v>1082</v>
      </c>
      <c r="D107" s="443" t="s">
        <v>1141</v>
      </c>
      <c r="E107" s="443" t="s">
        <v>1205</v>
      </c>
      <c r="F107" s="443" t="s">
        <v>1206</v>
      </c>
      <c r="G107" s="446">
        <v>1</v>
      </c>
      <c r="H107" s="446">
        <v>58.89</v>
      </c>
      <c r="I107" s="443"/>
      <c r="J107" s="443">
        <v>58.89</v>
      </c>
      <c r="K107" s="446"/>
      <c r="L107" s="446"/>
      <c r="M107" s="443"/>
      <c r="N107" s="443"/>
      <c r="O107" s="446"/>
      <c r="P107" s="446"/>
      <c r="Q107" s="468"/>
      <c r="R107" s="447"/>
    </row>
    <row r="108" spans="1:18" ht="14.4" customHeight="1" x14ac:dyDescent="0.3">
      <c r="A108" s="442"/>
      <c r="B108" s="443" t="s">
        <v>1090</v>
      </c>
      <c r="C108" s="443" t="s">
        <v>1082</v>
      </c>
      <c r="D108" s="443" t="s">
        <v>1141</v>
      </c>
      <c r="E108" s="443" t="s">
        <v>1181</v>
      </c>
      <c r="F108" s="443" t="s">
        <v>1182</v>
      </c>
      <c r="G108" s="446">
        <v>132</v>
      </c>
      <c r="H108" s="446">
        <v>10266.66</v>
      </c>
      <c r="I108" s="443">
        <v>0.90410864809837654</v>
      </c>
      <c r="J108" s="443">
        <v>77.777727272727276</v>
      </c>
      <c r="K108" s="446">
        <v>146</v>
      </c>
      <c r="L108" s="446">
        <v>11355.56</v>
      </c>
      <c r="M108" s="443">
        <v>1</v>
      </c>
      <c r="N108" s="443">
        <v>77.777808219178084</v>
      </c>
      <c r="O108" s="446">
        <v>113</v>
      </c>
      <c r="P108" s="446">
        <v>8788.89</v>
      </c>
      <c r="Q108" s="468">
        <v>0.77397239766246662</v>
      </c>
      <c r="R108" s="447">
        <v>77.77778761061947</v>
      </c>
    </row>
    <row r="109" spans="1:18" ht="14.4" customHeight="1" x14ac:dyDescent="0.3">
      <c r="A109" s="442"/>
      <c r="B109" s="443" t="s">
        <v>1090</v>
      </c>
      <c r="C109" s="443" t="s">
        <v>1082</v>
      </c>
      <c r="D109" s="443" t="s">
        <v>1141</v>
      </c>
      <c r="E109" s="443" t="s">
        <v>1183</v>
      </c>
      <c r="F109" s="443" t="s">
        <v>1184</v>
      </c>
      <c r="G109" s="446"/>
      <c r="H109" s="446"/>
      <c r="I109" s="443"/>
      <c r="J109" s="443"/>
      <c r="K109" s="446">
        <v>3</v>
      </c>
      <c r="L109" s="446">
        <v>810</v>
      </c>
      <c r="M109" s="443">
        <v>1</v>
      </c>
      <c r="N109" s="443">
        <v>270</v>
      </c>
      <c r="O109" s="446"/>
      <c r="P109" s="446"/>
      <c r="Q109" s="468"/>
      <c r="R109" s="447"/>
    </row>
    <row r="110" spans="1:18" ht="14.4" customHeight="1" x14ac:dyDescent="0.3">
      <c r="A110" s="442"/>
      <c r="B110" s="443" t="s">
        <v>1090</v>
      </c>
      <c r="C110" s="443" t="s">
        <v>1082</v>
      </c>
      <c r="D110" s="443" t="s">
        <v>1141</v>
      </c>
      <c r="E110" s="443" t="s">
        <v>1185</v>
      </c>
      <c r="F110" s="443" t="s">
        <v>1186</v>
      </c>
      <c r="G110" s="446">
        <v>175</v>
      </c>
      <c r="H110" s="446">
        <v>15555.55</v>
      </c>
      <c r="I110" s="443">
        <v>0.72239407467400529</v>
      </c>
      <c r="J110" s="443">
        <v>88.888857142857134</v>
      </c>
      <c r="K110" s="446">
        <v>228</v>
      </c>
      <c r="L110" s="446">
        <v>21533.33</v>
      </c>
      <c r="M110" s="443">
        <v>1</v>
      </c>
      <c r="N110" s="443">
        <v>94.444429824561411</v>
      </c>
      <c r="O110" s="446">
        <v>177</v>
      </c>
      <c r="P110" s="446">
        <v>16716.68</v>
      </c>
      <c r="Q110" s="468">
        <v>0.77631652884156788</v>
      </c>
      <c r="R110" s="447">
        <v>94.444519774011297</v>
      </c>
    </row>
    <row r="111" spans="1:18" ht="14.4" customHeight="1" x14ac:dyDescent="0.3">
      <c r="A111" s="442"/>
      <c r="B111" s="443" t="s">
        <v>1090</v>
      </c>
      <c r="C111" s="443" t="s">
        <v>1082</v>
      </c>
      <c r="D111" s="443" t="s">
        <v>1141</v>
      </c>
      <c r="E111" s="443" t="s">
        <v>1207</v>
      </c>
      <c r="F111" s="443" t="s">
        <v>1208</v>
      </c>
      <c r="G111" s="446">
        <v>12</v>
      </c>
      <c r="H111" s="446">
        <v>1160</v>
      </c>
      <c r="I111" s="443"/>
      <c r="J111" s="443">
        <v>96.666666666666671</v>
      </c>
      <c r="K111" s="446"/>
      <c r="L111" s="446"/>
      <c r="M111" s="443"/>
      <c r="N111" s="443"/>
      <c r="O111" s="446"/>
      <c r="P111" s="446"/>
      <c r="Q111" s="468"/>
      <c r="R111" s="447"/>
    </row>
    <row r="112" spans="1:18" ht="14.4" customHeight="1" x14ac:dyDescent="0.3">
      <c r="A112" s="442"/>
      <c r="B112" s="443" t="s">
        <v>1090</v>
      </c>
      <c r="C112" s="443" t="s">
        <v>1082</v>
      </c>
      <c r="D112" s="443" t="s">
        <v>1141</v>
      </c>
      <c r="E112" s="443" t="s">
        <v>1189</v>
      </c>
      <c r="F112" s="443" t="s">
        <v>1190</v>
      </c>
      <c r="G112" s="446">
        <v>23</v>
      </c>
      <c r="H112" s="446">
        <v>3220</v>
      </c>
      <c r="I112" s="443"/>
      <c r="J112" s="443">
        <v>140</v>
      </c>
      <c r="K112" s="446"/>
      <c r="L112" s="446"/>
      <c r="M112" s="443"/>
      <c r="N112" s="443"/>
      <c r="O112" s="446"/>
      <c r="P112" s="446"/>
      <c r="Q112" s="468"/>
      <c r="R112" s="447"/>
    </row>
    <row r="113" spans="1:18" ht="14.4" customHeight="1" x14ac:dyDescent="0.3">
      <c r="A113" s="442"/>
      <c r="B113" s="443" t="s">
        <v>1090</v>
      </c>
      <c r="C113" s="443" t="s">
        <v>1082</v>
      </c>
      <c r="D113" s="443" t="s">
        <v>1141</v>
      </c>
      <c r="E113" s="443" t="s">
        <v>1209</v>
      </c>
      <c r="F113" s="443" t="s">
        <v>1210</v>
      </c>
      <c r="G113" s="446">
        <v>21</v>
      </c>
      <c r="H113" s="446">
        <v>1586.66</v>
      </c>
      <c r="I113" s="443"/>
      <c r="J113" s="443">
        <v>75.555238095238096</v>
      </c>
      <c r="K113" s="446"/>
      <c r="L113" s="446"/>
      <c r="M113" s="443"/>
      <c r="N113" s="443"/>
      <c r="O113" s="446"/>
      <c r="P113" s="446"/>
      <c r="Q113" s="468"/>
      <c r="R113" s="447"/>
    </row>
    <row r="114" spans="1:18" ht="14.4" customHeight="1" x14ac:dyDescent="0.3">
      <c r="A114" s="442"/>
      <c r="B114" s="443" t="s">
        <v>1090</v>
      </c>
      <c r="C114" s="443" t="s">
        <v>1082</v>
      </c>
      <c r="D114" s="443" t="s">
        <v>1141</v>
      </c>
      <c r="E114" s="443" t="s">
        <v>1191</v>
      </c>
      <c r="F114" s="443" t="s">
        <v>1192</v>
      </c>
      <c r="G114" s="446">
        <v>3</v>
      </c>
      <c r="H114" s="446">
        <v>350.01</v>
      </c>
      <c r="I114" s="443">
        <v>0.75003214331633306</v>
      </c>
      <c r="J114" s="443">
        <v>116.67</v>
      </c>
      <c r="K114" s="446">
        <v>4</v>
      </c>
      <c r="L114" s="446">
        <v>466.66</v>
      </c>
      <c r="M114" s="443">
        <v>1</v>
      </c>
      <c r="N114" s="443">
        <v>116.66500000000001</v>
      </c>
      <c r="O114" s="446">
        <v>3</v>
      </c>
      <c r="P114" s="446">
        <v>350</v>
      </c>
      <c r="Q114" s="468">
        <v>0.75001071443877765</v>
      </c>
      <c r="R114" s="447">
        <v>116.66666666666667</v>
      </c>
    </row>
    <row r="115" spans="1:18" ht="14.4" customHeight="1" x14ac:dyDescent="0.3">
      <c r="A115" s="442"/>
      <c r="B115" s="443" t="s">
        <v>1090</v>
      </c>
      <c r="C115" s="443" t="s">
        <v>1082</v>
      </c>
      <c r="D115" s="443" t="s">
        <v>1141</v>
      </c>
      <c r="E115" s="443" t="s">
        <v>1193</v>
      </c>
      <c r="F115" s="443" t="s">
        <v>1194</v>
      </c>
      <c r="G115" s="446"/>
      <c r="H115" s="446"/>
      <c r="I115" s="443"/>
      <c r="J115" s="443"/>
      <c r="K115" s="446">
        <v>3</v>
      </c>
      <c r="L115" s="446">
        <v>146.66999999999999</v>
      </c>
      <c r="M115" s="443">
        <v>1</v>
      </c>
      <c r="N115" s="443">
        <v>48.889999999999993</v>
      </c>
      <c r="O115" s="446">
        <v>9</v>
      </c>
      <c r="P115" s="446">
        <v>440</v>
      </c>
      <c r="Q115" s="468">
        <v>2.99993181973137</v>
      </c>
      <c r="R115" s="447">
        <v>48.888888888888886</v>
      </c>
    </row>
    <row r="116" spans="1:18" ht="14.4" customHeight="1" x14ac:dyDescent="0.3">
      <c r="A116" s="442"/>
      <c r="B116" s="443" t="s">
        <v>1090</v>
      </c>
      <c r="C116" s="443" t="s">
        <v>1082</v>
      </c>
      <c r="D116" s="443" t="s">
        <v>1141</v>
      </c>
      <c r="E116" s="443" t="s">
        <v>1197</v>
      </c>
      <c r="F116" s="443" t="s">
        <v>1198</v>
      </c>
      <c r="G116" s="446"/>
      <c r="H116" s="446"/>
      <c r="I116" s="443"/>
      <c r="J116" s="443"/>
      <c r="K116" s="446">
        <v>1</v>
      </c>
      <c r="L116" s="446">
        <v>292.22000000000003</v>
      </c>
      <c r="M116" s="443">
        <v>1</v>
      </c>
      <c r="N116" s="443">
        <v>292.22000000000003</v>
      </c>
      <c r="O116" s="446">
        <v>2</v>
      </c>
      <c r="P116" s="446">
        <v>584.44000000000005</v>
      </c>
      <c r="Q116" s="468">
        <v>2</v>
      </c>
      <c r="R116" s="447">
        <v>292.22000000000003</v>
      </c>
    </row>
    <row r="117" spans="1:18" ht="14.4" customHeight="1" x14ac:dyDescent="0.3">
      <c r="A117" s="442"/>
      <c r="B117" s="443" t="s">
        <v>1090</v>
      </c>
      <c r="C117" s="443" t="s">
        <v>1083</v>
      </c>
      <c r="D117" s="443" t="s">
        <v>1091</v>
      </c>
      <c r="E117" s="443" t="s">
        <v>1211</v>
      </c>
      <c r="F117" s="443"/>
      <c r="G117" s="446"/>
      <c r="H117" s="446"/>
      <c r="I117" s="443"/>
      <c r="J117" s="443"/>
      <c r="K117" s="446"/>
      <c r="L117" s="446"/>
      <c r="M117" s="443"/>
      <c r="N117" s="443"/>
      <c r="O117" s="446">
        <v>1</v>
      </c>
      <c r="P117" s="446">
        <v>1657</v>
      </c>
      <c r="Q117" s="468"/>
      <c r="R117" s="447">
        <v>1657</v>
      </c>
    </row>
    <row r="118" spans="1:18" ht="14.4" customHeight="1" x14ac:dyDescent="0.3">
      <c r="A118" s="442"/>
      <c r="B118" s="443" t="s">
        <v>1090</v>
      </c>
      <c r="C118" s="443" t="s">
        <v>1083</v>
      </c>
      <c r="D118" s="443" t="s">
        <v>1091</v>
      </c>
      <c r="E118" s="443" t="s">
        <v>1212</v>
      </c>
      <c r="F118" s="443"/>
      <c r="G118" s="446"/>
      <c r="H118" s="446"/>
      <c r="I118" s="443"/>
      <c r="J118" s="443"/>
      <c r="K118" s="446"/>
      <c r="L118" s="446"/>
      <c r="M118" s="443"/>
      <c r="N118" s="443"/>
      <c r="O118" s="446">
        <v>1</v>
      </c>
      <c r="P118" s="446">
        <v>1281</v>
      </c>
      <c r="Q118" s="468"/>
      <c r="R118" s="447">
        <v>1281</v>
      </c>
    </row>
    <row r="119" spans="1:18" ht="14.4" customHeight="1" x14ac:dyDescent="0.3">
      <c r="A119" s="442"/>
      <c r="B119" s="443" t="s">
        <v>1090</v>
      </c>
      <c r="C119" s="443" t="s">
        <v>1083</v>
      </c>
      <c r="D119" s="443" t="s">
        <v>1091</v>
      </c>
      <c r="E119" s="443" t="s">
        <v>1095</v>
      </c>
      <c r="F119" s="443"/>
      <c r="G119" s="446"/>
      <c r="H119" s="446"/>
      <c r="I119" s="443"/>
      <c r="J119" s="443"/>
      <c r="K119" s="446"/>
      <c r="L119" s="446"/>
      <c r="M119" s="443"/>
      <c r="N119" s="443"/>
      <c r="O119" s="446">
        <v>1</v>
      </c>
      <c r="P119" s="446">
        <v>219</v>
      </c>
      <c r="Q119" s="468"/>
      <c r="R119" s="447">
        <v>219</v>
      </c>
    </row>
    <row r="120" spans="1:18" ht="14.4" customHeight="1" x14ac:dyDescent="0.3">
      <c r="A120" s="442"/>
      <c r="B120" s="443" t="s">
        <v>1090</v>
      </c>
      <c r="C120" s="443" t="s">
        <v>1083</v>
      </c>
      <c r="D120" s="443" t="s">
        <v>1091</v>
      </c>
      <c r="E120" s="443" t="s">
        <v>1119</v>
      </c>
      <c r="F120" s="443"/>
      <c r="G120" s="446"/>
      <c r="H120" s="446"/>
      <c r="I120" s="443"/>
      <c r="J120" s="443"/>
      <c r="K120" s="446"/>
      <c r="L120" s="446"/>
      <c r="M120" s="443"/>
      <c r="N120" s="443"/>
      <c r="O120" s="446">
        <v>1</v>
      </c>
      <c r="P120" s="446">
        <v>2000</v>
      </c>
      <c r="Q120" s="468"/>
      <c r="R120" s="447">
        <v>2000</v>
      </c>
    </row>
    <row r="121" spans="1:18" ht="14.4" customHeight="1" x14ac:dyDescent="0.3">
      <c r="A121" s="442"/>
      <c r="B121" s="443" t="s">
        <v>1090</v>
      </c>
      <c r="C121" s="443" t="s">
        <v>1083</v>
      </c>
      <c r="D121" s="443" t="s">
        <v>1091</v>
      </c>
      <c r="E121" s="443" t="s">
        <v>1127</v>
      </c>
      <c r="F121" s="443"/>
      <c r="G121" s="446">
        <v>1</v>
      </c>
      <c r="H121" s="446">
        <v>225</v>
      </c>
      <c r="I121" s="443"/>
      <c r="J121" s="443">
        <v>225</v>
      </c>
      <c r="K121" s="446"/>
      <c r="L121" s="446"/>
      <c r="M121" s="443"/>
      <c r="N121" s="443"/>
      <c r="O121" s="446"/>
      <c r="P121" s="446"/>
      <c r="Q121" s="468"/>
      <c r="R121" s="447"/>
    </row>
    <row r="122" spans="1:18" ht="14.4" customHeight="1" x14ac:dyDescent="0.3">
      <c r="A122" s="442"/>
      <c r="B122" s="443" t="s">
        <v>1090</v>
      </c>
      <c r="C122" s="443" t="s">
        <v>1083</v>
      </c>
      <c r="D122" s="443" t="s">
        <v>1141</v>
      </c>
      <c r="E122" s="443" t="s">
        <v>1142</v>
      </c>
      <c r="F122" s="443" t="s">
        <v>1143</v>
      </c>
      <c r="G122" s="446">
        <v>24</v>
      </c>
      <c r="H122" s="446">
        <v>10613.33</v>
      </c>
      <c r="I122" s="443">
        <v>1.1158876303607044</v>
      </c>
      <c r="J122" s="443">
        <v>442.22208333333333</v>
      </c>
      <c r="K122" s="446">
        <v>20</v>
      </c>
      <c r="L122" s="446">
        <v>9511.11</v>
      </c>
      <c r="M122" s="443">
        <v>1</v>
      </c>
      <c r="N122" s="443">
        <v>475.55550000000005</v>
      </c>
      <c r="O122" s="446">
        <v>17</v>
      </c>
      <c r="P122" s="446">
        <v>8651.1200000000008</v>
      </c>
      <c r="Q122" s="468">
        <v>0.90958048009117765</v>
      </c>
      <c r="R122" s="447">
        <v>508.88941176470593</v>
      </c>
    </row>
    <row r="123" spans="1:18" ht="14.4" customHeight="1" x14ac:dyDescent="0.3">
      <c r="A123" s="442"/>
      <c r="B123" s="443" t="s">
        <v>1090</v>
      </c>
      <c r="C123" s="443" t="s">
        <v>1083</v>
      </c>
      <c r="D123" s="443" t="s">
        <v>1141</v>
      </c>
      <c r="E123" s="443" t="s">
        <v>1144</v>
      </c>
      <c r="F123" s="443" t="s">
        <v>1145</v>
      </c>
      <c r="G123" s="446">
        <v>48</v>
      </c>
      <c r="H123" s="446">
        <v>21866.67</v>
      </c>
      <c r="I123" s="443">
        <v>0.78688533439083019</v>
      </c>
      <c r="J123" s="443">
        <v>455.55562499999996</v>
      </c>
      <c r="K123" s="446">
        <v>61</v>
      </c>
      <c r="L123" s="446">
        <v>27788.890000000003</v>
      </c>
      <c r="M123" s="443">
        <v>1</v>
      </c>
      <c r="N123" s="443">
        <v>455.55557377049183</v>
      </c>
      <c r="O123" s="446">
        <v>42</v>
      </c>
      <c r="P123" s="446">
        <v>21000</v>
      </c>
      <c r="Q123" s="468">
        <v>0.75569769069581394</v>
      </c>
      <c r="R123" s="447">
        <v>500</v>
      </c>
    </row>
    <row r="124" spans="1:18" ht="14.4" customHeight="1" x14ac:dyDescent="0.3">
      <c r="A124" s="442"/>
      <c r="B124" s="443" t="s">
        <v>1090</v>
      </c>
      <c r="C124" s="443" t="s">
        <v>1083</v>
      </c>
      <c r="D124" s="443" t="s">
        <v>1141</v>
      </c>
      <c r="E124" s="443" t="s">
        <v>1201</v>
      </c>
      <c r="F124" s="443" t="s">
        <v>1202</v>
      </c>
      <c r="G124" s="446">
        <v>151</v>
      </c>
      <c r="H124" s="446">
        <v>15938.890000000001</v>
      </c>
      <c r="I124" s="443">
        <v>0.81621576225471493</v>
      </c>
      <c r="J124" s="443">
        <v>105.55556291390729</v>
      </c>
      <c r="K124" s="446">
        <v>185</v>
      </c>
      <c r="L124" s="446">
        <v>19527.79</v>
      </c>
      <c r="M124" s="443">
        <v>1</v>
      </c>
      <c r="N124" s="443">
        <v>105.55562162162163</v>
      </c>
      <c r="O124" s="446">
        <v>191</v>
      </c>
      <c r="P124" s="446">
        <v>20161.11</v>
      </c>
      <c r="Q124" s="468">
        <v>1.032431729345717</v>
      </c>
      <c r="R124" s="447">
        <v>105.5555497382199</v>
      </c>
    </row>
    <row r="125" spans="1:18" ht="14.4" customHeight="1" x14ac:dyDescent="0.3">
      <c r="A125" s="442"/>
      <c r="B125" s="443" t="s">
        <v>1090</v>
      </c>
      <c r="C125" s="443" t="s">
        <v>1083</v>
      </c>
      <c r="D125" s="443" t="s">
        <v>1141</v>
      </c>
      <c r="E125" s="443" t="s">
        <v>1146</v>
      </c>
      <c r="F125" s="443" t="s">
        <v>1147</v>
      </c>
      <c r="G125" s="446">
        <v>63</v>
      </c>
      <c r="H125" s="446">
        <v>4900.0100000000011</v>
      </c>
      <c r="I125" s="443">
        <v>0.91304477450635146</v>
      </c>
      <c r="J125" s="443">
        <v>77.777936507936531</v>
      </c>
      <c r="K125" s="446">
        <v>69</v>
      </c>
      <c r="L125" s="446">
        <v>5366.67</v>
      </c>
      <c r="M125" s="443">
        <v>1</v>
      </c>
      <c r="N125" s="443">
        <v>77.777826086956523</v>
      </c>
      <c r="O125" s="446">
        <v>126</v>
      </c>
      <c r="P125" s="446">
        <v>9799.99</v>
      </c>
      <c r="Q125" s="468">
        <v>1.8260839589540627</v>
      </c>
      <c r="R125" s="447">
        <v>77.777698412698413</v>
      </c>
    </row>
    <row r="126" spans="1:18" ht="14.4" customHeight="1" x14ac:dyDescent="0.3">
      <c r="A126" s="442"/>
      <c r="B126" s="443" t="s">
        <v>1090</v>
      </c>
      <c r="C126" s="443" t="s">
        <v>1083</v>
      </c>
      <c r="D126" s="443" t="s">
        <v>1141</v>
      </c>
      <c r="E126" s="443" t="s">
        <v>1152</v>
      </c>
      <c r="F126" s="443" t="s">
        <v>1153</v>
      </c>
      <c r="G126" s="446">
        <v>67</v>
      </c>
      <c r="H126" s="446">
        <v>7444.4500000000007</v>
      </c>
      <c r="I126" s="443">
        <v>1.0460580580524319</v>
      </c>
      <c r="J126" s="443">
        <v>111.11119402985075</v>
      </c>
      <c r="K126" s="446">
        <v>61</v>
      </c>
      <c r="L126" s="446">
        <v>7116.67</v>
      </c>
      <c r="M126" s="443">
        <v>1</v>
      </c>
      <c r="N126" s="443">
        <v>116.66672131147541</v>
      </c>
      <c r="O126" s="446">
        <v>95</v>
      </c>
      <c r="P126" s="446">
        <v>11083.34</v>
      </c>
      <c r="Q126" s="468">
        <v>1.5573772564977721</v>
      </c>
      <c r="R126" s="447">
        <v>116.66673684210527</v>
      </c>
    </row>
    <row r="127" spans="1:18" ht="14.4" customHeight="1" x14ac:dyDescent="0.3">
      <c r="A127" s="442"/>
      <c r="B127" s="443" t="s">
        <v>1090</v>
      </c>
      <c r="C127" s="443" t="s">
        <v>1083</v>
      </c>
      <c r="D127" s="443" t="s">
        <v>1141</v>
      </c>
      <c r="E127" s="443" t="s">
        <v>1203</v>
      </c>
      <c r="F127" s="443" t="s">
        <v>1204</v>
      </c>
      <c r="G127" s="446">
        <v>21</v>
      </c>
      <c r="H127" s="446">
        <v>7350</v>
      </c>
      <c r="I127" s="443">
        <v>1.1812504218751507</v>
      </c>
      <c r="J127" s="443">
        <v>350</v>
      </c>
      <c r="K127" s="446">
        <v>16</v>
      </c>
      <c r="L127" s="446">
        <v>6222.2199999999993</v>
      </c>
      <c r="M127" s="443">
        <v>1</v>
      </c>
      <c r="N127" s="443">
        <v>388.88874999999996</v>
      </c>
      <c r="O127" s="446">
        <v>25</v>
      </c>
      <c r="P127" s="446">
        <v>9722.2199999999993</v>
      </c>
      <c r="Q127" s="468">
        <v>1.562500200892929</v>
      </c>
      <c r="R127" s="447">
        <v>388.88879999999995</v>
      </c>
    </row>
    <row r="128" spans="1:18" ht="14.4" customHeight="1" x14ac:dyDescent="0.3">
      <c r="A128" s="442"/>
      <c r="B128" s="443" t="s">
        <v>1090</v>
      </c>
      <c r="C128" s="443" t="s">
        <v>1083</v>
      </c>
      <c r="D128" s="443" t="s">
        <v>1141</v>
      </c>
      <c r="E128" s="443" t="s">
        <v>1154</v>
      </c>
      <c r="F128" s="443" t="s">
        <v>1155</v>
      </c>
      <c r="G128" s="446">
        <v>97</v>
      </c>
      <c r="H128" s="446">
        <v>26082.22</v>
      </c>
      <c r="I128" s="443">
        <v>0.5114160784313726</v>
      </c>
      <c r="J128" s="443">
        <v>268.88886597938148</v>
      </c>
      <c r="K128" s="446">
        <v>170</v>
      </c>
      <c r="L128" s="446">
        <v>51000</v>
      </c>
      <c r="M128" s="443">
        <v>1</v>
      </c>
      <c r="N128" s="443">
        <v>300</v>
      </c>
      <c r="O128" s="446">
        <v>184</v>
      </c>
      <c r="P128" s="446">
        <v>55200</v>
      </c>
      <c r="Q128" s="468">
        <v>1.0823529411764705</v>
      </c>
      <c r="R128" s="447">
        <v>300</v>
      </c>
    </row>
    <row r="129" spans="1:18" ht="14.4" customHeight="1" x14ac:dyDescent="0.3">
      <c r="A129" s="442"/>
      <c r="B129" s="443" t="s">
        <v>1090</v>
      </c>
      <c r="C129" s="443" t="s">
        <v>1083</v>
      </c>
      <c r="D129" s="443" t="s">
        <v>1141</v>
      </c>
      <c r="E129" s="443" t="s">
        <v>1156</v>
      </c>
      <c r="F129" s="443" t="s">
        <v>1157</v>
      </c>
      <c r="G129" s="446">
        <v>4</v>
      </c>
      <c r="H129" s="446">
        <v>1177.77</v>
      </c>
      <c r="I129" s="443">
        <v>1</v>
      </c>
      <c r="J129" s="443">
        <v>294.4425</v>
      </c>
      <c r="K129" s="446">
        <v>4</v>
      </c>
      <c r="L129" s="446">
        <v>1177.77</v>
      </c>
      <c r="M129" s="443">
        <v>1</v>
      </c>
      <c r="N129" s="443">
        <v>294.4425</v>
      </c>
      <c r="O129" s="446">
        <v>3</v>
      </c>
      <c r="P129" s="446">
        <v>883.33</v>
      </c>
      <c r="Q129" s="468">
        <v>0.75000212265552701</v>
      </c>
      <c r="R129" s="447">
        <v>294.44333333333333</v>
      </c>
    </row>
    <row r="130" spans="1:18" ht="14.4" customHeight="1" x14ac:dyDescent="0.3">
      <c r="A130" s="442"/>
      <c r="B130" s="443" t="s">
        <v>1090</v>
      </c>
      <c r="C130" s="443" t="s">
        <v>1083</v>
      </c>
      <c r="D130" s="443" t="s">
        <v>1141</v>
      </c>
      <c r="E130" s="443" t="s">
        <v>1158</v>
      </c>
      <c r="F130" s="443" t="s">
        <v>1159</v>
      </c>
      <c r="G130" s="446"/>
      <c r="H130" s="446"/>
      <c r="I130" s="443"/>
      <c r="J130" s="443"/>
      <c r="K130" s="446">
        <v>1</v>
      </c>
      <c r="L130" s="446">
        <v>33.33</v>
      </c>
      <c r="M130" s="443">
        <v>1</v>
      </c>
      <c r="N130" s="443">
        <v>33.33</v>
      </c>
      <c r="O130" s="446">
        <v>1</v>
      </c>
      <c r="P130" s="446">
        <v>33.33</v>
      </c>
      <c r="Q130" s="468">
        <v>1</v>
      </c>
      <c r="R130" s="447">
        <v>33.33</v>
      </c>
    </row>
    <row r="131" spans="1:18" ht="14.4" customHeight="1" x14ac:dyDescent="0.3">
      <c r="A131" s="442"/>
      <c r="B131" s="443" t="s">
        <v>1090</v>
      </c>
      <c r="C131" s="443" t="s">
        <v>1083</v>
      </c>
      <c r="D131" s="443" t="s">
        <v>1141</v>
      </c>
      <c r="E131" s="443" t="s">
        <v>1160</v>
      </c>
      <c r="F131" s="443" t="s">
        <v>1145</v>
      </c>
      <c r="G131" s="446">
        <v>234</v>
      </c>
      <c r="H131" s="446">
        <v>87360</v>
      </c>
      <c r="I131" s="443">
        <v>0.98319320354192652</v>
      </c>
      <c r="J131" s="443">
        <v>373.33333333333331</v>
      </c>
      <c r="K131" s="446">
        <v>238</v>
      </c>
      <c r="L131" s="446">
        <v>88853.34</v>
      </c>
      <c r="M131" s="443">
        <v>1</v>
      </c>
      <c r="N131" s="443">
        <v>373.33336134453782</v>
      </c>
      <c r="O131" s="446">
        <v>235</v>
      </c>
      <c r="P131" s="446">
        <v>98177.77</v>
      </c>
      <c r="Q131" s="468">
        <v>1.1049418063519054</v>
      </c>
      <c r="R131" s="447">
        <v>417.77774468085107</v>
      </c>
    </row>
    <row r="132" spans="1:18" ht="14.4" customHeight="1" x14ac:dyDescent="0.3">
      <c r="A132" s="442"/>
      <c r="B132" s="443" t="s">
        <v>1090</v>
      </c>
      <c r="C132" s="443" t="s">
        <v>1083</v>
      </c>
      <c r="D132" s="443" t="s">
        <v>1141</v>
      </c>
      <c r="E132" s="443" t="s">
        <v>1161</v>
      </c>
      <c r="F132" s="443" t="s">
        <v>1162</v>
      </c>
      <c r="G132" s="446">
        <v>10</v>
      </c>
      <c r="H132" s="446">
        <v>1866.67</v>
      </c>
      <c r="I132" s="443">
        <v>0.58947597784416383</v>
      </c>
      <c r="J132" s="443">
        <v>186.667</v>
      </c>
      <c r="K132" s="446">
        <v>15</v>
      </c>
      <c r="L132" s="446">
        <v>3166.6600000000003</v>
      </c>
      <c r="M132" s="443">
        <v>1</v>
      </c>
      <c r="N132" s="443">
        <v>211.11066666666667</v>
      </c>
      <c r="O132" s="446">
        <v>22</v>
      </c>
      <c r="P132" s="446">
        <v>4644.43</v>
      </c>
      <c r="Q132" s="468">
        <v>1.4666651929793535</v>
      </c>
      <c r="R132" s="447">
        <v>211.11045454545456</v>
      </c>
    </row>
    <row r="133" spans="1:18" ht="14.4" customHeight="1" x14ac:dyDescent="0.3">
      <c r="A133" s="442"/>
      <c r="B133" s="443" t="s">
        <v>1090</v>
      </c>
      <c r="C133" s="443" t="s">
        <v>1083</v>
      </c>
      <c r="D133" s="443" t="s">
        <v>1141</v>
      </c>
      <c r="E133" s="443" t="s">
        <v>1163</v>
      </c>
      <c r="F133" s="443" t="s">
        <v>1164</v>
      </c>
      <c r="G133" s="446">
        <v>6</v>
      </c>
      <c r="H133" s="446">
        <v>3500</v>
      </c>
      <c r="I133" s="443">
        <v>1</v>
      </c>
      <c r="J133" s="443">
        <v>583.33333333333337</v>
      </c>
      <c r="K133" s="446">
        <v>6</v>
      </c>
      <c r="L133" s="446">
        <v>3500</v>
      </c>
      <c r="M133" s="443">
        <v>1</v>
      </c>
      <c r="N133" s="443">
        <v>583.33333333333337</v>
      </c>
      <c r="O133" s="446">
        <v>10</v>
      </c>
      <c r="P133" s="446">
        <v>5833.34</v>
      </c>
      <c r="Q133" s="468">
        <v>1.6666685714285714</v>
      </c>
      <c r="R133" s="447">
        <v>583.33400000000006</v>
      </c>
    </row>
    <row r="134" spans="1:18" ht="14.4" customHeight="1" x14ac:dyDescent="0.3">
      <c r="A134" s="442"/>
      <c r="B134" s="443" t="s">
        <v>1090</v>
      </c>
      <c r="C134" s="443" t="s">
        <v>1083</v>
      </c>
      <c r="D134" s="443" t="s">
        <v>1141</v>
      </c>
      <c r="E134" s="443" t="s">
        <v>1165</v>
      </c>
      <c r="F134" s="443" t="s">
        <v>1166</v>
      </c>
      <c r="G134" s="446">
        <v>4</v>
      </c>
      <c r="H134" s="446">
        <v>1866.67</v>
      </c>
      <c r="I134" s="443">
        <v>0.40000042857112245</v>
      </c>
      <c r="J134" s="443">
        <v>466.66750000000002</v>
      </c>
      <c r="K134" s="446">
        <v>10</v>
      </c>
      <c r="L134" s="446">
        <v>4666.67</v>
      </c>
      <c r="M134" s="443">
        <v>1</v>
      </c>
      <c r="N134" s="443">
        <v>466.66700000000003</v>
      </c>
      <c r="O134" s="446">
        <v>5</v>
      </c>
      <c r="P134" s="446">
        <v>2333.34</v>
      </c>
      <c r="Q134" s="468">
        <v>0.50000107142780614</v>
      </c>
      <c r="R134" s="447">
        <v>466.66800000000001</v>
      </c>
    </row>
    <row r="135" spans="1:18" ht="14.4" customHeight="1" x14ac:dyDescent="0.3">
      <c r="A135" s="442"/>
      <c r="B135" s="443" t="s">
        <v>1090</v>
      </c>
      <c r="C135" s="443" t="s">
        <v>1083</v>
      </c>
      <c r="D135" s="443" t="s">
        <v>1141</v>
      </c>
      <c r="E135" s="443" t="s">
        <v>1213</v>
      </c>
      <c r="F135" s="443" t="s">
        <v>1166</v>
      </c>
      <c r="G135" s="446">
        <v>1</v>
      </c>
      <c r="H135" s="446">
        <v>1000</v>
      </c>
      <c r="I135" s="443">
        <v>1</v>
      </c>
      <c r="J135" s="443">
        <v>1000</v>
      </c>
      <c r="K135" s="446">
        <v>1</v>
      </c>
      <c r="L135" s="446">
        <v>1000</v>
      </c>
      <c r="M135" s="443">
        <v>1</v>
      </c>
      <c r="N135" s="443">
        <v>1000</v>
      </c>
      <c r="O135" s="446"/>
      <c r="P135" s="446"/>
      <c r="Q135" s="468"/>
      <c r="R135" s="447"/>
    </row>
    <row r="136" spans="1:18" ht="14.4" customHeight="1" x14ac:dyDescent="0.3">
      <c r="A136" s="442"/>
      <c r="B136" s="443" t="s">
        <v>1090</v>
      </c>
      <c r="C136" s="443" t="s">
        <v>1083</v>
      </c>
      <c r="D136" s="443" t="s">
        <v>1141</v>
      </c>
      <c r="E136" s="443" t="s">
        <v>1167</v>
      </c>
      <c r="F136" s="443" t="s">
        <v>1168</v>
      </c>
      <c r="G136" s="446">
        <v>55</v>
      </c>
      <c r="H136" s="446">
        <v>2750</v>
      </c>
      <c r="I136" s="443">
        <v>1.375</v>
      </c>
      <c r="J136" s="443">
        <v>50</v>
      </c>
      <c r="K136" s="446">
        <v>40</v>
      </c>
      <c r="L136" s="446">
        <v>2000</v>
      </c>
      <c r="M136" s="443">
        <v>1</v>
      </c>
      <c r="N136" s="443">
        <v>50</v>
      </c>
      <c r="O136" s="446">
        <v>47</v>
      </c>
      <c r="P136" s="446">
        <v>2350</v>
      </c>
      <c r="Q136" s="468">
        <v>1.175</v>
      </c>
      <c r="R136" s="447">
        <v>50</v>
      </c>
    </row>
    <row r="137" spans="1:18" ht="14.4" customHeight="1" x14ac:dyDescent="0.3">
      <c r="A137" s="442"/>
      <c r="B137" s="443" t="s">
        <v>1090</v>
      </c>
      <c r="C137" s="443" t="s">
        <v>1083</v>
      </c>
      <c r="D137" s="443" t="s">
        <v>1141</v>
      </c>
      <c r="E137" s="443" t="s">
        <v>1173</v>
      </c>
      <c r="F137" s="443" t="s">
        <v>1174</v>
      </c>
      <c r="G137" s="446">
        <v>2</v>
      </c>
      <c r="H137" s="446">
        <v>0</v>
      </c>
      <c r="I137" s="443"/>
      <c r="J137" s="443">
        <v>0</v>
      </c>
      <c r="K137" s="446"/>
      <c r="L137" s="446"/>
      <c r="M137" s="443"/>
      <c r="N137" s="443"/>
      <c r="O137" s="446">
        <v>2</v>
      </c>
      <c r="P137" s="446">
        <v>0</v>
      </c>
      <c r="Q137" s="468"/>
      <c r="R137" s="447">
        <v>0</v>
      </c>
    </row>
    <row r="138" spans="1:18" ht="14.4" customHeight="1" x14ac:dyDescent="0.3">
      <c r="A138" s="442"/>
      <c r="B138" s="443" t="s">
        <v>1090</v>
      </c>
      <c r="C138" s="443" t="s">
        <v>1083</v>
      </c>
      <c r="D138" s="443" t="s">
        <v>1141</v>
      </c>
      <c r="E138" s="443" t="s">
        <v>1175</v>
      </c>
      <c r="F138" s="443" t="s">
        <v>1176</v>
      </c>
      <c r="G138" s="446">
        <v>78</v>
      </c>
      <c r="H138" s="446">
        <v>23833.32</v>
      </c>
      <c r="I138" s="443">
        <v>0.8571428571428571</v>
      </c>
      <c r="J138" s="443">
        <v>305.55538461538464</v>
      </c>
      <c r="K138" s="446">
        <v>91</v>
      </c>
      <c r="L138" s="446">
        <v>27805.54</v>
      </c>
      <c r="M138" s="443">
        <v>1</v>
      </c>
      <c r="N138" s="443">
        <v>305.55538461538464</v>
      </c>
      <c r="O138" s="446">
        <v>130</v>
      </c>
      <c r="P138" s="446">
        <v>39722.22</v>
      </c>
      <c r="Q138" s="468">
        <v>1.4285721478525502</v>
      </c>
      <c r="R138" s="447">
        <v>305.55553846153845</v>
      </c>
    </row>
    <row r="139" spans="1:18" ht="14.4" customHeight="1" x14ac:dyDescent="0.3">
      <c r="A139" s="442"/>
      <c r="B139" s="443" t="s">
        <v>1090</v>
      </c>
      <c r="C139" s="443" t="s">
        <v>1083</v>
      </c>
      <c r="D139" s="443" t="s">
        <v>1141</v>
      </c>
      <c r="E139" s="443" t="s">
        <v>1177</v>
      </c>
      <c r="F139" s="443" t="s">
        <v>1178</v>
      </c>
      <c r="G139" s="446">
        <v>15</v>
      </c>
      <c r="H139" s="446">
        <v>0</v>
      </c>
      <c r="I139" s="443">
        <v>0</v>
      </c>
      <c r="J139" s="443">
        <v>0</v>
      </c>
      <c r="K139" s="446">
        <v>12</v>
      </c>
      <c r="L139" s="446">
        <v>400</v>
      </c>
      <c r="M139" s="443">
        <v>1</v>
      </c>
      <c r="N139" s="443">
        <v>33.333333333333336</v>
      </c>
      <c r="O139" s="446">
        <v>24</v>
      </c>
      <c r="P139" s="446">
        <v>800</v>
      </c>
      <c r="Q139" s="468">
        <v>2</v>
      </c>
      <c r="R139" s="447">
        <v>33.333333333333336</v>
      </c>
    </row>
    <row r="140" spans="1:18" ht="14.4" customHeight="1" x14ac:dyDescent="0.3">
      <c r="A140" s="442"/>
      <c r="B140" s="443" t="s">
        <v>1090</v>
      </c>
      <c r="C140" s="443" t="s">
        <v>1083</v>
      </c>
      <c r="D140" s="443" t="s">
        <v>1141</v>
      </c>
      <c r="E140" s="443" t="s">
        <v>1179</v>
      </c>
      <c r="F140" s="443" t="s">
        <v>1180</v>
      </c>
      <c r="G140" s="446">
        <v>298</v>
      </c>
      <c r="H140" s="446">
        <v>135755.54999999999</v>
      </c>
      <c r="I140" s="443">
        <v>1.0955882887005279</v>
      </c>
      <c r="J140" s="443">
        <v>455.55553691275162</v>
      </c>
      <c r="K140" s="446">
        <v>272</v>
      </c>
      <c r="L140" s="446">
        <v>123911.1</v>
      </c>
      <c r="M140" s="443">
        <v>1</v>
      </c>
      <c r="N140" s="443">
        <v>455.55551470588239</v>
      </c>
      <c r="O140" s="446">
        <v>355</v>
      </c>
      <c r="P140" s="446">
        <v>161722.24000000002</v>
      </c>
      <c r="Q140" s="468">
        <v>1.3051473193281313</v>
      </c>
      <c r="R140" s="447">
        <v>455.55560563380288</v>
      </c>
    </row>
    <row r="141" spans="1:18" ht="14.4" customHeight="1" x14ac:dyDescent="0.3">
      <c r="A141" s="442"/>
      <c r="B141" s="443" t="s">
        <v>1090</v>
      </c>
      <c r="C141" s="443" t="s">
        <v>1083</v>
      </c>
      <c r="D141" s="443" t="s">
        <v>1141</v>
      </c>
      <c r="E141" s="443" t="s">
        <v>1181</v>
      </c>
      <c r="F141" s="443" t="s">
        <v>1182</v>
      </c>
      <c r="G141" s="446">
        <v>110</v>
      </c>
      <c r="H141" s="446">
        <v>8555.56</v>
      </c>
      <c r="I141" s="443">
        <v>0.92436978421619009</v>
      </c>
      <c r="J141" s="443">
        <v>77.777818181818176</v>
      </c>
      <c r="K141" s="446">
        <v>119</v>
      </c>
      <c r="L141" s="446">
        <v>9255.56</v>
      </c>
      <c r="M141" s="443">
        <v>1</v>
      </c>
      <c r="N141" s="443">
        <v>77.777815126050413</v>
      </c>
      <c r="O141" s="446">
        <v>160</v>
      </c>
      <c r="P141" s="446">
        <v>12444.449999999999</v>
      </c>
      <c r="Q141" s="468">
        <v>1.3445377697297625</v>
      </c>
      <c r="R141" s="447">
        <v>77.777812499999996</v>
      </c>
    </row>
    <row r="142" spans="1:18" ht="14.4" customHeight="1" x14ac:dyDescent="0.3">
      <c r="A142" s="442"/>
      <c r="B142" s="443" t="s">
        <v>1090</v>
      </c>
      <c r="C142" s="443" t="s">
        <v>1083</v>
      </c>
      <c r="D142" s="443" t="s">
        <v>1141</v>
      </c>
      <c r="E142" s="443" t="s">
        <v>1214</v>
      </c>
      <c r="F142" s="443" t="s">
        <v>1215</v>
      </c>
      <c r="G142" s="446">
        <v>9</v>
      </c>
      <c r="H142" s="446">
        <v>6300</v>
      </c>
      <c r="I142" s="443">
        <v>0.47368421052631576</v>
      </c>
      <c r="J142" s="443">
        <v>700</v>
      </c>
      <c r="K142" s="446">
        <v>19</v>
      </c>
      <c r="L142" s="446">
        <v>13300</v>
      </c>
      <c r="M142" s="443">
        <v>1</v>
      </c>
      <c r="N142" s="443">
        <v>700</v>
      </c>
      <c r="O142" s="446">
        <v>20</v>
      </c>
      <c r="P142" s="446">
        <v>14000</v>
      </c>
      <c r="Q142" s="468">
        <v>1.0526315789473684</v>
      </c>
      <c r="R142" s="447">
        <v>700</v>
      </c>
    </row>
    <row r="143" spans="1:18" ht="14.4" customHeight="1" x14ac:dyDescent="0.3">
      <c r="A143" s="442"/>
      <c r="B143" s="443" t="s">
        <v>1090</v>
      </c>
      <c r="C143" s="443" t="s">
        <v>1083</v>
      </c>
      <c r="D143" s="443" t="s">
        <v>1141</v>
      </c>
      <c r="E143" s="443" t="s">
        <v>1185</v>
      </c>
      <c r="F143" s="443" t="s">
        <v>1186</v>
      </c>
      <c r="G143" s="446">
        <v>143</v>
      </c>
      <c r="H143" s="446">
        <v>12711.109999999999</v>
      </c>
      <c r="I143" s="443">
        <v>0.81568637768692576</v>
      </c>
      <c r="J143" s="443">
        <v>88.888881118881116</v>
      </c>
      <c r="K143" s="446">
        <v>165</v>
      </c>
      <c r="L143" s="446">
        <v>15583.329999999998</v>
      </c>
      <c r="M143" s="443">
        <v>1</v>
      </c>
      <c r="N143" s="443">
        <v>94.444424242424233</v>
      </c>
      <c r="O143" s="446">
        <v>231</v>
      </c>
      <c r="P143" s="446">
        <v>21816.66</v>
      </c>
      <c r="Q143" s="468">
        <v>1.3999998716577267</v>
      </c>
      <c r="R143" s="447">
        <v>94.44441558441558</v>
      </c>
    </row>
    <row r="144" spans="1:18" ht="14.4" customHeight="1" x14ac:dyDescent="0.3">
      <c r="A144" s="442"/>
      <c r="B144" s="443" t="s">
        <v>1090</v>
      </c>
      <c r="C144" s="443" t="s">
        <v>1083</v>
      </c>
      <c r="D144" s="443" t="s">
        <v>1141</v>
      </c>
      <c r="E144" s="443" t="s">
        <v>1187</v>
      </c>
      <c r="F144" s="443" t="s">
        <v>1188</v>
      </c>
      <c r="G144" s="446"/>
      <c r="H144" s="446"/>
      <c r="I144" s="443"/>
      <c r="J144" s="443"/>
      <c r="K144" s="446">
        <v>1</v>
      </c>
      <c r="L144" s="446">
        <v>43.33</v>
      </c>
      <c r="M144" s="443">
        <v>1</v>
      </c>
      <c r="N144" s="443">
        <v>43.33</v>
      </c>
      <c r="O144" s="446"/>
      <c r="P144" s="446"/>
      <c r="Q144" s="468"/>
      <c r="R144" s="447"/>
    </row>
    <row r="145" spans="1:18" ht="14.4" customHeight="1" x14ac:dyDescent="0.3">
      <c r="A145" s="442"/>
      <c r="B145" s="443" t="s">
        <v>1090</v>
      </c>
      <c r="C145" s="443" t="s">
        <v>1083</v>
      </c>
      <c r="D145" s="443" t="s">
        <v>1141</v>
      </c>
      <c r="E145" s="443" t="s">
        <v>1207</v>
      </c>
      <c r="F145" s="443" t="s">
        <v>1208</v>
      </c>
      <c r="G145" s="446">
        <v>142</v>
      </c>
      <c r="H145" s="446">
        <v>13726.67</v>
      </c>
      <c r="I145" s="443">
        <v>0.86585405085240763</v>
      </c>
      <c r="J145" s="443">
        <v>96.666690140845077</v>
      </c>
      <c r="K145" s="446">
        <v>164</v>
      </c>
      <c r="L145" s="446">
        <v>15853.33</v>
      </c>
      <c r="M145" s="443">
        <v>1</v>
      </c>
      <c r="N145" s="443">
        <v>96.666646341463419</v>
      </c>
      <c r="O145" s="446">
        <v>227</v>
      </c>
      <c r="P145" s="446">
        <v>21943.33</v>
      </c>
      <c r="Q145" s="468">
        <v>1.3841464222343194</v>
      </c>
      <c r="R145" s="447">
        <v>96.666651982378866</v>
      </c>
    </row>
    <row r="146" spans="1:18" ht="14.4" customHeight="1" x14ac:dyDescent="0.3">
      <c r="A146" s="442"/>
      <c r="B146" s="443" t="s">
        <v>1090</v>
      </c>
      <c r="C146" s="443" t="s">
        <v>1083</v>
      </c>
      <c r="D146" s="443" t="s">
        <v>1141</v>
      </c>
      <c r="E146" s="443" t="s">
        <v>1189</v>
      </c>
      <c r="F146" s="443" t="s">
        <v>1190</v>
      </c>
      <c r="G146" s="446">
        <v>143</v>
      </c>
      <c r="H146" s="446">
        <v>20020</v>
      </c>
      <c r="I146" s="443">
        <v>0.46746571704033962</v>
      </c>
      <c r="J146" s="443">
        <v>140</v>
      </c>
      <c r="K146" s="446">
        <v>219</v>
      </c>
      <c r="L146" s="446">
        <v>42826.67</v>
      </c>
      <c r="M146" s="443">
        <v>1</v>
      </c>
      <c r="N146" s="443">
        <v>195.55557077625571</v>
      </c>
      <c r="O146" s="446">
        <v>204</v>
      </c>
      <c r="P146" s="446">
        <v>39893.32</v>
      </c>
      <c r="Q146" s="468">
        <v>0.93150646548050553</v>
      </c>
      <c r="R146" s="447">
        <v>195.55549019607844</v>
      </c>
    </row>
    <row r="147" spans="1:18" ht="14.4" customHeight="1" x14ac:dyDescent="0.3">
      <c r="A147" s="442"/>
      <c r="B147" s="443" t="s">
        <v>1090</v>
      </c>
      <c r="C147" s="443" t="s">
        <v>1083</v>
      </c>
      <c r="D147" s="443" t="s">
        <v>1141</v>
      </c>
      <c r="E147" s="443" t="s">
        <v>1209</v>
      </c>
      <c r="F147" s="443" t="s">
        <v>1210</v>
      </c>
      <c r="G147" s="446">
        <v>211</v>
      </c>
      <c r="H147" s="446">
        <v>15942.23</v>
      </c>
      <c r="I147" s="443">
        <v>0.88284551035620107</v>
      </c>
      <c r="J147" s="443">
        <v>75.555592417061604</v>
      </c>
      <c r="K147" s="446">
        <v>239</v>
      </c>
      <c r="L147" s="446">
        <v>18057.78</v>
      </c>
      <c r="M147" s="443">
        <v>1</v>
      </c>
      <c r="N147" s="443">
        <v>75.555564853556476</v>
      </c>
      <c r="O147" s="446">
        <v>279</v>
      </c>
      <c r="P147" s="446">
        <v>21080</v>
      </c>
      <c r="Q147" s="468">
        <v>1.1673638730785292</v>
      </c>
      <c r="R147" s="447">
        <v>75.555555555555557</v>
      </c>
    </row>
    <row r="148" spans="1:18" ht="14.4" customHeight="1" x14ac:dyDescent="0.3">
      <c r="A148" s="442"/>
      <c r="B148" s="443" t="s">
        <v>1090</v>
      </c>
      <c r="C148" s="443" t="s">
        <v>1083</v>
      </c>
      <c r="D148" s="443" t="s">
        <v>1141</v>
      </c>
      <c r="E148" s="443" t="s">
        <v>1216</v>
      </c>
      <c r="F148" s="443" t="s">
        <v>1217</v>
      </c>
      <c r="G148" s="446">
        <v>33</v>
      </c>
      <c r="H148" s="446">
        <v>42350</v>
      </c>
      <c r="I148" s="443">
        <v>2.3571424198251543</v>
      </c>
      <c r="J148" s="443">
        <v>1283.3333333333333</v>
      </c>
      <c r="K148" s="446">
        <v>14</v>
      </c>
      <c r="L148" s="446">
        <v>17966.669999999998</v>
      </c>
      <c r="M148" s="443">
        <v>1</v>
      </c>
      <c r="N148" s="443">
        <v>1283.3335714285713</v>
      </c>
      <c r="O148" s="446">
        <v>28</v>
      </c>
      <c r="P148" s="446">
        <v>35933.33</v>
      </c>
      <c r="Q148" s="468">
        <v>1.9999994434138326</v>
      </c>
      <c r="R148" s="447">
        <v>1283.3332142857143</v>
      </c>
    </row>
    <row r="149" spans="1:18" ht="14.4" customHeight="1" x14ac:dyDescent="0.3">
      <c r="A149" s="442"/>
      <c r="B149" s="443" t="s">
        <v>1090</v>
      </c>
      <c r="C149" s="443" t="s">
        <v>1083</v>
      </c>
      <c r="D149" s="443" t="s">
        <v>1141</v>
      </c>
      <c r="E149" s="443" t="s">
        <v>1191</v>
      </c>
      <c r="F149" s="443" t="s">
        <v>1192</v>
      </c>
      <c r="G149" s="446"/>
      <c r="H149" s="446"/>
      <c r="I149" s="443"/>
      <c r="J149" s="443"/>
      <c r="K149" s="446"/>
      <c r="L149" s="446"/>
      <c r="M149" s="443"/>
      <c r="N149" s="443"/>
      <c r="O149" s="446">
        <v>1</v>
      </c>
      <c r="P149" s="446">
        <v>116.67</v>
      </c>
      <c r="Q149" s="468"/>
      <c r="R149" s="447">
        <v>116.67</v>
      </c>
    </row>
    <row r="150" spans="1:18" ht="14.4" customHeight="1" x14ac:dyDescent="0.3">
      <c r="A150" s="442"/>
      <c r="B150" s="443" t="s">
        <v>1090</v>
      </c>
      <c r="C150" s="443" t="s">
        <v>1083</v>
      </c>
      <c r="D150" s="443" t="s">
        <v>1141</v>
      </c>
      <c r="E150" s="443" t="s">
        <v>1195</v>
      </c>
      <c r="F150" s="443" t="s">
        <v>1196</v>
      </c>
      <c r="G150" s="446"/>
      <c r="H150" s="446"/>
      <c r="I150" s="443"/>
      <c r="J150" s="443"/>
      <c r="K150" s="446">
        <v>1</v>
      </c>
      <c r="L150" s="446">
        <v>344.44</v>
      </c>
      <c r="M150" s="443">
        <v>1</v>
      </c>
      <c r="N150" s="443">
        <v>344.44</v>
      </c>
      <c r="O150" s="446"/>
      <c r="P150" s="446"/>
      <c r="Q150" s="468"/>
      <c r="R150" s="447"/>
    </row>
    <row r="151" spans="1:18" ht="14.4" customHeight="1" x14ac:dyDescent="0.3">
      <c r="A151" s="442"/>
      <c r="B151" s="443" t="s">
        <v>1090</v>
      </c>
      <c r="C151" s="443" t="s">
        <v>1083</v>
      </c>
      <c r="D151" s="443" t="s">
        <v>1141</v>
      </c>
      <c r="E151" s="443" t="s">
        <v>1218</v>
      </c>
      <c r="F151" s="443" t="s">
        <v>1219</v>
      </c>
      <c r="G151" s="446"/>
      <c r="H151" s="446"/>
      <c r="I151" s="443"/>
      <c r="J151" s="443"/>
      <c r="K151" s="446">
        <v>1</v>
      </c>
      <c r="L151" s="446">
        <v>466.67</v>
      </c>
      <c r="M151" s="443">
        <v>1</v>
      </c>
      <c r="N151" s="443">
        <v>466.67</v>
      </c>
      <c r="O151" s="446"/>
      <c r="P151" s="446"/>
      <c r="Q151" s="468"/>
      <c r="R151" s="447"/>
    </row>
    <row r="152" spans="1:18" ht="14.4" customHeight="1" x14ac:dyDescent="0.3">
      <c r="A152" s="442"/>
      <c r="B152" s="443" t="s">
        <v>1090</v>
      </c>
      <c r="C152" s="443" t="s">
        <v>1083</v>
      </c>
      <c r="D152" s="443" t="s">
        <v>1141</v>
      </c>
      <c r="E152" s="443" t="s">
        <v>1220</v>
      </c>
      <c r="F152" s="443" t="s">
        <v>1221</v>
      </c>
      <c r="G152" s="446"/>
      <c r="H152" s="446"/>
      <c r="I152" s="443"/>
      <c r="J152" s="443"/>
      <c r="K152" s="446">
        <v>5</v>
      </c>
      <c r="L152" s="446">
        <v>583.34</v>
      </c>
      <c r="M152" s="443">
        <v>1</v>
      </c>
      <c r="N152" s="443">
        <v>116.66800000000001</v>
      </c>
      <c r="O152" s="446"/>
      <c r="P152" s="446"/>
      <c r="Q152" s="468"/>
      <c r="R152" s="447"/>
    </row>
    <row r="153" spans="1:18" ht="14.4" customHeight="1" x14ac:dyDescent="0.3">
      <c r="A153" s="442"/>
      <c r="B153" s="443" t="s">
        <v>1090</v>
      </c>
      <c r="C153" s="443" t="s">
        <v>1084</v>
      </c>
      <c r="D153" s="443" t="s">
        <v>1141</v>
      </c>
      <c r="E153" s="443" t="s">
        <v>1146</v>
      </c>
      <c r="F153" s="443" t="s">
        <v>1147</v>
      </c>
      <c r="G153" s="446">
        <v>35</v>
      </c>
      <c r="H153" s="446">
        <v>2722.22</v>
      </c>
      <c r="I153" s="443">
        <v>0.57376814221218009</v>
      </c>
      <c r="J153" s="443">
        <v>77.777714285714282</v>
      </c>
      <c r="K153" s="446">
        <v>61</v>
      </c>
      <c r="L153" s="446">
        <v>4744.46</v>
      </c>
      <c r="M153" s="443">
        <v>1</v>
      </c>
      <c r="N153" s="443">
        <v>77.778032786885248</v>
      </c>
      <c r="O153" s="446">
        <v>122</v>
      </c>
      <c r="P153" s="446">
        <v>9488.89</v>
      </c>
      <c r="Q153" s="468">
        <v>1.9999936768357198</v>
      </c>
      <c r="R153" s="447">
        <v>77.777786885245902</v>
      </c>
    </row>
    <row r="154" spans="1:18" ht="14.4" customHeight="1" x14ac:dyDescent="0.3">
      <c r="A154" s="442"/>
      <c r="B154" s="443" t="s">
        <v>1090</v>
      </c>
      <c r="C154" s="443" t="s">
        <v>1084</v>
      </c>
      <c r="D154" s="443" t="s">
        <v>1141</v>
      </c>
      <c r="E154" s="443" t="s">
        <v>1148</v>
      </c>
      <c r="F154" s="443" t="s">
        <v>1149</v>
      </c>
      <c r="G154" s="446">
        <v>2</v>
      </c>
      <c r="H154" s="446">
        <v>500</v>
      </c>
      <c r="I154" s="443">
        <v>2</v>
      </c>
      <c r="J154" s="443">
        <v>250</v>
      </c>
      <c r="K154" s="446">
        <v>1</v>
      </c>
      <c r="L154" s="446">
        <v>250</v>
      </c>
      <c r="M154" s="443">
        <v>1</v>
      </c>
      <c r="N154" s="443">
        <v>250</v>
      </c>
      <c r="O154" s="446">
        <v>4</v>
      </c>
      <c r="P154" s="446">
        <v>1000</v>
      </c>
      <c r="Q154" s="468">
        <v>4</v>
      </c>
      <c r="R154" s="447">
        <v>250</v>
      </c>
    </row>
    <row r="155" spans="1:18" ht="14.4" customHeight="1" x14ac:dyDescent="0.3">
      <c r="A155" s="442"/>
      <c r="B155" s="443" t="s">
        <v>1090</v>
      </c>
      <c r="C155" s="443" t="s">
        <v>1084</v>
      </c>
      <c r="D155" s="443" t="s">
        <v>1141</v>
      </c>
      <c r="E155" s="443" t="s">
        <v>1150</v>
      </c>
      <c r="F155" s="443" t="s">
        <v>1151</v>
      </c>
      <c r="G155" s="446"/>
      <c r="H155" s="446"/>
      <c r="I155" s="443"/>
      <c r="J155" s="443"/>
      <c r="K155" s="446">
        <v>2</v>
      </c>
      <c r="L155" s="446">
        <v>600</v>
      </c>
      <c r="M155" s="443">
        <v>1</v>
      </c>
      <c r="N155" s="443">
        <v>300</v>
      </c>
      <c r="O155" s="446"/>
      <c r="P155" s="446"/>
      <c r="Q155" s="468"/>
      <c r="R155" s="447"/>
    </row>
    <row r="156" spans="1:18" ht="14.4" customHeight="1" x14ac:dyDescent="0.3">
      <c r="A156" s="442"/>
      <c r="B156" s="443" t="s">
        <v>1090</v>
      </c>
      <c r="C156" s="443" t="s">
        <v>1084</v>
      </c>
      <c r="D156" s="443" t="s">
        <v>1141</v>
      </c>
      <c r="E156" s="443" t="s">
        <v>1152</v>
      </c>
      <c r="F156" s="443" t="s">
        <v>1153</v>
      </c>
      <c r="G156" s="446">
        <v>51</v>
      </c>
      <c r="H156" s="446">
        <v>5666.66</v>
      </c>
      <c r="I156" s="443">
        <v>0.83743702589309066</v>
      </c>
      <c r="J156" s="443">
        <v>111.11098039215686</v>
      </c>
      <c r="K156" s="446">
        <v>58</v>
      </c>
      <c r="L156" s="446">
        <v>6766.67</v>
      </c>
      <c r="M156" s="443">
        <v>1</v>
      </c>
      <c r="N156" s="443">
        <v>116.66672413793104</v>
      </c>
      <c r="O156" s="446">
        <v>126</v>
      </c>
      <c r="P156" s="446">
        <v>14700</v>
      </c>
      <c r="Q156" s="468">
        <v>2.1724127229493977</v>
      </c>
      <c r="R156" s="447">
        <v>116.66666666666667</v>
      </c>
    </row>
    <row r="157" spans="1:18" ht="14.4" customHeight="1" x14ac:dyDescent="0.3">
      <c r="A157" s="442"/>
      <c r="B157" s="443" t="s">
        <v>1090</v>
      </c>
      <c r="C157" s="443" t="s">
        <v>1084</v>
      </c>
      <c r="D157" s="443" t="s">
        <v>1141</v>
      </c>
      <c r="E157" s="443" t="s">
        <v>1154</v>
      </c>
      <c r="F157" s="443" t="s">
        <v>1155</v>
      </c>
      <c r="G157" s="446">
        <v>2</v>
      </c>
      <c r="H157" s="446">
        <v>537.78</v>
      </c>
      <c r="I157" s="443">
        <v>0.89629999999999999</v>
      </c>
      <c r="J157" s="443">
        <v>268.89</v>
      </c>
      <c r="K157" s="446">
        <v>2</v>
      </c>
      <c r="L157" s="446">
        <v>600</v>
      </c>
      <c r="M157" s="443">
        <v>1</v>
      </c>
      <c r="N157" s="443">
        <v>300</v>
      </c>
      <c r="O157" s="446">
        <v>18</v>
      </c>
      <c r="P157" s="446">
        <v>5400</v>
      </c>
      <c r="Q157" s="468">
        <v>9</v>
      </c>
      <c r="R157" s="447">
        <v>300</v>
      </c>
    </row>
    <row r="158" spans="1:18" ht="14.4" customHeight="1" x14ac:dyDescent="0.3">
      <c r="A158" s="442"/>
      <c r="B158" s="443" t="s">
        <v>1090</v>
      </c>
      <c r="C158" s="443" t="s">
        <v>1084</v>
      </c>
      <c r="D158" s="443" t="s">
        <v>1141</v>
      </c>
      <c r="E158" s="443" t="s">
        <v>1156</v>
      </c>
      <c r="F158" s="443" t="s">
        <v>1157</v>
      </c>
      <c r="G158" s="446"/>
      <c r="H158" s="446"/>
      <c r="I158" s="443"/>
      <c r="J158" s="443"/>
      <c r="K158" s="446">
        <v>1</v>
      </c>
      <c r="L158" s="446">
        <v>294.44</v>
      </c>
      <c r="M158" s="443">
        <v>1</v>
      </c>
      <c r="N158" s="443">
        <v>294.44</v>
      </c>
      <c r="O158" s="446">
        <v>3</v>
      </c>
      <c r="P158" s="446">
        <v>883.33</v>
      </c>
      <c r="Q158" s="468">
        <v>3.0000339627767967</v>
      </c>
      <c r="R158" s="447">
        <v>294.44333333333333</v>
      </c>
    </row>
    <row r="159" spans="1:18" ht="14.4" customHeight="1" x14ac:dyDescent="0.3">
      <c r="A159" s="442"/>
      <c r="B159" s="443" t="s">
        <v>1090</v>
      </c>
      <c r="C159" s="443" t="s">
        <v>1084</v>
      </c>
      <c r="D159" s="443" t="s">
        <v>1141</v>
      </c>
      <c r="E159" s="443" t="s">
        <v>1222</v>
      </c>
      <c r="F159" s="443" t="s">
        <v>1223</v>
      </c>
      <c r="G159" s="446">
        <v>807</v>
      </c>
      <c r="H159" s="446">
        <v>627666.67000000004</v>
      </c>
      <c r="I159" s="443">
        <v>1.193786983542743</v>
      </c>
      <c r="J159" s="443">
        <v>777.77778190830236</v>
      </c>
      <c r="K159" s="446">
        <v>676</v>
      </c>
      <c r="L159" s="446">
        <v>525777.78</v>
      </c>
      <c r="M159" s="443">
        <v>1</v>
      </c>
      <c r="N159" s="443">
        <v>777.77778106508879</v>
      </c>
      <c r="O159" s="446">
        <v>404</v>
      </c>
      <c r="P159" s="446">
        <v>314222.23000000004</v>
      </c>
      <c r="Q159" s="468">
        <v>0.59763314836165204</v>
      </c>
      <c r="R159" s="447">
        <v>777.77779702970304</v>
      </c>
    </row>
    <row r="160" spans="1:18" ht="14.4" customHeight="1" x14ac:dyDescent="0.3">
      <c r="A160" s="442"/>
      <c r="B160" s="443" t="s">
        <v>1090</v>
      </c>
      <c r="C160" s="443" t="s">
        <v>1084</v>
      </c>
      <c r="D160" s="443" t="s">
        <v>1141</v>
      </c>
      <c r="E160" s="443" t="s">
        <v>1224</v>
      </c>
      <c r="F160" s="443" t="s">
        <v>1225</v>
      </c>
      <c r="G160" s="446">
        <v>496</v>
      </c>
      <c r="H160" s="446">
        <v>46293.33</v>
      </c>
      <c r="I160" s="443">
        <v>0.99999978398620637</v>
      </c>
      <c r="J160" s="443">
        <v>93.333326612903235</v>
      </c>
      <c r="K160" s="446">
        <v>496</v>
      </c>
      <c r="L160" s="446">
        <v>46293.34</v>
      </c>
      <c r="M160" s="443">
        <v>1</v>
      </c>
      <c r="N160" s="443">
        <v>93.333346774193544</v>
      </c>
      <c r="O160" s="446">
        <v>1505</v>
      </c>
      <c r="P160" s="446">
        <v>140466.66999999998</v>
      </c>
      <c r="Q160" s="468">
        <v>3.0342738285895985</v>
      </c>
      <c r="R160" s="447">
        <v>93.333335548172741</v>
      </c>
    </row>
    <row r="161" spans="1:18" ht="14.4" customHeight="1" x14ac:dyDescent="0.3">
      <c r="A161" s="442"/>
      <c r="B161" s="443" t="s">
        <v>1090</v>
      </c>
      <c r="C161" s="443" t="s">
        <v>1084</v>
      </c>
      <c r="D161" s="443" t="s">
        <v>1141</v>
      </c>
      <c r="E161" s="443" t="s">
        <v>1226</v>
      </c>
      <c r="F161" s="443" t="s">
        <v>1227</v>
      </c>
      <c r="G161" s="446">
        <v>10</v>
      </c>
      <c r="H161" s="446">
        <v>6666.67</v>
      </c>
      <c r="I161" s="443">
        <v>0.90909053719042077</v>
      </c>
      <c r="J161" s="443">
        <v>666.66700000000003</v>
      </c>
      <c r="K161" s="446">
        <v>11</v>
      </c>
      <c r="L161" s="446">
        <v>7333.34</v>
      </c>
      <c r="M161" s="443">
        <v>1</v>
      </c>
      <c r="N161" s="443">
        <v>666.66727272727269</v>
      </c>
      <c r="O161" s="446">
        <v>19</v>
      </c>
      <c r="P161" s="446">
        <v>12666.67</v>
      </c>
      <c r="Q161" s="468">
        <v>1.7272716115712621</v>
      </c>
      <c r="R161" s="447">
        <v>666.66684210526319</v>
      </c>
    </row>
    <row r="162" spans="1:18" ht="14.4" customHeight="1" x14ac:dyDescent="0.3">
      <c r="A162" s="442"/>
      <c r="B162" s="443" t="s">
        <v>1090</v>
      </c>
      <c r="C162" s="443" t="s">
        <v>1084</v>
      </c>
      <c r="D162" s="443" t="s">
        <v>1141</v>
      </c>
      <c r="E162" s="443" t="s">
        <v>1228</v>
      </c>
      <c r="F162" s="443" t="s">
        <v>1229</v>
      </c>
      <c r="G162" s="446">
        <v>65</v>
      </c>
      <c r="H162" s="446">
        <v>50555.56</v>
      </c>
      <c r="I162" s="443">
        <v>0.73863636861717785</v>
      </c>
      <c r="J162" s="443">
        <v>777.7778461538461</v>
      </c>
      <c r="K162" s="446">
        <v>88</v>
      </c>
      <c r="L162" s="446">
        <v>68444.45</v>
      </c>
      <c r="M162" s="443">
        <v>1</v>
      </c>
      <c r="N162" s="443">
        <v>777.77784090909086</v>
      </c>
      <c r="O162" s="446">
        <v>58</v>
      </c>
      <c r="P162" s="446">
        <v>45111.119999999995</v>
      </c>
      <c r="Q162" s="468">
        <v>0.65909098546339395</v>
      </c>
      <c r="R162" s="447">
        <v>777.77793103448266</v>
      </c>
    </row>
    <row r="163" spans="1:18" ht="14.4" customHeight="1" x14ac:dyDescent="0.3">
      <c r="A163" s="442"/>
      <c r="B163" s="443" t="s">
        <v>1090</v>
      </c>
      <c r="C163" s="443" t="s">
        <v>1084</v>
      </c>
      <c r="D163" s="443" t="s">
        <v>1141</v>
      </c>
      <c r="E163" s="443" t="s">
        <v>1230</v>
      </c>
      <c r="F163" s="443" t="s">
        <v>1231</v>
      </c>
      <c r="G163" s="446">
        <v>19</v>
      </c>
      <c r="H163" s="446">
        <v>6333.32</v>
      </c>
      <c r="I163" s="443">
        <v>0.94999752500123746</v>
      </c>
      <c r="J163" s="443">
        <v>333.33263157894737</v>
      </c>
      <c r="K163" s="446">
        <v>20</v>
      </c>
      <c r="L163" s="446">
        <v>6666.67</v>
      </c>
      <c r="M163" s="443">
        <v>1</v>
      </c>
      <c r="N163" s="443">
        <v>333.33350000000002</v>
      </c>
      <c r="O163" s="446">
        <v>20</v>
      </c>
      <c r="P163" s="446">
        <v>6666.66</v>
      </c>
      <c r="Q163" s="468">
        <v>0.99999850000074997</v>
      </c>
      <c r="R163" s="447">
        <v>333.33299999999997</v>
      </c>
    </row>
    <row r="164" spans="1:18" ht="14.4" customHeight="1" x14ac:dyDescent="0.3">
      <c r="A164" s="442"/>
      <c r="B164" s="443" t="s">
        <v>1090</v>
      </c>
      <c r="C164" s="443" t="s">
        <v>1084</v>
      </c>
      <c r="D164" s="443" t="s">
        <v>1141</v>
      </c>
      <c r="E164" s="443" t="s">
        <v>1160</v>
      </c>
      <c r="F164" s="443" t="s">
        <v>1145</v>
      </c>
      <c r="G164" s="446">
        <v>1</v>
      </c>
      <c r="H164" s="446">
        <v>373.33</v>
      </c>
      <c r="I164" s="443">
        <v>1</v>
      </c>
      <c r="J164" s="443">
        <v>373.33</v>
      </c>
      <c r="K164" s="446">
        <v>1</v>
      </c>
      <c r="L164" s="446">
        <v>373.33</v>
      </c>
      <c r="M164" s="443">
        <v>1</v>
      </c>
      <c r="N164" s="443">
        <v>373.33</v>
      </c>
      <c r="O164" s="446">
        <v>7</v>
      </c>
      <c r="P164" s="446">
        <v>2924.4399999999996</v>
      </c>
      <c r="Q164" s="468">
        <v>7.8333913695657991</v>
      </c>
      <c r="R164" s="447">
        <v>417.77714285714279</v>
      </c>
    </row>
    <row r="165" spans="1:18" ht="14.4" customHeight="1" x14ac:dyDescent="0.3">
      <c r="A165" s="442"/>
      <c r="B165" s="443" t="s">
        <v>1090</v>
      </c>
      <c r="C165" s="443" t="s">
        <v>1084</v>
      </c>
      <c r="D165" s="443" t="s">
        <v>1141</v>
      </c>
      <c r="E165" s="443" t="s">
        <v>1161</v>
      </c>
      <c r="F165" s="443" t="s">
        <v>1162</v>
      </c>
      <c r="G165" s="446">
        <v>11</v>
      </c>
      <c r="H165" s="446">
        <v>2053.34</v>
      </c>
      <c r="I165" s="443">
        <v>0.28606935022994606</v>
      </c>
      <c r="J165" s="443">
        <v>186.66727272727275</v>
      </c>
      <c r="K165" s="446">
        <v>34</v>
      </c>
      <c r="L165" s="446">
        <v>7177.77</v>
      </c>
      <c r="M165" s="443">
        <v>1</v>
      </c>
      <c r="N165" s="443">
        <v>211.11088235294119</v>
      </c>
      <c r="O165" s="446">
        <v>25</v>
      </c>
      <c r="P165" s="446">
        <v>5277.77</v>
      </c>
      <c r="Q165" s="468">
        <v>0.73529383081374855</v>
      </c>
      <c r="R165" s="447">
        <v>211.11080000000001</v>
      </c>
    </row>
    <row r="166" spans="1:18" ht="14.4" customHeight="1" x14ac:dyDescent="0.3">
      <c r="A166" s="442"/>
      <c r="B166" s="443" t="s">
        <v>1090</v>
      </c>
      <c r="C166" s="443" t="s">
        <v>1084</v>
      </c>
      <c r="D166" s="443" t="s">
        <v>1141</v>
      </c>
      <c r="E166" s="443" t="s">
        <v>1163</v>
      </c>
      <c r="F166" s="443" t="s">
        <v>1164</v>
      </c>
      <c r="G166" s="446">
        <v>11</v>
      </c>
      <c r="H166" s="446">
        <v>6416.67</v>
      </c>
      <c r="I166" s="443">
        <v>0.68750060267878665</v>
      </c>
      <c r="J166" s="443">
        <v>583.3336363636364</v>
      </c>
      <c r="K166" s="446">
        <v>16</v>
      </c>
      <c r="L166" s="446">
        <v>9333.33</v>
      </c>
      <c r="M166" s="443">
        <v>1</v>
      </c>
      <c r="N166" s="443">
        <v>583.333125</v>
      </c>
      <c r="O166" s="446">
        <v>24</v>
      </c>
      <c r="P166" s="446">
        <v>14000</v>
      </c>
      <c r="Q166" s="468">
        <v>1.500000535714477</v>
      </c>
      <c r="R166" s="447">
        <v>583.33333333333337</v>
      </c>
    </row>
    <row r="167" spans="1:18" ht="14.4" customHeight="1" x14ac:dyDescent="0.3">
      <c r="A167" s="442"/>
      <c r="B167" s="443" t="s">
        <v>1090</v>
      </c>
      <c r="C167" s="443" t="s">
        <v>1084</v>
      </c>
      <c r="D167" s="443" t="s">
        <v>1141</v>
      </c>
      <c r="E167" s="443" t="s">
        <v>1165</v>
      </c>
      <c r="F167" s="443" t="s">
        <v>1166</v>
      </c>
      <c r="G167" s="446">
        <v>24</v>
      </c>
      <c r="H167" s="446">
        <v>11200.01</v>
      </c>
      <c r="I167" s="443">
        <v>2.181821546637368</v>
      </c>
      <c r="J167" s="443">
        <v>466.66708333333332</v>
      </c>
      <c r="K167" s="446">
        <v>11</v>
      </c>
      <c r="L167" s="446">
        <v>5133.33</v>
      </c>
      <c r="M167" s="443">
        <v>1</v>
      </c>
      <c r="N167" s="443">
        <v>466.66636363636366</v>
      </c>
      <c r="O167" s="446">
        <v>20</v>
      </c>
      <c r="P167" s="446">
        <v>9333.34</v>
      </c>
      <c r="Q167" s="468">
        <v>1.8181842975222711</v>
      </c>
      <c r="R167" s="447">
        <v>466.66700000000003</v>
      </c>
    </row>
    <row r="168" spans="1:18" ht="14.4" customHeight="1" x14ac:dyDescent="0.3">
      <c r="A168" s="442"/>
      <c r="B168" s="443" t="s">
        <v>1090</v>
      </c>
      <c r="C168" s="443" t="s">
        <v>1084</v>
      </c>
      <c r="D168" s="443" t="s">
        <v>1141</v>
      </c>
      <c r="E168" s="443" t="s">
        <v>1213</v>
      </c>
      <c r="F168" s="443" t="s">
        <v>1166</v>
      </c>
      <c r="G168" s="446">
        <v>10</v>
      </c>
      <c r="H168" s="446">
        <v>10000</v>
      </c>
      <c r="I168" s="443">
        <v>0.7142857142857143</v>
      </c>
      <c r="J168" s="443">
        <v>1000</v>
      </c>
      <c r="K168" s="446">
        <v>14</v>
      </c>
      <c r="L168" s="446">
        <v>14000</v>
      </c>
      <c r="M168" s="443">
        <v>1</v>
      </c>
      <c r="N168" s="443">
        <v>1000</v>
      </c>
      <c r="O168" s="446">
        <v>8</v>
      </c>
      <c r="P168" s="446">
        <v>8000</v>
      </c>
      <c r="Q168" s="468">
        <v>0.5714285714285714</v>
      </c>
      <c r="R168" s="447">
        <v>1000</v>
      </c>
    </row>
    <row r="169" spans="1:18" ht="14.4" customHeight="1" x14ac:dyDescent="0.3">
      <c r="A169" s="442"/>
      <c r="B169" s="443" t="s">
        <v>1090</v>
      </c>
      <c r="C169" s="443" t="s">
        <v>1084</v>
      </c>
      <c r="D169" s="443" t="s">
        <v>1141</v>
      </c>
      <c r="E169" s="443" t="s">
        <v>1167</v>
      </c>
      <c r="F169" s="443" t="s">
        <v>1168</v>
      </c>
      <c r="G169" s="446">
        <v>102</v>
      </c>
      <c r="H169" s="446">
        <v>5100</v>
      </c>
      <c r="I169" s="443">
        <v>0.90265486725663713</v>
      </c>
      <c r="J169" s="443">
        <v>50</v>
      </c>
      <c r="K169" s="446">
        <v>113</v>
      </c>
      <c r="L169" s="446">
        <v>5650</v>
      </c>
      <c r="M169" s="443">
        <v>1</v>
      </c>
      <c r="N169" s="443">
        <v>50</v>
      </c>
      <c r="O169" s="446">
        <v>120</v>
      </c>
      <c r="P169" s="446">
        <v>6000</v>
      </c>
      <c r="Q169" s="468">
        <v>1.0619469026548674</v>
      </c>
      <c r="R169" s="447">
        <v>50</v>
      </c>
    </row>
    <row r="170" spans="1:18" ht="14.4" customHeight="1" x14ac:dyDescent="0.3">
      <c r="A170" s="442"/>
      <c r="B170" s="443" t="s">
        <v>1090</v>
      </c>
      <c r="C170" s="443" t="s">
        <v>1084</v>
      </c>
      <c r="D170" s="443" t="s">
        <v>1141</v>
      </c>
      <c r="E170" s="443" t="s">
        <v>1169</v>
      </c>
      <c r="F170" s="443" t="s">
        <v>1170</v>
      </c>
      <c r="G170" s="446"/>
      <c r="H170" s="446"/>
      <c r="I170" s="443"/>
      <c r="J170" s="443"/>
      <c r="K170" s="446"/>
      <c r="L170" s="446"/>
      <c r="M170" s="443"/>
      <c r="N170" s="443"/>
      <c r="O170" s="446">
        <v>1</v>
      </c>
      <c r="P170" s="446">
        <v>101.11</v>
      </c>
      <c r="Q170" s="468"/>
      <c r="R170" s="447">
        <v>101.11</v>
      </c>
    </row>
    <row r="171" spans="1:18" ht="14.4" customHeight="1" x14ac:dyDescent="0.3">
      <c r="A171" s="442"/>
      <c r="B171" s="443" t="s">
        <v>1090</v>
      </c>
      <c r="C171" s="443" t="s">
        <v>1084</v>
      </c>
      <c r="D171" s="443" t="s">
        <v>1141</v>
      </c>
      <c r="E171" s="443" t="s">
        <v>1175</v>
      </c>
      <c r="F171" s="443" t="s">
        <v>1176</v>
      </c>
      <c r="G171" s="446">
        <v>129</v>
      </c>
      <c r="H171" s="446">
        <v>39416.67</v>
      </c>
      <c r="I171" s="443">
        <v>0.90845075778615214</v>
      </c>
      <c r="J171" s="443">
        <v>305.55558139534884</v>
      </c>
      <c r="K171" s="446">
        <v>142</v>
      </c>
      <c r="L171" s="446">
        <v>43388.89</v>
      </c>
      <c r="M171" s="443">
        <v>1</v>
      </c>
      <c r="N171" s="443">
        <v>305.55556338028168</v>
      </c>
      <c r="O171" s="446">
        <v>167</v>
      </c>
      <c r="P171" s="446">
        <v>51027.770000000004</v>
      </c>
      <c r="Q171" s="468">
        <v>1.1760561286541324</v>
      </c>
      <c r="R171" s="447">
        <v>305.55550898203597</v>
      </c>
    </row>
    <row r="172" spans="1:18" ht="14.4" customHeight="1" x14ac:dyDescent="0.3">
      <c r="A172" s="442"/>
      <c r="B172" s="443" t="s">
        <v>1090</v>
      </c>
      <c r="C172" s="443" t="s">
        <v>1084</v>
      </c>
      <c r="D172" s="443" t="s">
        <v>1141</v>
      </c>
      <c r="E172" s="443" t="s">
        <v>1177</v>
      </c>
      <c r="F172" s="443" t="s">
        <v>1178</v>
      </c>
      <c r="G172" s="446">
        <v>590</v>
      </c>
      <c r="H172" s="446">
        <v>0</v>
      </c>
      <c r="I172" s="443">
        <v>0</v>
      </c>
      <c r="J172" s="443">
        <v>0</v>
      </c>
      <c r="K172" s="446">
        <v>970</v>
      </c>
      <c r="L172" s="446">
        <v>32333.339999999997</v>
      </c>
      <c r="M172" s="443">
        <v>1</v>
      </c>
      <c r="N172" s="443">
        <v>33.333340206185561</v>
      </c>
      <c r="O172" s="446">
        <v>985</v>
      </c>
      <c r="P172" s="446">
        <v>32833.32</v>
      </c>
      <c r="Q172" s="468">
        <v>1.0154632957807639</v>
      </c>
      <c r="R172" s="447">
        <v>33.333319796954314</v>
      </c>
    </row>
    <row r="173" spans="1:18" ht="14.4" customHeight="1" x14ac:dyDescent="0.3">
      <c r="A173" s="442"/>
      <c r="B173" s="443" t="s">
        <v>1090</v>
      </c>
      <c r="C173" s="443" t="s">
        <v>1084</v>
      </c>
      <c r="D173" s="443" t="s">
        <v>1141</v>
      </c>
      <c r="E173" s="443" t="s">
        <v>1179</v>
      </c>
      <c r="F173" s="443" t="s">
        <v>1180</v>
      </c>
      <c r="G173" s="446">
        <v>81</v>
      </c>
      <c r="H173" s="446">
        <v>36899.99</v>
      </c>
      <c r="I173" s="443">
        <v>1.1408449180137297</v>
      </c>
      <c r="J173" s="443">
        <v>455.55543209876538</v>
      </c>
      <c r="K173" s="446">
        <v>71</v>
      </c>
      <c r="L173" s="446">
        <v>32344.44</v>
      </c>
      <c r="M173" s="443">
        <v>1</v>
      </c>
      <c r="N173" s="443">
        <v>455.55549295774648</v>
      </c>
      <c r="O173" s="446">
        <v>86</v>
      </c>
      <c r="P173" s="446">
        <v>39177.770000000004</v>
      </c>
      <c r="Q173" s="468">
        <v>1.211267531606669</v>
      </c>
      <c r="R173" s="447">
        <v>455.55546511627909</v>
      </c>
    </row>
    <row r="174" spans="1:18" ht="14.4" customHeight="1" x14ac:dyDescent="0.3">
      <c r="A174" s="442"/>
      <c r="B174" s="443" t="s">
        <v>1090</v>
      </c>
      <c r="C174" s="443" t="s">
        <v>1084</v>
      </c>
      <c r="D174" s="443" t="s">
        <v>1141</v>
      </c>
      <c r="E174" s="443" t="s">
        <v>1205</v>
      </c>
      <c r="F174" s="443" t="s">
        <v>1206</v>
      </c>
      <c r="G174" s="446">
        <v>27</v>
      </c>
      <c r="H174" s="446">
        <v>1590.02</v>
      </c>
      <c r="I174" s="443">
        <v>0.52941901156383087</v>
      </c>
      <c r="J174" s="443">
        <v>58.889629629629631</v>
      </c>
      <c r="K174" s="446">
        <v>51</v>
      </c>
      <c r="L174" s="446">
        <v>3003.33</v>
      </c>
      <c r="M174" s="443">
        <v>1</v>
      </c>
      <c r="N174" s="443">
        <v>58.888823529411766</v>
      </c>
      <c r="O174" s="446">
        <v>43</v>
      </c>
      <c r="P174" s="446">
        <v>2532.2200000000003</v>
      </c>
      <c r="Q174" s="468">
        <v>0.84313745076298652</v>
      </c>
      <c r="R174" s="447">
        <v>58.888837209302331</v>
      </c>
    </row>
    <row r="175" spans="1:18" ht="14.4" customHeight="1" x14ac:dyDescent="0.3">
      <c r="A175" s="442"/>
      <c r="B175" s="443" t="s">
        <v>1090</v>
      </c>
      <c r="C175" s="443" t="s">
        <v>1084</v>
      </c>
      <c r="D175" s="443" t="s">
        <v>1141</v>
      </c>
      <c r="E175" s="443" t="s">
        <v>1181</v>
      </c>
      <c r="F175" s="443" t="s">
        <v>1182</v>
      </c>
      <c r="G175" s="446">
        <v>138</v>
      </c>
      <c r="H175" s="446">
        <v>10733.33</v>
      </c>
      <c r="I175" s="443">
        <v>0.85185158730158728</v>
      </c>
      <c r="J175" s="443">
        <v>77.777753623188403</v>
      </c>
      <c r="K175" s="446">
        <v>162</v>
      </c>
      <c r="L175" s="446">
        <v>12600</v>
      </c>
      <c r="M175" s="443">
        <v>1</v>
      </c>
      <c r="N175" s="443">
        <v>77.777777777777771</v>
      </c>
      <c r="O175" s="446">
        <v>167</v>
      </c>
      <c r="P175" s="446">
        <v>12988.9</v>
      </c>
      <c r="Q175" s="468">
        <v>1.0308650793650793</v>
      </c>
      <c r="R175" s="447">
        <v>77.777844311377237</v>
      </c>
    </row>
    <row r="176" spans="1:18" ht="14.4" customHeight="1" x14ac:dyDescent="0.3">
      <c r="A176" s="442"/>
      <c r="B176" s="443" t="s">
        <v>1090</v>
      </c>
      <c r="C176" s="443" t="s">
        <v>1084</v>
      </c>
      <c r="D176" s="443" t="s">
        <v>1141</v>
      </c>
      <c r="E176" s="443" t="s">
        <v>1232</v>
      </c>
      <c r="F176" s="443" t="s">
        <v>1233</v>
      </c>
      <c r="G176" s="446">
        <v>51</v>
      </c>
      <c r="H176" s="446">
        <v>56666.66</v>
      </c>
      <c r="I176" s="443">
        <v>0.71830985558420912</v>
      </c>
      <c r="J176" s="443">
        <v>1111.110980392157</v>
      </c>
      <c r="K176" s="446">
        <v>71</v>
      </c>
      <c r="L176" s="446">
        <v>78888.88</v>
      </c>
      <c r="M176" s="443">
        <v>1</v>
      </c>
      <c r="N176" s="443">
        <v>1111.1109859154931</v>
      </c>
      <c r="O176" s="446">
        <v>67</v>
      </c>
      <c r="P176" s="446">
        <v>74444.44</v>
      </c>
      <c r="Q176" s="468">
        <v>0.94366202182107284</v>
      </c>
      <c r="R176" s="447">
        <v>1111.1110447761193</v>
      </c>
    </row>
    <row r="177" spans="1:18" ht="14.4" customHeight="1" x14ac:dyDescent="0.3">
      <c r="A177" s="442"/>
      <c r="B177" s="443" t="s">
        <v>1090</v>
      </c>
      <c r="C177" s="443" t="s">
        <v>1084</v>
      </c>
      <c r="D177" s="443" t="s">
        <v>1141</v>
      </c>
      <c r="E177" s="443" t="s">
        <v>1183</v>
      </c>
      <c r="F177" s="443" t="s">
        <v>1184</v>
      </c>
      <c r="G177" s="446">
        <v>5</v>
      </c>
      <c r="H177" s="446">
        <v>1350</v>
      </c>
      <c r="I177" s="443">
        <v>3.5714285714285712E-2</v>
      </c>
      <c r="J177" s="443">
        <v>270</v>
      </c>
      <c r="K177" s="446">
        <v>140</v>
      </c>
      <c r="L177" s="446">
        <v>37800</v>
      </c>
      <c r="M177" s="443">
        <v>1</v>
      </c>
      <c r="N177" s="443">
        <v>270</v>
      </c>
      <c r="O177" s="446">
        <v>440</v>
      </c>
      <c r="P177" s="446">
        <v>118800</v>
      </c>
      <c r="Q177" s="468">
        <v>3.1428571428571428</v>
      </c>
      <c r="R177" s="447">
        <v>270</v>
      </c>
    </row>
    <row r="178" spans="1:18" ht="14.4" customHeight="1" x14ac:dyDescent="0.3">
      <c r="A178" s="442"/>
      <c r="B178" s="443" t="s">
        <v>1090</v>
      </c>
      <c r="C178" s="443" t="s">
        <v>1084</v>
      </c>
      <c r="D178" s="443" t="s">
        <v>1141</v>
      </c>
      <c r="E178" s="443" t="s">
        <v>1185</v>
      </c>
      <c r="F178" s="443" t="s">
        <v>1186</v>
      </c>
      <c r="G178" s="446">
        <v>185</v>
      </c>
      <c r="H178" s="446">
        <v>16444.45</v>
      </c>
      <c r="I178" s="443">
        <v>0.83309944637183064</v>
      </c>
      <c r="J178" s="443">
        <v>88.888918918918918</v>
      </c>
      <c r="K178" s="446">
        <v>209</v>
      </c>
      <c r="L178" s="446">
        <v>19738.88</v>
      </c>
      <c r="M178" s="443">
        <v>1</v>
      </c>
      <c r="N178" s="443">
        <v>94.444401913875609</v>
      </c>
      <c r="O178" s="446">
        <v>316</v>
      </c>
      <c r="P178" s="446">
        <v>29844.450000000004</v>
      </c>
      <c r="Q178" s="468">
        <v>1.5119626848129175</v>
      </c>
      <c r="R178" s="447">
        <v>94.444462025316469</v>
      </c>
    </row>
    <row r="179" spans="1:18" ht="14.4" customHeight="1" x14ac:dyDescent="0.3">
      <c r="A179" s="442"/>
      <c r="B179" s="443" t="s">
        <v>1090</v>
      </c>
      <c r="C179" s="443" t="s">
        <v>1084</v>
      </c>
      <c r="D179" s="443" t="s">
        <v>1141</v>
      </c>
      <c r="E179" s="443" t="s">
        <v>1207</v>
      </c>
      <c r="F179" s="443" t="s">
        <v>1208</v>
      </c>
      <c r="G179" s="446">
        <v>1</v>
      </c>
      <c r="H179" s="446">
        <v>96.67</v>
      </c>
      <c r="I179" s="443">
        <v>1</v>
      </c>
      <c r="J179" s="443">
        <v>96.67</v>
      </c>
      <c r="K179" s="446">
        <v>1</v>
      </c>
      <c r="L179" s="446">
        <v>96.67</v>
      </c>
      <c r="M179" s="443">
        <v>1</v>
      </c>
      <c r="N179" s="443">
        <v>96.67</v>
      </c>
      <c r="O179" s="446"/>
      <c r="P179" s="446"/>
      <c r="Q179" s="468"/>
      <c r="R179" s="447"/>
    </row>
    <row r="180" spans="1:18" ht="14.4" customHeight="1" x14ac:dyDescent="0.3">
      <c r="A180" s="442"/>
      <c r="B180" s="443" t="s">
        <v>1090</v>
      </c>
      <c r="C180" s="443" t="s">
        <v>1084</v>
      </c>
      <c r="D180" s="443" t="s">
        <v>1141</v>
      </c>
      <c r="E180" s="443" t="s">
        <v>1216</v>
      </c>
      <c r="F180" s="443" t="s">
        <v>1217</v>
      </c>
      <c r="G180" s="446">
        <v>10</v>
      </c>
      <c r="H180" s="446">
        <v>12833.33</v>
      </c>
      <c r="I180" s="443">
        <v>0.71428499867532569</v>
      </c>
      <c r="J180" s="443">
        <v>1283.3330000000001</v>
      </c>
      <c r="K180" s="446">
        <v>14</v>
      </c>
      <c r="L180" s="446">
        <v>17966.68</v>
      </c>
      <c r="M180" s="443">
        <v>1</v>
      </c>
      <c r="N180" s="443">
        <v>1283.3342857142857</v>
      </c>
      <c r="O180" s="446">
        <v>13</v>
      </c>
      <c r="P180" s="446">
        <v>16683.330000000002</v>
      </c>
      <c r="Q180" s="468">
        <v>0.92857055393650922</v>
      </c>
      <c r="R180" s="447">
        <v>1283.333076923077</v>
      </c>
    </row>
    <row r="181" spans="1:18" ht="14.4" customHeight="1" x14ac:dyDescent="0.3">
      <c r="A181" s="442"/>
      <c r="B181" s="443" t="s">
        <v>1090</v>
      </c>
      <c r="C181" s="443" t="s">
        <v>1084</v>
      </c>
      <c r="D181" s="443" t="s">
        <v>1141</v>
      </c>
      <c r="E181" s="443" t="s">
        <v>1191</v>
      </c>
      <c r="F181" s="443" t="s">
        <v>1192</v>
      </c>
      <c r="G181" s="446">
        <v>3</v>
      </c>
      <c r="H181" s="446">
        <v>350</v>
      </c>
      <c r="I181" s="443">
        <v>0.99997142938773176</v>
      </c>
      <c r="J181" s="443">
        <v>116.66666666666667</v>
      </c>
      <c r="K181" s="446">
        <v>3</v>
      </c>
      <c r="L181" s="446">
        <v>350.01</v>
      </c>
      <c r="M181" s="443">
        <v>1</v>
      </c>
      <c r="N181" s="443">
        <v>116.67</v>
      </c>
      <c r="O181" s="446">
        <v>1</v>
      </c>
      <c r="P181" s="446">
        <v>116.67</v>
      </c>
      <c r="Q181" s="468">
        <v>0.33333333333333337</v>
      </c>
      <c r="R181" s="447">
        <v>116.67</v>
      </c>
    </row>
    <row r="182" spans="1:18" ht="14.4" customHeight="1" x14ac:dyDescent="0.3">
      <c r="A182" s="442"/>
      <c r="B182" s="443" t="s">
        <v>1090</v>
      </c>
      <c r="C182" s="443" t="s">
        <v>1084</v>
      </c>
      <c r="D182" s="443" t="s">
        <v>1141</v>
      </c>
      <c r="E182" s="443" t="s">
        <v>1193</v>
      </c>
      <c r="F182" s="443" t="s">
        <v>1194</v>
      </c>
      <c r="G182" s="446">
        <v>15</v>
      </c>
      <c r="H182" s="446">
        <v>733.33999999999992</v>
      </c>
      <c r="I182" s="443">
        <v>0.99999999999999989</v>
      </c>
      <c r="J182" s="443">
        <v>48.889333333333326</v>
      </c>
      <c r="K182" s="446">
        <v>15</v>
      </c>
      <c r="L182" s="446">
        <v>733.34</v>
      </c>
      <c r="M182" s="443">
        <v>1</v>
      </c>
      <c r="N182" s="443">
        <v>48.889333333333333</v>
      </c>
      <c r="O182" s="446">
        <v>23</v>
      </c>
      <c r="P182" s="446">
        <v>1124.44</v>
      </c>
      <c r="Q182" s="468">
        <v>1.5333133335151499</v>
      </c>
      <c r="R182" s="447">
        <v>48.888695652173915</v>
      </c>
    </row>
    <row r="183" spans="1:18" ht="14.4" customHeight="1" x14ac:dyDescent="0.3">
      <c r="A183" s="442"/>
      <c r="B183" s="443" t="s">
        <v>1090</v>
      </c>
      <c r="C183" s="443" t="s">
        <v>1084</v>
      </c>
      <c r="D183" s="443" t="s">
        <v>1141</v>
      </c>
      <c r="E183" s="443" t="s">
        <v>1234</v>
      </c>
      <c r="F183" s="443" t="s">
        <v>1235</v>
      </c>
      <c r="G183" s="446">
        <v>1</v>
      </c>
      <c r="H183" s="446">
        <v>466.67</v>
      </c>
      <c r="I183" s="443">
        <v>1</v>
      </c>
      <c r="J183" s="443">
        <v>466.67</v>
      </c>
      <c r="K183" s="446">
        <v>1</v>
      </c>
      <c r="L183" s="446">
        <v>466.67</v>
      </c>
      <c r="M183" s="443">
        <v>1</v>
      </c>
      <c r="N183" s="443">
        <v>466.67</v>
      </c>
      <c r="O183" s="446"/>
      <c r="P183" s="446"/>
      <c r="Q183" s="468"/>
      <c r="R183" s="447"/>
    </row>
    <row r="184" spans="1:18" ht="14.4" customHeight="1" x14ac:dyDescent="0.3">
      <c r="A184" s="442"/>
      <c r="B184" s="443" t="s">
        <v>1090</v>
      </c>
      <c r="C184" s="443" t="s">
        <v>1084</v>
      </c>
      <c r="D184" s="443" t="s">
        <v>1141</v>
      </c>
      <c r="E184" s="443" t="s">
        <v>1218</v>
      </c>
      <c r="F184" s="443" t="s">
        <v>1219</v>
      </c>
      <c r="G184" s="446">
        <v>45</v>
      </c>
      <c r="H184" s="446">
        <v>21000</v>
      </c>
      <c r="I184" s="443">
        <v>2.249998392858291</v>
      </c>
      <c r="J184" s="443">
        <v>466.66666666666669</v>
      </c>
      <c r="K184" s="446">
        <v>20</v>
      </c>
      <c r="L184" s="446">
        <v>9333.34</v>
      </c>
      <c r="M184" s="443">
        <v>1</v>
      </c>
      <c r="N184" s="443">
        <v>466.66700000000003</v>
      </c>
      <c r="O184" s="446">
        <v>10</v>
      </c>
      <c r="P184" s="446">
        <v>4666.66</v>
      </c>
      <c r="Q184" s="468">
        <v>0.49999892857219386</v>
      </c>
      <c r="R184" s="447">
        <v>466.666</v>
      </c>
    </row>
    <row r="185" spans="1:18" ht="14.4" customHeight="1" x14ac:dyDescent="0.3">
      <c r="A185" s="442"/>
      <c r="B185" s="443" t="s">
        <v>1090</v>
      </c>
      <c r="C185" s="443" t="s">
        <v>1084</v>
      </c>
      <c r="D185" s="443" t="s">
        <v>1141</v>
      </c>
      <c r="E185" s="443" t="s">
        <v>1236</v>
      </c>
      <c r="F185" s="443" t="s">
        <v>1237</v>
      </c>
      <c r="G185" s="446">
        <v>6</v>
      </c>
      <c r="H185" s="446">
        <v>586.67000000000007</v>
      </c>
      <c r="I185" s="443">
        <v>0.75000639206361386</v>
      </c>
      <c r="J185" s="443">
        <v>97.77833333333335</v>
      </c>
      <c r="K185" s="446">
        <v>8</v>
      </c>
      <c r="L185" s="446">
        <v>782.22</v>
      </c>
      <c r="M185" s="443">
        <v>1</v>
      </c>
      <c r="N185" s="443">
        <v>97.777500000000003</v>
      </c>
      <c r="O185" s="446">
        <v>7</v>
      </c>
      <c r="P185" s="446">
        <v>684.44</v>
      </c>
      <c r="Q185" s="468">
        <v>0.87499680396819313</v>
      </c>
      <c r="R185" s="447">
        <v>97.777142857142863</v>
      </c>
    </row>
    <row r="186" spans="1:18" ht="14.4" customHeight="1" x14ac:dyDescent="0.3">
      <c r="A186" s="442"/>
      <c r="B186" s="443" t="s">
        <v>1090</v>
      </c>
      <c r="C186" s="443" t="s">
        <v>1084</v>
      </c>
      <c r="D186" s="443" t="s">
        <v>1141</v>
      </c>
      <c r="E186" s="443" t="s">
        <v>1238</v>
      </c>
      <c r="F186" s="443" t="s">
        <v>1239</v>
      </c>
      <c r="G186" s="446"/>
      <c r="H186" s="446"/>
      <c r="I186" s="443"/>
      <c r="J186" s="443"/>
      <c r="K186" s="446">
        <v>1</v>
      </c>
      <c r="L186" s="446">
        <v>481.11</v>
      </c>
      <c r="M186" s="443">
        <v>1</v>
      </c>
      <c r="N186" s="443">
        <v>481.11</v>
      </c>
      <c r="O186" s="446"/>
      <c r="P186" s="446"/>
      <c r="Q186" s="468"/>
      <c r="R186" s="447"/>
    </row>
    <row r="187" spans="1:18" ht="14.4" customHeight="1" x14ac:dyDescent="0.3">
      <c r="A187" s="442"/>
      <c r="B187" s="443" t="s">
        <v>1240</v>
      </c>
      <c r="C187" s="443" t="s">
        <v>1081</v>
      </c>
      <c r="D187" s="443" t="s">
        <v>1091</v>
      </c>
      <c r="E187" s="443" t="s">
        <v>1241</v>
      </c>
      <c r="F187" s="443"/>
      <c r="G187" s="446">
        <v>1</v>
      </c>
      <c r="H187" s="446">
        <v>113</v>
      </c>
      <c r="I187" s="443">
        <v>1</v>
      </c>
      <c r="J187" s="443">
        <v>113</v>
      </c>
      <c r="K187" s="446">
        <v>1</v>
      </c>
      <c r="L187" s="446">
        <v>113</v>
      </c>
      <c r="M187" s="443">
        <v>1</v>
      </c>
      <c r="N187" s="443">
        <v>113</v>
      </c>
      <c r="O187" s="446">
        <v>6</v>
      </c>
      <c r="P187" s="446">
        <v>678</v>
      </c>
      <c r="Q187" s="468">
        <v>6</v>
      </c>
      <c r="R187" s="447">
        <v>113</v>
      </c>
    </row>
    <row r="188" spans="1:18" ht="14.4" customHeight="1" x14ac:dyDescent="0.3">
      <c r="A188" s="442"/>
      <c r="B188" s="443" t="s">
        <v>1240</v>
      </c>
      <c r="C188" s="443" t="s">
        <v>1081</v>
      </c>
      <c r="D188" s="443" t="s">
        <v>1091</v>
      </c>
      <c r="E188" s="443" t="s">
        <v>1242</v>
      </c>
      <c r="F188" s="443"/>
      <c r="G188" s="446">
        <v>3</v>
      </c>
      <c r="H188" s="446">
        <v>3024</v>
      </c>
      <c r="I188" s="443"/>
      <c r="J188" s="443">
        <v>1008</v>
      </c>
      <c r="K188" s="446"/>
      <c r="L188" s="446"/>
      <c r="M188" s="443"/>
      <c r="N188" s="443"/>
      <c r="O188" s="446">
        <v>4</v>
      </c>
      <c r="P188" s="446">
        <v>4032</v>
      </c>
      <c r="Q188" s="468"/>
      <c r="R188" s="447">
        <v>1008</v>
      </c>
    </row>
    <row r="189" spans="1:18" ht="14.4" customHeight="1" x14ac:dyDescent="0.3">
      <c r="A189" s="442"/>
      <c r="B189" s="443" t="s">
        <v>1240</v>
      </c>
      <c r="C189" s="443" t="s">
        <v>1081</v>
      </c>
      <c r="D189" s="443" t="s">
        <v>1091</v>
      </c>
      <c r="E189" s="443" t="s">
        <v>1243</v>
      </c>
      <c r="F189" s="443"/>
      <c r="G189" s="446">
        <v>100</v>
      </c>
      <c r="H189" s="446">
        <v>21700</v>
      </c>
      <c r="I189" s="443">
        <v>1.0416666666666667</v>
      </c>
      <c r="J189" s="443">
        <v>217</v>
      </c>
      <c r="K189" s="446">
        <v>96</v>
      </c>
      <c r="L189" s="446">
        <v>20832</v>
      </c>
      <c r="M189" s="443">
        <v>1</v>
      </c>
      <c r="N189" s="443">
        <v>217</v>
      </c>
      <c r="O189" s="446">
        <v>102</v>
      </c>
      <c r="P189" s="446">
        <v>22134</v>
      </c>
      <c r="Q189" s="468">
        <v>1.0625</v>
      </c>
      <c r="R189" s="447">
        <v>217</v>
      </c>
    </row>
    <row r="190" spans="1:18" ht="14.4" customHeight="1" x14ac:dyDescent="0.3">
      <c r="A190" s="442"/>
      <c r="B190" s="443" t="s">
        <v>1240</v>
      </c>
      <c r="C190" s="443" t="s">
        <v>1081</v>
      </c>
      <c r="D190" s="443" t="s">
        <v>1091</v>
      </c>
      <c r="E190" s="443" t="s">
        <v>1244</v>
      </c>
      <c r="F190" s="443"/>
      <c r="G190" s="446">
        <v>1</v>
      </c>
      <c r="H190" s="446">
        <v>1289</v>
      </c>
      <c r="I190" s="443">
        <v>1</v>
      </c>
      <c r="J190" s="443">
        <v>1289</v>
      </c>
      <c r="K190" s="446">
        <v>1</v>
      </c>
      <c r="L190" s="446">
        <v>1289</v>
      </c>
      <c r="M190" s="443">
        <v>1</v>
      </c>
      <c r="N190" s="443">
        <v>1289</v>
      </c>
      <c r="O190" s="446"/>
      <c r="P190" s="446"/>
      <c r="Q190" s="468"/>
      <c r="R190" s="447"/>
    </row>
    <row r="191" spans="1:18" ht="14.4" customHeight="1" x14ac:dyDescent="0.3">
      <c r="A191" s="442"/>
      <c r="B191" s="443" t="s">
        <v>1240</v>
      </c>
      <c r="C191" s="443" t="s">
        <v>1081</v>
      </c>
      <c r="D191" s="443" t="s">
        <v>1091</v>
      </c>
      <c r="E191" s="443" t="s">
        <v>1245</v>
      </c>
      <c r="F191" s="443"/>
      <c r="G191" s="446"/>
      <c r="H191" s="446"/>
      <c r="I191" s="443"/>
      <c r="J191" s="443"/>
      <c r="K191" s="446">
        <v>1</v>
      </c>
      <c r="L191" s="446">
        <v>1770</v>
      </c>
      <c r="M191" s="443">
        <v>1</v>
      </c>
      <c r="N191" s="443">
        <v>1770</v>
      </c>
      <c r="O191" s="446">
        <v>1</v>
      </c>
      <c r="P191" s="446">
        <v>1770</v>
      </c>
      <c r="Q191" s="468">
        <v>1</v>
      </c>
      <c r="R191" s="447">
        <v>1770</v>
      </c>
    </row>
    <row r="192" spans="1:18" ht="14.4" customHeight="1" x14ac:dyDescent="0.3">
      <c r="A192" s="442"/>
      <c r="B192" s="443" t="s">
        <v>1240</v>
      </c>
      <c r="C192" s="443" t="s">
        <v>1081</v>
      </c>
      <c r="D192" s="443" t="s">
        <v>1091</v>
      </c>
      <c r="E192" s="443" t="s">
        <v>1246</v>
      </c>
      <c r="F192" s="443"/>
      <c r="G192" s="446">
        <v>1</v>
      </c>
      <c r="H192" s="446">
        <v>2450</v>
      </c>
      <c r="I192" s="443"/>
      <c r="J192" s="443">
        <v>2450</v>
      </c>
      <c r="K192" s="446"/>
      <c r="L192" s="446"/>
      <c r="M192" s="443"/>
      <c r="N192" s="443"/>
      <c r="O192" s="446">
        <v>1</v>
      </c>
      <c r="P192" s="446">
        <v>2450</v>
      </c>
      <c r="Q192" s="468"/>
      <c r="R192" s="447">
        <v>2450</v>
      </c>
    </row>
    <row r="193" spans="1:18" ht="14.4" customHeight="1" x14ac:dyDescent="0.3">
      <c r="A193" s="442"/>
      <c r="B193" s="443" t="s">
        <v>1240</v>
      </c>
      <c r="C193" s="443" t="s">
        <v>1081</v>
      </c>
      <c r="D193" s="443" t="s">
        <v>1091</v>
      </c>
      <c r="E193" s="443" t="s">
        <v>1247</v>
      </c>
      <c r="F193" s="443"/>
      <c r="G193" s="446"/>
      <c r="H193" s="446"/>
      <c r="I193" s="443"/>
      <c r="J193" s="443"/>
      <c r="K193" s="446">
        <v>2</v>
      </c>
      <c r="L193" s="446">
        <v>2606</v>
      </c>
      <c r="M193" s="443">
        <v>1</v>
      </c>
      <c r="N193" s="443">
        <v>1303</v>
      </c>
      <c r="O193" s="446"/>
      <c r="P193" s="446"/>
      <c r="Q193" s="468"/>
      <c r="R193" s="447"/>
    </row>
    <row r="194" spans="1:18" ht="14.4" customHeight="1" x14ac:dyDescent="0.3">
      <c r="A194" s="442"/>
      <c r="B194" s="443" t="s">
        <v>1240</v>
      </c>
      <c r="C194" s="443" t="s">
        <v>1081</v>
      </c>
      <c r="D194" s="443" t="s">
        <v>1091</v>
      </c>
      <c r="E194" s="443" t="s">
        <v>1248</v>
      </c>
      <c r="F194" s="443"/>
      <c r="G194" s="446">
        <v>41</v>
      </c>
      <c r="H194" s="446">
        <v>42763</v>
      </c>
      <c r="I194" s="443">
        <v>1</v>
      </c>
      <c r="J194" s="443">
        <v>1043</v>
      </c>
      <c r="K194" s="446">
        <v>41</v>
      </c>
      <c r="L194" s="446">
        <v>42763</v>
      </c>
      <c r="M194" s="443">
        <v>1</v>
      </c>
      <c r="N194" s="443">
        <v>1043</v>
      </c>
      <c r="O194" s="446">
        <v>60</v>
      </c>
      <c r="P194" s="446">
        <v>62580</v>
      </c>
      <c r="Q194" s="468">
        <v>1.4634146341463414</v>
      </c>
      <c r="R194" s="447">
        <v>1043</v>
      </c>
    </row>
    <row r="195" spans="1:18" ht="14.4" customHeight="1" x14ac:dyDescent="0.3">
      <c r="A195" s="442"/>
      <c r="B195" s="443" t="s">
        <v>1240</v>
      </c>
      <c r="C195" s="443" t="s">
        <v>1081</v>
      </c>
      <c r="D195" s="443" t="s">
        <v>1091</v>
      </c>
      <c r="E195" s="443" t="s">
        <v>1249</v>
      </c>
      <c r="F195" s="443"/>
      <c r="G195" s="446"/>
      <c r="H195" s="446"/>
      <c r="I195" s="443"/>
      <c r="J195" s="443"/>
      <c r="K195" s="446">
        <v>1</v>
      </c>
      <c r="L195" s="446">
        <v>1654</v>
      </c>
      <c r="M195" s="443">
        <v>1</v>
      </c>
      <c r="N195" s="443">
        <v>1654</v>
      </c>
      <c r="O195" s="446"/>
      <c r="P195" s="446"/>
      <c r="Q195" s="468"/>
      <c r="R195" s="447"/>
    </row>
    <row r="196" spans="1:18" ht="14.4" customHeight="1" x14ac:dyDescent="0.3">
      <c r="A196" s="442"/>
      <c r="B196" s="443" t="s">
        <v>1240</v>
      </c>
      <c r="C196" s="443" t="s">
        <v>1081</v>
      </c>
      <c r="D196" s="443" t="s">
        <v>1091</v>
      </c>
      <c r="E196" s="443" t="s">
        <v>1250</v>
      </c>
      <c r="F196" s="443"/>
      <c r="G196" s="446">
        <v>4</v>
      </c>
      <c r="H196" s="446">
        <v>5292</v>
      </c>
      <c r="I196" s="443">
        <v>0.8</v>
      </c>
      <c r="J196" s="443">
        <v>1323</v>
      </c>
      <c r="K196" s="446">
        <v>5</v>
      </c>
      <c r="L196" s="446">
        <v>6615</v>
      </c>
      <c r="M196" s="443">
        <v>1</v>
      </c>
      <c r="N196" s="443">
        <v>1323</v>
      </c>
      <c r="O196" s="446">
        <v>5</v>
      </c>
      <c r="P196" s="446">
        <v>6615</v>
      </c>
      <c r="Q196" s="468">
        <v>1</v>
      </c>
      <c r="R196" s="447">
        <v>1323</v>
      </c>
    </row>
    <row r="197" spans="1:18" ht="14.4" customHeight="1" x14ac:dyDescent="0.3">
      <c r="A197" s="442"/>
      <c r="B197" s="443" t="s">
        <v>1240</v>
      </c>
      <c r="C197" s="443" t="s">
        <v>1081</v>
      </c>
      <c r="D197" s="443" t="s">
        <v>1091</v>
      </c>
      <c r="E197" s="443" t="s">
        <v>1251</v>
      </c>
      <c r="F197" s="443"/>
      <c r="G197" s="446"/>
      <c r="H197" s="446"/>
      <c r="I197" s="443"/>
      <c r="J197" s="443"/>
      <c r="K197" s="446">
        <v>1</v>
      </c>
      <c r="L197" s="446">
        <v>2416</v>
      </c>
      <c r="M197" s="443">
        <v>1</v>
      </c>
      <c r="N197" s="443">
        <v>2416</v>
      </c>
      <c r="O197" s="446"/>
      <c r="P197" s="446"/>
      <c r="Q197" s="468"/>
      <c r="R197" s="447"/>
    </row>
    <row r="198" spans="1:18" ht="14.4" customHeight="1" x14ac:dyDescent="0.3">
      <c r="A198" s="442"/>
      <c r="B198" s="443" t="s">
        <v>1240</v>
      </c>
      <c r="C198" s="443" t="s">
        <v>1081</v>
      </c>
      <c r="D198" s="443" t="s">
        <v>1091</v>
      </c>
      <c r="E198" s="443" t="s">
        <v>1252</v>
      </c>
      <c r="F198" s="443"/>
      <c r="G198" s="446">
        <v>1</v>
      </c>
      <c r="H198" s="446">
        <v>1933</v>
      </c>
      <c r="I198" s="443"/>
      <c r="J198" s="443">
        <v>1933</v>
      </c>
      <c r="K198" s="446"/>
      <c r="L198" s="446"/>
      <c r="M198" s="443"/>
      <c r="N198" s="443"/>
      <c r="O198" s="446"/>
      <c r="P198" s="446"/>
      <c r="Q198" s="468"/>
      <c r="R198" s="447"/>
    </row>
    <row r="199" spans="1:18" ht="14.4" customHeight="1" x14ac:dyDescent="0.3">
      <c r="A199" s="442"/>
      <c r="B199" s="443" t="s">
        <v>1240</v>
      </c>
      <c r="C199" s="443" t="s">
        <v>1081</v>
      </c>
      <c r="D199" s="443" t="s">
        <v>1091</v>
      </c>
      <c r="E199" s="443" t="s">
        <v>1253</v>
      </c>
      <c r="F199" s="443"/>
      <c r="G199" s="446">
        <v>18</v>
      </c>
      <c r="H199" s="446">
        <v>9756</v>
      </c>
      <c r="I199" s="443">
        <v>1.6363636363636365</v>
      </c>
      <c r="J199" s="443">
        <v>542</v>
      </c>
      <c r="K199" s="446">
        <v>11</v>
      </c>
      <c r="L199" s="446">
        <v>5962</v>
      </c>
      <c r="M199" s="443">
        <v>1</v>
      </c>
      <c r="N199" s="443">
        <v>542</v>
      </c>
      <c r="O199" s="446">
        <v>20</v>
      </c>
      <c r="P199" s="446">
        <v>10840</v>
      </c>
      <c r="Q199" s="468">
        <v>1.8181818181818181</v>
      </c>
      <c r="R199" s="447">
        <v>542</v>
      </c>
    </row>
    <row r="200" spans="1:18" ht="14.4" customHeight="1" x14ac:dyDescent="0.3">
      <c r="A200" s="442"/>
      <c r="B200" s="443" t="s">
        <v>1240</v>
      </c>
      <c r="C200" s="443" t="s">
        <v>1081</v>
      </c>
      <c r="D200" s="443" t="s">
        <v>1091</v>
      </c>
      <c r="E200" s="443" t="s">
        <v>1254</v>
      </c>
      <c r="F200" s="443"/>
      <c r="G200" s="446"/>
      <c r="H200" s="446"/>
      <c r="I200" s="443"/>
      <c r="J200" s="443"/>
      <c r="K200" s="446">
        <v>2</v>
      </c>
      <c r="L200" s="446">
        <v>596</v>
      </c>
      <c r="M200" s="443">
        <v>1</v>
      </c>
      <c r="N200" s="443">
        <v>298</v>
      </c>
      <c r="O200" s="446"/>
      <c r="P200" s="446"/>
      <c r="Q200" s="468"/>
      <c r="R200" s="447"/>
    </row>
    <row r="201" spans="1:18" ht="14.4" customHeight="1" x14ac:dyDescent="0.3">
      <c r="A201" s="442"/>
      <c r="B201" s="443" t="s">
        <v>1240</v>
      </c>
      <c r="C201" s="443" t="s">
        <v>1081</v>
      </c>
      <c r="D201" s="443" t="s">
        <v>1091</v>
      </c>
      <c r="E201" s="443" t="s">
        <v>1255</v>
      </c>
      <c r="F201" s="443"/>
      <c r="G201" s="446">
        <v>6</v>
      </c>
      <c r="H201" s="446">
        <v>3474</v>
      </c>
      <c r="I201" s="443">
        <v>0.4</v>
      </c>
      <c r="J201" s="443">
        <v>579</v>
      </c>
      <c r="K201" s="446">
        <v>15</v>
      </c>
      <c r="L201" s="446">
        <v>8685</v>
      </c>
      <c r="M201" s="443">
        <v>1</v>
      </c>
      <c r="N201" s="443">
        <v>579</v>
      </c>
      <c r="O201" s="446">
        <v>14</v>
      </c>
      <c r="P201" s="446">
        <v>8106</v>
      </c>
      <c r="Q201" s="468">
        <v>0.93333333333333335</v>
      </c>
      <c r="R201" s="447">
        <v>579</v>
      </c>
    </row>
    <row r="202" spans="1:18" ht="14.4" customHeight="1" x14ac:dyDescent="0.3">
      <c r="A202" s="442"/>
      <c r="B202" s="443" t="s">
        <v>1240</v>
      </c>
      <c r="C202" s="443" t="s">
        <v>1081</v>
      </c>
      <c r="D202" s="443" t="s">
        <v>1091</v>
      </c>
      <c r="E202" s="443" t="s">
        <v>1093</v>
      </c>
      <c r="F202" s="443"/>
      <c r="G202" s="446">
        <v>5</v>
      </c>
      <c r="H202" s="446">
        <v>565</v>
      </c>
      <c r="I202" s="443">
        <v>1</v>
      </c>
      <c r="J202" s="443">
        <v>113</v>
      </c>
      <c r="K202" s="446">
        <v>5</v>
      </c>
      <c r="L202" s="446">
        <v>565</v>
      </c>
      <c r="M202" s="443">
        <v>1</v>
      </c>
      <c r="N202" s="443">
        <v>113</v>
      </c>
      <c r="O202" s="446">
        <v>5</v>
      </c>
      <c r="P202" s="446">
        <v>565</v>
      </c>
      <c r="Q202" s="468">
        <v>1</v>
      </c>
      <c r="R202" s="447">
        <v>113</v>
      </c>
    </row>
    <row r="203" spans="1:18" ht="14.4" customHeight="1" x14ac:dyDescent="0.3">
      <c r="A203" s="442"/>
      <c r="B203" s="443" t="s">
        <v>1240</v>
      </c>
      <c r="C203" s="443" t="s">
        <v>1081</v>
      </c>
      <c r="D203" s="443" t="s">
        <v>1091</v>
      </c>
      <c r="E203" s="443" t="s">
        <v>1094</v>
      </c>
      <c r="F203" s="443"/>
      <c r="G203" s="446">
        <v>1</v>
      </c>
      <c r="H203" s="446">
        <v>132</v>
      </c>
      <c r="I203" s="443">
        <v>0.33333333333333331</v>
      </c>
      <c r="J203" s="443">
        <v>132</v>
      </c>
      <c r="K203" s="446">
        <v>3</v>
      </c>
      <c r="L203" s="446">
        <v>396</v>
      </c>
      <c r="M203" s="443">
        <v>1</v>
      </c>
      <c r="N203" s="443">
        <v>132</v>
      </c>
      <c r="O203" s="446"/>
      <c r="P203" s="446"/>
      <c r="Q203" s="468"/>
      <c r="R203" s="447"/>
    </row>
    <row r="204" spans="1:18" ht="14.4" customHeight="1" x14ac:dyDescent="0.3">
      <c r="A204" s="442"/>
      <c r="B204" s="443" t="s">
        <v>1240</v>
      </c>
      <c r="C204" s="443" t="s">
        <v>1081</v>
      </c>
      <c r="D204" s="443" t="s">
        <v>1091</v>
      </c>
      <c r="E204" s="443" t="s">
        <v>1256</v>
      </c>
      <c r="F204" s="443"/>
      <c r="G204" s="446"/>
      <c r="H204" s="446"/>
      <c r="I204" s="443"/>
      <c r="J204" s="443"/>
      <c r="K204" s="446">
        <v>3</v>
      </c>
      <c r="L204" s="446">
        <v>468</v>
      </c>
      <c r="M204" s="443">
        <v>1</v>
      </c>
      <c r="N204" s="443">
        <v>156</v>
      </c>
      <c r="O204" s="446"/>
      <c r="P204" s="446"/>
      <c r="Q204" s="468"/>
      <c r="R204" s="447"/>
    </row>
    <row r="205" spans="1:18" ht="14.4" customHeight="1" x14ac:dyDescent="0.3">
      <c r="A205" s="442"/>
      <c r="B205" s="443" t="s">
        <v>1240</v>
      </c>
      <c r="C205" s="443" t="s">
        <v>1081</v>
      </c>
      <c r="D205" s="443" t="s">
        <v>1091</v>
      </c>
      <c r="E205" s="443" t="s">
        <v>1119</v>
      </c>
      <c r="F205" s="443"/>
      <c r="G205" s="446">
        <v>4</v>
      </c>
      <c r="H205" s="446">
        <v>6960</v>
      </c>
      <c r="I205" s="443"/>
      <c r="J205" s="443">
        <v>1740</v>
      </c>
      <c r="K205" s="446"/>
      <c r="L205" s="446"/>
      <c r="M205" s="443"/>
      <c r="N205" s="443"/>
      <c r="O205" s="446">
        <v>1</v>
      </c>
      <c r="P205" s="446">
        <v>2000</v>
      </c>
      <c r="Q205" s="468"/>
      <c r="R205" s="447">
        <v>2000</v>
      </c>
    </row>
    <row r="206" spans="1:18" ht="14.4" customHeight="1" x14ac:dyDescent="0.3">
      <c r="A206" s="442"/>
      <c r="B206" s="443" t="s">
        <v>1240</v>
      </c>
      <c r="C206" s="443" t="s">
        <v>1081</v>
      </c>
      <c r="D206" s="443" t="s">
        <v>1091</v>
      </c>
      <c r="E206" s="443" t="s">
        <v>1257</v>
      </c>
      <c r="F206" s="443"/>
      <c r="G206" s="446"/>
      <c r="H206" s="446"/>
      <c r="I206" s="443"/>
      <c r="J206" s="443"/>
      <c r="K206" s="446">
        <v>3</v>
      </c>
      <c r="L206" s="446">
        <v>3024</v>
      </c>
      <c r="M206" s="443">
        <v>1</v>
      </c>
      <c r="N206" s="443">
        <v>1008</v>
      </c>
      <c r="O206" s="446"/>
      <c r="P206" s="446"/>
      <c r="Q206" s="468"/>
      <c r="R206" s="447"/>
    </row>
    <row r="207" spans="1:18" ht="14.4" customHeight="1" x14ac:dyDescent="0.3">
      <c r="A207" s="442"/>
      <c r="B207" s="443" t="s">
        <v>1240</v>
      </c>
      <c r="C207" s="443" t="s">
        <v>1081</v>
      </c>
      <c r="D207" s="443" t="s">
        <v>1091</v>
      </c>
      <c r="E207" s="443" t="s">
        <v>1258</v>
      </c>
      <c r="F207" s="443"/>
      <c r="G207" s="446">
        <v>46</v>
      </c>
      <c r="H207" s="446">
        <v>9982</v>
      </c>
      <c r="I207" s="443">
        <v>0.92</v>
      </c>
      <c r="J207" s="443">
        <v>217</v>
      </c>
      <c r="K207" s="446">
        <v>50</v>
      </c>
      <c r="L207" s="446">
        <v>10850</v>
      </c>
      <c r="M207" s="443">
        <v>1</v>
      </c>
      <c r="N207" s="443">
        <v>217</v>
      </c>
      <c r="O207" s="446">
        <v>39</v>
      </c>
      <c r="P207" s="446">
        <v>8463</v>
      </c>
      <c r="Q207" s="468">
        <v>0.78</v>
      </c>
      <c r="R207" s="447">
        <v>217</v>
      </c>
    </row>
    <row r="208" spans="1:18" ht="14.4" customHeight="1" x14ac:dyDescent="0.3">
      <c r="A208" s="442"/>
      <c r="B208" s="443" t="s">
        <v>1240</v>
      </c>
      <c r="C208" s="443" t="s">
        <v>1081</v>
      </c>
      <c r="D208" s="443" t="s">
        <v>1091</v>
      </c>
      <c r="E208" s="443" t="s">
        <v>1259</v>
      </c>
      <c r="F208" s="443"/>
      <c r="G208" s="446">
        <v>26</v>
      </c>
      <c r="H208" s="446">
        <v>27118</v>
      </c>
      <c r="I208" s="443">
        <v>1.0833333333333333</v>
      </c>
      <c r="J208" s="443">
        <v>1043</v>
      </c>
      <c r="K208" s="446">
        <v>24</v>
      </c>
      <c r="L208" s="446">
        <v>25032</v>
      </c>
      <c r="M208" s="443">
        <v>1</v>
      </c>
      <c r="N208" s="443">
        <v>1043</v>
      </c>
      <c r="O208" s="446">
        <v>25</v>
      </c>
      <c r="P208" s="446">
        <v>26075</v>
      </c>
      <c r="Q208" s="468">
        <v>1.0416666666666667</v>
      </c>
      <c r="R208" s="447">
        <v>1043</v>
      </c>
    </row>
    <row r="209" spans="1:18" ht="14.4" customHeight="1" x14ac:dyDescent="0.3">
      <c r="A209" s="442"/>
      <c r="B209" s="443" t="s">
        <v>1240</v>
      </c>
      <c r="C209" s="443" t="s">
        <v>1081</v>
      </c>
      <c r="D209" s="443" t="s">
        <v>1091</v>
      </c>
      <c r="E209" s="443" t="s">
        <v>1260</v>
      </c>
      <c r="F209" s="443"/>
      <c r="G209" s="446"/>
      <c r="H209" s="446"/>
      <c r="I209" s="443"/>
      <c r="J209" s="443"/>
      <c r="K209" s="446">
        <v>1</v>
      </c>
      <c r="L209" s="446">
        <v>1323</v>
      </c>
      <c r="M209" s="443">
        <v>1</v>
      </c>
      <c r="N209" s="443">
        <v>1323</v>
      </c>
      <c r="O209" s="446">
        <v>1</v>
      </c>
      <c r="P209" s="446">
        <v>1323</v>
      </c>
      <c r="Q209" s="468">
        <v>1</v>
      </c>
      <c r="R209" s="447">
        <v>1323</v>
      </c>
    </row>
    <row r="210" spans="1:18" ht="14.4" customHeight="1" x14ac:dyDescent="0.3">
      <c r="A210" s="442"/>
      <c r="B210" s="443" t="s">
        <v>1240</v>
      </c>
      <c r="C210" s="443" t="s">
        <v>1081</v>
      </c>
      <c r="D210" s="443" t="s">
        <v>1091</v>
      </c>
      <c r="E210" s="443" t="s">
        <v>1261</v>
      </c>
      <c r="F210" s="443"/>
      <c r="G210" s="446">
        <v>4</v>
      </c>
      <c r="H210" s="446">
        <v>2168</v>
      </c>
      <c r="I210" s="443">
        <v>1</v>
      </c>
      <c r="J210" s="443">
        <v>542</v>
      </c>
      <c r="K210" s="446">
        <v>4</v>
      </c>
      <c r="L210" s="446">
        <v>2168</v>
      </c>
      <c r="M210" s="443">
        <v>1</v>
      </c>
      <c r="N210" s="443">
        <v>542</v>
      </c>
      <c r="O210" s="446">
        <v>7</v>
      </c>
      <c r="P210" s="446">
        <v>3794</v>
      </c>
      <c r="Q210" s="468">
        <v>1.75</v>
      </c>
      <c r="R210" s="447">
        <v>542</v>
      </c>
    </row>
    <row r="211" spans="1:18" ht="14.4" customHeight="1" x14ac:dyDescent="0.3">
      <c r="A211" s="442"/>
      <c r="B211" s="443" t="s">
        <v>1240</v>
      </c>
      <c r="C211" s="443" t="s">
        <v>1081</v>
      </c>
      <c r="D211" s="443" t="s">
        <v>1091</v>
      </c>
      <c r="E211" s="443" t="s">
        <v>1262</v>
      </c>
      <c r="F211" s="443"/>
      <c r="G211" s="446"/>
      <c r="H211" s="446"/>
      <c r="I211" s="443"/>
      <c r="J211" s="443"/>
      <c r="K211" s="446">
        <v>5</v>
      </c>
      <c r="L211" s="446">
        <v>1490</v>
      </c>
      <c r="M211" s="443">
        <v>1</v>
      </c>
      <c r="N211" s="443">
        <v>298</v>
      </c>
      <c r="O211" s="446"/>
      <c r="P211" s="446"/>
      <c r="Q211" s="468"/>
      <c r="R211" s="447"/>
    </row>
    <row r="212" spans="1:18" ht="14.4" customHeight="1" x14ac:dyDescent="0.3">
      <c r="A212" s="442"/>
      <c r="B212" s="443" t="s">
        <v>1240</v>
      </c>
      <c r="C212" s="443" t="s">
        <v>1081</v>
      </c>
      <c r="D212" s="443" t="s">
        <v>1091</v>
      </c>
      <c r="E212" s="443" t="s">
        <v>1263</v>
      </c>
      <c r="F212" s="443"/>
      <c r="G212" s="446">
        <v>16</v>
      </c>
      <c r="H212" s="446">
        <v>9264</v>
      </c>
      <c r="I212" s="443">
        <v>0.88888888888888884</v>
      </c>
      <c r="J212" s="443">
        <v>579</v>
      </c>
      <c r="K212" s="446">
        <v>18</v>
      </c>
      <c r="L212" s="446">
        <v>10422</v>
      </c>
      <c r="M212" s="443">
        <v>1</v>
      </c>
      <c r="N212" s="443">
        <v>579</v>
      </c>
      <c r="O212" s="446">
        <v>20</v>
      </c>
      <c r="P212" s="446">
        <v>11580</v>
      </c>
      <c r="Q212" s="468">
        <v>1.1111111111111112</v>
      </c>
      <c r="R212" s="447">
        <v>579</v>
      </c>
    </row>
    <row r="213" spans="1:18" ht="14.4" customHeight="1" x14ac:dyDescent="0.3">
      <c r="A213" s="442"/>
      <c r="B213" s="443" t="s">
        <v>1240</v>
      </c>
      <c r="C213" s="443" t="s">
        <v>1081</v>
      </c>
      <c r="D213" s="443" t="s">
        <v>1091</v>
      </c>
      <c r="E213" s="443" t="s">
        <v>1264</v>
      </c>
      <c r="F213" s="443"/>
      <c r="G213" s="446">
        <v>1</v>
      </c>
      <c r="H213" s="446">
        <v>678</v>
      </c>
      <c r="I213" s="443"/>
      <c r="J213" s="443">
        <v>678</v>
      </c>
      <c r="K213" s="446"/>
      <c r="L213" s="446"/>
      <c r="M213" s="443"/>
      <c r="N213" s="443"/>
      <c r="O213" s="446"/>
      <c r="P213" s="446"/>
      <c r="Q213" s="468"/>
      <c r="R213" s="447"/>
    </row>
    <row r="214" spans="1:18" ht="14.4" customHeight="1" x14ac:dyDescent="0.3">
      <c r="A214" s="442"/>
      <c r="B214" s="443" t="s">
        <v>1240</v>
      </c>
      <c r="C214" s="443" t="s">
        <v>1081</v>
      </c>
      <c r="D214" s="443" t="s">
        <v>1091</v>
      </c>
      <c r="E214" s="443" t="s">
        <v>1265</v>
      </c>
      <c r="F214" s="443"/>
      <c r="G214" s="446"/>
      <c r="H214" s="446"/>
      <c r="I214" s="443"/>
      <c r="J214" s="443"/>
      <c r="K214" s="446">
        <v>1</v>
      </c>
      <c r="L214" s="446">
        <v>2416</v>
      </c>
      <c r="M214" s="443">
        <v>1</v>
      </c>
      <c r="N214" s="443">
        <v>2416</v>
      </c>
      <c r="O214" s="446"/>
      <c r="P214" s="446"/>
      <c r="Q214" s="468"/>
      <c r="R214" s="447"/>
    </row>
    <row r="215" spans="1:18" ht="14.4" customHeight="1" x14ac:dyDescent="0.3">
      <c r="A215" s="442"/>
      <c r="B215" s="443" t="s">
        <v>1240</v>
      </c>
      <c r="C215" s="443" t="s">
        <v>1081</v>
      </c>
      <c r="D215" s="443" t="s">
        <v>1141</v>
      </c>
      <c r="E215" s="443" t="s">
        <v>1146</v>
      </c>
      <c r="F215" s="443" t="s">
        <v>1147</v>
      </c>
      <c r="G215" s="446">
        <v>7</v>
      </c>
      <c r="H215" s="446">
        <v>544.45000000000005</v>
      </c>
      <c r="I215" s="443">
        <v>3.4999357161223967</v>
      </c>
      <c r="J215" s="443">
        <v>77.778571428571439</v>
      </c>
      <c r="K215" s="446">
        <v>2</v>
      </c>
      <c r="L215" s="446">
        <v>155.56</v>
      </c>
      <c r="M215" s="443">
        <v>1</v>
      </c>
      <c r="N215" s="443">
        <v>77.78</v>
      </c>
      <c r="O215" s="446">
        <v>3</v>
      </c>
      <c r="P215" s="446">
        <v>233.34</v>
      </c>
      <c r="Q215" s="468">
        <v>1.5</v>
      </c>
      <c r="R215" s="447">
        <v>77.78</v>
      </c>
    </row>
    <row r="216" spans="1:18" ht="14.4" customHeight="1" x14ac:dyDescent="0.3">
      <c r="A216" s="442"/>
      <c r="B216" s="443" t="s">
        <v>1240</v>
      </c>
      <c r="C216" s="443" t="s">
        <v>1081</v>
      </c>
      <c r="D216" s="443" t="s">
        <v>1141</v>
      </c>
      <c r="E216" s="443" t="s">
        <v>1148</v>
      </c>
      <c r="F216" s="443" t="s">
        <v>1149</v>
      </c>
      <c r="G216" s="446">
        <v>12</v>
      </c>
      <c r="H216" s="446">
        <v>3000</v>
      </c>
      <c r="I216" s="443">
        <v>1.0909090909090908</v>
      </c>
      <c r="J216" s="443">
        <v>250</v>
      </c>
      <c r="K216" s="446">
        <v>11</v>
      </c>
      <c r="L216" s="446">
        <v>2750</v>
      </c>
      <c r="M216" s="443">
        <v>1</v>
      </c>
      <c r="N216" s="443">
        <v>250</v>
      </c>
      <c r="O216" s="446">
        <v>7</v>
      </c>
      <c r="P216" s="446">
        <v>1750</v>
      </c>
      <c r="Q216" s="468">
        <v>0.63636363636363635</v>
      </c>
      <c r="R216" s="447">
        <v>250</v>
      </c>
    </row>
    <row r="217" spans="1:18" ht="14.4" customHeight="1" x14ac:dyDescent="0.3">
      <c r="A217" s="442"/>
      <c r="B217" s="443" t="s">
        <v>1240</v>
      </c>
      <c r="C217" s="443" t="s">
        <v>1081</v>
      </c>
      <c r="D217" s="443" t="s">
        <v>1141</v>
      </c>
      <c r="E217" s="443" t="s">
        <v>1150</v>
      </c>
      <c r="F217" s="443" t="s">
        <v>1151</v>
      </c>
      <c r="G217" s="446">
        <v>145</v>
      </c>
      <c r="H217" s="446">
        <v>43500</v>
      </c>
      <c r="I217" s="443">
        <v>1.0431654676258992</v>
      </c>
      <c r="J217" s="443">
        <v>300</v>
      </c>
      <c r="K217" s="446">
        <v>139</v>
      </c>
      <c r="L217" s="446">
        <v>41700</v>
      </c>
      <c r="M217" s="443">
        <v>1</v>
      </c>
      <c r="N217" s="443">
        <v>300</v>
      </c>
      <c r="O217" s="446">
        <v>130</v>
      </c>
      <c r="P217" s="446">
        <v>39000</v>
      </c>
      <c r="Q217" s="468">
        <v>0.93525179856115104</v>
      </c>
      <c r="R217" s="447">
        <v>300</v>
      </c>
    </row>
    <row r="218" spans="1:18" ht="14.4" customHeight="1" x14ac:dyDescent="0.3">
      <c r="A218" s="442"/>
      <c r="B218" s="443" t="s">
        <v>1240</v>
      </c>
      <c r="C218" s="443" t="s">
        <v>1081</v>
      </c>
      <c r="D218" s="443" t="s">
        <v>1141</v>
      </c>
      <c r="E218" s="443" t="s">
        <v>1266</v>
      </c>
      <c r="F218" s="443" t="s">
        <v>1267</v>
      </c>
      <c r="G218" s="446">
        <v>77</v>
      </c>
      <c r="H218" s="446">
        <v>51333.33</v>
      </c>
      <c r="I218" s="443">
        <v>0.85555535740744049</v>
      </c>
      <c r="J218" s="443">
        <v>666.66662337662342</v>
      </c>
      <c r="K218" s="446">
        <v>90</v>
      </c>
      <c r="L218" s="446">
        <v>60000.009999999995</v>
      </c>
      <c r="M218" s="443">
        <v>1</v>
      </c>
      <c r="N218" s="443">
        <v>666.66677777777772</v>
      </c>
      <c r="O218" s="446">
        <v>71</v>
      </c>
      <c r="P218" s="446">
        <v>47333.34</v>
      </c>
      <c r="Q218" s="468">
        <v>0.78888886851852191</v>
      </c>
      <c r="R218" s="447">
        <v>666.66676056338019</v>
      </c>
    </row>
    <row r="219" spans="1:18" ht="14.4" customHeight="1" x14ac:dyDescent="0.3">
      <c r="A219" s="442"/>
      <c r="B219" s="443" t="s">
        <v>1240</v>
      </c>
      <c r="C219" s="443" t="s">
        <v>1081</v>
      </c>
      <c r="D219" s="443" t="s">
        <v>1141</v>
      </c>
      <c r="E219" s="443" t="s">
        <v>1268</v>
      </c>
      <c r="F219" s="443" t="s">
        <v>1269</v>
      </c>
      <c r="G219" s="446">
        <v>137</v>
      </c>
      <c r="H219" s="446">
        <v>31966.68</v>
      </c>
      <c r="I219" s="443">
        <v>0.93835646395729322</v>
      </c>
      <c r="J219" s="443">
        <v>233.3334306569343</v>
      </c>
      <c r="K219" s="446">
        <v>146</v>
      </c>
      <c r="L219" s="446">
        <v>34066.67</v>
      </c>
      <c r="M219" s="443">
        <v>1</v>
      </c>
      <c r="N219" s="443">
        <v>233.33335616438356</v>
      </c>
      <c r="O219" s="446">
        <v>159</v>
      </c>
      <c r="P219" s="446">
        <v>37100.019999999997</v>
      </c>
      <c r="Q219" s="468">
        <v>1.0890415764147185</v>
      </c>
      <c r="R219" s="447">
        <v>233.33345911949684</v>
      </c>
    </row>
    <row r="220" spans="1:18" ht="14.4" customHeight="1" x14ac:dyDescent="0.3">
      <c r="A220" s="442"/>
      <c r="B220" s="443" t="s">
        <v>1240</v>
      </c>
      <c r="C220" s="443" t="s">
        <v>1081</v>
      </c>
      <c r="D220" s="443" t="s">
        <v>1141</v>
      </c>
      <c r="E220" s="443" t="s">
        <v>1270</v>
      </c>
      <c r="F220" s="443" t="s">
        <v>1271</v>
      </c>
      <c r="G220" s="446">
        <v>76</v>
      </c>
      <c r="H220" s="446">
        <v>59111.11</v>
      </c>
      <c r="I220" s="443">
        <v>1.1515152046438444</v>
      </c>
      <c r="J220" s="443">
        <v>777.7777631578947</v>
      </c>
      <c r="K220" s="446">
        <v>66</v>
      </c>
      <c r="L220" s="446">
        <v>51333.33</v>
      </c>
      <c r="M220" s="443">
        <v>1</v>
      </c>
      <c r="N220" s="443">
        <v>777.77772727272725</v>
      </c>
      <c r="O220" s="446">
        <v>96</v>
      </c>
      <c r="P220" s="446">
        <v>74666.670000000013</v>
      </c>
      <c r="Q220" s="468">
        <v>1.4545456139315336</v>
      </c>
      <c r="R220" s="447">
        <v>777.7778125000001</v>
      </c>
    </row>
    <row r="221" spans="1:18" ht="14.4" customHeight="1" x14ac:dyDescent="0.3">
      <c r="A221" s="442"/>
      <c r="B221" s="443" t="s">
        <v>1240</v>
      </c>
      <c r="C221" s="443" t="s">
        <v>1081</v>
      </c>
      <c r="D221" s="443" t="s">
        <v>1141</v>
      </c>
      <c r="E221" s="443" t="s">
        <v>1272</v>
      </c>
      <c r="F221" s="443" t="s">
        <v>1273</v>
      </c>
      <c r="G221" s="446">
        <v>299</v>
      </c>
      <c r="H221" s="446">
        <v>73088.88</v>
      </c>
      <c r="I221" s="443">
        <v>1.038194465652623</v>
      </c>
      <c r="J221" s="443">
        <v>244.44441471571909</v>
      </c>
      <c r="K221" s="446">
        <v>288</v>
      </c>
      <c r="L221" s="446">
        <v>70399.990000000005</v>
      </c>
      <c r="M221" s="443">
        <v>1</v>
      </c>
      <c r="N221" s="443">
        <v>244.44440972222225</v>
      </c>
      <c r="O221" s="446">
        <v>241</v>
      </c>
      <c r="P221" s="446">
        <v>58911.12</v>
      </c>
      <c r="Q221" s="468">
        <v>0.8368058006826421</v>
      </c>
      <c r="R221" s="447">
        <v>244.44448132780084</v>
      </c>
    </row>
    <row r="222" spans="1:18" ht="14.4" customHeight="1" x14ac:dyDescent="0.3">
      <c r="A222" s="442"/>
      <c r="B222" s="443" t="s">
        <v>1240</v>
      </c>
      <c r="C222" s="443" t="s">
        <v>1081</v>
      </c>
      <c r="D222" s="443" t="s">
        <v>1141</v>
      </c>
      <c r="E222" s="443" t="s">
        <v>1274</v>
      </c>
      <c r="F222" s="443" t="s">
        <v>1275</v>
      </c>
      <c r="G222" s="446">
        <v>2</v>
      </c>
      <c r="H222" s="446">
        <v>1051.1099999999999</v>
      </c>
      <c r="I222" s="443">
        <v>0.33333333333333331</v>
      </c>
      <c r="J222" s="443">
        <v>525.55499999999995</v>
      </c>
      <c r="K222" s="446">
        <v>6</v>
      </c>
      <c r="L222" s="446">
        <v>3153.33</v>
      </c>
      <c r="M222" s="443">
        <v>1</v>
      </c>
      <c r="N222" s="443">
        <v>525.55499999999995</v>
      </c>
      <c r="O222" s="446">
        <v>5</v>
      </c>
      <c r="P222" s="446">
        <v>2627.7799999999997</v>
      </c>
      <c r="Q222" s="468">
        <v>0.83333491895868805</v>
      </c>
      <c r="R222" s="447">
        <v>525.55599999999993</v>
      </c>
    </row>
    <row r="223" spans="1:18" ht="14.4" customHeight="1" x14ac:dyDescent="0.3">
      <c r="A223" s="442"/>
      <c r="B223" s="443" t="s">
        <v>1240</v>
      </c>
      <c r="C223" s="443" t="s">
        <v>1081</v>
      </c>
      <c r="D223" s="443" t="s">
        <v>1141</v>
      </c>
      <c r="E223" s="443" t="s">
        <v>1276</v>
      </c>
      <c r="F223" s="443" t="s">
        <v>1277</v>
      </c>
      <c r="G223" s="446">
        <v>1</v>
      </c>
      <c r="H223" s="446">
        <v>1000</v>
      </c>
      <c r="I223" s="443"/>
      <c r="J223" s="443">
        <v>1000</v>
      </c>
      <c r="K223" s="446"/>
      <c r="L223" s="446"/>
      <c r="M223" s="443"/>
      <c r="N223" s="443"/>
      <c r="O223" s="446"/>
      <c r="P223" s="446"/>
      <c r="Q223" s="468"/>
      <c r="R223" s="447"/>
    </row>
    <row r="224" spans="1:18" ht="14.4" customHeight="1" x14ac:dyDescent="0.3">
      <c r="A224" s="442"/>
      <c r="B224" s="443" t="s">
        <v>1240</v>
      </c>
      <c r="C224" s="443" t="s">
        <v>1081</v>
      </c>
      <c r="D224" s="443" t="s">
        <v>1141</v>
      </c>
      <c r="E224" s="443" t="s">
        <v>1278</v>
      </c>
      <c r="F224" s="443" t="s">
        <v>1279</v>
      </c>
      <c r="G224" s="446">
        <v>1</v>
      </c>
      <c r="H224" s="446">
        <v>0</v>
      </c>
      <c r="I224" s="443"/>
      <c r="J224" s="443">
        <v>0</v>
      </c>
      <c r="K224" s="446">
        <v>1</v>
      </c>
      <c r="L224" s="446">
        <v>0</v>
      </c>
      <c r="M224" s="443"/>
      <c r="N224" s="443">
        <v>0</v>
      </c>
      <c r="O224" s="446"/>
      <c r="P224" s="446"/>
      <c r="Q224" s="468"/>
      <c r="R224" s="447"/>
    </row>
    <row r="225" spans="1:18" ht="14.4" customHeight="1" x14ac:dyDescent="0.3">
      <c r="A225" s="442"/>
      <c r="B225" s="443" t="s">
        <v>1240</v>
      </c>
      <c r="C225" s="443" t="s">
        <v>1081</v>
      </c>
      <c r="D225" s="443" t="s">
        <v>1141</v>
      </c>
      <c r="E225" s="443" t="s">
        <v>1173</v>
      </c>
      <c r="F225" s="443" t="s">
        <v>1174</v>
      </c>
      <c r="G225" s="446">
        <v>211</v>
      </c>
      <c r="H225" s="446">
        <v>0</v>
      </c>
      <c r="I225" s="443"/>
      <c r="J225" s="443">
        <v>0</v>
      </c>
      <c r="K225" s="446">
        <v>220</v>
      </c>
      <c r="L225" s="446">
        <v>0</v>
      </c>
      <c r="M225" s="443"/>
      <c r="N225" s="443">
        <v>0</v>
      </c>
      <c r="O225" s="446">
        <v>220</v>
      </c>
      <c r="P225" s="446">
        <v>0</v>
      </c>
      <c r="Q225" s="468"/>
      <c r="R225" s="447">
        <v>0</v>
      </c>
    </row>
    <row r="226" spans="1:18" ht="14.4" customHeight="1" x14ac:dyDescent="0.3">
      <c r="A226" s="442"/>
      <c r="B226" s="443" t="s">
        <v>1240</v>
      </c>
      <c r="C226" s="443" t="s">
        <v>1081</v>
      </c>
      <c r="D226" s="443" t="s">
        <v>1141</v>
      </c>
      <c r="E226" s="443" t="s">
        <v>1175</v>
      </c>
      <c r="F226" s="443" t="s">
        <v>1176</v>
      </c>
      <c r="G226" s="446">
        <v>171</v>
      </c>
      <c r="H226" s="446">
        <v>52250.01</v>
      </c>
      <c r="I226" s="443">
        <v>0.92432446489142162</v>
      </c>
      <c r="J226" s="443">
        <v>305.55561403508773</v>
      </c>
      <c r="K226" s="446">
        <v>185</v>
      </c>
      <c r="L226" s="446">
        <v>56527.78</v>
      </c>
      <c r="M226" s="443">
        <v>1</v>
      </c>
      <c r="N226" s="443">
        <v>305.55556756756755</v>
      </c>
      <c r="O226" s="446">
        <v>162</v>
      </c>
      <c r="P226" s="446">
        <v>49499.990000000005</v>
      </c>
      <c r="Q226" s="468">
        <v>0.87567546434691057</v>
      </c>
      <c r="R226" s="447">
        <v>305.55549382716055</v>
      </c>
    </row>
    <row r="227" spans="1:18" ht="14.4" customHeight="1" x14ac:dyDescent="0.3">
      <c r="A227" s="442"/>
      <c r="B227" s="443" t="s">
        <v>1240</v>
      </c>
      <c r="C227" s="443" t="s">
        <v>1081</v>
      </c>
      <c r="D227" s="443" t="s">
        <v>1141</v>
      </c>
      <c r="E227" s="443" t="s">
        <v>1177</v>
      </c>
      <c r="F227" s="443" t="s">
        <v>1178</v>
      </c>
      <c r="G227" s="446">
        <v>210</v>
      </c>
      <c r="H227" s="446">
        <v>0</v>
      </c>
      <c r="I227" s="443">
        <v>0</v>
      </c>
      <c r="J227" s="443">
        <v>0</v>
      </c>
      <c r="K227" s="446">
        <v>485</v>
      </c>
      <c r="L227" s="446">
        <v>16166.66</v>
      </c>
      <c r="M227" s="443">
        <v>1</v>
      </c>
      <c r="N227" s="443">
        <v>33.333319587628864</v>
      </c>
      <c r="O227" s="446">
        <v>439</v>
      </c>
      <c r="P227" s="446">
        <v>14633.33</v>
      </c>
      <c r="Q227" s="468">
        <v>0.9051548062494047</v>
      </c>
      <c r="R227" s="447">
        <v>33.333325740318905</v>
      </c>
    </row>
    <row r="228" spans="1:18" ht="14.4" customHeight="1" x14ac:dyDescent="0.3">
      <c r="A228" s="442"/>
      <c r="B228" s="443" t="s">
        <v>1240</v>
      </c>
      <c r="C228" s="443" t="s">
        <v>1081</v>
      </c>
      <c r="D228" s="443" t="s">
        <v>1141</v>
      </c>
      <c r="E228" s="443" t="s">
        <v>1179</v>
      </c>
      <c r="F228" s="443" t="s">
        <v>1180</v>
      </c>
      <c r="G228" s="446">
        <v>146</v>
      </c>
      <c r="H228" s="446">
        <v>66511.11</v>
      </c>
      <c r="I228" s="443">
        <v>0.83908041046760262</v>
      </c>
      <c r="J228" s="443">
        <v>455.55554794520549</v>
      </c>
      <c r="K228" s="446">
        <v>174</v>
      </c>
      <c r="L228" s="446">
        <v>79266.67</v>
      </c>
      <c r="M228" s="443">
        <v>1</v>
      </c>
      <c r="N228" s="443">
        <v>455.55557471264365</v>
      </c>
      <c r="O228" s="446">
        <v>127</v>
      </c>
      <c r="P228" s="446">
        <v>57855.56</v>
      </c>
      <c r="Q228" s="468">
        <v>0.72988508284755749</v>
      </c>
      <c r="R228" s="447">
        <v>455.55559055118107</v>
      </c>
    </row>
    <row r="229" spans="1:18" ht="14.4" customHeight="1" x14ac:dyDescent="0.3">
      <c r="A229" s="442"/>
      <c r="B229" s="443" t="s">
        <v>1240</v>
      </c>
      <c r="C229" s="443" t="s">
        <v>1081</v>
      </c>
      <c r="D229" s="443" t="s">
        <v>1141</v>
      </c>
      <c r="E229" s="443" t="s">
        <v>1181</v>
      </c>
      <c r="F229" s="443" t="s">
        <v>1182</v>
      </c>
      <c r="G229" s="446">
        <v>185</v>
      </c>
      <c r="H229" s="446">
        <v>14388.9</v>
      </c>
      <c r="I229" s="443">
        <v>0.97883740056966007</v>
      </c>
      <c r="J229" s="443">
        <v>77.777837837837836</v>
      </c>
      <c r="K229" s="446">
        <v>189</v>
      </c>
      <c r="L229" s="446">
        <v>14699.990000000002</v>
      </c>
      <c r="M229" s="443">
        <v>1</v>
      </c>
      <c r="N229" s="443">
        <v>77.777724867724871</v>
      </c>
      <c r="O229" s="446">
        <v>173</v>
      </c>
      <c r="P229" s="446">
        <v>13455.55</v>
      </c>
      <c r="Q229" s="468">
        <v>0.91534416009806796</v>
      </c>
      <c r="R229" s="447">
        <v>77.777745664739882</v>
      </c>
    </row>
    <row r="230" spans="1:18" ht="14.4" customHeight="1" x14ac:dyDescent="0.3">
      <c r="A230" s="442"/>
      <c r="B230" s="443" t="s">
        <v>1240</v>
      </c>
      <c r="C230" s="443" t="s">
        <v>1081</v>
      </c>
      <c r="D230" s="443" t="s">
        <v>1141</v>
      </c>
      <c r="E230" s="443" t="s">
        <v>1280</v>
      </c>
      <c r="F230" s="443" t="s">
        <v>1281</v>
      </c>
      <c r="G230" s="446">
        <v>76</v>
      </c>
      <c r="H230" s="446">
        <v>109777.78</v>
      </c>
      <c r="I230" s="443">
        <v>0.96202534529722827</v>
      </c>
      <c r="J230" s="443">
        <v>1444.4444736842106</v>
      </c>
      <c r="K230" s="446">
        <v>79</v>
      </c>
      <c r="L230" s="446">
        <v>114111.11</v>
      </c>
      <c r="M230" s="443">
        <v>1</v>
      </c>
      <c r="N230" s="443">
        <v>1444.4444303797468</v>
      </c>
      <c r="O230" s="446">
        <v>83</v>
      </c>
      <c r="P230" s="446">
        <v>119888.89</v>
      </c>
      <c r="Q230" s="468">
        <v>1.0506329313596197</v>
      </c>
      <c r="R230" s="447">
        <v>1444.4444578313253</v>
      </c>
    </row>
    <row r="231" spans="1:18" ht="14.4" customHeight="1" x14ac:dyDescent="0.3">
      <c r="A231" s="442"/>
      <c r="B231" s="443" t="s">
        <v>1240</v>
      </c>
      <c r="C231" s="443" t="s">
        <v>1081</v>
      </c>
      <c r="D231" s="443" t="s">
        <v>1141</v>
      </c>
      <c r="E231" s="443" t="s">
        <v>1185</v>
      </c>
      <c r="F231" s="443" t="s">
        <v>1186</v>
      </c>
      <c r="G231" s="446"/>
      <c r="H231" s="446"/>
      <c r="I231" s="443"/>
      <c r="J231" s="443"/>
      <c r="K231" s="446"/>
      <c r="L231" s="446"/>
      <c r="M231" s="443"/>
      <c r="N231" s="443"/>
      <c r="O231" s="446">
        <v>1</v>
      </c>
      <c r="P231" s="446">
        <v>94.44</v>
      </c>
      <c r="Q231" s="468"/>
      <c r="R231" s="447">
        <v>94.44</v>
      </c>
    </row>
    <row r="232" spans="1:18" ht="14.4" customHeight="1" x14ac:dyDescent="0.3">
      <c r="A232" s="442"/>
      <c r="B232" s="443" t="s">
        <v>1240</v>
      </c>
      <c r="C232" s="443" t="s">
        <v>1081</v>
      </c>
      <c r="D232" s="443" t="s">
        <v>1141</v>
      </c>
      <c r="E232" s="443" t="s">
        <v>1207</v>
      </c>
      <c r="F232" s="443" t="s">
        <v>1208</v>
      </c>
      <c r="G232" s="446">
        <v>1</v>
      </c>
      <c r="H232" s="446">
        <v>96.67</v>
      </c>
      <c r="I232" s="443">
        <v>0.5</v>
      </c>
      <c r="J232" s="443">
        <v>96.67</v>
      </c>
      <c r="K232" s="446">
        <v>2</v>
      </c>
      <c r="L232" s="446">
        <v>193.34</v>
      </c>
      <c r="M232" s="443">
        <v>1</v>
      </c>
      <c r="N232" s="443">
        <v>96.67</v>
      </c>
      <c r="O232" s="446"/>
      <c r="P232" s="446"/>
      <c r="Q232" s="468"/>
      <c r="R232" s="447"/>
    </row>
    <row r="233" spans="1:18" ht="14.4" customHeight="1" x14ac:dyDescent="0.3">
      <c r="A233" s="442"/>
      <c r="B233" s="443" t="s">
        <v>1240</v>
      </c>
      <c r="C233" s="443" t="s">
        <v>1081</v>
      </c>
      <c r="D233" s="443" t="s">
        <v>1141</v>
      </c>
      <c r="E233" s="443" t="s">
        <v>1282</v>
      </c>
      <c r="F233" s="443" t="s">
        <v>1283</v>
      </c>
      <c r="G233" s="446">
        <v>103</v>
      </c>
      <c r="H233" s="446">
        <v>36050</v>
      </c>
      <c r="I233" s="443">
        <v>0.96261682242990654</v>
      </c>
      <c r="J233" s="443">
        <v>350</v>
      </c>
      <c r="K233" s="446">
        <v>107</v>
      </c>
      <c r="L233" s="446">
        <v>37450</v>
      </c>
      <c r="M233" s="443">
        <v>1</v>
      </c>
      <c r="N233" s="443">
        <v>350</v>
      </c>
      <c r="O233" s="446">
        <v>85</v>
      </c>
      <c r="P233" s="446">
        <v>29750</v>
      </c>
      <c r="Q233" s="468">
        <v>0.79439252336448596</v>
      </c>
      <c r="R233" s="447">
        <v>350</v>
      </c>
    </row>
    <row r="234" spans="1:18" ht="14.4" customHeight="1" x14ac:dyDescent="0.3">
      <c r="A234" s="442"/>
      <c r="B234" s="443" t="s">
        <v>1240</v>
      </c>
      <c r="C234" s="443" t="s">
        <v>1081</v>
      </c>
      <c r="D234" s="443" t="s">
        <v>1141</v>
      </c>
      <c r="E234" s="443" t="s">
        <v>1284</v>
      </c>
      <c r="F234" s="443" t="s">
        <v>1285</v>
      </c>
      <c r="G234" s="446">
        <v>13</v>
      </c>
      <c r="H234" s="446">
        <v>765.56000000000006</v>
      </c>
      <c r="I234" s="443">
        <v>1.083334512573054</v>
      </c>
      <c r="J234" s="443">
        <v>58.889230769230771</v>
      </c>
      <c r="K234" s="446">
        <v>12</v>
      </c>
      <c r="L234" s="446">
        <v>706.67</v>
      </c>
      <c r="M234" s="443">
        <v>1</v>
      </c>
      <c r="N234" s="443">
        <v>58.889166666666661</v>
      </c>
      <c r="O234" s="446">
        <v>7</v>
      </c>
      <c r="P234" s="446">
        <v>412.21999999999997</v>
      </c>
      <c r="Q234" s="468">
        <v>0.58332743713473045</v>
      </c>
      <c r="R234" s="447">
        <v>58.888571428571424</v>
      </c>
    </row>
    <row r="235" spans="1:18" ht="14.4" customHeight="1" x14ac:dyDescent="0.3">
      <c r="A235" s="442"/>
      <c r="B235" s="443" t="s">
        <v>1240</v>
      </c>
      <c r="C235" s="443" t="s">
        <v>1081</v>
      </c>
      <c r="D235" s="443" t="s">
        <v>1141</v>
      </c>
      <c r="E235" s="443" t="s">
        <v>1286</v>
      </c>
      <c r="F235" s="443" t="s">
        <v>1287</v>
      </c>
      <c r="G235" s="446">
        <v>145</v>
      </c>
      <c r="H235" s="446">
        <v>18688.879999999997</v>
      </c>
      <c r="I235" s="443">
        <v>1.0283684938313451</v>
      </c>
      <c r="J235" s="443">
        <v>128.88882758620687</v>
      </c>
      <c r="K235" s="446">
        <v>141</v>
      </c>
      <c r="L235" s="446">
        <v>18173.329999999998</v>
      </c>
      <c r="M235" s="443">
        <v>1</v>
      </c>
      <c r="N235" s="443">
        <v>128.88886524822695</v>
      </c>
      <c r="O235" s="446">
        <v>128</v>
      </c>
      <c r="P235" s="446">
        <v>16497.77</v>
      </c>
      <c r="Q235" s="468">
        <v>0.90780115697013164</v>
      </c>
      <c r="R235" s="447">
        <v>128.888828125</v>
      </c>
    </row>
    <row r="236" spans="1:18" ht="14.4" customHeight="1" x14ac:dyDescent="0.3">
      <c r="A236" s="442"/>
      <c r="B236" s="443" t="s">
        <v>1240</v>
      </c>
      <c r="C236" s="443" t="s">
        <v>1081</v>
      </c>
      <c r="D236" s="443" t="s">
        <v>1141</v>
      </c>
      <c r="E236" s="443" t="s">
        <v>1193</v>
      </c>
      <c r="F236" s="443" t="s">
        <v>1194</v>
      </c>
      <c r="G236" s="446">
        <v>320</v>
      </c>
      <c r="H236" s="446">
        <v>15644.44</v>
      </c>
      <c r="I236" s="443">
        <v>0.85790839436792721</v>
      </c>
      <c r="J236" s="443">
        <v>48.888874999999999</v>
      </c>
      <c r="K236" s="446">
        <v>373</v>
      </c>
      <c r="L236" s="446">
        <v>18235.560000000001</v>
      </c>
      <c r="M236" s="443">
        <v>1</v>
      </c>
      <c r="N236" s="443">
        <v>48.888900804289548</v>
      </c>
      <c r="O236" s="446">
        <v>344</v>
      </c>
      <c r="P236" s="446">
        <v>16817.77</v>
      </c>
      <c r="Q236" s="468">
        <v>0.92225135943179148</v>
      </c>
      <c r="R236" s="447">
        <v>48.888866279069767</v>
      </c>
    </row>
    <row r="237" spans="1:18" ht="14.4" customHeight="1" x14ac:dyDescent="0.3">
      <c r="A237" s="442"/>
      <c r="B237" s="443" t="s">
        <v>1240</v>
      </c>
      <c r="C237" s="443" t="s">
        <v>1081</v>
      </c>
      <c r="D237" s="443" t="s">
        <v>1141</v>
      </c>
      <c r="E237" s="443" t="s">
        <v>1288</v>
      </c>
      <c r="F237" s="443" t="s">
        <v>1289</v>
      </c>
      <c r="G237" s="446">
        <v>603</v>
      </c>
      <c r="H237" s="446">
        <v>536000.00000000012</v>
      </c>
      <c r="I237" s="443">
        <v>1.0237691110332037</v>
      </c>
      <c r="J237" s="443">
        <v>888.88888888888903</v>
      </c>
      <c r="K237" s="446">
        <v>589</v>
      </c>
      <c r="L237" s="446">
        <v>523555.55000000005</v>
      </c>
      <c r="M237" s="443">
        <v>1</v>
      </c>
      <c r="N237" s="443">
        <v>888.88887945670638</v>
      </c>
      <c r="O237" s="446">
        <v>585</v>
      </c>
      <c r="P237" s="446">
        <v>519999.99</v>
      </c>
      <c r="Q237" s="468">
        <v>0.99320881996189314</v>
      </c>
      <c r="R237" s="447">
        <v>888.88887179487176</v>
      </c>
    </row>
    <row r="238" spans="1:18" ht="14.4" customHeight="1" x14ac:dyDescent="0.3">
      <c r="A238" s="442"/>
      <c r="B238" s="443" t="s">
        <v>1240</v>
      </c>
      <c r="C238" s="443" t="s">
        <v>1081</v>
      </c>
      <c r="D238" s="443" t="s">
        <v>1141</v>
      </c>
      <c r="E238" s="443" t="s">
        <v>1290</v>
      </c>
      <c r="F238" s="443" t="s">
        <v>1291</v>
      </c>
      <c r="G238" s="446">
        <v>5</v>
      </c>
      <c r="H238" s="446">
        <v>1666.6599999999999</v>
      </c>
      <c r="I238" s="443">
        <v>0.8333299999999999</v>
      </c>
      <c r="J238" s="443">
        <v>333.33199999999999</v>
      </c>
      <c r="K238" s="446">
        <v>6</v>
      </c>
      <c r="L238" s="446">
        <v>2000</v>
      </c>
      <c r="M238" s="443">
        <v>1</v>
      </c>
      <c r="N238" s="443">
        <v>333.33333333333331</v>
      </c>
      <c r="O238" s="446">
        <v>15</v>
      </c>
      <c r="P238" s="446">
        <v>5000.01</v>
      </c>
      <c r="Q238" s="468">
        <v>2.5000050000000003</v>
      </c>
      <c r="R238" s="447">
        <v>333.334</v>
      </c>
    </row>
    <row r="239" spans="1:18" ht="14.4" customHeight="1" x14ac:dyDescent="0.3">
      <c r="A239" s="442"/>
      <c r="B239" s="443" t="s">
        <v>1240</v>
      </c>
      <c r="C239" s="443" t="s">
        <v>1081</v>
      </c>
      <c r="D239" s="443" t="s">
        <v>1141</v>
      </c>
      <c r="E239" s="443" t="s">
        <v>1199</v>
      </c>
      <c r="F239" s="443" t="s">
        <v>1200</v>
      </c>
      <c r="G239" s="446"/>
      <c r="H239" s="446"/>
      <c r="I239" s="443"/>
      <c r="J239" s="443"/>
      <c r="K239" s="446"/>
      <c r="L239" s="446"/>
      <c r="M239" s="443"/>
      <c r="N239" s="443"/>
      <c r="O239" s="446">
        <v>1</v>
      </c>
      <c r="P239" s="446">
        <v>222.22</v>
      </c>
      <c r="Q239" s="468"/>
      <c r="R239" s="447">
        <v>222.22</v>
      </c>
    </row>
    <row r="240" spans="1:18" ht="14.4" customHeight="1" thickBot="1" x14ac:dyDescent="0.35">
      <c r="A240" s="448"/>
      <c r="B240" s="449" t="s">
        <v>1240</v>
      </c>
      <c r="C240" s="449" t="s">
        <v>1081</v>
      </c>
      <c r="D240" s="449" t="s">
        <v>1141</v>
      </c>
      <c r="E240" s="449" t="s">
        <v>1292</v>
      </c>
      <c r="F240" s="449" t="s">
        <v>1293</v>
      </c>
      <c r="G240" s="452"/>
      <c r="H240" s="452"/>
      <c r="I240" s="449"/>
      <c r="J240" s="449"/>
      <c r="K240" s="452">
        <v>1</v>
      </c>
      <c r="L240" s="452">
        <v>233.33</v>
      </c>
      <c r="M240" s="449">
        <v>1</v>
      </c>
      <c r="N240" s="449">
        <v>233.33</v>
      </c>
      <c r="O240" s="452"/>
      <c r="P240" s="452"/>
      <c r="Q240" s="460"/>
      <c r="R240" s="45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4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21" t="s">
        <v>1295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</row>
    <row r="2" spans="1:19" ht="14.4" customHeight="1" thickBot="1" x14ac:dyDescent="0.35">
      <c r="A2" s="210" t="s">
        <v>268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108</v>
      </c>
      <c r="H3" s="88">
        <f t="shared" ref="H3:Q3" si="0">SUBTOTAL(9,H6:H1048576)</f>
        <v>12632</v>
      </c>
      <c r="I3" s="89">
        <f t="shared" si="0"/>
        <v>3795260.5599999991</v>
      </c>
      <c r="J3" s="66"/>
      <c r="K3" s="66"/>
      <c r="L3" s="89">
        <f t="shared" si="0"/>
        <v>13917</v>
      </c>
      <c r="M3" s="89">
        <f t="shared" si="0"/>
        <v>3820069.0999999996</v>
      </c>
      <c r="N3" s="66"/>
      <c r="O3" s="66"/>
      <c r="P3" s="89">
        <f t="shared" si="0"/>
        <v>15027</v>
      </c>
      <c r="Q3" s="89">
        <f t="shared" si="0"/>
        <v>3761401.5599999991</v>
      </c>
      <c r="R3" s="67">
        <f>IF(M3=0,0,Q3/M3)</f>
        <v>0.98464228304142443</v>
      </c>
      <c r="S3" s="90">
        <f>IF(P3=0,0,Q3/P3)</f>
        <v>250.30954681573164</v>
      </c>
    </row>
    <row r="4" spans="1:19" ht="14.4" customHeight="1" x14ac:dyDescent="0.3">
      <c r="A4" s="387" t="s">
        <v>256</v>
      </c>
      <c r="B4" s="387" t="s">
        <v>82</v>
      </c>
      <c r="C4" s="395" t="s">
        <v>0</v>
      </c>
      <c r="D4" s="306" t="s">
        <v>116</v>
      </c>
      <c r="E4" s="389" t="s">
        <v>83</v>
      </c>
      <c r="F4" s="394" t="s">
        <v>58</v>
      </c>
      <c r="G4" s="390" t="s">
        <v>57</v>
      </c>
      <c r="H4" s="391">
        <v>2015</v>
      </c>
      <c r="I4" s="392"/>
      <c r="J4" s="87"/>
      <c r="K4" s="87"/>
      <c r="L4" s="391">
        <v>2016</v>
      </c>
      <c r="M4" s="392"/>
      <c r="N4" s="87"/>
      <c r="O4" s="87"/>
      <c r="P4" s="391">
        <v>2017</v>
      </c>
      <c r="Q4" s="392"/>
      <c r="R4" s="393" t="s">
        <v>2</v>
      </c>
      <c r="S4" s="388" t="s">
        <v>84</v>
      </c>
    </row>
    <row r="5" spans="1:19" ht="14.4" customHeight="1" thickBot="1" x14ac:dyDescent="0.35">
      <c r="A5" s="553"/>
      <c r="B5" s="553"/>
      <c r="C5" s="554"/>
      <c r="D5" s="563"/>
      <c r="E5" s="555"/>
      <c r="F5" s="556"/>
      <c r="G5" s="557"/>
      <c r="H5" s="558" t="s">
        <v>59</v>
      </c>
      <c r="I5" s="559" t="s">
        <v>14</v>
      </c>
      <c r="J5" s="560"/>
      <c r="K5" s="560"/>
      <c r="L5" s="558" t="s">
        <v>59</v>
      </c>
      <c r="M5" s="559" t="s">
        <v>14</v>
      </c>
      <c r="N5" s="560"/>
      <c r="O5" s="560"/>
      <c r="P5" s="558" t="s">
        <v>59</v>
      </c>
      <c r="Q5" s="559" t="s">
        <v>14</v>
      </c>
      <c r="R5" s="561"/>
      <c r="S5" s="562"/>
    </row>
    <row r="6" spans="1:19" ht="14.4" customHeight="1" x14ac:dyDescent="0.3">
      <c r="A6" s="436"/>
      <c r="B6" s="437" t="s">
        <v>1090</v>
      </c>
      <c r="C6" s="437" t="s">
        <v>447</v>
      </c>
      <c r="D6" s="437" t="s">
        <v>1080</v>
      </c>
      <c r="E6" s="437" t="s">
        <v>1091</v>
      </c>
      <c r="F6" s="437" t="s">
        <v>1092</v>
      </c>
      <c r="G6" s="437"/>
      <c r="H6" s="440">
        <v>1</v>
      </c>
      <c r="I6" s="440">
        <v>333</v>
      </c>
      <c r="J6" s="437"/>
      <c r="K6" s="437">
        <v>333</v>
      </c>
      <c r="L6" s="440"/>
      <c r="M6" s="440"/>
      <c r="N6" s="437"/>
      <c r="O6" s="437"/>
      <c r="P6" s="440"/>
      <c r="Q6" s="440"/>
      <c r="R6" s="459"/>
      <c r="S6" s="441"/>
    </row>
    <row r="7" spans="1:19" ht="14.4" customHeight="1" x14ac:dyDescent="0.3">
      <c r="A7" s="442"/>
      <c r="B7" s="443" t="s">
        <v>1090</v>
      </c>
      <c r="C7" s="443" t="s">
        <v>447</v>
      </c>
      <c r="D7" s="443" t="s">
        <v>1080</v>
      </c>
      <c r="E7" s="443" t="s">
        <v>1091</v>
      </c>
      <c r="F7" s="443" t="s">
        <v>1093</v>
      </c>
      <c r="G7" s="443"/>
      <c r="H7" s="446">
        <v>25</v>
      </c>
      <c r="I7" s="446">
        <v>2825</v>
      </c>
      <c r="J7" s="443">
        <v>1.3157894736842106</v>
      </c>
      <c r="K7" s="443">
        <v>113</v>
      </c>
      <c r="L7" s="446">
        <v>19</v>
      </c>
      <c r="M7" s="446">
        <v>2147</v>
      </c>
      <c r="N7" s="443">
        <v>1</v>
      </c>
      <c r="O7" s="443">
        <v>113</v>
      </c>
      <c r="P7" s="446">
        <v>40</v>
      </c>
      <c r="Q7" s="446">
        <v>4520</v>
      </c>
      <c r="R7" s="468">
        <v>2.1052631578947367</v>
      </c>
      <c r="S7" s="447">
        <v>113</v>
      </c>
    </row>
    <row r="8" spans="1:19" ht="14.4" customHeight="1" x14ac:dyDescent="0.3">
      <c r="A8" s="442"/>
      <c r="B8" s="443" t="s">
        <v>1090</v>
      </c>
      <c r="C8" s="443" t="s">
        <v>447</v>
      </c>
      <c r="D8" s="443" t="s">
        <v>1080</v>
      </c>
      <c r="E8" s="443" t="s">
        <v>1091</v>
      </c>
      <c r="F8" s="443" t="s">
        <v>1094</v>
      </c>
      <c r="G8" s="443"/>
      <c r="H8" s="446"/>
      <c r="I8" s="446"/>
      <c r="J8" s="443"/>
      <c r="K8" s="443"/>
      <c r="L8" s="446">
        <v>1</v>
      </c>
      <c r="M8" s="446">
        <v>132</v>
      </c>
      <c r="N8" s="443">
        <v>1</v>
      </c>
      <c r="O8" s="443">
        <v>132</v>
      </c>
      <c r="P8" s="446"/>
      <c r="Q8" s="446"/>
      <c r="R8" s="468"/>
      <c r="S8" s="447"/>
    </row>
    <row r="9" spans="1:19" ht="14.4" customHeight="1" x14ac:dyDescent="0.3">
      <c r="A9" s="442"/>
      <c r="B9" s="443" t="s">
        <v>1090</v>
      </c>
      <c r="C9" s="443" t="s">
        <v>447</v>
      </c>
      <c r="D9" s="443" t="s">
        <v>1080</v>
      </c>
      <c r="E9" s="443" t="s">
        <v>1091</v>
      </c>
      <c r="F9" s="443" t="s">
        <v>1095</v>
      </c>
      <c r="G9" s="443"/>
      <c r="H9" s="446">
        <v>5</v>
      </c>
      <c r="I9" s="446">
        <v>1095</v>
      </c>
      <c r="J9" s="443">
        <v>1.6666666666666667</v>
      </c>
      <c r="K9" s="443">
        <v>219</v>
      </c>
      <c r="L9" s="446">
        <v>3</v>
      </c>
      <c r="M9" s="446">
        <v>657</v>
      </c>
      <c r="N9" s="443">
        <v>1</v>
      </c>
      <c r="O9" s="443">
        <v>219</v>
      </c>
      <c r="P9" s="446">
        <v>1</v>
      </c>
      <c r="Q9" s="446">
        <v>219</v>
      </c>
      <c r="R9" s="468">
        <v>0.33333333333333331</v>
      </c>
      <c r="S9" s="447">
        <v>219</v>
      </c>
    </row>
    <row r="10" spans="1:19" ht="14.4" customHeight="1" x14ac:dyDescent="0.3">
      <c r="A10" s="442"/>
      <c r="B10" s="443" t="s">
        <v>1090</v>
      </c>
      <c r="C10" s="443" t="s">
        <v>447</v>
      </c>
      <c r="D10" s="443" t="s">
        <v>1080</v>
      </c>
      <c r="E10" s="443" t="s">
        <v>1091</v>
      </c>
      <c r="F10" s="443" t="s">
        <v>1096</v>
      </c>
      <c r="G10" s="443"/>
      <c r="H10" s="446">
        <v>3</v>
      </c>
      <c r="I10" s="446">
        <v>708</v>
      </c>
      <c r="J10" s="443">
        <v>1.5</v>
      </c>
      <c r="K10" s="443">
        <v>236</v>
      </c>
      <c r="L10" s="446">
        <v>2</v>
      </c>
      <c r="M10" s="446">
        <v>472</v>
      </c>
      <c r="N10" s="443">
        <v>1</v>
      </c>
      <c r="O10" s="443">
        <v>236</v>
      </c>
      <c r="P10" s="446"/>
      <c r="Q10" s="446"/>
      <c r="R10" s="468"/>
      <c r="S10" s="447"/>
    </row>
    <row r="11" spans="1:19" ht="14.4" customHeight="1" x14ac:dyDescent="0.3">
      <c r="A11" s="442"/>
      <c r="B11" s="443" t="s">
        <v>1090</v>
      </c>
      <c r="C11" s="443" t="s">
        <v>447</v>
      </c>
      <c r="D11" s="443" t="s">
        <v>1080</v>
      </c>
      <c r="E11" s="443" t="s">
        <v>1091</v>
      </c>
      <c r="F11" s="443" t="s">
        <v>1097</v>
      </c>
      <c r="G11" s="443"/>
      <c r="H11" s="446">
        <v>7</v>
      </c>
      <c r="I11" s="446">
        <v>1092</v>
      </c>
      <c r="J11" s="443">
        <v>0.875</v>
      </c>
      <c r="K11" s="443">
        <v>156</v>
      </c>
      <c r="L11" s="446">
        <v>8</v>
      </c>
      <c r="M11" s="446">
        <v>1248</v>
      </c>
      <c r="N11" s="443">
        <v>1</v>
      </c>
      <c r="O11" s="443">
        <v>156</v>
      </c>
      <c r="P11" s="446">
        <v>8</v>
      </c>
      <c r="Q11" s="446">
        <v>1248</v>
      </c>
      <c r="R11" s="468">
        <v>1</v>
      </c>
      <c r="S11" s="447">
        <v>156</v>
      </c>
    </row>
    <row r="12" spans="1:19" ht="14.4" customHeight="1" x14ac:dyDescent="0.3">
      <c r="A12" s="442"/>
      <c r="B12" s="443" t="s">
        <v>1090</v>
      </c>
      <c r="C12" s="443" t="s">
        <v>447</v>
      </c>
      <c r="D12" s="443" t="s">
        <v>1080</v>
      </c>
      <c r="E12" s="443" t="s">
        <v>1091</v>
      </c>
      <c r="F12" s="443" t="s">
        <v>1098</v>
      </c>
      <c r="G12" s="443"/>
      <c r="H12" s="446">
        <v>2</v>
      </c>
      <c r="I12" s="446">
        <v>380</v>
      </c>
      <c r="J12" s="443">
        <v>0.4</v>
      </c>
      <c r="K12" s="443">
        <v>190</v>
      </c>
      <c r="L12" s="446">
        <v>5</v>
      </c>
      <c r="M12" s="446">
        <v>950</v>
      </c>
      <c r="N12" s="443">
        <v>1</v>
      </c>
      <c r="O12" s="443">
        <v>190</v>
      </c>
      <c r="P12" s="446">
        <v>2</v>
      </c>
      <c r="Q12" s="446">
        <v>380</v>
      </c>
      <c r="R12" s="468">
        <v>0.4</v>
      </c>
      <c r="S12" s="447">
        <v>190</v>
      </c>
    </row>
    <row r="13" spans="1:19" ht="14.4" customHeight="1" x14ac:dyDescent="0.3">
      <c r="A13" s="442"/>
      <c r="B13" s="443" t="s">
        <v>1090</v>
      </c>
      <c r="C13" s="443" t="s">
        <v>447</v>
      </c>
      <c r="D13" s="443" t="s">
        <v>1080</v>
      </c>
      <c r="E13" s="443" t="s">
        <v>1091</v>
      </c>
      <c r="F13" s="443" t="s">
        <v>1099</v>
      </c>
      <c r="G13" s="443"/>
      <c r="H13" s="446">
        <v>2</v>
      </c>
      <c r="I13" s="446">
        <v>168</v>
      </c>
      <c r="J13" s="443"/>
      <c r="K13" s="443">
        <v>84</v>
      </c>
      <c r="L13" s="446"/>
      <c r="M13" s="446"/>
      <c r="N13" s="443"/>
      <c r="O13" s="443"/>
      <c r="P13" s="446"/>
      <c r="Q13" s="446"/>
      <c r="R13" s="468"/>
      <c r="S13" s="447"/>
    </row>
    <row r="14" spans="1:19" ht="14.4" customHeight="1" x14ac:dyDescent="0.3">
      <c r="A14" s="442"/>
      <c r="B14" s="443" t="s">
        <v>1090</v>
      </c>
      <c r="C14" s="443" t="s">
        <v>447</v>
      </c>
      <c r="D14" s="443" t="s">
        <v>1080</v>
      </c>
      <c r="E14" s="443" t="s">
        <v>1091</v>
      </c>
      <c r="F14" s="443" t="s">
        <v>1100</v>
      </c>
      <c r="G14" s="443"/>
      <c r="H14" s="446">
        <v>1</v>
      </c>
      <c r="I14" s="446">
        <v>105</v>
      </c>
      <c r="J14" s="443"/>
      <c r="K14" s="443">
        <v>105</v>
      </c>
      <c r="L14" s="446"/>
      <c r="M14" s="446"/>
      <c r="N14" s="443"/>
      <c r="O14" s="443"/>
      <c r="P14" s="446"/>
      <c r="Q14" s="446"/>
      <c r="R14" s="468"/>
      <c r="S14" s="447"/>
    </row>
    <row r="15" spans="1:19" ht="14.4" customHeight="1" x14ac:dyDescent="0.3">
      <c r="A15" s="442"/>
      <c r="B15" s="443" t="s">
        <v>1090</v>
      </c>
      <c r="C15" s="443" t="s">
        <v>447</v>
      </c>
      <c r="D15" s="443" t="s">
        <v>1080</v>
      </c>
      <c r="E15" s="443" t="s">
        <v>1091</v>
      </c>
      <c r="F15" s="443" t="s">
        <v>1101</v>
      </c>
      <c r="G15" s="443"/>
      <c r="H15" s="446">
        <v>18</v>
      </c>
      <c r="I15" s="446">
        <v>10728</v>
      </c>
      <c r="J15" s="443">
        <v>2</v>
      </c>
      <c r="K15" s="443">
        <v>596</v>
      </c>
      <c r="L15" s="446">
        <v>9</v>
      </c>
      <c r="M15" s="446">
        <v>5364</v>
      </c>
      <c r="N15" s="443">
        <v>1</v>
      </c>
      <c r="O15" s="443">
        <v>596</v>
      </c>
      <c r="P15" s="446">
        <v>1</v>
      </c>
      <c r="Q15" s="446">
        <v>596</v>
      </c>
      <c r="R15" s="468">
        <v>0.1111111111111111</v>
      </c>
      <c r="S15" s="447">
        <v>596</v>
      </c>
    </row>
    <row r="16" spans="1:19" ht="14.4" customHeight="1" x14ac:dyDescent="0.3">
      <c r="A16" s="442"/>
      <c r="B16" s="443" t="s">
        <v>1090</v>
      </c>
      <c r="C16" s="443" t="s">
        <v>447</v>
      </c>
      <c r="D16" s="443" t="s">
        <v>1080</v>
      </c>
      <c r="E16" s="443" t="s">
        <v>1091</v>
      </c>
      <c r="F16" s="443" t="s">
        <v>1102</v>
      </c>
      <c r="G16" s="443"/>
      <c r="H16" s="446">
        <v>4</v>
      </c>
      <c r="I16" s="446">
        <v>2664</v>
      </c>
      <c r="J16" s="443">
        <v>4</v>
      </c>
      <c r="K16" s="443">
        <v>666</v>
      </c>
      <c r="L16" s="446">
        <v>1</v>
      </c>
      <c r="M16" s="446">
        <v>666</v>
      </c>
      <c r="N16" s="443">
        <v>1</v>
      </c>
      <c r="O16" s="443">
        <v>666</v>
      </c>
      <c r="P16" s="446">
        <v>2</v>
      </c>
      <c r="Q16" s="446">
        <v>1332</v>
      </c>
      <c r="R16" s="468">
        <v>2</v>
      </c>
      <c r="S16" s="447">
        <v>666</v>
      </c>
    </row>
    <row r="17" spans="1:19" ht="14.4" customHeight="1" x14ac:dyDescent="0.3">
      <c r="A17" s="442"/>
      <c r="B17" s="443" t="s">
        <v>1090</v>
      </c>
      <c r="C17" s="443" t="s">
        <v>447</v>
      </c>
      <c r="D17" s="443" t="s">
        <v>1080</v>
      </c>
      <c r="E17" s="443" t="s">
        <v>1091</v>
      </c>
      <c r="F17" s="443" t="s">
        <v>1103</v>
      </c>
      <c r="G17" s="443"/>
      <c r="H17" s="446">
        <v>6</v>
      </c>
      <c r="I17" s="446">
        <v>7032</v>
      </c>
      <c r="J17" s="443">
        <v>1.2</v>
      </c>
      <c r="K17" s="443">
        <v>1172</v>
      </c>
      <c r="L17" s="446">
        <v>5</v>
      </c>
      <c r="M17" s="446">
        <v>5860</v>
      </c>
      <c r="N17" s="443">
        <v>1</v>
      </c>
      <c r="O17" s="443">
        <v>1172</v>
      </c>
      <c r="P17" s="446">
        <v>3</v>
      </c>
      <c r="Q17" s="446">
        <v>3516</v>
      </c>
      <c r="R17" s="468">
        <v>0.6</v>
      </c>
      <c r="S17" s="447">
        <v>1172</v>
      </c>
    </row>
    <row r="18" spans="1:19" ht="14.4" customHeight="1" x14ac:dyDescent="0.3">
      <c r="A18" s="442"/>
      <c r="B18" s="443" t="s">
        <v>1090</v>
      </c>
      <c r="C18" s="443" t="s">
        <v>447</v>
      </c>
      <c r="D18" s="443" t="s">
        <v>1080</v>
      </c>
      <c r="E18" s="443" t="s">
        <v>1091</v>
      </c>
      <c r="F18" s="443" t="s">
        <v>1104</v>
      </c>
      <c r="G18" s="443"/>
      <c r="H18" s="446">
        <v>4</v>
      </c>
      <c r="I18" s="446">
        <v>3200</v>
      </c>
      <c r="J18" s="443">
        <v>0.5714285714285714</v>
      </c>
      <c r="K18" s="443">
        <v>800</v>
      </c>
      <c r="L18" s="446">
        <v>7</v>
      </c>
      <c r="M18" s="446">
        <v>5600</v>
      </c>
      <c r="N18" s="443">
        <v>1</v>
      </c>
      <c r="O18" s="443">
        <v>800</v>
      </c>
      <c r="P18" s="446">
        <v>10</v>
      </c>
      <c r="Q18" s="446">
        <v>8000</v>
      </c>
      <c r="R18" s="468">
        <v>1.4285714285714286</v>
      </c>
      <c r="S18" s="447">
        <v>800</v>
      </c>
    </row>
    <row r="19" spans="1:19" ht="14.4" customHeight="1" x14ac:dyDescent="0.3">
      <c r="A19" s="442"/>
      <c r="B19" s="443" t="s">
        <v>1090</v>
      </c>
      <c r="C19" s="443" t="s">
        <v>447</v>
      </c>
      <c r="D19" s="443" t="s">
        <v>1080</v>
      </c>
      <c r="E19" s="443" t="s">
        <v>1091</v>
      </c>
      <c r="F19" s="443" t="s">
        <v>1105</v>
      </c>
      <c r="G19" s="443"/>
      <c r="H19" s="446">
        <v>4</v>
      </c>
      <c r="I19" s="446">
        <v>2980</v>
      </c>
      <c r="J19" s="443"/>
      <c r="K19" s="443">
        <v>745</v>
      </c>
      <c r="L19" s="446"/>
      <c r="M19" s="446"/>
      <c r="N19" s="443"/>
      <c r="O19" s="443"/>
      <c r="P19" s="446">
        <v>1</v>
      </c>
      <c r="Q19" s="446">
        <v>745</v>
      </c>
      <c r="R19" s="468"/>
      <c r="S19" s="447">
        <v>745</v>
      </c>
    </row>
    <row r="20" spans="1:19" ht="14.4" customHeight="1" x14ac:dyDescent="0.3">
      <c r="A20" s="442"/>
      <c r="B20" s="443" t="s">
        <v>1090</v>
      </c>
      <c r="C20" s="443" t="s">
        <v>447</v>
      </c>
      <c r="D20" s="443" t="s">
        <v>1080</v>
      </c>
      <c r="E20" s="443" t="s">
        <v>1091</v>
      </c>
      <c r="F20" s="443" t="s">
        <v>1106</v>
      </c>
      <c r="G20" s="443"/>
      <c r="H20" s="446">
        <v>8</v>
      </c>
      <c r="I20" s="446">
        <v>5960</v>
      </c>
      <c r="J20" s="443">
        <v>1.3333333333333333</v>
      </c>
      <c r="K20" s="443">
        <v>745</v>
      </c>
      <c r="L20" s="446">
        <v>6</v>
      </c>
      <c r="M20" s="446">
        <v>4470</v>
      </c>
      <c r="N20" s="443">
        <v>1</v>
      </c>
      <c r="O20" s="443">
        <v>745</v>
      </c>
      <c r="P20" s="446">
        <v>26</v>
      </c>
      <c r="Q20" s="446">
        <v>19370</v>
      </c>
      <c r="R20" s="468">
        <v>4.333333333333333</v>
      </c>
      <c r="S20" s="447">
        <v>745</v>
      </c>
    </row>
    <row r="21" spans="1:19" ht="14.4" customHeight="1" x14ac:dyDescent="0.3">
      <c r="A21" s="442"/>
      <c r="B21" s="443" t="s">
        <v>1090</v>
      </c>
      <c r="C21" s="443" t="s">
        <v>447</v>
      </c>
      <c r="D21" s="443" t="s">
        <v>1080</v>
      </c>
      <c r="E21" s="443" t="s">
        <v>1091</v>
      </c>
      <c r="F21" s="443" t="s">
        <v>1107</v>
      </c>
      <c r="G21" s="443"/>
      <c r="H21" s="446"/>
      <c r="I21" s="446"/>
      <c r="J21" s="443"/>
      <c r="K21" s="443"/>
      <c r="L21" s="446"/>
      <c r="M21" s="446"/>
      <c r="N21" s="443"/>
      <c r="O21" s="443"/>
      <c r="P21" s="446">
        <v>1</v>
      </c>
      <c r="Q21" s="446">
        <v>592</v>
      </c>
      <c r="R21" s="468"/>
      <c r="S21" s="447">
        <v>592</v>
      </c>
    </row>
    <row r="22" spans="1:19" ht="14.4" customHeight="1" x14ac:dyDescent="0.3">
      <c r="A22" s="442"/>
      <c r="B22" s="443" t="s">
        <v>1090</v>
      </c>
      <c r="C22" s="443" t="s">
        <v>447</v>
      </c>
      <c r="D22" s="443" t="s">
        <v>1080</v>
      </c>
      <c r="E22" s="443" t="s">
        <v>1091</v>
      </c>
      <c r="F22" s="443" t="s">
        <v>1108</v>
      </c>
      <c r="G22" s="443"/>
      <c r="H22" s="446">
        <v>26</v>
      </c>
      <c r="I22" s="446">
        <v>14586</v>
      </c>
      <c r="J22" s="443">
        <v>0.9285714285714286</v>
      </c>
      <c r="K22" s="443">
        <v>561</v>
      </c>
      <c r="L22" s="446">
        <v>28</v>
      </c>
      <c r="M22" s="446">
        <v>15708</v>
      </c>
      <c r="N22" s="443">
        <v>1</v>
      </c>
      <c r="O22" s="443">
        <v>561</v>
      </c>
      <c r="P22" s="446">
        <v>19</v>
      </c>
      <c r="Q22" s="446">
        <v>10659</v>
      </c>
      <c r="R22" s="468">
        <v>0.6785714285714286</v>
      </c>
      <c r="S22" s="447">
        <v>561</v>
      </c>
    </row>
    <row r="23" spans="1:19" ht="14.4" customHeight="1" x14ac:dyDescent="0.3">
      <c r="A23" s="442"/>
      <c r="B23" s="443" t="s">
        <v>1090</v>
      </c>
      <c r="C23" s="443" t="s">
        <v>447</v>
      </c>
      <c r="D23" s="443" t="s">
        <v>1080</v>
      </c>
      <c r="E23" s="443" t="s">
        <v>1091</v>
      </c>
      <c r="F23" s="443" t="s">
        <v>1109</v>
      </c>
      <c r="G23" s="443"/>
      <c r="H23" s="446">
        <v>4</v>
      </c>
      <c r="I23" s="446">
        <v>2076</v>
      </c>
      <c r="J23" s="443">
        <v>0.5714285714285714</v>
      </c>
      <c r="K23" s="443">
        <v>519</v>
      </c>
      <c r="L23" s="446">
        <v>7</v>
      </c>
      <c r="M23" s="446">
        <v>3633</v>
      </c>
      <c r="N23" s="443">
        <v>1</v>
      </c>
      <c r="O23" s="443">
        <v>519</v>
      </c>
      <c r="P23" s="446">
        <v>14</v>
      </c>
      <c r="Q23" s="446">
        <v>7266</v>
      </c>
      <c r="R23" s="468">
        <v>2</v>
      </c>
      <c r="S23" s="447">
        <v>519</v>
      </c>
    </row>
    <row r="24" spans="1:19" ht="14.4" customHeight="1" x14ac:dyDescent="0.3">
      <c r="A24" s="442"/>
      <c r="B24" s="443" t="s">
        <v>1090</v>
      </c>
      <c r="C24" s="443" t="s">
        <v>447</v>
      </c>
      <c r="D24" s="443" t="s">
        <v>1080</v>
      </c>
      <c r="E24" s="443" t="s">
        <v>1091</v>
      </c>
      <c r="F24" s="443" t="s">
        <v>1110</v>
      </c>
      <c r="G24" s="443"/>
      <c r="H24" s="446">
        <v>3</v>
      </c>
      <c r="I24" s="446">
        <v>963</v>
      </c>
      <c r="J24" s="443"/>
      <c r="K24" s="443">
        <v>321</v>
      </c>
      <c r="L24" s="446"/>
      <c r="M24" s="446"/>
      <c r="N24" s="443"/>
      <c r="O24" s="443"/>
      <c r="P24" s="446"/>
      <c r="Q24" s="446"/>
      <c r="R24" s="468"/>
      <c r="S24" s="447"/>
    </row>
    <row r="25" spans="1:19" ht="14.4" customHeight="1" x14ac:dyDescent="0.3">
      <c r="A25" s="442"/>
      <c r="B25" s="443" t="s">
        <v>1090</v>
      </c>
      <c r="C25" s="443" t="s">
        <v>447</v>
      </c>
      <c r="D25" s="443" t="s">
        <v>1080</v>
      </c>
      <c r="E25" s="443" t="s">
        <v>1091</v>
      </c>
      <c r="F25" s="443" t="s">
        <v>1111</v>
      </c>
      <c r="G25" s="443"/>
      <c r="H25" s="446"/>
      <c r="I25" s="446"/>
      <c r="J25" s="443"/>
      <c r="K25" s="443"/>
      <c r="L25" s="446"/>
      <c r="M25" s="446"/>
      <c r="N25" s="443"/>
      <c r="O25" s="443"/>
      <c r="P25" s="446">
        <v>2</v>
      </c>
      <c r="Q25" s="446">
        <v>642</v>
      </c>
      <c r="R25" s="468"/>
      <c r="S25" s="447">
        <v>321</v>
      </c>
    </row>
    <row r="26" spans="1:19" ht="14.4" customHeight="1" x14ac:dyDescent="0.3">
      <c r="A26" s="442"/>
      <c r="B26" s="443" t="s">
        <v>1090</v>
      </c>
      <c r="C26" s="443" t="s">
        <v>447</v>
      </c>
      <c r="D26" s="443" t="s">
        <v>1080</v>
      </c>
      <c r="E26" s="443" t="s">
        <v>1091</v>
      </c>
      <c r="F26" s="443" t="s">
        <v>1112</v>
      </c>
      <c r="G26" s="443"/>
      <c r="H26" s="446">
        <v>2</v>
      </c>
      <c r="I26" s="446">
        <v>642</v>
      </c>
      <c r="J26" s="443">
        <v>0.33333333333333331</v>
      </c>
      <c r="K26" s="443">
        <v>321</v>
      </c>
      <c r="L26" s="446">
        <v>6</v>
      </c>
      <c r="M26" s="446">
        <v>1926</v>
      </c>
      <c r="N26" s="443">
        <v>1</v>
      </c>
      <c r="O26" s="443">
        <v>321</v>
      </c>
      <c r="P26" s="446">
        <v>12</v>
      </c>
      <c r="Q26" s="446">
        <v>3852</v>
      </c>
      <c r="R26" s="468">
        <v>2</v>
      </c>
      <c r="S26" s="447">
        <v>321</v>
      </c>
    </row>
    <row r="27" spans="1:19" ht="14.4" customHeight="1" x14ac:dyDescent="0.3">
      <c r="A27" s="442"/>
      <c r="B27" s="443" t="s">
        <v>1090</v>
      </c>
      <c r="C27" s="443" t="s">
        <v>447</v>
      </c>
      <c r="D27" s="443" t="s">
        <v>1080</v>
      </c>
      <c r="E27" s="443" t="s">
        <v>1091</v>
      </c>
      <c r="F27" s="443" t="s">
        <v>1113</v>
      </c>
      <c r="G27" s="443"/>
      <c r="H27" s="446"/>
      <c r="I27" s="446"/>
      <c r="J27" s="443"/>
      <c r="K27" s="443"/>
      <c r="L27" s="446"/>
      <c r="M27" s="446"/>
      <c r="N27" s="443"/>
      <c r="O27" s="443"/>
      <c r="P27" s="446">
        <v>1</v>
      </c>
      <c r="Q27" s="446">
        <v>1230</v>
      </c>
      <c r="R27" s="468"/>
      <c r="S27" s="447">
        <v>1230</v>
      </c>
    </row>
    <row r="28" spans="1:19" ht="14.4" customHeight="1" x14ac:dyDescent="0.3">
      <c r="A28" s="442"/>
      <c r="B28" s="443" t="s">
        <v>1090</v>
      </c>
      <c r="C28" s="443" t="s">
        <v>447</v>
      </c>
      <c r="D28" s="443" t="s">
        <v>1080</v>
      </c>
      <c r="E28" s="443" t="s">
        <v>1091</v>
      </c>
      <c r="F28" s="443" t="s">
        <v>1114</v>
      </c>
      <c r="G28" s="443"/>
      <c r="H28" s="446">
        <v>22</v>
      </c>
      <c r="I28" s="446">
        <v>6204</v>
      </c>
      <c r="J28" s="443">
        <v>1.4666666666666666</v>
      </c>
      <c r="K28" s="443">
        <v>282</v>
      </c>
      <c r="L28" s="446">
        <v>15</v>
      </c>
      <c r="M28" s="446">
        <v>4230</v>
      </c>
      <c r="N28" s="443">
        <v>1</v>
      </c>
      <c r="O28" s="443">
        <v>282</v>
      </c>
      <c r="P28" s="446">
        <v>12</v>
      </c>
      <c r="Q28" s="446">
        <v>3384</v>
      </c>
      <c r="R28" s="468">
        <v>0.8</v>
      </c>
      <c r="S28" s="447">
        <v>282</v>
      </c>
    </row>
    <row r="29" spans="1:19" ht="14.4" customHeight="1" x14ac:dyDescent="0.3">
      <c r="A29" s="442"/>
      <c r="B29" s="443" t="s">
        <v>1090</v>
      </c>
      <c r="C29" s="443" t="s">
        <v>447</v>
      </c>
      <c r="D29" s="443" t="s">
        <v>1080</v>
      </c>
      <c r="E29" s="443" t="s">
        <v>1091</v>
      </c>
      <c r="F29" s="443" t="s">
        <v>1115</v>
      </c>
      <c r="G29" s="443"/>
      <c r="H29" s="446">
        <v>10</v>
      </c>
      <c r="I29" s="446">
        <v>6790</v>
      </c>
      <c r="J29" s="443">
        <v>1.4285714285714286</v>
      </c>
      <c r="K29" s="443">
        <v>679</v>
      </c>
      <c r="L29" s="446">
        <v>7</v>
      </c>
      <c r="M29" s="446">
        <v>4753</v>
      </c>
      <c r="N29" s="443">
        <v>1</v>
      </c>
      <c r="O29" s="443">
        <v>679</v>
      </c>
      <c r="P29" s="446">
        <v>7</v>
      </c>
      <c r="Q29" s="446">
        <v>4753</v>
      </c>
      <c r="R29" s="468">
        <v>1</v>
      </c>
      <c r="S29" s="447">
        <v>679</v>
      </c>
    </row>
    <row r="30" spans="1:19" ht="14.4" customHeight="1" x14ac:dyDescent="0.3">
      <c r="A30" s="442"/>
      <c r="B30" s="443" t="s">
        <v>1090</v>
      </c>
      <c r="C30" s="443" t="s">
        <v>447</v>
      </c>
      <c r="D30" s="443" t="s">
        <v>1080</v>
      </c>
      <c r="E30" s="443" t="s">
        <v>1091</v>
      </c>
      <c r="F30" s="443" t="s">
        <v>1116</v>
      </c>
      <c r="G30" s="443"/>
      <c r="H30" s="446">
        <v>8</v>
      </c>
      <c r="I30" s="446">
        <v>7432</v>
      </c>
      <c r="J30" s="443">
        <v>8</v>
      </c>
      <c r="K30" s="443">
        <v>929</v>
      </c>
      <c r="L30" s="446">
        <v>1</v>
      </c>
      <c r="M30" s="446">
        <v>929</v>
      </c>
      <c r="N30" s="443">
        <v>1</v>
      </c>
      <c r="O30" s="443">
        <v>929</v>
      </c>
      <c r="P30" s="446">
        <v>7</v>
      </c>
      <c r="Q30" s="446">
        <v>6503</v>
      </c>
      <c r="R30" s="468">
        <v>7</v>
      </c>
      <c r="S30" s="447">
        <v>929</v>
      </c>
    </row>
    <row r="31" spans="1:19" ht="14.4" customHeight="1" x14ac:dyDescent="0.3">
      <c r="A31" s="442"/>
      <c r="B31" s="443" t="s">
        <v>1090</v>
      </c>
      <c r="C31" s="443" t="s">
        <v>447</v>
      </c>
      <c r="D31" s="443" t="s">
        <v>1080</v>
      </c>
      <c r="E31" s="443" t="s">
        <v>1091</v>
      </c>
      <c r="F31" s="443" t="s">
        <v>1117</v>
      </c>
      <c r="G31" s="443"/>
      <c r="H31" s="446">
        <v>1</v>
      </c>
      <c r="I31" s="446">
        <v>208</v>
      </c>
      <c r="J31" s="443"/>
      <c r="K31" s="443">
        <v>208</v>
      </c>
      <c r="L31" s="446"/>
      <c r="M31" s="446"/>
      <c r="N31" s="443"/>
      <c r="O31" s="443"/>
      <c r="P31" s="446"/>
      <c r="Q31" s="446"/>
      <c r="R31" s="468"/>
      <c r="S31" s="447"/>
    </row>
    <row r="32" spans="1:19" ht="14.4" customHeight="1" x14ac:dyDescent="0.3">
      <c r="A32" s="442"/>
      <c r="B32" s="443" t="s">
        <v>1090</v>
      </c>
      <c r="C32" s="443" t="s">
        <v>447</v>
      </c>
      <c r="D32" s="443" t="s">
        <v>1080</v>
      </c>
      <c r="E32" s="443" t="s">
        <v>1091</v>
      </c>
      <c r="F32" s="443" t="s">
        <v>1118</v>
      </c>
      <c r="G32" s="443"/>
      <c r="H32" s="446">
        <v>1</v>
      </c>
      <c r="I32" s="446">
        <v>508</v>
      </c>
      <c r="J32" s="443"/>
      <c r="K32" s="443">
        <v>508</v>
      </c>
      <c r="L32" s="446"/>
      <c r="M32" s="446"/>
      <c r="N32" s="443"/>
      <c r="O32" s="443"/>
      <c r="P32" s="446"/>
      <c r="Q32" s="446"/>
      <c r="R32" s="468"/>
      <c r="S32" s="447"/>
    </row>
    <row r="33" spans="1:19" ht="14.4" customHeight="1" x14ac:dyDescent="0.3">
      <c r="A33" s="442"/>
      <c r="B33" s="443" t="s">
        <v>1090</v>
      </c>
      <c r="C33" s="443" t="s">
        <v>447</v>
      </c>
      <c r="D33" s="443" t="s">
        <v>1080</v>
      </c>
      <c r="E33" s="443" t="s">
        <v>1091</v>
      </c>
      <c r="F33" s="443" t="s">
        <v>1119</v>
      </c>
      <c r="G33" s="443"/>
      <c r="H33" s="446">
        <v>6</v>
      </c>
      <c r="I33" s="446">
        <v>10440</v>
      </c>
      <c r="J33" s="443">
        <v>3</v>
      </c>
      <c r="K33" s="443">
        <v>1740</v>
      </c>
      <c r="L33" s="446">
        <v>2</v>
      </c>
      <c r="M33" s="446">
        <v>3480</v>
      </c>
      <c r="N33" s="443">
        <v>1</v>
      </c>
      <c r="O33" s="443">
        <v>1740</v>
      </c>
      <c r="P33" s="446">
        <v>9</v>
      </c>
      <c r="Q33" s="446">
        <v>18000</v>
      </c>
      <c r="R33" s="468">
        <v>5.1724137931034484</v>
      </c>
      <c r="S33" s="447">
        <v>2000</v>
      </c>
    </row>
    <row r="34" spans="1:19" ht="14.4" customHeight="1" x14ac:dyDescent="0.3">
      <c r="A34" s="442"/>
      <c r="B34" s="443" t="s">
        <v>1090</v>
      </c>
      <c r="C34" s="443" t="s">
        <v>447</v>
      </c>
      <c r="D34" s="443" t="s">
        <v>1080</v>
      </c>
      <c r="E34" s="443" t="s">
        <v>1091</v>
      </c>
      <c r="F34" s="443" t="s">
        <v>1120</v>
      </c>
      <c r="G34" s="443"/>
      <c r="H34" s="446">
        <v>1</v>
      </c>
      <c r="I34" s="446">
        <v>2024</v>
      </c>
      <c r="J34" s="443">
        <v>1</v>
      </c>
      <c r="K34" s="443">
        <v>2024</v>
      </c>
      <c r="L34" s="446">
        <v>1</v>
      </c>
      <c r="M34" s="446">
        <v>2024</v>
      </c>
      <c r="N34" s="443">
        <v>1</v>
      </c>
      <c r="O34" s="443">
        <v>2024</v>
      </c>
      <c r="P34" s="446">
        <v>1</v>
      </c>
      <c r="Q34" s="446">
        <v>2024</v>
      </c>
      <c r="R34" s="468">
        <v>1</v>
      </c>
      <c r="S34" s="447">
        <v>2024</v>
      </c>
    </row>
    <row r="35" spans="1:19" ht="14.4" customHeight="1" x14ac:dyDescent="0.3">
      <c r="A35" s="442"/>
      <c r="B35" s="443" t="s">
        <v>1090</v>
      </c>
      <c r="C35" s="443" t="s">
        <v>447</v>
      </c>
      <c r="D35" s="443" t="s">
        <v>1080</v>
      </c>
      <c r="E35" s="443" t="s">
        <v>1091</v>
      </c>
      <c r="F35" s="443" t="s">
        <v>1121</v>
      </c>
      <c r="G35" s="443"/>
      <c r="H35" s="446"/>
      <c r="I35" s="446"/>
      <c r="J35" s="443"/>
      <c r="K35" s="443"/>
      <c r="L35" s="446">
        <v>1</v>
      </c>
      <c r="M35" s="446">
        <v>2010</v>
      </c>
      <c r="N35" s="443">
        <v>1</v>
      </c>
      <c r="O35" s="443">
        <v>2010</v>
      </c>
      <c r="P35" s="446"/>
      <c r="Q35" s="446"/>
      <c r="R35" s="468"/>
      <c r="S35" s="447"/>
    </row>
    <row r="36" spans="1:19" ht="14.4" customHeight="1" x14ac:dyDescent="0.3">
      <c r="A36" s="442"/>
      <c r="B36" s="443" t="s">
        <v>1090</v>
      </c>
      <c r="C36" s="443" t="s">
        <v>447</v>
      </c>
      <c r="D36" s="443" t="s">
        <v>1080</v>
      </c>
      <c r="E36" s="443" t="s">
        <v>1091</v>
      </c>
      <c r="F36" s="443" t="s">
        <v>1122</v>
      </c>
      <c r="G36" s="443"/>
      <c r="H36" s="446">
        <v>4</v>
      </c>
      <c r="I36" s="446">
        <v>8584</v>
      </c>
      <c r="J36" s="443"/>
      <c r="K36" s="443">
        <v>2146</v>
      </c>
      <c r="L36" s="446"/>
      <c r="M36" s="446"/>
      <c r="N36" s="443"/>
      <c r="O36" s="443"/>
      <c r="P36" s="446"/>
      <c r="Q36" s="446"/>
      <c r="R36" s="468"/>
      <c r="S36" s="447"/>
    </row>
    <row r="37" spans="1:19" ht="14.4" customHeight="1" x14ac:dyDescent="0.3">
      <c r="A37" s="442"/>
      <c r="B37" s="443" t="s">
        <v>1090</v>
      </c>
      <c r="C37" s="443" t="s">
        <v>447</v>
      </c>
      <c r="D37" s="443" t="s">
        <v>1080</v>
      </c>
      <c r="E37" s="443" t="s">
        <v>1091</v>
      </c>
      <c r="F37" s="443" t="s">
        <v>1123</v>
      </c>
      <c r="G37" s="443"/>
      <c r="H37" s="446"/>
      <c r="I37" s="446"/>
      <c r="J37" s="443"/>
      <c r="K37" s="443"/>
      <c r="L37" s="446">
        <v>1</v>
      </c>
      <c r="M37" s="446">
        <v>1246</v>
      </c>
      <c r="N37" s="443">
        <v>1</v>
      </c>
      <c r="O37" s="443">
        <v>1246</v>
      </c>
      <c r="P37" s="446"/>
      <c r="Q37" s="446"/>
      <c r="R37" s="468"/>
      <c r="S37" s="447"/>
    </row>
    <row r="38" spans="1:19" ht="14.4" customHeight="1" x14ac:dyDescent="0.3">
      <c r="A38" s="442"/>
      <c r="B38" s="443" t="s">
        <v>1090</v>
      </c>
      <c r="C38" s="443" t="s">
        <v>447</v>
      </c>
      <c r="D38" s="443" t="s">
        <v>1080</v>
      </c>
      <c r="E38" s="443" t="s">
        <v>1091</v>
      </c>
      <c r="F38" s="443" t="s">
        <v>1124</v>
      </c>
      <c r="G38" s="443"/>
      <c r="H38" s="446">
        <v>16</v>
      </c>
      <c r="I38" s="446">
        <v>56864</v>
      </c>
      <c r="J38" s="443">
        <v>1.6</v>
      </c>
      <c r="K38" s="443">
        <v>3554</v>
      </c>
      <c r="L38" s="446">
        <v>10</v>
      </c>
      <c r="M38" s="446">
        <v>35540</v>
      </c>
      <c r="N38" s="443">
        <v>1</v>
      </c>
      <c r="O38" s="443">
        <v>3554</v>
      </c>
      <c r="P38" s="446">
        <v>12</v>
      </c>
      <c r="Q38" s="446">
        <v>46800</v>
      </c>
      <c r="R38" s="468">
        <v>1.3168261114237478</v>
      </c>
      <c r="S38" s="447">
        <v>3900</v>
      </c>
    </row>
    <row r="39" spans="1:19" ht="14.4" customHeight="1" x14ac:dyDescent="0.3">
      <c r="A39" s="442"/>
      <c r="B39" s="443" t="s">
        <v>1090</v>
      </c>
      <c r="C39" s="443" t="s">
        <v>447</v>
      </c>
      <c r="D39" s="443" t="s">
        <v>1080</v>
      </c>
      <c r="E39" s="443" t="s">
        <v>1091</v>
      </c>
      <c r="F39" s="443" t="s">
        <v>1125</v>
      </c>
      <c r="G39" s="443"/>
      <c r="H39" s="446">
        <v>14</v>
      </c>
      <c r="I39" s="446">
        <v>50638</v>
      </c>
      <c r="J39" s="443">
        <v>1.75</v>
      </c>
      <c r="K39" s="443">
        <v>3617</v>
      </c>
      <c r="L39" s="446">
        <v>8</v>
      </c>
      <c r="M39" s="446">
        <v>28936</v>
      </c>
      <c r="N39" s="443">
        <v>1</v>
      </c>
      <c r="O39" s="443">
        <v>3617</v>
      </c>
      <c r="P39" s="446">
        <v>9</v>
      </c>
      <c r="Q39" s="446">
        <v>35100</v>
      </c>
      <c r="R39" s="468">
        <v>1.2130218413049489</v>
      </c>
      <c r="S39" s="447">
        <v>3900</v>
      </c>
    </row>
    <row r="40" spans="1:19" ht="14.4" customHeight="1" x14ac:dyDescent="0.3">
      <c r="A40" s="442"/>
      <c r="B40" s="443" t="s">
        <v>1090</v>
      </c>
      <c r="C40" s="443" t="s">
        <v>447</v>
      </c>
      <c r="D40" s="443" t="s">
        <v>1080</v>
      </c>
      <c r="E40" s="443" t="s">
        <v>1091</v>
      </c>
      <c r="F40" s="443" t="s">
        <v>1126</v>
      </c>
      <c r="G40" s="443"/>
      <c r="H40" s="446">
        <v>2</v>
      </c>
      <c r="I40" s="446">
        <v>328</v>
      </c>
      <c r="J40" s="443"/>
      <c r="K40" s="443">
        <v>164</v>
      </c>
      <c r="L40" s="446"/>
      <c r="M40" s="446"/>
      <c r="N40" s="443"/>
      <c r="O40" s="443"/>
      <c r="P40" s="446">
        <v>3</v>
      </c>
      <c r="Q40" s="446">
        <v>492</v>
      </c>
      <c r="R40" s="468"/>
      <c r="S40" s="447">
        <v>164</v>
      </c>
    </row>
    <row r="41" spans="1:19" ht="14.4" customHeight="1" x14ac:dyDescent="0.3">
      <c r="A41" s="442"/>
      <c r="B41" s="443" t="s">
        <v>1090</v>
      </c>
      <c r="C41" s="443" t="s">
        <v>447</v>
      </c>
      <c r="D41" s="443" t="s">
        <v>1080</v>
      </c>
      <c r="E41" s="443" t="s">
        <v>1091</v>
      </c>
      <c r="F41" s="443" t="s">
        <v>1127</v>
      </c>
      <c r="G41" s="443"/>
      <c r="H41" s="446">
        <v>8</v>
      </c>
      <c r="I41" s="446">
        <v>1800</v>
      </c>
      <c r="J41" s="443">
        <v>1.3333333333333333</v>
      </c>
      <c r="K41" s="443">
        <v>225</v>
      </c>
      <c r="L41" s="446">
        <v>6</v>
      </c>
      <c r="M41" s="446">
        <v>1350</v>
      </c>
      <c r="N41" s="443">
        <v>1</v>
      </c>
      <c r="O41" s="443">
        <v>225</v>
      </c>
      <c r="P41" s="446">
        <v>12</v>
      </c>
      <c r="Q41" s="446">
        <v>2700</v>
      </c>
      <c r="R41" s="468">
        <v>2</v>
      </c>
      <c r="S41" s="447">
        <v>225</v>
      </c>
    </row>
    <row r="42" spans="1:19" ht="14.4" customHeight="1" x14ac:dyDescent="0.3">
      <c r="A42" s="442"/>
      <c r="B42" s="443" t="s">
        <v>1090</v>
      </c>
      <c r="C42" s="443" t="s">
        <v>447</v>
      </c>
      <c r="D42" s="443" t="s">
        <v>1080</v>
      </c>
      <c r="E42" s="443" t="s">
        <v>1091</v>
      </c>
      <c r="F42" s="443" t="s">
        <v>1128</v>
      </c>
      <c r="G42" s="443"/>
      <c r="H42" s="446">
        <v>6</v>
      </c>
      <c r="I42" s="446">
        <v>2178</v>
      </c>
      <c r="J42" s="443">
        <v>1.5</v>
      </c>
      <c r="K42" s="443">
        <v>363</v>
      </c>
      <c r="L42" s="446">
        <v>4</v>
      </c>
      <c r="M42" s="446">
        <v>1452</v>
      </c>
      <c r="N42" s="443">
        <v>1</v>
      </c>
      <c r="O42" s="443">
        <v>363</v>
      </c>
      <c r="P42" s="446">
        <v>5</v>
      </c>
      <c r="Q42" s="446">
        <v>1815</v>
      </c>
      <c r="R42" s="468">
        <v>1.25</v>
      </c>
      <c r="S42" s="447">
        <v>363</v>
      </c>
    </row>
    <row r="43" spans="1:19" ht="14.4" customHeight="1" x14ac:dyDescent="0.3">
      <c r="A43" s="442"/>
      <c r="B43" s="443" t="s">
        <v>1090</v>
      </c>
      <c r="C43" s="443" t="s">
        <v>447</v>
      </c>
      <c r="D43" s="443" t="s">
        <v>1080</v>
      </c>
      <c r="E43" s="443" t="s">
        <v>1091</v>
      </c>
      <c r="F43" s="443" t="s">
        <v>1129</v>
      </c>
      <c r="G43" s="443"/>
      <c r="H43" s="446">
        <v>8</v>
      </c>
      <c r="I43" s="446">
        <v>4696</v>
      </c>
      <c r="J43" s="443">
        <v>1.6</v>
      </c>
      <c r="K43" s="443">
        <v>587</v>
      </c>
      <c r="L43" s="446">
        <v>5</v>
      </c>
      <c r="M43" s="446">
        <v>2935</v>
      </c>
      <c r="N43" s="443">
        <v>1</v>
      </c>
      <c r="O43" s="443">
        <v>587</v>
      </c>
      <c r="P43" s="446">
        <v>6</v>
      </c>
      <c r="Q43" s="446">
        <v>3522</v>
      </c>
      <c r="R43" s="468">
        <v>1.2</v>
      </c>
      <c r="S43" s="447">
        <v>587</v>
      </c>
    </row>
    <row r="44" spans="1:19" ht="14.4" customHeight="1" x14ac:dyDescent="0.3">
      <c r="A44" s="442"/>
      <c r="B44" s="443" t="s">
        <v>1090</v>
      </c>
      <c r="C44" s="443" t="s">
        <v>447</v>
      </c>
      <c r="D44" s="443" t="s">
        <v>1080</v>
      </c>
      <c r="E44" s="443" t="s">
        <v>1091</v>
      </c>
      <c r="F44" s="443" t="s">
        <v>1130</v>
      </c>
      <c r="G44" s="443"/>
      <c r="H44" s="446">
        <v>2</v>
      </c>
      <c r="I44" s="446">
        <v>1200</v>
      </c>
      <c r="J44" s="443">
        <v>2</v>
      </c>
      <c r="K44" s="443">
        <v>600</v>
      </c>
      <c r="L44" s="446">
        <v>1</v>
      </c>
      <c r="M44" s="446">
        <v>600</v>
      </c>
      <c r="N44" s="443">
        <v>1</v>
      </c>
      <c r="O44" s="443">
        <v>600</v>
      </c>
      <c r="P44" s="446">
        <v>1</v>
      </c>
      <c r="Q44" s="446">
        <v>600</v>
      </c>
      <c r="R44" s="468">
        <v>1</v>
      </c>
      <c r="S44" s="447">
        <v>600</v>
      </c>
    </row>
    <row r="45" spans="1:19" ht="14.4" customHeight="1" x14ac:dyDescent="0.3">
      <c r="A45" s="442"/>
      <c r="B45" s="443" t="s">
        <v>1090</v>
      </c>
      <c r="C45" s="443" t="s">
        <v>447</v>
      </c>
      <c r="D45" s="443" t="s">
        <v>1080</v>
      </c>
      <c r="E45" s="443" t="s">
        <v>1091</v>
      </c>
      <c r="F45" s="443" t="s">
        <v>1131</v>
      </c>
      <c r="G45" s="443"/>
      <c r="H45" s="446">
        <v>1</v>
      </c>
      <c r="I45" s="446">
        <v>4359</v>
      </c>
      <c r="J45" s="443"/>
      <c r="K45" s="443">
        <v>4359</v>
      </c>
      <c r="L45" s="446"/>
      <c r="M45" s="446"/>
      <c r="N45" s="443"/>
      <c r="O45" s="443"/>
      <c r="P45" s="446"/>
      <c r="Q45" s="446"/>
      <c r="R45" s="468"/>
      <c r="S45" s="447"/>
    </row>
    <row r="46" spans="1:19" ht="14.4" customHeight="1" x14ac:dyDescent="0.3">
      <c r="A46" s="442"/>
      <c r="B46" s="443" t="s">
        <v>1090</v>
      </c>
      <c r="C46" s="443" t="s">
        <v>447</v>
      </c>
      <c r="D46" s="443" t="s">
        <v>1080</v>
      </c>
      <c r="E46" s="443" t="s">
        <v>1091</v>
      </c>
      <c r="F46" s="443" t="s">
        <v>1132</v>
      </c>
      <c r="G46" s="443"/>
      <c r="H46" s="446"/>
      <c r="I46" s="446"/>
      <c r="J46" s="443"/>
      <c r="K46" s="443"/>
      <c r="L46" s="446"/>
      <c r="M46" s="446"/>
      <c r="N46" s="443"/>
      <c r="O46" s="443"/>
      <c r="P46" s="446">
        <v>1</v>
      </c>
      <c r="Q46" s="446">
        <v>745</v>
      </c>
      <c r="R46" s="468"/>
      <c r="S46" s="447">
        <v>745</v>
      </c>
    </row>
    <row r="47" spans="1:19" ht="14.4" customHeight="1" x14ac:dyDescent="0.3">
      <c r="A47" s="442"/>
      <c r="B47" s="443" t="s">
        <v>1090</v>
      </c>
      <c r="C47" s="443" t="s">
        <v>447</v>
      </c>
      <c r="D47" s="443" t="s">
        <v>1080</v>
      </c>
      <c r="E47" s="443" t="s">
        <v>1091</v>
      </c>
      <c r="F47" s="443" t="s">
        <v>1133</v>
      </c>
      <c r="G47" s="443"/>
      <c r="H47" s="446">
        <v>1</v>
      </c>
      <c r="I47" s="446">
        <v>561</v>
      </c>
      <c r="J47" s="443">
        <v>1</v>
      </c>
      <c r="K47" s="443">
        <v>561</v>
      </c>
      <c r="L47" s="446">
        <v>1</v>
      </c>
      <c r="M47" s="446">
        <v>561</v>
      </c>
      <c r="N47" s="443">
        <v>1</v>
      </c>
      <c r="O47" s="443">
        <v>561</v>
      </c>
      <c r="P47" s="446">
        <v>2</v>
      </c>
      <c r="Q47" s="446">
        <v>1122</v>
      </c>
      <c r="R47" s="468">
        <v>2</v>
      </c>
      <c r="S47" s="447">
        <v>561</v>
      </c>
    </row>
    <row r="48" spans="1:19" ht="14.4" customHeight="1" x14ac:dyDescent="0.3">
      <c r="A48" s="442"/>
      <c r="B48" s="443" t="s">
        <v>1090</v>
      </c>
      <c r="C48" s="443" t="s">
        <v>447</v>
      </c>
      <c r="D48" s="443" t="s">
        <v>1080</v>
      </c>
      <c r="E48" s="443" t="s">
        <v>1091</v>
      </c>
      <c r="F48" s="443" t="s">
        <v>1134</v>
      </c>
      <c r="G48" s="443"/>
      <c r="H48" s="446">
        <v>2</v>
      </c>
      <c r="I48" s="446">
        <v>1734</v>
      </c>
      <c r="J48" s="443"/>
      <c r="K48" s="443">
        <v>867</v>
      </c>
      <c r="L48" s="446"/>
      <c r="M48" s="446"/>
      <c r="N48" s="443"/>
      <c r="O48" s="443"/>
      <c r="P48" s="446">
        <v>2</v>
      </c>
      <c r="Q48" s="446">
        <v>1734</v>
      </c>
      <c r="R48" s="468"/>
      <c r="S48" s="447">
        <v>867</v>
      </c>
    </row>
    <row r="49" spans="1:19" ht="14.4" customHeight="1" x14ac:dyDescent="0.3">
      <c r="A49" s="442"/>
      <c r="B49" s="443" t="s">
        <v>1090</v>
      </c>
      <c r="C49" s="443" t="s">
        <v>447</v>
      </c>
      <c r="D49" s="443" t="s">
        <v>1080</v>
      </c>
      <c r="E49" s="443" t="s">
        <v>1091</v>
      </c>
      <c r="F49" s="443" t="s">
        <v>1135</v>
      </c>
      <c r="G49" s="443"/>
      <c r="H49" s="446">
        <v>3</v>
      </c>
      <c r="I49" s="446">
        <v>1650</v>
      </c>
      <c r="J49" s="443"/>
      <c r="K49" s="443">
        <v>550</v>
      </c>
      <c r="L49" s="446"/>
      <c r="M49" s="446"/>
      <c r="N49" s="443"/>
      <c r="O49" s="443"/>
      <c r="P49" s="446"/>
      <c r="Q49" s="446"/>
      <c r="R49" s="468"/>
      <c r="S49" s="447"/>
    </row>
    <row r="50" spans="1:19" ht="14.4" customHeight="1" x14ac:dyDescent="0.3">
      <c r="A50" s="442"/>
      <c r="B50" s="443" t="s">
        <v>1090</v>
      </c>
      <c r="C50" s="443" t="s">
        <v>447</v>
      </c>
      <c r="D50" s="443" t="s">
        <v>1080</v>
      </c>
      <c r="E50" s="443" t="s">
        <v>1091</v>
      </c>
      <c r="F50" s="443" t="s">
        <v>1136</v>
      </c>
      <c r="G50" s="443"/>
      <c r="H50" s="446"/>
      <c r="I50" s="446"/>
      <c r="J50" s="443"/>
      <c r="K50" s="443"/>
      <c r="L50" s="446">
        <v>1</v>
      </c>
      <c r="M50" s="446">
        <v>519</v>
      </c>
      <c r="N50" s="443">
        <v>1</v>
      </c>
      <c r="O50" s="443">
        <v>519</v>
      </c>
      <c r="P50" s="446"/>
      <c r="Q50" s="446"/>
      <c r="R50" s="468"/>
      <c r="S50" s="447"/>
    </row>
    <row r="51" spans="1:19" ht="14.4" customHeight="1" x14ac:dyDescent="0.3">
      <c r="A51" s="442"/>
      <c r="B51" s="443" t="s">
        <v>1090</v>
      </c>
      <c r="C51" s="443" t="s">
        <v>447</v>
      </c>
      <c r="D51" s="443" t="s">
        <v>1080</v>
      </c>
      <c r="E51" s="443" t="s">
        <v>1091</v>
      </c>
      <c r="F51" s="443" t="s">
        <v>1137</v>
      </c>
      <c r="G51" s="443"/>
      <c r="H51" s="446"/>
      <c r="I51" s="446"/>
      <c r="J51" s="443"/>
      <c r="K51" s="443"/>
      <c r="L51" s="446"/>
      <c r="M51" s="446"/>
      <c r="N51" s="443"/>
      <c r="O51" s="443"/>
      <c r="P51" s="446">
        <v>2</v>
      </c>
      <c r="Q51" s="446">
        <v>2652</v>
      </c>
      <c r="R51" s="468"/>
      <c r="S51" s="447">
        <v>1326</v>
      </c>
    </row>
    <row r="52" spans="1:19" ht="14.4" customHeight="1" x14ac:dyDescent="0.3">
      <c r="A52" s="442"/>
      <c r="B52" s="443" t="s">
        <v>1090</v>
      </c>
      <c r="C52" s="443" t="s">
        <v>447</v>
      </c>
      <c r="D52" s="443" t="s">
        <v>1080</v>
      </c>
      <c r="E52" s="443" t="s">
        <v>1091</v>
      </c>
      <c r="F52" s="443" t="s">
        <v>1138</v>
      </c>
      <c r="G52" s="443"/>
      <c r="H52" s="446">
        <v>1</v>
      </c>
      <c r="I52" s="446">
        <v>405</v>
      </c>
      <c r="J52" s="443"/>
      <c r="K52" s="443">
        <v>405</v>
      </c>
      <c r="L52" s="446"/>
      <c r="M52" s="446"/>
      <c r="N52" s="443"/>
      <c r="O52" s="443"/>
      <c r="P52" s="446"/>
      <c r="Q52" s="446"/>
      <c r="R52" s="468"/>
      <c r="S52" s="447"/>
    </row>
    <row r="53" spans="1:19" ht="14.4" customHeight="1" x14ac:dyDescent="0.3">
      <c r="A53" s="442"/>
      <c r="B53" s="443" t="s">
        <v>1090</v>
      </c>
      <c r="C53" s="443" t="s">
        <v>447</v>
      </c>
      <c r="D53" s="443" t="s">
        <v>1080</v>
      </c>
      <c r="E53" s="443" t="s">
        <v>1091</v>
      </c>
      <c r="F53" s="443" t="s">
        <v>1139</v>
      </c>
      <c r="G53" s="443"/>
      <c r="H53" s="446"/>
      <c r="I53" s="446"/>
      <c r="J53" s="443"/>
      <c r="K53" s="443"/>
      <c r="L53" s="446"/>
      <c r="M53" s="446"/>
      <c r="N53" s="443"/>
      <c r="O53" s="443"/>
      <c r="P53" s="446">
        <v>6</v>
      </c>
      <c r="Q53" s="446">
        <v>3300</v>
      </c>
      <c r="R53" s="468"/>
      <c r="S53" s="447">
        <v>550</v>
      </c>
    </row>
    <row r="54" spans="1:19" ht="14.4" customHeight="1" x14ac:dyDescent="0.3">
      <c r="A54" s="442"/>
      <c r="B54" s="443" t="s">
        <v>1090</v>
      </c>
      <c r="C54" s="443" t="s">
        <v>447</v>
      </c>
      <c r="D54" s="443" t="s">
        <v>1080</v>
      </c>
      <c r="E54" s="443" t="s">
        <v>1091</v>
      </c>
      <c r="F54" s="443" t="s">
        <v>1140</v>
      </c>
      <c r="G54" s="443"/>
      <c r="H54" s="446"/>
      <c r="I54" s="446"/>
      <c r="J54" s="443"/>
      <c r="K54" s="443"/>
      <c r="L54" s="446"/>
      <c r="M54" s="446"/>
      <c r="N54" s="443"/>
      <c r="O54" s="443"/>
      <c r="P54" s="446">
        <v>4</v>
      </c>
      <c r="Q54" s="446">
        <v>0</v>
      </c>
      <c r="R54" s="468"/>
      <c r="S54" s="447">
        <v>0</v>
      </c>
    </row>
    <row r="55" spans="1:19" ht="14.4" customHeight="1" x14ac:dyDescent="0.3">
      <c r="A55" s="442"/>
      <c r="B55" s="443" t="s">
        <v>1090</v>
      </c>
      <c r="C55" s="443" t="s">
        <v>447</v>
      </c>
      <c r="D55" s="443" t="s">
        <v>1080</v>
      </c>
      <c r="E55" s="443" t="s">
        <v>1141</v>
      </c>
      <c r="F55" s="443" t="s">
        <v>1142</v>
      </c>
      <c r="G55" s="443" t="s">
        <v>1143</v>
      </c>
      <c r="H55" s="446">
        <v>2</v>
      </c>
      <c r="I55" s="446">
        <v>884.44</v>
      </c>
      <c r="J55" s="443">
        <v>1.8597863571368494</v>
      </c>
      <c r="K55" s="443">
        <v>442.22</v>
      </c>
      <c r="L55" s="446">
        <v>1</v>
      </c>
      <c r="M55" s="446">
        <v>475.56</v>
      </c>
      <c r="N55" s="443">
        <v>1</v>
      </c>
      <c r="O55" s="443">
        <v>475.56</v>
      </c>
      <c r="P55" s="446"/>
      <c r="Q55" s="446"/>
      <c r="R55" s="468"/>
      <c r="S55" s="447"/>
    </row>
    <row r="56" spans="1:19" ht="14.4" customHeight="1" x14ac:dyDescent="0.3">
      <c r="A56" s="442"/>
      <c r="B56" s="443" t="s">
        <v>1090</v>
      </c>
      <c r="C56" s="443" t="s">
        <v>447</v>
      </c>
      <c r="D56" s="443" t="s">
        <v>1080</v>
      </c>
      <c r="E56" s="443" t="s">
        <v>1141</v>
      </c>
      <c r="F56" s="443" t="s">
        <v>1144</v>
      </c>
      <c r="G56" s="443" t="s">
        <v>1145</v>
      </c>
      <c r="H56" s="446">
        <v>11</v>
      </c>
      <c r="I56" s="446">
        <v>5011.1100000000006</v>
      </c>
      <c r="J56" s="443">
        <v>0.61111097560975614</v>
      </c>
      <c r="K56" s="443">
        <v>455.55545454545461</v>
      </c>
      <c r="L56" s="446">
        <v>18</v>
      </c>
      <c r="M56" s="446">
        <v>8200</v>
      </c>
      <c r="N56" s="443">
        <v>1</v>
      </c>
      <c r="O56" s="443">
        <v>455.55555555555554</v>
      </c>
      <c r="P56" s="446">
        <v>12</v>
      </c>
      <c r="Q56" s="446">
        <v>6000</v>
      </c>
      <c r="R56" s="468">
        <v>0.73170731707317072</v>
      </c>
      <c r="S56" s="447">
        <v>500</v>
      </c>
    </row>
    <row r="57" spans="1:19" ht="14.4" customHeight="1" x14ac:dyDescent="0.3">
      <c r="A57" s="442"/>
      <c r="B57" s="443" t="s">
        <v>1090</v>
      </c>
      <c r="C57" s="443" t="s">
        <v>447</v>
      </c>
      <c r="D57" s="443" t="s">
        <v>1080</v>
      </c>
      <c r="E57" s="443" t="s">
        <v>1141</v>
      </c>
      <c r="F57" s="443" t="s">
        <v>1146</v>
      </c>
      <c r="G57" s="443" t="s">
        <v>1147</v>
      </c>
      <c r="H57" s="446">
        <v>148</v>
      </c>
      <c r="I57" s="446">
        <v>11511.119999999999</v>
      </c>
      <c r="J57" s="443">
        <v>0.69811412297257291</v>
      </c>
      <c r="K57" s="443">
        <v>77.777837837837836</v>
      </c>
      <c r="L57" s="446">
        <v>212</v>
      </c>
      <c r="M57" s="446">
        <v>16488.88</v>
      </c>
      <c r="N57" s="443">
        <v>1</v>
      </c>
      <c r="O57" s="443">
        <v>77.777735849056612</v>
      </c>
      <c r="P57" s="446">
        <v>277</v>
      </c>
      <c r="Q57" s="446">
        <v>21544.43</v>
      </c>
      <c r="R57" s="468">
        <v>1.3066036019426426</v>
      </c>
      <c r="S57" s="447">
        <v>77.777725631768959</v>
      </c>
    </row>
    <row r="58" spans="1:19" ht="14.4" customHeight="1" x14ac:dyDescent="0.3">
      <c r="A58" s="442"/>
      <c r="B58" s="443" t="s">
        <v>1090</v>
      </c>
      <c r="C58" s="443" t="s">
        <v>447</v>
      </c>
      <c r="D58" s="443" t="s">
        <v>1080</v>
      </c>
      <c r="E58" s="443" t="s">
        <v>1141</v>
      </c>
      <c r="F58" s="443" t="s">
        <v>1148</v>
      </c>
      <c r="G58" s="443" t="s">
        <v>1149</v>
      </c>
      <c r="H58" s="446"/>
      <c r="I58" s="446"/>
      <c r="J58" s="443"/>
      <c r="K58" s="443"/>
      <c r="L58" s="446"/>
      <c r="M58" s="446"/>
      <c r="N58" s="443"/>
      <c r="O58" s="443"/>
      <c r="P58" s="446">
        <v>8</v>
      </c>
      <c r="Q58" s="446">
        <v>2000</v>
      </c>
      <c r="R58" s="468"/>
      <c r="S58" s="447">
        <v>250</v>
      </c>
    </row>
    <row r="59" spans="1:19" ht="14.4" customHeight="1" x14ac:dyDescent="0.3">
      <c r="A59" s="442"/>
      <c r="B59" s="443" t="s">
        <v>1090</v>
      </c>
      <c r="C59" s="443" t="s">
        <v>447</v>
      </c>
      <c r="D59" s="443" t="s">
        <v>1080</v>
      </c>
      <c r="E59" s="443" t="s">
        <v>1141</v>
      </c>
      <c r="F59" s="443" t="s">
        <v>1150</v>
      </c>
      <c r="G59" s="443" t="s">
        <v>1151</v>
      </c>
      <c r="H59" s="446"/>
      <c r="I59" s="446"/>
      <c r="J59" s="443"/>
      <c r="K59" s="443"/>
      <c r="L59" s="446">
        <v>1</v>
      </c>
      <c r="M59" s="446">
        <v>300</v>
      </c>
      <c r="N59" s="443">
        <v>1</v>
      </c>
      <c r="O59" s="443">
        <v>300</v>
      </c>
      <c r="P59" s="446"/>
      <c r="Q59" s="446"/>
      <c r="R59" s="468"/>
      <c r="S59" s="447"/>
    </row>
    <row r="60" spans="1:19" ht="14.4" customHeight="1" x14ac:dyDescent="0.3">
      <c r="A60" s="442"/>
      <c r="B60" s="443" t="s">
        <v>1090</v>
      </c>
      <c r="C60" s="443" t="s">
        <v>447</v>
      </c>
      <c r="D60" s="443" t="s">
        <v>1080</v>
      </c>
      <c r="E60" s="443" t="s">
        <v>1141</v>
      </c>
      <c r="F60" s="443" t="s">
        <v>1152</v>
      </c>
      <c r="G60" s="443" t="s">
        <v>1153</v>
      </c>
      <c r="H60" s="446">
        <v>70</v>
      </c>
      <c r="I60" s="446">
        <v>7777.76</v>
      </c>
      <c r="J60" s="443">
        <v>0.8888868571428572</v>
      </c>
      <c r="K60" s="443">
        <v>111.11085714285714</v>
      </c>
      <c r="L60" s="446">
        <v>75</v>
      </c>
      <c r="M60" s="446">
        <v>8750</v>
      </c>
      <c r="N60" s="443">
        <v>1</v>
      </c>
      <c r="O60" s="443">
        <v>116.66666666666667</v>
      </c>
      <c r="P60" s="446">
        <v>84</v>
      </c>
      <c r="Q60" s="446">
        <v>9799.99</v>
      </c>
      <c r="R60" s="468">
        <v>1.1199988571428572</v>
      </c>
      <c r="S60" s="447">
        <v>116.66654761904762</v>
      </c>
    </row>
    <row r="61" spans="1:19" ht="14.4" customHeight="1" x14ac:dyDescent="0.3">
      <c r="A61" s="442"/>
      <c r="B61" s="443" t="s">
        <v>1090</v>
      </c>
      <c r="C61" s="443" t="s">
        <v>447</v>
      </c>
      <c r="D61" s="443" t="s">
        <v>1080</v>
      </c>
      <c r="E61" s="443" t="s">
        <v>1141</v>
      </c>
      <c r="F61" s="443" t="s">
        <v>1154</v>
      </c>
      <c r="G61" s="443" t="s">
        <v>1155</v>
      </c>
      <c r="H61" s="446">
        <v>157</v>
      </c>
      <c r="I61" s="446">
        <v>42215.55</v>
      </c>
      <c r="J61" s="443">
        <v>4.3974531250000002</v>
      </c>
      <c r="K61" s="443">
        <v>268.88885350318475</v>
      </c>
      <c r="L61" s="446">
        <v>32</v>
      </c>
      <c r="M61" s="446">
        <v>9600</v>
      </c>
      <c r="N61" s="443">
        <v>1</v>
      </c>
      <c r="O61" s="443">
        <v>300</v>
      </c>
      <c r="P61" s="446">
        <v>30</v>
      </c>
      <c r="Q61" s="446">
        <v>9000</v>
      </c>
      <c r="R61" s="468">
        <v>0.9375</v>
      </c>
      <c r="S61" s="447">
        <v>300</v>
      </c>
    </row>
    <row r="62" spans="1:19" ht="14.4" customHeight="1" x14ac:dyDescent="0.3">
      <c r="A62" s="442"/>
      <c r="B62" s="443" t="s">
        <v>1090</v>
      </c>
      <c r="C62" s="443" t="s">
        <v>447</v>
      </c>
      <c r="D62" s="443" t="s">
        <v>1080</v>
      </c>
      <c r="E62" s="443" t="s">
        <v>1141</v>
      </c>
      <c r="F62" s="443" t="s">
        <v>1156</v>
      </c>
      <c r="G62" s="443" t="s">
        <v>1157</v>
      </c>
      <c r="H62" s="446">
        <v>24</v>
      </c>
      <c r="I62" s="446">
        <v>7066.66</v>
      </c>
      <c r="J62" s="443">
        <v>6.0000339624884313</v>
      </c>
      <c r="K62" s="443">
        <v>294.44416666666666</v>
      </c>
      <c r="L62" s="446">
        <v>4</v>
      </c>
      <c r="M62" s="446">
        <v>1177.77</v>
      </c>
      <c r="N62" s="443">
        <v>1</v>
      </c>
      <c r="O62" s="443">
        <v>294.4425</v>
      </c>
      <c r="P62" s="446">
        <v>1</v>
      </c>
      <c r="Q62" s="446">
        <v>294.44</v>
      </c>
      <c r="R62" s="468">
        <v>0.24999787734447304</v>
      </c>
      <c r="S62" s="447">
        <v>294.44</v>
      </c>
    </row>
    <row r="63" spans="1:19" ht="14.4" customHeight="1" x14ac:dyDescent="0.3">
      <c r="A63" s="442"/>
      <c r="B63" s="443" t="s">
        <v>1090</v>
      </c>
      <c r="C63" s="443" t="s">
        <v>447</v>
      </c>
      <c r="D63" s="443" t="s">
        <v>1080</v>
      </c>
      <c r="E63" s="443" t="s">
        <v>1141</v>
      </c>
      <c r="F63" s="443" t="s">
        <v>1158</v>
      </c>
      <c r="G63" s="443" t="s">
        <v>1159</v>
      </c>
      <c r="H63" s="446">
        <v>7</v>
      </c>
      <c r="I63" s="446">
        <v>77.77</v>
      </c>
      <c r="J63" s="443"/>
      <c r="K63" s="443">
        <v>11.11</v>
      </c>
      <c r="L63" s="446"/>
      <c r="M63" s="446"/>
      <c r="N63" s="443"/>
      <c r="O63" s="443"/>
      <c r="P63" s="446"/>
      <c r="Q63" s="446"/>
      <c r="R63" s="468"/>
      <c r="S63" s="447"/>
    </row>
    <row r="64" spans="1:19" ht="14.4" customHeight="1" x14ac:dyDescent="0.3">
      <c r="A64" s="442"/>
      <c r="B64" s="443" t="s">
        <v>1090</v>
      </c>
      <c r="C64" s="443" t="s">
        <v>447</v>
      </c>
      <c r="D64" s="443" t="s">
        <v>1080</v>
      </c>
      <c r="E64" s="443" t="s">
        <v>1141</v>
      </c>
      <c r="F64" s="443" t="s">
        <v>1160</v>
      </c>
      <c r="G64" s="443" t="s">
        <v>1145</v>
      </c>
      <c r="H64" s="446">
        <v>260</v>
      </c>
      <c r="I64" s="446">
        <v>97066.66</v>
      </c>
      <c r="J64" s="443">
        <v>1.5476189413265307</v>
      </c>
      <c r="K64" s="443">
        <v>373.3333076923077</v>
      </c>
      <c r="L64" s="446">
        <v>168</v>
      </c>
      <c r="M64" s="446">
        <v>62720</v>
      </c>
      <c r="N64" s="443">
        <v>1</v>
      </c>
      <c r="O64" s="443">
        <v>373.33333333333331</v>
      </c>
      <c r="P64" s="446">
        <v>57</v>
      </c>
      <c r="Q64" s="446">
        <v>23813.32</v>
      </c>
      <c r="R64" s="468">
        <v>0.37967665816326529</v>
      </c>
      <c r="S64" s="447">
        <v>417.77754385964914</v>
      </c>
    </row>
    <row r="65" spans="1:19" ht="14.4" customHeight="1" x14ac:dyDescent="0.3">
      <c r="A65" s="442"/>
      <c r="B65" s="443" t="s">
        <v>1090</v>
      </c>
      <c r="C65" s="443" t="s">
        <v>447</v>
      </c>
      <c r="D65" s="443" t="s">
        <v>1080</v>
      </c>
      <c r="E65" s="443" t="s">
        <v>1141</v>
      </c>
      <c r="F65" s="443" t="s">
        <v>1161</v>
      </c>
      <c r="G65" s="443" t="s">
        <v>1162</v>
      </c>
      <c r="H65" s="446">
        <v>93</v>
      </c>
      <c r="I65" s="446">
        <v>17360.010000000002</v>
      </c>
      <c r="J65" s="443">
        <v>1.1581910613854254</v>
      </c>
      <c r="K65" s="443">
        <v>186.66677419354841</v>
      </c>
      <c r="L65" s="446">
        <v>71</v>
      </c>
      <c r="M65" s="446">
        <v>14988.9</v>
      </c>
      <c r="N65" s="443">
        <v>1</v>
      </c>
      <c r="O65" s="443">
        <v>211.1112676056338</v>
      </c>
      <c r="P65" s="446">
        <v>44</v>
      </c>
      <c r="Q65" s="446">
        <v>9288.89</v>
      </c>
      <c r="R65" s="468">
        <v>0.6197179245975355</v>
      </c>
      <c r="S65" s="447">
        <v>211.11113636363635</v>
      </c>
    </row>
    <row r="66" spans="1:19" ht="14.4" customHeight="1" x14ac:dyDescent="0.3">
      <c r="A66" s="442"/>
      <c r="B66" s="443" t="s">
        <v>1090</v>
      </c>
      <c r="C66" s="443" t="s">
        <v>447</v>
      </c>
      <c r="D66" s="443" t="s">
        <v>1080</v>
      </c>
      <c r="E66" s="443" t="s">
        <v>1141</v>
      </c>
      <c r="F66" s="443" t="s">
        <v>1163</v>
      </c>
      <c r="G66" s="443" t="s">
        <v>1164</v>
      </c>
      <c r="H66" s="446">
        <v>12</v>
      </c>
      <c r="I66" s="446">
        <v>6999.99</v>
      </c>
      <c r="J66" s="443">
        <v>0.59999948571399186</v>
      </c>
      <c r="K66" s="443">
        <v>583.33249999999998</v>
      </c>
      <c r="L66" s="446">
        <v>20</v>
      </c>
      <c r="M66" s="446">
        <v>11666.66</v>
      </c>
      <c r="N66" s="443">
        <v>1</v>
      </c>
      <c r="O66" s="443">
        <v>583.33299999999997</v>
      </c>
      <c r="P66" s="446">
        <v>23</v>
      </c>
      <c r="Q66" s="446">
        <v>13416.66</v>
      </c>
      <c r="R66" s="468">
        <v>1.1500000857143347</v>
      </c>
      <c r="S66" s="447">
        <v>583.33304347826083</v>
      </c>
    </row>
    <row r="67" spans="1:19" ht="14.4" customHeight="1" x14ac:dyDescent="0.3">
      <c r="A67" s="442"/>
      <c r="B67" s="443" t="s">
        <v>1090</v>
      </c>
      <c r="C67" s="443" t="s">
        <v>447</v>
      </c>
      <c r="D67" s="443" t="s">
        <v>1080</v>
      </c>
      <c r="E67" s="443" t="s">
        <v>1141</v>
      </c>
      <c r="F67" s="443" t="s">
        <v>1165</v>
      </c>
      <c r="G67" s="443" t="s">
        <v>1166</v>
      </c>
      <c r="H67" s="446">
        <v>24</v>
      </c>
      <c r="I67" s="446">
        <v>11200.01</v>
      </c>
      <c r="J67" s="443">
        <v>0.96000140571508896</v>
      </c>
      <c r="K67" s="443">
        <v>466.66708333333332</v>
      </c>
      <c r="L67" s="446">
        <v>25</v>
      </c>
      <c r="M67" s="446">
        <v>11666.66</v>
      </c>
      <c r="N67" s="443">
        <v>1</v>
      </c>
      <c r="O67" s="443">
        <v>466.66640000000001</v>
      </c>
      <c r="P67" s="446">
        <v>25</v>
      </c>
      <c r="Q67" s="446">
        <v>11666.68</v>
      </c>
      <c r="R67" s="468">
        <v>1.0000017142866939</v>
      </c>
      <c r="S67" s="447">
        <v>466.66720000000004</v>
      </c>
    </row>
    <row r="68" spans="1:19" ht="14.4" customHeight="1" x14ac:dyDescent="0.3">
      <c r="A68" s="442"/>
      <c r="B68" s="443" t="s">
        <v>1090</v>
      </c>
      <c r="C68" s="443" t="s">
        <v>447</v>
      </c>
      <c r="D68" s="443" t="s">
        <v>1080</v>
      </c>
      <c r="E68" s="443" t="s">
        <v>1141</v>
      </c>
      <c r="F68" s="443" t="s">
        <v>1167</v>
      </c>
      <c r="G68" s="443" t="s">
        <v>1168</v>
      </c>
      <c r="H68" s="446">
        <v>24</v>
      </c>
      <c r="I68" s="446">
        <v>1200</v>
      </c>
      <c r="J68" s="443">
        <v>1.7142857142857142</v>
      </c>
      <c r="K68" s="443">
        <v>50</v>
      </c>
      <c r="L68" s="446">
        <v>14</v>
      </c>
      <c r="M68" s="446">
        <v>700</v>
      </c>
      <c r="N68" s="443">
        <v>1</v>
      </c>
      <c r="O68" s="443">
        <v>50</v>
      </c>
      <c r="P68" s="446">
        <v>14</v>
      </c>
      <c r="Q68" s="446">
        <v>700</v>
      </c>
      <c r="R68" s="468">
        <v>1</v>
      </c>
      <c r="S68" s="447">
        <v>50</v>
      </c>
    </row>
    <row r="69" spans="1:19" ht="14.4" customHeight="1" x14ac:dyDescent="0.3">
      <c r="A69" s="442"/>
      <c r="B69" s="443" t="s">
        <v>1090</v>
      </c>
      <c r="C69" s="443" t="s">
        <v>447</v>
      </c>
      <c r="D69" s="443" t="s">
        <v>1080</v>
      </c>
      <c r="E69" s="443" t="s">
        <v>1141</v>
      </c>
      <c r="F69" s="443" t="s">
        <v>1169</v>
      </c>
      <c r="G69" s="443" t="s">
        <v>1170</v>
      </c>
      <c r="H69" s="446">
        <v>97</v>
      </c>
      <c r="I69" s="446">
        <v>9807.7800000000007</v>
      </c>
      <c r="J69" s="443">
        <v>2.4249972184104145</v>
      </c>
      <c r="K69" s="443">
        <v>101.11113402061856</v>
      </c>
      <c r="L69" s="446">
        <v>40</v>
      </c>
      <c r="M69" s="446">
        <v>4044.45</v>
      </c>
      <c r="N69" s="443">
        <v>1</v>
      </c>
      <c r="O69" s="443">
        <v>101.11125</v>
      </c>
      <c r="P69" s="446">
        <v>46</v>
      </c>
      <c r="Q69" s="446">
        <v>4651.1099999999997</v>
      </c>
      <c r="R69" s="468">
        <v>1.1499981456069428</v>
      </c>
      <c r="S69" s="447">
        <v>101.11108695652173</v>
      </c>
    </row>
    <row r="70" spans="1:19" ht="14.4" customHeight="1" x14ac:dyDescent="0.3">
      <c r="A70" s="442"/>
      <c r="B70" s="443" t="s">
        <v>1090</v>
      </c>
      <c r="C70" s="443" t="s">
        <v>447</v>
      </c>
      <c r="D70" s="443" t="s">
        <v>1080</v>
      </c>
      <c r="E70" s="443" t="s">
        <v>1141</v>
      </c>
      <c r="F70" s="443" t="s">
        <v>1171</v>
      </c>
      <c r="G70" s="443" t="s">
        <v>1172</v>
      </c>
      <c r="H70" s="446">
        <v>42</v>
      </c>
      <c r="I70" s="446">
        <v>3219.99</v>
      </c>
      <c r="J70" s="443">
        <v>4.199913914540617</v>
      </c>
      <c r="K70" s="443">
        <v>76.666428571428568</v>
      </c>
      <c r="L70" s="446">
        <v>10</v>
      </c>
      <c r="M70" s="446">
        <v>766.68</v>
      </c>
      <c r="N70" s="443">
        <v>1</v>
      </c>
      <c r="O70" s="443">
        <v>76.667999999999992</v>
      </c>
      <c r="P70" s="446">
        <v>32</v>
      </c>
      <c r="Q70" s="446">
        <v>2453.33</v>
      </c>
      <c r="R70" s="468">
        <v>3.1999400010434602</v>
      </c>
      <c r="S70" s="447">
        <v>76.666562499999998</v>
      </c>
    </row>
    <row r="71" spans="1:19" ht="14.4" customHeight="1" x14ac:dyDescent="0.3">
      <c r="A71" s="442"/>
      <c r="B71" s="443" t="s">
        <v>1090</v>
      </c>
      <c r="C71" s="443" t="s">
        <v>447</v>
      </c>
      <c r="D71" s="443" t="s">
        <v>1080</v>
      </c>
      <c r="E71" s="443" t="s">
        <v>1141</v>
      </c>
      <c r="F71" s="443" t="s">
        <v>1173</v>
      </c>
      <c r="G71" s="443" t="s">
        <v>1174</v>
      </c>
      <c r="H71" s="446">
        <v>155</v>
      </c>
      <c r="I71" s="446">
        <v>0</v>
      </c>
      <c r="J71" s="443"/>
      <c r="K71" s="443">
        <v>0</v>
      </c>
      <c r="L71" s="446">
        <v>135</v>
      </c>
      <c r="M71" s="446">
        <v>0</v>
      </c>
      <c r="N71" s="443"/>
      <c r="O71" s="443">
        <v>0</v>
      </c>
      <c r="P71" s="446">
        <v>200</v>
      </c>
      <c r="Q71" s="446">
        <v>0</v>
      </c>
      <c r="R71" s="468"/>
      <c r="S71" s="447">
        <v>0</v>
      </c>
    </row>
    <row r="72" spans="1:19" ht="14.4" customHeight="1" x14ac:dyDescent="0.3">
      <c r="A72" s="442"/>
      <c r="B72" s="443" t="s">
        <v>1090</v>
      </c>
      <c r="C72" s="443" t="s">
        <v>447</v>
      </c>
      <c r="D72" s="443" t="s">
        <v>1080</v>
      </c>
      <c r="E72" s="443" t="s">
        <v>1141</v>
      </c>
      <c r="F72" s="443" t="s">
        <v>1175</v>
      </c>
      <c r="G72" s="443" t="s">
        <v>1176</v>
      </c>
      <c r="H72" s="446">
        <v>77</v>
      </c>
      <c r="I72" s="446">
        <v>23527.78</v>
      </c>
      <c r="J72" s="443">
        <v>0.90588216722245252</v>
      </c>
      <c r="K72" s="443">
        <v>305.55558441558441</v>
      </c>
      <c r="L72" s="446">
        <v>85</v>
      </c>
      <c r="M72" s="446">
        <v>25972.23</v>
      </c>
      <c r="N72" s="443">
        <v>1</v>
      </c>
      <c r="O72" s="443">
        <v>305.55564705882352</v>
      </c>
      <c r="P72" s="446">
        <v>71</v>
      </c>
      <c r="Q72" s="446">
        <v>21694.44</v>
      </c>
      <c r="R72" s="468">
        <v>0.83529369638263629</v>
      </c>
      <c r="S72" s="447">
        <v>305.55549295774648</v>
      </c>
    </row>
    <row r="73" spans="1:19" ht="14.4" customHeight="1" x14ac:dyDescent="0.3">
      <c r="A73" s="442"/>
      <c r="B73" s="443" t="s">
        <v>1090</v>
      </c>
      <c r="C73" s="443" t="s">
        <v>447</v>
      </c>
      <c r="D73" s="443" t="s">
        <v>1080</v>
      </c>
      <c r="E73" s="443" t="s">
        <v>1141</v>
      </c>
      <c r="F73" s="443" t="s">
        <v>1177</v>
      </c>
      <c r="G73" s="443" t="s">
        <v>1178</v>
      </c>
      <c r="H73" s="446">
        <v>20</v>
      </c>
      <c r="I73" s="446">
        <v>0</v>
      </c>
      <c r="J73" s="443">
        <v>0</v>
      </c>
      <c r="K73" s="443">
        <v>0</v>
      </c>
      <c r="L73" s="446">
        <v>34</v>
      </c>
      <c r="M73" s="446">
        <v>1133.3399999999999</v>
      </c>
      <c r="N73" s="443">
        <v>1</v>
      </c>
      <c r="O73" s="443">
        <v>33.333529411764701</v>
      </c>
      <c r="P73" s="446">
        <v>77</v>
      </c>
      <c r="Q73" s="446">
        <v>2566.67</v>
      </c>
      <c r="R73" s="468">
        <v>2.2646955017911661</v>
      </c>
      <c r="S73" s="447">
        <v>33.333376623376623</v>
      </c>
    </row>
    <row r="74" spans="1:19" ht="14.4" customHeight="1" x14ac:dyDescent="0.3">
      <c r="A74" s="442"/>
      <c r="B74" s="443" t="s">
        <v>1090</v>
      </c>
      <c r="C74" s="443" t="s">
        <v>447</v>
      </c>
      <c r="D74" s="443" t="s">
        <v>1080</v>
      </c>
      <c r="E74" s="443" t="s">
        <v>1141</v>
      </c>
      <c r="F74" s="443" t="s">
        <v>1179</v>
      </c>
      <c r="G74" s="443" t="s">
        <v>1180</v>
      </c>
      <c r="H74" s="446">
        <v>65</v>
      </c>
      <c r="I74" s="446">
        <v>29611.100000000002</v>
      </c>
      <c r="J74" s="443">
        <v>0.63725461712664155</v>
      </c>
      <c r="K74" s="443">
        <v>455.55538461538464</v>
      </c>
      <c r="L74" s="446">
        <v>102</v>
      </c>
      <c r="M74" s="446">
        <v>46466.67</v>
      </c>
      <c r="N74" s="443">
        <v>1</v>
      </c>
      <c r="O74" s="443">
        <v>455.55558823529412</v>
      </c>
      <c r="P74" s="446">
        <v>80</v>
      </c>
      <c r="Q74" s="446">
        <v>36444.44</v>
      </c>
      <c r="R74" s="468">
        <v>0.78431357357865339</v>
      </c>
      <c r="S74" s="447">
        <v>455.55550000000005</v>
      </c>
    </row>
    <row r="75" spans="1:19" ht="14.4" customHeight="1" x14ac:dyDescent="0.3">
      <c r="A75" s="442"/>
      <c r="B75" s="443" t="s">
        <v>1090</v>
      </c>
      <c r="C75" s="443" t="s">
        <v>447</v>
      </c>
      <c r="D75" s="443" t="s">
        <v>1080</v>
      </c>
      <c r="E75" s="443" t="s">
        <v>1141</v>
      </c>
      <c r="F75" s="443" t="s">
        <v>1181</v>
      </c>
      <c r="G75" s="443" t="s">
        <v>1182</v>
      </c>
      <c r="H75" s="446">
        <v>89</v>
      </c>
      <c r="I75" s="446">
        <v>6922.2299999999987</v>
      </c>
      <c r="J75" s="443">
        <v>1.0348831646459058</v>
      </c>
      <c r="K75" s="443">
        <v>77.777865168539307</v>
      </c>
      <c r="L75" s="446">
        <v>86</v>
      </c>
      <c r="M75" s="446">
        <v>6688.9</v>
      </c>
      <c r="N75" s="443">
        <v>1</v>
      </c>
      <c r="O75" s="443">
        <v>77.777906976744177</v>
      </c>
      <c r="P75" s="446">
        <v>74</v>
      </c>
      <c r="Q75" s="446">
        <v>5755.56</v>
      </c>
      <c r="R75" s="468">
        <v>0.86046435138812072</v>
      </c>
      <c r="S75" s="447">
        <v>77.777837837837836</v>
      </c>
    </row>
    <row r="76" spans="1:19" ht="14.4" customHeight="1" x14ac:dyDescent="0.3">
      <c r="A76" s="442"/>
      <c r="B76" s="443" t="s">
        <v>1090</v>
      </c>
      <c r="C76" s="443" t="s">
        <v>447</v>
      </c>
      <c r="D76" s="443" t="s">
        <v>1080</v>
      </c>
      <c r="E76" s="443" t="s">
        <v>1141</v>
      </c>
      <c r="F76" s="443" t="s">
        <v>1183</v>
      </c>
      <c r="G76" s="443" t="s">
        <v>1184</v>
      </c>
      <c r="H76" s="446"/>
      <c r="I76" s="446"/>
      <c r="J76" s="443"/>
      <c r="K76" s="443"/>
      <c r="L76" s="446"/>
      <c r="M76" s="446"/>
      <c r="N76" s="443"/>
      <c r="O76" s="443"/>
      <c r="P76" s="446">
        <v>12</v>
      </c>
      <c r="Q76" s="446">
        <v>3240</v>
      </c>
      <c r="R76" s="468"/>
      <c r="S76" s="447">
        <v>270</v>
      </c>
    </row>
    <row r="77" spans="1:19" ht="14.4" customHeight="1" x14ac:dyDescent="0.3">
      <c r="A77" s="442"/>
      <c r="B77" s="443" t="s">
        <v>1090</v>
      </c>
      <c r="C77" s="443" t="s">
        <v>447</v>
      </c>
      <c r="D77" s="443" t="s">
        <v>1080</v>
      </c>
      <c r="E77" s="443" t="s">
        <v>1141</v>
      </c>
      <c r="F77" s="443" t="s">
        <v>1185</v>
      </c>
      <c r="G77" s="443" t="s">
        <v>1186</v>
      </c>
      <c r="H77" s="446">
        <v>121</v>
      </c>
      <c r="I77" s="446">
        <v>10755.560000000001</v>
      </c>
      <c r="J77" s="443">
        <v>0.86274522386491337</v>
      </c>
      <c r="K77" s="443">
        <v>88.888925619834723</v>
      </c>
      <c r="L77" s="446">
        <v>132</v>
      </c>
      <c r="M77" s="446">
        <v>12466.670000000002</v>
      </c>
      <c r="N77" s="443">
        <v>1</v>
      </c>
      <c r="O77" s="443">
        <v>94.444469696969705</v>
      </c>
      <c r="P77" s="446">
        <v>198</v>
      </c>
      <c r="Q77" s="446">
        <v>18700</v>
      </c>
      <c r="R77" s="468">
        <v>1.4999995989305883</v>
      </c>
      <c r="S77" s="447">
        <v>94.444444444444443</v>
      </c>
    </row>
    <row r="78" spans="1:19" ht="14.4" customHeight="1" x14ac:dyDescent="0.3">
      <c r="A78" s="442"/>
      <c r="B78" s="443" t="s">
        <v>1090</v>
      </c>
      <c r="C78" s="443" t="s">
        <v>447</v>
      </c>
      <c r="D78" s="443" t="s">
        <v>1080</v>
      </c>
      <c r="E78" s="443" t="s">
        <v>1141</v>
      </c>
      <c r="F78" s="443" t="s">
        <v>1187</v>
      </c>
      <c r="G78" s="443" t="s">
        <v>1188</v>
      </c>
      <c r="H78" s="446">
        <v>81</v>
      </c>
      <c r="I78" s="446">
        <v>3510</v>
      </c>
      <c r="J78" s="443">
        <v>2.3823421613476863</v>
      </c>
      <c r="K78" s="443">
        <v>43.333333333333336</v>
      </c>
      <c r="L78" s="446">
        <v>34</v>
      </c>
      <c r="M78" s="446">
        <v>1473.34</v>
      </c>
      <c r="N78" s="443">
        <v>1</v>
      </c>
      <c r="O78" s="443">
        <v>43.333529411764701</v>
      </c>
      <c r="P78" s="446">
        <v>48</v>
      </c>
      <c r="Q78" s="446">
        <v>2080.0100000000002</v>
      </c>
      <c r="R78" s="468">
        <v>1.4117651051352711</v>
      </c>
      <c r="S78" s="447">
        <v>43.333541666666669</v>
      </c>
    </row>
    <row r="79" spans="1:19" ht="14.4" customHeight="1" x14ac:dyDescent="0.3">
      <c r="A79" s="442"/>
      <c r="B79" s="443" t="s">
        <v>1090</v>
      </c>
      <c r="C79" s="443" t="s">
        <v>447</v>
      </c>
      <c r="D79" s="443" t="s">
        <v>1080</v>
      </c>
      <c r="E79" s="443" t="s">
        <v>1141</v>
      </c>
      <c r="F79" s="443" t="s">
        <v>1189</v>
      </c>
      <c r="G79" s="443" t="s">
        <v>1190</v>
      </c>
      <c r="H79" s="446"/>
      <c r="I79" s="446"/>
      <c r="J79" s="443"/>
      <c r="K79" s="443"/>
      <c r="L79" s="446">
        <v>3</v>
      </c>
      <c r="M79" s="446">
        <v>586.67000000000007</v>
      </c>
      <c r="N79" s="443">
        <v>1</v>
      </c>
      <c r="O79" s="443">
        <v>195.5566666666667</v>
      </c>
      <c r="P79" s="446">
        <v>1</v>
      </c>
      <c r="Q79" s="446">
        <v>195.56</v>
      </c>
      <c r="R79" s="468">
        <v>0.33333901511923225</v>
      </c>
      <c r="S79" s="447">
        <v>195.56</v>
      </c>
    </row>
    <row r="80" spans="1:19" ht="14.4" customHeight="1" x14ac:dyDescent="0.3">
      <c r="A80" s="442"/>
      <c r="B80" s="443" t="s">
        <v>1090</v>
      </c>
      <c r="C80" s="443" t="s">
        <v>447</v>
      </c>
      <c r="D80" s="443" t="s">
        <v>1080</v>
      </c>
      <c r="E80" s="443" t="s">
        <v>1141</v>
      </c>
      <c r="F80" s="443" t="s">
        <v>1191</v>
      </c>
      <c r="G80" s="443" t="s">
        <v>1192</v>
      </c>
      <c r="H80" s="446">
        <v>1</v>
      </c>
      <c r="I80" s="446">
        <v>116.67</v>
      </c>
      <c r="J80" s="443"/>
      <c r="K80" s="443">
        <v>116.67</v>
      </c>
      <c r="L80" s="446"/>
      <c r="M80" s="446"/>
      <c r="N80" s="443"/>
      <c r="O80" s="443"/>
      <c r="P80" s="446">
        <v>1</v>
      </c>
      <c r="Q80" s="446">
        <v>116.67</v>
      </c>
      <c r="R80" s="468"/>
      <c r="S80" s="447">
        <v>116.67</v>
      </c>
    </row>
    <row r="81" spans="1:19" ht="14.4" customHeight="1" x14ac:dyDescent="0.3">
      <c r="A81" s="442"/>
      <c r="B81" s="443" t="s">
        <v>1090</v>
      </c>
      <c r="C81" s="443" t="s">
        <v>447</v>
      </c>
      <c r="D81" s="443" t="s">
        <v>1080</v>
      </c>
      <c r="E81" s="443" t="s">
        <v>1141</v>
      </c>
      <c r="F81" s="443" t="s">
        <v>1193</v>
      </c>
      <c r="G81" s="443" t="s">
        <v>1194</v>
      </c>
      <c r="H81" s="446"/>
      <c r="I81" s="446"/>
      <c r="J81" s="443"/>
      <c r="K81" s="443"/>
      <c r="L81" s="446">
        <v>2</v>
      </c>
      <c r="M81" s="446">
        <v>97.78</v>
      </c>
      <c r="N81" s="443">
        <v>1</v>
      </c>
      <c r="O81" s="443">
        <v>48.89</v>
      </c>
      <c r="P81" s="446">
        <v>13</v>
      </c>
      <c r="Q81" s="446">
        <v>635.55999999999995</v>
      </c>
      <c r="R81" s="468">
        <v>6.4998977295970537</v>
      </c>
      <c r="S81" s="447">
        <v>48.889230769230764</v>
      </c>
    </row>
    <row r="82" spans="1:19" ht="14.4" customHeight="1" x14ac:dyDescent="0.3">
      <c r="A82" s="442"/>
      <c r="B82" s="443" t="s">
        <v>1090</v>
      </c>
      <c r="C82" s="443" t="s">
        <v>447</v>
      </c>
      <c r="D82" s="443" t="s">
        <v>1080</v>
      </c>
      <c r="E82" s="443" t="s">
        <v>1141</v>
      </c>
      <c r="F82" s="443" t="s">
        <v>1195</v>
      </c>
      <c r="G82" s="443" t="s">
        <v>1196</v>
      </c>
      <c r="H82" s="446"/>
      <c r="I82" s="446"/>
      <c r="J82" s="443"/>
      <c r="K82" s="443"/>
      <c r="L82" s="446"/>
      <c r="M82" s="446"/>
      <c r="N82" s="443"/>
      <c r="O82" s="443"/>
      <c r="P82" s="446">
        <v>1</v>
      </c>
      <c r="Q82" s="446">
        <v>344.44</v>
      </c>
      <c r="R82" s="468"/>
      <c r="S82" s="447">
        <v>344.44</v>
      </c>
    </row>
    <row r="83" spans="1:19" ht="14.4" customHeight="1" x14ac:dyDescent="0.3">
      <c r="A83" s="442"/>
      <c r="B83" s="443" t="s">
        <v>1090</v>
      </c>
      <c r="C83" s="443" t="s">
        <v>447</v>
      </c>
      <c r="D83" s="443" t="s">
        <v>1080</v>
      </c>
      <c r="E83" s="443" t="s">
        <v>1141</v>
      </c>
      <c r="F83" s="443" t="s">
        <v>1197</v>
      </c>
      <c r="G83" s="443" t="s">
        <v>1198</v>
      </c>
      <c r="H83" s="446"/>
      <c r="I83" s="446"/>
      <c r="J83" s="443"/>
      <c r="K83" s="443"/>
      <c r="L83" s="446">
        <v>1</v>
      </c>
      <c r="M83" s="446">
        <v>292.22000000000003</v>
      </c>
      <c r="N83" s="443">
        <v>1</v>
      </c>
      <c r="O83" s="443">
        <v>292.22000000000003</v>
      </c>
      <c r="P83" s="446"/>
      <c r="Q83" s="446"/>
      <c r="R83" s="468"/>
      <c r="S83" s="447"/>
    </row>
    <row r="84" spans="1:19" ht="14.4" customHeight="1" x14ac:dyDescent="0.3">
      <c r="A84" s="442"/>
      <c r="B84" s="443" t="s">
        <v>1090</v>
      </c>
      <c r="C84" s="443" t="s">
        <v>447</v>
      </c>
      <c r="D84" s="443" t="s">
        <v>1080</v>
      </c>
      <c r="E84" s="443" t="s">
        <v>1141</v>
      </c>
      <c r="F84" s="443" t="s">
        <v>1199</v>
      </c>
      <c r="G84" s="443" t="s">
        <v>1200</v>
      </c>
      <c r="H84" s="446"/>
      <c r="I84" s="446"/>
      <c r="J84" s="443"/>
      <c r="K84" s="443"/>
      <c r="L84" s="446"/>
      <c r="M84" s="446"/>
      <c r="N84" s="443"/>
      <c r="O84" s="443"/>
      <c r="P84" s="446">
        <v>14</v>
      </c>
      <c r="Q84" s="446">
        <v>3111.1</v>
      </c>
      <c r="R84" s="468"/>
      <c r="S84" s="447">
        <v>222.22142857142856</v>
      </c>
    </row>
    <row r="85" spans="1:19" ht="14.4" customHeight="1" x14ac:dyDescent="0.3">
      <c r="A85" s="442"/>
      <c r="B85" s="443" t="s">
        <v>1090</v>
      </c>
      <c r="C85" s="443" t="s">
        <v>1082</v>
      </c>
      <c r="D85" s="443" t="s">
        <v>1080</v>
      </c>
      <c r="E85" s="443" t="s">
        <v>1091</v>
      </c>
      <c r="F85" s="443" t="s">
        <v>1093</v>
      </c>
      <c r="G85" s="443"/>
      <c r="H85" s="446"/>
      <c r="I85" s="446"/>
      <c r="J85" s="443"/>
      <c r="K85" s="443"/>
      <c r="L85" s="446">
        <v>2</v>
      </c>
      <c r="M85" s="446">
        <v>226</v>
      </c>
      <c r="N85" s="443">
        <v>1</v>
      </c>
      <c r="O85" s="443">
        <v>113</v>
      </c>
      <c r="P85" s="446"/>
      <c r="Q85" s="446"/>
      <c r="R85" s="468"/>
      <c r="S85" s="447"/>
    </row>
    <row r="86" spans="1:19" ht="14.4" customHeight="1" x14ac:dyDescent="0.3">
      <c r="A86" s="442"/>
      <c r="B86" s="443" t="s">
        <v>1090</v>
      </c>
      <c r="C86" s="443" t="s">
        <v>1082</v>
      </c>
      <c r="D86" s="443" t="s">
        <v>1080</v>
      </c>
      <c r="E86" s="443" t="s">
        <v>1091</v>
      </c>
      <c r="F86" s="443" t="s">
        <v>1115</v>
      </c>
      <c r="G86" s="443"/>
      <c r="H86" s="446">
        <v>1</v>
      </c>
      <c r="I86" s="446">
        <v>679</v>
      </c>
      <c r="J86" s="443"/>
      <c r="K86" s="443">
        <v>679</v>
      </c>
      <c r="L86" s="446"/>
      <c r="M86" s="446"/>
      <c r="N86" s="443"/>
      <c r="O86" s="443"/>
      <c r="P86" s="446"/>
      <c r="Q86" s="446"/>
      <c r="R86" s="468"/>
      <c r="S86" s="447"/>
    </row>
    <row r="87" spans="1:19" ht="14.4" customHeight="1" x14ac:dyDescent="0.3">
      <c r="A87" s="442"/>
      <c r="B87" s="443" t="s">
        <v>1090</v>
      </c>
      <c r="C87" s="443" t="s">
        <v>1082</v>
      </c>
      <c r="D87" s="443" t="s">
        <v>1080</v>
      </c>
      <c r="E87" s="443" t="s">
        <v>1141</v>
      </c>
      <c r="F87" s="443" t="s">
        <v>1142</v>
      </c>
      <c r="G87" s="443" t="s">
        <v>1143</v>
      </c>
      <c r="H87" s="446">
        <v>3</v>
      </c>
      <c r="I87" s="446">
        <v>1326.66</v>
      </c>
      <c r="J87" s="443">
        <v>0.30996656549867874</v>
      </c>
      <c r="K87" s="443">
        <v>442.22</v>
      </c>
      <c r="L87" s="446">
        <v>9</v>
      </c>
      <c r="M87" s="446">
        <v>4280.01</v>
      </c>
      <c r="N87" s="443">
        <v>1</v>
      </c>
      <c r="O87" s="443">
        <v>475.55666666666667</v>
      </c>
      <c r="P87" s="446">
        <v>7</v>
      </c>
      <c r="Q87" s="446">
        <v>3562.22</v>
      </c>
      <c r="R87" s="468">
        <v>0.83229244791484125</v>
      </c>
      <c r="S87" s="447">
        <v>508.88857142857142</v>
      </c>
    </row>
    <row r="88" spans="1:19" ht="14.4" customHeight="1" x14ac:dyDescent="0.3">
      <c r="A88" s="442"/>
      <c r="B88" s="443" t="s">
        <v>1090</v>
      </c>
      <c r="C88" s="443" t="s">
        <v>1082</v>
      </c>
      <c r="D88" s="443" t="s">
        <v>1080</v>
      </c>
      <c r="E88" s="443" t="s">
        <v>1141</v>
      </c>
      <c r="F88" s="443" t="s">
        <v>1144</v>
      </c>
      <c r="G88" s="443" t="s">
        <v>1145</v>
      </c>
      <c r="H88" s="446">
        <v>147</v>
      </c>
      <c r="I88" s="446">
        <v>66966.66</v>
      </c>
      <c r="J88" s="443">
        <v>1.0500000235191667</v>
      </c>
      <c r="K88" s="443">
        <v>455.55551020408166</v>
      </c>
      <c r="L88" s="446">
        <v>140</v>
      </c>
      <c r="M88" s="446">
        <v>63777.770000000004</v>
      </c>
      <c r="N88" s="443">
        <v>1</v>
      </c>
      <c r="O88" s="443">
        <v>455.55550000000005</v>
      </c>
      <c r="P88" s="446">
        <v>97</v>
      </c>
      <c r="Q88" s="446">
        <v>48500</v>
      </c>
      <c r="R88" s="468">
        <v>0.76045305441065114</v>
      </c>
      <c r="S88" s="447">
        <v>500</v>
      </c>
    </row>
    <row r="89" spans="1:19" ht="14.4" customHeight="1" x14ac:dyDescent="0.3">
      <c r="A89" s="442"/>
      <c r="B89" s="443" t="s">
        <v>1090</v>
      </c>
      <c r="C89" s="443" t="s">
        <v>1082</v>
      </c>
      <c r="D89" s="443" t="s">
        <v>1080</v>
      </c>
      <c r="E89" s="443" t="s">
        <v>1141</v>
      </c>
      <c r="F89" s="443" t="s">
        <v>1201</v>
      </c>
      <c r="G89" s="443" t="s">
        <v>1202</v>
      </c>
      <c r="H89" s="446">
        <v>29</v>
      </c>
      <c r="I89" s="446">
        <v>3061.1100000000006</v>
      </c>
      <c r="J89" s="443">
        <v>1.0740699155441564</v>
      </c>
      <c r="K89" s="443">
        <v>105.55551724137933</v>
      </c>
      <c r="L89" s="446">
        <v>27</v>
      </c>
      <c r="M89" s="446">
        <v>2850.0099999999993</v>
      </c>
      <c r="N89" s="443">
        <v>1</v>
      </c>
      <c r="O89" s="443">
        <v>105.55592592592591</v>
      </c>
      <c r="P89" s="446">
        <v>18</v>
      </c>
      <c r="Q89" s="446">
        <v>1900</v>
      </c>
      <c r="R89" s="468">
        <v>0.66666432749358795</v>
      </c>
      <c r="S89" s="447">
        <v>105.55555555555556</v>
      </c>
    </row>
    <row r="90" spans="1:19" ht="14.4" customHeight="1" x14ac:dyDescent="0.3">
      <c r="A90" s="442"/>
      <c r="B90" s="443" t="s">
        <v>1090</v>
      </c>
      <c r="C90" s="443" t="s">
        <v>1082</v>
      </c>
      <c r="D90" s="443" t="s">
        <v>1080</v>
      </c>
      <c r="E90" s="443" t="s">
        <v>1141</v>
      </c>
      <c r="F90" s="443" t="s">
        <v>1146</v>
      </c>
      <c r="G90" s="443" t="s">
        <v>1147</v>
      </c>
      <c r="H90" s="446">
        <v>733</v>
      </c>
      <c r="I90" s="446">
        <v>57011.11</v>
      </c>
      <c r="J90" s="443">
        <v>0.73668348734340128</v>
      </c>
      <c r="K90" s="443">
        <v>77.777776261937248</v>
      </c>
      <c r="L90" s="446">
        <v>995</v>
      </c>
      <c r="M90" s="446">
        <v>77388.88</v>
      </c>
      <c r="N90" s="443">
        <v>1</v>
      </c>
      <c r="O90" s="443">
        <v>77.777768844221114</v>
      </c>
      <c r="P90" s="446">
        <v>846</v>
      </c>
      <c r="Q90" s="446">
        <v>65800.009999999995</v>
      </c>
      <c r="R90" s="468">
        <v>0.8502514831588206</v>
      </c>
      <c r="S90" s="447">
        <v>77.77778959810874</v>
      </c>
    </row>
    <row r="91" spans="1:19" ht="14.4" customHeight="1" x14ac:dyDescent="0.3">
      <c r="A91" s="442"/>
      <c r="B91" s="443" t="s">
        <v>1090</v>
      </c>
      <c r="C91" s="443" t="s">
        <v>1082</v>
      </c>
      <c r="D91" s="443" t="s">
        <v>1080</v>
      </c>
      <c r="E91" s="443" t="s">
        <v>1141</v>
      </c>
      <c r="F91" s="443" t="s">
        <v>1148</v>
      </c>
      <c r="G91" s="443" t="s">
        <v>1149</v>
      </c>
      <c r="H91" s="446">
        <v>3</v>
      </c>
      <c r="I91" s="446">
        <v>750</v>
      </c>
      <c r="J91" s="443">
        <v>3</v>
      </c>
      <c r="K91" s="443">
        <v>250</v>
      </c>
      <c r="L91" s="446">
        <v>1</v>
      </c>
      <c r="M91" s="446">
        <v>250</v>
      </c>
      <c r="N91" s="443">
        <v>1</v>
      </c>
      <c r="O91" s="443">
        <v>250</v>
      </c>
      <c r="P91" s="446"/>
      <c r="Q91" s="446"/>
      <c r="R91" s="468"/>
      <c r="S91" s="447"/>
    </row>
    <row r="92" spans="1:19" ht="14.4" customHeight="1" x14ac:dyDescent="0.3">
      <c r="A92" s="442"/>
      <c r="B92" s="443" t="s">
        <v>1090</v>
      </c>
      <c r="C92" s="443" t="s">
        <v>1082</v>
      </c>
      <c r="D92" s="443" t="s">
        <v>1080</v>
      </c>
      <c r="E92" s="443" t="s">
        <v>1141</v>
      </c>
      <c r="F92" s="443" t="s">
        <v>1152</v>
      </c>
      <c r="G92" s="443" t="s">
        <v>1153</v>
      </c>
      <c r="H92" s="446">
        <v>221</v>
      </c>
      <c r="I92" s="446">
        <v>24555.56</v>
      </c>
      <c r="J92" s="443">
        <v>0.69235594996654615</v>
      </c>
      <c r="K92" s="443">
        <v>111.11113122171946</v>
      </c>
      <c r="L92" s="446">
        <v>304</v>
      </c>
      <c r="M92" s="446">
        <v>35466.67</v>
      </c>
      <c r="N92" s="443">
        <v>1</v>
      </c>
      <c r="O92" s="443">
        <v>116.66667763157893</v>
      </c>
      <c r="P92" s="446">
        <v>268</v>
      </c>
      <c r="Q92" s="446">
        <v>31266.660000000003</v>
      </c>
      <c r="R92" s="468">
        <v>0.88157867654335764</v>
      </c>
      <c r="S92" s="447">
        <v>116.6666417910448</v>
      </c>
    </row>
    <row r="93" spans="1:19" ht="14.4" customHeight="1" x14ac:dyDescent="0.3">
      <c r="A93" s="442"/>
      <c r="B93" s="443" t="s">
        <v>1090</v>
      </c>
      <c r="C93" s="443" t="s">
        <v>1082</v>
      </c>
      <c r="D93" s="443" t="s">
        <v>1080</v>
      </c>
      <c r="E93" s="443" t="s">
        <v>1141</v>
      </c>
      <c r="F93" s="443" t="s">
        <v>1203</v>
      </c>
      <c r="G93" s="443" t="s">
        <v>1204</v>
      </c>
      <c r="H93" s="446">
        <v>2</v>
      </c>
      <c r="I93" s="446">
        <v>700</v>
      </c>
      <c r="J93" s="443"/>
      <c r="K93" s="443">
        <v>350</v>
      </c>
      <c r="L93" s="446"/>
      <c r="M93" s="446"/>
      <c r="N93" s="443"/>
      <c r="O93" s="443"/>
      <c r="P93" s="446"/>
      <c r="Q93" s="446"/>
      <c r="R93" s="468"/>
      <c r="S93" s="447"/>
    </row>
    <row r="94" spans="1:19" ht="14.4" customHeight="1" x14ac:dyDescent="0.3">
      <c r="A94" s="442"/>
      <c r="B94" s="443" t="s">
        <v>1090</v>
      </c>
      <c r="C94" s="443" t="s">
        <v>1082</v>
      </c>
      <c r="D94" s="443" t="s">
        <v>1080</v>
      </c>
      <c r="E94" s="443" t="s">
        <v>1141</v>
      </c>
      <c r="F94" s="443" t="s">
        <v>1154</v>
      </c>
      <c r="G94" s="443" t="s">
        <v>1155</v>
      </c>
      <c r="H94" s="446">
        <v>352</v>
      </c>
      <c r="I94" s="446">
        <v>94648.89</v>
      </c>
      <c r="J94" s="443">
        <v>0.85732690217391305</v>
      </c>
      <c r="K94" s="443">
        <v>268.88889204545455</v>
      </c>
      <c r="L94" s="446">
        <v>368</v>
      </c>
      <c r="M94" s="446">
        <v>110400</v>
      </c>
      <c r="N94" s="443">
        <v>1</v>
      </c>
      <c r="O94" s="443">
        <v>300</v>
      </c>
      <c r="P94" s="446">
        <v>267</v>
      </c>
      <c r="Q94" s="446">
        <v>80100</v>
      </c>
      <c r="R94" s="468">
        <v>0.72554347826086951</v>
      </c>
      <c r="S94" s="447">
        <v>300</v>
      </c>
    </row>
    <row r="95" spans="1:19" ht="14.4" customHeight="1" x14ac:dyDescent="0.3">
      <c r="A95" s="442"/>
      <c r="B95" s="443" t="s">
        <v>1090</v>
      </c>
      <c r="C95" s="443" t="s">
        <v>1082</v>
      </c>
      <c r="D95" s="443" t="s">
        <v>1080</v>
      </c>
      <c r="E95" s="443" t="s">
        <v>1141</v>
      </c>
      <c r="F95" s="443" t="s">
        <v>1156</v>
      </c>
      <c r="G95" s="443" t="s">
        <v>1157</v>
      </c>
      <c r="H95" s="446">
        <v>149</v>
      </c>
      <c r="I95" s="446">
        <v>43872.22</v>
      </c>
      <c r="J95" s="443">
        <v>1.2956521508007268</v>
      </c>
      <c r="K95" s="443">
        <v>294.44442953020138</v>
      </c>
      <c r="L95" s="446">
        <v>115</v>
      </c>
      <c r="M95" s="446">
        <v>33861.11</v>
      </c>
      <c r="N95" s="443">
        <v>1</v>
      </c>
      <c r="O95" s="443">
        <v>294.44443478260871</v>
      </c>
      <c r="P95" s="446">
        <v>48</v>
      </c>
      <c r="Q95" s="446">
        <v>14133.330000000002</v>
      </c>
      <c r="R95" s="468">
        <v>0.41739121960266518</v>
      </c>
      <c r="S95" s="447">
        <v>294.44437500000004</v>
      </c>
    </row>
    <row r="96" spans="1:19" ht="14.4" customHeight="1" x14ac:dyDescent="0.3">
      <c r="A96" s="442"/>
      <c r="B96" s="443" t="s">
        <v>1090</v>
      </c>
      <c r="C96" s="443" t="s">
        <v>1082</v>
      </c>
      <c r="D96" s="443" t="s">
        <v>1080</v>
      </c>
      <c r="E96" s="443" t="s">
        <v>1141</v>
      </c>
      <c r="F96" s="443" t="s">
        <v>1160</v>
      </c>
      <c r="G96" s="443" t="s">
        <v>1145</v>
      </c>
      <c r="H96" s="446">
        <v>243</v>
      </c>
      <c r="I96" s="446">
        <v>90720.01</v>
      </c>
      <c r="J96" s="443">
        <v>1.0124999986049108</v>
      </c>
      <c r="K96" s="443">
        <v>373.33337448559666</v>
      </c>
      <c r="L96" s="446">
        <v>240</v>
      </c>
      <c r="M96" s="446">
        <v>89600.01</v>
      </c>
      <c r="N96" s="443">
        <v>1</v>
      </c>
      <c r="O96" s="443">
        <v>373.33337499999999</v>
      </c>
      <c r="P96" s="446">
        <v>164</v>
      </c>
      <c r="Q96" s="446">
        <v>68515.55</v>
      </c>
      <c r="R96" s="468">
        <v>0.76468239233455448</v>
      </c>
      <c r="S96" s="447">
        <v>417.77774390243906</v>
      </c>
    </row>
    <row r="97" spans="1:19" ht="14.4" customHeight="1" x14ac:dyDescent="0.3">
      <c r="A97" s="442"/>
      <c r="B97" s="443" t="s">
        <v>1090</v>
      </c>
      <c r="C97" s="443" t="s">
        <v>1082</v>
      </c>
      <c r="D97" s="443" t="s">
        <v>1080</v>
      </c>
      <c r="E97" s="443" t="s">
        <v>1141</v>
      </c>
      <c r="F97" s="443" t="s">
        <v>1161</v>
      </c>
      <c r="G97" s="443" t="s">
        <v>1162</v>
      </c>
      <c r="H97" s="446">
        <v>7</v>
      </c>
      <c r="I97" s="446">
        <v>1306.67</v>
      </c>
      <c r="J97" s="443">
        <v>0.38684283760339633</v>
      </c>
      <c r="K97" s="443">
        <v>186.66714285714286</v>
      </c>
      <c r="L97" s="446">
        <v>16</v>
      </c>
      <c r="M97" s="446">
        <v>3377.78</v>
      </c>
      <c r="N97" s="443">
        <v>1</v>
      </c>
      <c r="O97" s="443">
        <v>211.11125000000001</v>
      </c>
      <c r="P97" s="446">
        <v>24</v>
      </c>
      <c r="Q97" s="446">
        <v>5066.66</v>
      </c>
      <c r="R97" s="468">
        <v>1.4999970394756319</v>
      </c>
      <c r="S97" s="447">
        <v>211.11083333333332</v>
      </c>
    </row>
    <row r="98" spans="1:19" ht="14.4" customHeight="1" x14ac:dyDescent="0.3">
      <c r="A98" s="442"/>
      <c r="B98" s="443" t="s">
        <v>1090</v>
      </c>
      <c r="C98" s="443" t="s">
        <v>1082</v>
      </c>
      <c r="D98" s="443" t="s">
        <v>1080</v>
      </c>
      <c r="E98" s="443" t="s">
        <v>1141</v>
      </c>
      <c r="F98" s="443" t="s">
        <v>1163</v>
      </c>
      <c r="G98" s="443" t="s">
        <v>1164</v>
      </c>
      <c r="H98" s="446">
        <v>15</v>
      </c>
      <c r="I98" s="446">
        <v>8750</v>
      </c>
      <c r="J98" s="443">
        <v>1.4999982857162448</v>
      </c>
      <c r="K98" s="443">
        <v>583.33333333333337</v>
      </c>
      <c r="L98" s="446">
        <v>10</v>
      </c>
      <c r="M98" s="446">
        <v>5833.34</v>
      </c>
      <c r="N98" s="443">
        <v>1</v>
      </c>
      <c r="O98" s="443">
        <v>583.33400000000006</v>
      </c>
      <c r="P98" s="446">
        <v>14</v>
      </c>
      <c r="Q98" s="446">
        <v>8166.66</v>
      </c>
      <c r="R98" s="468">
        <v>1.3999972571459918</v>
      </c>
      <c r="S98" s="447">
        <v>583.33285714285716</v>
      </c>
    </row>
    <row r="99" spans="1:19" ht="14.4" customHeight="1" x14ac:dyDescent="0.3">
      <c r="A99" s="442"/>
      <c r="B99" s="443" t="s">
        <v>1090</v>
      </c>
      <c r="C99" s="443" t="s">
        <v>1082</v>
      </c>
      <c r="D99" s="443" t="s">
        <v>1080</v>
      </c>
      <c r="E99" s="443" t="s">
        <v>1141</v>
      </c>
      <c r="F99" s="443" t="s">
        <v>1165</v>
      </c>
      <c r="G99" s="443" t="s">
        <v>1166</v>
      </c>
      <c r="H99" s="446">
        <v>52</v>
      </c>
      <c r="I99" s="446">
        <v>24266.66</v>
      </c>
      <c r="J99" s="443">
        <v>0.7323940176269581</v>
      </c>
      <c r="K99" s="443">
        <v>466.66653846153844</v>
      </c>
      <c r="L99" s="446">
        <v>71</v>
      </c>
      <c r="M99" s="446">
        <v>33133.340000000004</v>
      </c>
      <c r="N99" s="443">
        <v>1</v>
      </c>
      <c r="O99" s="443">
        <v>466.66676056338031</v>
      </c>
      <c r="P99" s="446">
        <v>29</v>
      </c>
      <c r="Q99" s="446">
        <v>13533.33</v>
      </c>
      <c r="R99" s="468">
        <v>0.40845052143852684</v>
      </c>
      <c r="S99" s="447">
        <v>466.66655172413795</v>
      </c>
    </row>
    <row r="100" spans="1:19" ht="14.4" customHeight="1" x14ac:dyDescent="0.3">
      <c r="A100" s="442"/>
      <c r="B100" s="443" t="s">
        <v>1090</v>
      </c>
      <c r="C100" s="443" t="s">
        <v>1082</v>
      </c>
      <c r="D100" s="443" t="s">
        <v>1080</v>
      </c>
      <c r="E100" s="443" t="s">
        <v>1141</v>
      </c>
      <c r="F100" s="443" t="s">
        <v>1167</v>
      </c>
      <c r="G100" s="443" t="s">
        <v>1168</v>
      </c>
      <c r="H100" s="446">
        <v>19</v>
      </c>
      <c r="I100" s="446">
        <v>950</v>
      </c>
      <c r="J100" s="443">
        <v>1.1875</v>
      </c>
      <c r="K100" s="443">
        <v>50</v>
      </c>
      <c r="L100" s="446">
        <v>16</v>
      </c>
      <c r="M100" s="446">
        <v>800</v>
      </c>
      <c r="N100" s="443">
        <v>1</v>
      </c>
      <c r="O100" s="443">
        <v>50</v>
      </c>
      <c r="P100" s="446">
        <v>13</v>
      </c>
      <c r="Q100" s="446">
        <v>650</v>
      </c>
      <c r="R100" s="468">
        <v>0.8125</v>
      </c>
      <c r="S100" s="447">
        <v>50</v>
      </c>
    </row>
    <row r="101" spans="1:19" ht="14.4" customHeight="1" x14ac:dyDescent="0.3">
      <c r="A101" s="442"/>
      <c r="B101" s="443" t="s">
        <v>1090</v>
      </c>
      <c r="C101" s="443" t="s">
        <v>1082</v>
      </c>
      <c r="D101" s="443" t="s">
        <v>1080</v>
      </c>
      <c r="E101" s="443" t="s">
        <v>1141</v>
      </c>
      <c r="F101" s="443" t="s">
        <v>1169</v>
      </c>
      <c r="G101" s="443" t="s">
        <v>1170</v>
      </c>
      <c r="H101" s="446">
        <v>2</v>
      </c>
      <c r="I101" s="446">
        <v>202.22</v>
      </c>
      <c r="J101" s="443">
        <v>0.5</v>
      </c>
      <c r="K101" s="443">
        <v>101.11</v>
      </c>
      <c r="L101" s="446">
        <v>4</v>
      </c>
      <c r="M101" s="446">
        <v>404.44</v>
      </c>
      <c r="N101" s="443">
        <v>1</v>
      </c>
      <c r="O101" s="443">
        <v>101.11</v>
      </c>
      <c r="P101" s="446">
        <v>4</v>
      </c>
      <c r="Q101" s="446">
        <v>404.44</v>
      </c>
      <c r="R101" s="468">
        <v>1</v>
      </c>
      <c r="S101" s="447">
        <v>101.11</v>
      </c>
    </row>
    <row r="102" spans="1:19" ht="14.4" customHeight="1" x14ac:dyDescent="0.3">
      <c r="A102" s="442"/>
      <c r="B102" s="443" t="s">
        <v>1090</v>
      </c>
      <c r="C102" s="443" t="s">
        <v>1082</v>
      </c>
      <c r="D102" s="443" t="s">
        <v>1080</v>
      </c>
      <c r="E102" s="443" t="s">
        <v>1141</v>
      </c>
      <c r="F102" s="443" t="s">
        <v>1171</v>
      </c>
      <c r="G102" s="443" t="s">
        <v>1172</v>
      </c>
      <c r="H102" s="446"/>
      <c r="I102" s="446"/>
      <c r="J102" s="443"/>
      <c r="K102" s="443"/>
      <c r="L102" s="446">
        <v>4</v>
      </c>
      <c r="M102" s="446">
        <v>306.67</v>
      </c>
      <c r="N102" s="443">
        <v>1</v>
      </c>
      <c r="O102" s="443">
        <v>76.667500000000004</v>
      </c>
      <c r="P102" s="446"/>
      <c r="Q102" s="446"/>
      <c r="R102" s="468"/>
      <c r="S102" s="447"/>
    </row>
    <row r="103" spans="1:19" ht="14.4" customHeight="1" x14ac:dyDescent="0.3">
      <c r="A103" s="442"/>
      <c r="B103" s="443" t="s">
        <v>1090</v>
      </c>
      <c r="C103" s="443" t="s">
        <v>1082</v>
      </c>
      <c r="D103" s="443" t="s">
        <v>1080</v>
      </c>
      <c r="E103" s="443" t="s">
        <v>1141</v>
      </c>
      <c r="F103" s="443" t="s">
        <v>1173</v>
      </c>
      <c r="G103" s="443" t="s">
        <v>1174</v>
      </c>
      <c r="H103" s="446">
        <v>1</v>
      </c>
      <c r="I103" s="446">
        <v>0</v>
      </c>
      <c r="J103" s="443"/>
      <c r="K103" s="443">
        <v>0</v>
      </c>
      <c r="L103" s="446">
        <v>1</v>
      </c>
      <c r="M103" s="446">
        <v>0</v>
      </c>
      <c r="N103" s="443"/>
      <c r="O103" s="443">
        <v>0</v>
      </c>
      <c r="P103" s="446"/>
      <c r="Q103" s="446"/>
      <c r="R103" s="468"/>
      <c r="S103" s="447"/>
    </row>
    <row r="104" spans="1:19" ht="14.4" customHeight="1" x14ac:dyDescent="0.3">
      <c r="A104" s="442"/>
      <c r="B104" s="443" t="s">
        <v>1090</v>
      </c>
      <c r="C104" s="443" t="s">
        <v>1082</v>
      </c>
      <c r="D104" s="443" t="s">
        <v>1080</v>
      </c>
      <c r="E104" s="443" t="s">
        <v>1141</v>
      </c>
      <c r="F104" s="443" t="s">
        <v>1175</v>
      </c>
      <c r="G104" s="443" t="s">
        <v>1176</v>
      </c>
      <c r="H104" s="446">
        <v>129</v>
      </c>
      <c r="I104" s="446">
        <v>39416.68</v>
      </c>
      <c r="J104" s="443">
        <v>0.871621766551539</v>
      </c>
      <c r="K104" s="443">
        <v>305.55565891472867</v>
      </c>
      <c r="L104" s="446">
        <v>148</v>
      </c>
      <c r="M104" s="446">
        <v>45222.229999999996</v>
      </c>
      <c r="N104" s="443">
        <v>1</v>
      </c>
      <c r="O104" s="443">
        <v>305.55560810810806</v>
      </c>
      <c r="P104" s="446">
        <v>113</v>
      </c>
      <c r="Q104" s="446">
        <v>34527.770000000004</v>
      </c>
      <c r="R104" s="468">
        <v>0.76351321020657337</v>
      </c>
      <c r="S104" s="447">
        <v>305.55548672566374</v>
      </c>
    </row>
    <row r="105" spans="1:19" ht="14.4" customHeight="1" x14ac:dyDescent="0.3">
      <c r="A105" s="442"/>
      <c r="B105" s="443" t="s">
        <v>1090</v>
      </c>
      <c r="C105" s="443" t="s">
        <v>1082</v>
      </c>
      <c r="D105" s="443" t="s">
        <v>1080</v>
      </c>
      <c r="E105" s="443" t="s">
        <v>1141</v>
      </c>
      <c r="F105" s="443" t="s">
        <v>1177</v>
      </c>
      <c r="G105" s="443" t="s">
        <v>1178</v>
      </c>
      <c r="H105" s="446">
        <v>70</v>
      </c>
      <c r="I105" s="446">
        <v>0</v>
      </c>
      <c r="J105" s="443">
        <v>0</v>
      </c>
      <c r="K105" s="443">
        <v>0</v>
      </c>
      <c r="L105" s="446">
        <v>116</v>
      </c>
      <c r="M105" s="446">
        <v>3866.66</v>
      </c>
      <c r="N105" s="443">
        <v>1</v>
      </c>
      <c r="O105" s="443">
        <v>33.333275862068966</v>
      </c>
      <c r="P105" s="446">
        <v>120</v>
      </c>
      <c r="Q105" s="446">
        <v>4000</v>
      </c>
      <c r="R105" s="468">
        <v>1.034484542214728</v>
      </c>
      <c r="S105" s="447">
        <v>33.333333333333336</v>
      </c>
    </row>
    <row r="106" spans="1:19" ht="14.4" customHeight="1" x14ac:dyDescent="0.3">
      <c r="A106" s="442"/>
      <c r="B106" s="443" t="s">
        <v>1090</v>
      </c>
      <c r="C106" s="443" t="s">
        <v>1082</v>
      </c>
      <c r="D106" s="443" t="s">
        <v>1080</v>
      </c>
      <c r="E106" s="443" t="s">
        <v>1141</v>
      </c>
      <c r="F106" s="443" t="s">
        <v>1179</v>
      </c>
      <c r="G106" s="443" t="s">
        <v>1180</v>
      </c>
      <c r="H106" s="446">
        <v>137</v>
      </c>
      <c r="I106" s="446">
        <v>62411.100000000006</v>
      </c>
      <c r="J106" s="443">
        <v>0.85624983450838676</v>
      </c>
      <c r="K106" s="443">
        <v>455.55547445255479</v>
      </c>
      <c r="L106" s="446">
        <v>160</v>
      </c>
      <c r="M106" s="446">
        <v>72888.89</v>
      </c>
      <c r="N106" s="443">
        <v>1</v>
      </c>
      <c r="O106" s="443">
        <v>455.55556250000001</v>
      </c>
      <c r="P106" s="446">
        <v>134</v>
      </c>
      <c r="Q106" s="446">
        <v>61044.429999999993</v>
      </c>
      <c r="R106" s="468">
        <v>0.83749978906250311</v>
      </c>
      <c r="S106" s="447">
        <v>455.55544776119399</v>
      </c>
    </row>
    <row r="107" spans="1:19" ht="14.4" customHeight="1" x14ac:dyDescent="0.3">
      <c r="A107" s="442"/>
      <c r="B107" s="443" t="s">
        <v>1090</v>
      </c>
      <c r="C107" s="443" t="s">
        <v>1082</v>
      </c>
      <c r="D107" s="443" t="s">
        <v>1080</v>
      </c>
      <c r="E107" s="443" t="s">
        <v>1141</v>
      </c>
      <c r="F107" s="443" t="s">
        <v>1205</v>
      </c>
      <c r="G107" s="443" t="s">
        <v>1206</v>
      </c>
      <c r="H107" s="446">
        <v>1</v>
      </c>
      <c r="I107" s="446">
        <v>58.89</v>
      </c>
      <c r="J107" s="443"/>
      <c r="K107" s="443">
        <v>58.89</v>
      </c>
      <c r="L107" s="446"/>
      <c r="M107" s="446"/>
      <c r="N107" s="443"/>
      <c r="O107" s="443"/>
      <c r="P107" s="446"/>
      <c r="Q107" s="446"/>
      <c r="R107" s="468"/>
      <c r="S107" s="447"/>
    </row>
    <row r="108" spans="1:19" ht="14.4" customHeight="1" x14ac:dyDescent="0.3">
      <c r="A108" s="442"/>
      <c r="B108" s="443" t="s">
        <v>1090</v>
      </c>
      <c r="C108" s="443" t="s">
        <v>1082</v>
      </c>
      <c r="D108" s="443" t="s">
        <v>1080</v>
      </c>
      <c r="E108" s="443" t="s">
        <v>1141</v>
      </c>
      <c r="F108" s="443" t="s">
        <v>1181</v>
      </c>
      <c r="G108" s="443" t="s">
        <v>1182</v>
      </c>
      <c r="H108" s="446">
        <v>132</v>
      </c>
      <c r="I108" s="446">
        <v>10266.66</v>
      </c>
      <c r="J108" s="443">
        <v>0.90410864809837654</v>
      </c>
      <c r="K108" s="443">
        <v>77.777727272727276</v>
      </c>
      <c r="L108" s="446">
        <v>146</v>
      </c>
      <c r="M108" s="446">
        <v>11355.56</v>
      </c>
      <c r="N108" s="443">
        <v>1</v>
      </c>
      <c r="O108" s="443">
        <v>77.777808219178084</v>
      </c>
      <c r="P108" s="446">
        <v>113</v>
      </c>
      <c r="Q108" s="446">
        <v>8788.89</v>
      </c>
      <c r="R108" s="468">
        <v>0.77397239766246662</v>
      </c>
      <c r="S108" s="447">
        <v>77.77778761061947</v>
      </c>
    </row>
    <row r="109" spans="1:19" ht="14.4" customHeight="1" x14ac:dyDescent="0.3">
      <c r="A109" s="442"/>
      <c r="B109" s="443" t="s">
        <v>1090</v>
      </c>
      <c r="C109" s="443" t="s">
        <v>1082</v>
      </c>
      <c r="D109" s="443" t="s">
        <v>1080</v>
      </c>
      <c r="E109" s="443" t="s">
        <v>1141</v>
      </c>
      <c r="F109" s="443" t="s">
        <v>1183</v>
      </c>
      <c r="G109" s="443" t="s">
        <v>1184</v>
      </c>
      <c r="H109" s="446"/>
      <c r="I109" s="446"/>
      <c r="J109" s="443"/>
      <c r="K109" s="443"/>
      <c r="L109" s="446">
        <v>3</v>
      </c>
      <c r="M109" s="446">
        <v>810</v>
      </c>
      <c r="N109" s="443">
        <v>1</v>
      </c>
      <c r="O109" s="443">
        <v>270</v>
      </c>
      <c r="P109" s="446"/>
      <c r="Q109" s="446"/>
      <c r="R109" s="468"/>
      <c r="S109" s="447"/>
    </row>
    <row r="110" spans="1:19" ht="14.4" customHeight="1" x14ac:dyDescent="0.3">
      <c r="A110" s="442"/>
      <c r="B110" s="443" t="s">
        <v>1090</v>
      </c>
      <c r="C110" s="443" t="s">
        <v>1082</v>
      </c>
      <c r="D110" s="443" t="s">
        <v>1080</v>
      </c>
      <c r="E110" s="443" t="s">
        <v>1141</v>
      </c>
      <c r="F110" s="443" t="s">
        <v>1185</v>
      </c>
      <c r="G110" s="443" t="s">
        <v>1186</v>
      </c>
      <c r="H110" s="446">
        <v>175</v>
      </c>
      <c r="I110" s="446">
        <v>15555.55</v>
      </c>
      <c r="J110" s="443">
        <v>0.72239407467400529</v>
      </c>
      <c r="K110" s="443">
        <v>88.888857142857134</v>
      </c>
      <c r="L110" s="446">
        <v>228</v>
      </c>
      <c r="M110" s="446">
        <v>21533.33</v>
      </c>
      <c r="N110" s="443">
        <v>1</v>
      </c>
      <c r="O110" s="443">
        <v>94.444429824561411</v>
      </c>
      <c r="P110" s="446">
        <v>177</v>
      </c>
      <c r="Q110" s="446">
        <v>16716.68</v>
      </c>
      <c r="R110" s="468">
        <v>0.77631652884156788</v>
      </c>
      <c r="S110" s="447">
        <v>94.444519774011297</v>
      </c>
    </row>
    <row r="111" spans="1:19" ht="14.4" customHeight="1" x14ac:dyDescent="0.3">
      <c r="A111" s="442"/>
      <c r="B111" s="443" t="s">
        <v>1090</v>
      </c>
      <c r="C111" s="443" t="s">
        <v>1082</v>
      </c>
      <c r="D111" s="443" t="s">
        <v>1080</v>
      </c>
      <c r="E111" s="443" t="s">
        <v>1141</v>
      </c>
      <c r="F111" s="443" t="s">
        <v>1207</v>
      </c>
      <c r="G111" s="443" t="s">
        <v>1208</v>
      </c>
      <c r="H111" s="446">
        <v>12</v>
      </c>
      <c r="I111" s="446">
        <v>1160</v>
      </c>
      <c r="J111" s="443"/>
      <c r="K111" s="443">
        <v>96.666666666666671</v>
      </c>
      <c r="L111" s="446"/>
      <c r="M111" s="446"/>
      <c r="N111" s="443"/>
      <c r="O111" s="443"/>
      <c r="P111" s="446"/>
      <c r="Q111" s="446"/>
      <c r="R111" s="468"/>
      <c r="S111" s="447"/>
    </row>
    <row r="112" spans="1:19" ht="14.4" customHeight="1" x14ac:dyDescent="0.3">
      <c r="A112" s="442"/>
      <c r="B112" s="443" t="s">
        <v>1090</v>
      </c>
      <c r="C112" s="443" t="s">
        <v>1082</v>
      </c>
      <c r="D112" s="443" t="s">
        <v>1080</v>
      </c>
      <c r="E112" s="443" t="s">
        <v>1141</v>
      </c>
      <c r="F112" s="443" t="s">
        <v>1189</v>
      </c>
      <c r="G112" s="443" t="s">
        <v>1190</v>
      </c>
      <c r="H112" s="446">
        <v>23</v>
      </c>
      <c r="I112" s="446">
        <v>3220</v>
      </c>
      <c r="J112" s="443"/>
      <c r="K112" s="443">
        <v>140</v>
      </c>
      <c r="L112" s="446"/>
      <c r="M112" s="446"/>
      <c r="N112" s="443"/>
      <c r="O112" s="443"/>
      <c r="P112" s="446"/>
      <c r="Q112" s="446"/>
      <c r="R112" s="468"/>
      <c r="S112" s="447"/>
    </row>
    <row r="113" spans="1:19" ht="14.4" customHeight="1" x14ac:dyDescent="0.3">
      <c r="A113" s="442"/>
      <c r="B113" s="443" t="s">
        <v>1090</v>
      </c>
      <c r="C113" s="443" t="s">
        <v>1082</v>
      </c>
      <c r="D113" s="443" t="s">
        <v>1080</v>
      </c>
      <c r="E113" s="443" t="s">
        <v>1141</v>
      </c>
      <c r="F113" s="443" t="s">
        <v>1209</v>
      </c>
      <c r="G113" s="443" t="s">
        <v>1210</v>
      </c>
      <c r="H113" s="446">
        <v>21</v>
      </c>
      <c r="I113" s="446">
        <v>1586.66</v>
      </c>
      <c r="J113" s="443"/>
      <c r="K113" s="443">
        <v>75.555238095238096</v>
      </c>
      <c r="L113" s="446"/>
      <c r="M113" s="446"/>
      <c r="N113" s="443"/>
      <c r="O113" s="443"/>
      <c r="P113" s="446"/>
      <c r="Q113" s="446"/>
      <c r="R113" s="468"/>
      <c r="S113" s="447"/>
    </row>
    <row r="114" spans="1:19" ht="14.4" customHeight="1" x14ac:dyDescent="0.3">
      <c r="A114" s="442"/>
      <c r="B114" s="443" t="s">
        <v>1090</v>
      </c>
      <c r="C114" s="443" t="s">
        <v>1082</v>
      </c>
      <c r="D114" s="443" t="s">
        <v>1080</v>
      </c>
      <c r="E114" s="443" t="s">
        <v>1141</v>
      </c>
      <c r="F114" s="443" t="s">
        <v>1191</v>
      </c>
      <c r="G114" s="443" t="s">
        <v>1192</v>
      </c>
      <c r="H114" s="446">
        <v>3</v>
      </c>
      <c r="I114" s="446">
        <v>350.01</v>
      </c>
      <c r="J114" s="443">
        <v>0.75003214331633306</v>
      </c>
      <c r="K114" s="443">
        <v>116.67</v>
      </c>
      <c r="L114" s="446">
        <v>4</v>
      </c>
      <c r="M114" s="446">
        <v>466.66</v>
      </c>
      <c r="N114" s="443">
        <v>1</v>
      </c>
      <c r="O114" s="443">
        <v>116.66500000000001</v>
      </c>
      <c r="P114" s="446">
        <v>3</v>
      </c>
      <c r="Q114" s="446">
        <v>350</v>
      </c>
      <c r="R114" s="468">
        <v>0.75001071443877765</v>
      </c>
      <c r="S114" s="447">
        <v>116.66666666666667</v>
      </c>
    </row>
    <row r="115" spans="1:19" ht="14.4" customHeight="1" x14ac:dyDescent="0.3">
      <c r="A115" s="442"/>
      <c r="B115" s="443" t="s">
        <v>1090</v>
      </c>
      <c r="C115" s="443" t="s">
        <v>1082</v>
      </c>
      <c r="D115" s="443" t="s">
        <v>1080</v>
      </c>
      <c r="E115" s="443" t="s">
        <v>1141</v>
      </c>
      <c r="F115" s="443" t="s">
        <v>1193</v>
      </c>
      <c r="G115" s="443" t="s">
        <v>1194</v>
      </c>
      <c r="H115" s="446"/>
      <c r="I115" s="446"/>
      <c r="J115" s="443"/>
      <c r="K115" s="443"/>
      <c r="L115" s="446">
        <v>3</v>
      </c>
      <c r="M115" s="446">
        <v>146.66999999999999</v>
      </c>
      <c r="N115" s="443">
        <v>1</v>
      </c>
      <c r="O115" s="443">
        <v>48.889999999999993</v>
      </c>
      <c r="P115" s="446">
        <v>9</v>
      </c>
      <c r="Q115" s="446">
        <v>440</v>
      </c>
      <c r="R115" s="468">
        <v>2.99993181973137</v>
      </c>
      <c r="S115" s="447">
        <v>48.888888888888886</v>
      </c>
    </row>
    <row r="116" spans="1:19" ht="14.4" customHeight="1" x14ac:dyDescent="0.3">
      <c r="A116" s="442"/>
      <c r="B116" s="443" t="s">
        <v>1090</v>
      </c>
      <c r="C116" s="443" t="s">
        <v>1082</v>
      </c>
      <c r="D116" s="443" t="s">
        <v>1080</v>
      </c>
      <c r="E116" s="443" t="s">
        <v>1141</v>
      </c>
      <c r="F116" s="443" t="s">
        <v>1197</v>
      </c>
      <c r="G116" s="443" t="s">
        <v>1198</v>
      </c>
      <c r="H116" s="446"/>
      <c r="I116" s="446"/>
      <c r="J116" s="443"/>
      <c r="K116" s="443"/>
      <c r="L116" s="446">
        <v>1</v>
      </c>
      <c r="M116" s="446">
        <v>292.22000000000003</v>
      </c>
      <c r="N116" s="443">
        <v>1</v>
      </c>
      <c r="O116" s="443">
        <v>292.22000000000003</v>
      </c>
      <c r="P116" s="446">
        <v>2</v>
      </c>
      <c r="Q116" s="446">
        <v>584.44000000000005</v>
      </c>
      <c r="R116" s="468">
        <v>2</v>
      </c>
      <c r="S116" s="447">
        <v>292.22000000000003</v>
      </c>
    </row>
    <row r="117" spans="1:19" ht="14.4" customHeight="1" x14ac:dyDescent="0.3">
      <c r="A117" s="442"/>
      <c r="B117" s="443" t="s">
        <v>1090</v>
      </c>
      <c r="C117" s="443" t="s">
        <v>1083</v>
      </c>
      <c r="D117" s="443" t="s">
        <v>1080</v>
      </c>
      <c r="E117" s="443" t="s">
        <v>1091</v>
      </c>
      <c r="F117" s="443" t="s">
        <v>1211</v>
      </c>
      <c r="G117" s="443"/>
      <c r="H117" s="446"/>
      <c r="I117" s="446"/>
      <c r="J117" s="443"/>
      <c r="K117" s="443"/>
      <c r="L117" s="446"/>
      <c r="M117" s="446"/>
      <c r="N117" s="443"/>
      <c r="O117" s="443"/>
      <c r="P117" s="446">
        <v>1</v>
      </c>
      <c r="Q117" s="446">
        <v>1657</v>
      </c>
      <c r="R117" s="468"/>
      <c r="S117" s="447">
        <v>1657</v>
      </c>
    </row>
    <row r="118" spans="1:19" ht="14.4" customHeight="1" x14ac:dyDescent="0.3">
      <c r="A118" s="442"/>
      <c r="B118" s="443" t="s">
        <v>1090</v>
      </c>
      <c r="C118" s="443" t="s">
        <v>1083</v>
      </c>
      <c r="D118" s="443" t="s">
        <v>1080</v>
      </c>
      <c r="E118" s="443" t="s">
        <v>1091</v>
      </c>
      <c r="F118" s="443" t="s">
        <v>1212</v>
      </c>
      <c r="G118" s="443"/>
      <c r="H118" s="446"/>
      <c r="I118" s="446"/>
      <c r="J118" s="443"/>
      <c r="K118" s="443"/>
      <c r="L118" s="446"/>
      <c r="M118" s="446"/>
      <c r="N118" s="443"/>
      <c r="O118" s="443"/>
      <c r="P118" s="446">
        <v>1</v>
      </c>
      <c r="Q118" s="446">
        <v>1281</v>
      </c>
      <c r="R118" s="468"/>
      <c r="S118" s="447">
        <v>1281</v>
      </c>
    </row>
    <row r="119" spans="1:19" ht="14.4" customHeight="1" x14ac:dyDescent="0.3">
      <c r="A119" s="442"/>
      <c r="B119" s="443" t="s">
        <v>1090</v>
      </c>
      <c r="C119" s="443" t="s">
        <v>1083</v>
      </c>
      <c r="D119" s="443" t="s">
        <v>1080</v>
      </c>
      <c r="E119" s="443" t="s">
        <v>1091</v>
      </c>
      <c r="F119" s="443" t="s">
        <v>1095</v>
      </c>
      <c r="G119" s="443"/>
      <c r="H119" s="446"/>
      <c r="I119" s="446"/>
      <c r="J119" s="443"/>
      <c r="K119" s="443"/>
      <c r="L119" s="446"/>
      <c r="M119" s="446"/>
      <c r="N119" s="443"/>
      <c r="O119" s="443"/>
      <c r="P119" s="446">
        <v>1</v>
      </c>
      <c r="Q119" s="446">
        <v>219</v>
      </c>
      <c r="R119" s="468"/>
      <c r="S119" s="447">
        <v>219</v>
      </c>
    </row>
    <row r="120" spans="1:19" ht="14.4" customHeight="1" x14ac:dyDescent="0.3">
      <c r="A120" s="442"/>
      <c r="B120" s="443" t="s">
        <v>1090</v>
      </c>
      <c r="C120" s="443" t="s">
        <v>1083</v>
      </c>
      <c r="D120" s="443" t="s">
        <v>1080</v>
      </c>
      <c r="E120" s="443" t="s">
        <v>1091</v>
      </c>
      <c r="F120" s="443" t="s">
        <v>1119</v>
      </c>
      <c r="G120" s="443"/>
      <c r="H120" s="446"/>
      <c r="I120" s="446"/>
      <c r="J120" s="443"/>
      <c r="K120" s="443"/>
      <c r="L120" s="446"/>
      <c r="M120" s="446"/>
      <c r="N120" s="443"/>
      <c r="O120" s="443"/>
      <c r="P120" s="446">
        <v>1</v>
      </c>
      <c r="Q120" s="446">
        <v>2000</v>
      </c>
      <c r="R120" s="468"/>
      <c r="S120" s="447">
        <v>2000</v>
      </c>
    </row>
    <row r="121" spans="1:19" ht="14.4" customHeight="1" x14ac:dyDescent="0.3">
      <c r="A121" s="442"/>
      <c r="B121" s="443" t="s">
        <v>1090</v>
      </c>
      <c r="C121" s="443" t="s">
        <v>1083</v>
      </c>
      <c r="D121" s="443" t="s">
        <v>1080</v>
      </c>
      <c r="E121" s="443" t="s">
        <v>1091</v>
      </c>
      <c r="F121" s="443" t="s">
        <v>1127</v>
      </c>
      <c r="G121" s="443"/>
      <c r="H121" s="446">
        <v>1</v>
      </c>
      <c r="I121" s="446">
        <v>225</v>
      </c>
      <c r="J121" s="443"/>
      <c r="K121" s="443">
        <v>225</v>
      </c>
      <c r="L121" s="446"/>
      <c r="M121" s="446"/>
      <c r="N121" s="443"/>
      <c r="O121" s="443"/>
      <c r="P121" s="446"/>
      <c r="Q121" s="446"/>
      <c r="R121" s="468"/>
      <c r="S121" s="447"/>
    </row>
    <row r="122" spans="1:19" ht="14.4" customHeight="1" x14ac:dyDescent="0.3">
      <c r="A122" s="442"/>
      <c r="B122" s="443" t="s">
        <v>1090</v>
      </c>
      <c r="C122" s="443" t="s">
        <v>1083</v>
      </c>
      <c r="D122" s="443" t="s">
        <v>1080</v>
      </c>
      <c r="E122" s="443" t="s">
        <v>1141</v>
      </c>
      <c r="F122" s="443" t="s">
        <v>1142</v>
      </c>
      <c r="G122" s="443" t="s">
        <v>1143</v>
      </c>
      <c r="H122" s="446">
        <v>24</v>
      </c>
      <c r="I122" s="446">
        <v>10613.33</v>
      </c>
      <c r="J122" s="443">
        <v>1.1158876303607044</v>
      </c>
      <c r="K122" s="443">
        <v>442.22208333333333</v>
      </c>
      <c r="L122" s="446">
        <v>20</v>
      </c>
      <c r="M122" s="446">
        <v>9511.11</v>
      </c>
      <c r="N122" s="443">
        <v>1</v>
      </c>
      <c r="O122" s="443">
        <v>475.55550000000005</v>
      </c>
      <c r="P122" s="446">
        <v>17</v>
      </c>
      <c r="Q122" s="446">
        <v>8651.1200000000008</v>
      </c>
      <c r="R122" s="468">
        <v>0.90958048009117765</v>
      </c>
      <c r="S122" s="447">
        <v>508.88941176470593</v>
      </c>
    </row>
    <row r="123" spans="1:19" ht="14.4" customHeight="1" x14ac:dyDescent="0.3">
      <c r="A123" s="442"/>
      <c r="B123" s="443" t="s">
        <v>1090</v>
      </c>
      <c r="C123" s="443" t="s">
        <v>1083</v>
      </c>
      <c r="D123" s="443" t="s">
        <v>1080</v>
      </c>
      <c r="E123" s="443" t="s">
        <v>1141</v>
      </c>
      <c r="F123" s="443" t="s">
        <v>1144</v>
      </c>
      <c r="G123" s="443" t="s">
        <v>1145</v>
      </c>
      <c r="H123" s="446">
        <v>48</v>
      </c>
      <c r="I123" s="446">
        <v>21866.67</v>
      </c>
      <c r="J123" s="443">
        <v>0.78688533439083019</v>
      </c>
      <c r="K123" s="443">
        <v>455.55562499999996</v>
      </c>
      <c r="L123" s="446">
        <v>61</v>
      </c>
      <c r="M123" s="446">
        <v>27788.890000000003</v>
      </c>
      <c r="N123" s="443">
        <v>1</v>
      </c>
      <c r="O123" s="443">
        <v>455.55557377049183</v>
      </c>
      <c r="P123" s="446">
        <v>42</v>
      </c>
      <c r="Q123" s="446">
        <v>21000</v>
      </c>
      <c r="R123" s="468">
        <v>0.75569769069581394</v>
      </c>
      <c r="S123" s="447">
        <v>500</v>
      </c>
    </row>
    <row r="124" spans="1:19" ht="14.4" customHeight="1" x14ac:dyDescent="0.3">
      <c r="A124" s="442"/>
      <c r="B124" s="443" t="s">
        <v>1090</v>
      </c>
      <c r="C124" s="443" t="s">
        <v>1083</v>
      </c>
      <c r="D124" s="443" t="s">
        <v>1080</v>
      </c>
      <c r="E124" s="443" t="s">
        <v>1141</v>
      </c>
      <c r="F124" s="443" t="s">
        <v>1201</v>
      </c>
      <c r="G124" s="443" t="s">
        <v>1202</v>
      </c>
      <c r="H124" s="446">
        <v>151</v>
      </c>
      <c r="I124" s="446">
        <v>15938.890000000001</v>
      </c>
      <c r="J124" s="443">
        <v>0.81621576225471493</v>
      </c>
      <c r="K124" s="443">
        <v>105.55556291390729</v>
      </c>
      <c r="L124" s="446">
        <v>185</v>
      </c>
      <c r="M124" s="446">
        <v>19527.79</v>
      </c>
      <c r="N124" s="443">
        <v>1</v>
      </c>
      <c r="O124" s="443">
        <v>105.55562162162163</v>
      </c>
      <c r="P124" s="446">
        <v>191</v>
      </c>
      <c r="Q124" s="446">
        <v>20161.11</v>
      </c>
      <c r="R124" s="468">
        <v>1.032431729345717</v>
      </c>
      <c r="S124" s="447">
        <v>105.5555497382199</v>
      </c>
    </row>
    <row r="125" spans="1:19" ht="14.4" customHeight="1" x14ac:dyDescent="0.3">
      <c r="A125" s="442"/>
      <c r="B125" s="443" t="s">
        <v>1090</v>
      </c>
      <c r="C125" s="443" t="s">
        <v>1083</v>
      </c>
      <c r="D125" s="443" t="s">
        <v>1080</v>
      </c>
      <c r="E125" s="443" t="s">
        <v>1141</v>
      </c>
      <c r="F125" s="443" t="s">
        <v>1146</v>
      </c>
      <c r="G125" s="443" t="s">
        <v>1147</v>
      </c>
      <c r="H125" s="446">
        <v>63</v>
      </c>
      <c r="I125" s="446">
        <v>4900.0100000000011</v>
      </c>
      <c r="J125" s="443">
        <v>0.91304477450635146</v>
      </c>
      <c r="K125" s="443">
        <v>77.777936507936531</v>
      </c>
      <c r="L125" s="446">
        <v>69</v>
      </c>
      <c r="M125" s="446">
        <v>5366.67</v>
      </c>
      <c r="N125" s="443">
        <v>1</v>
      </c>
      <c r="O125" s="443">
        <v>77.777826086956523</v>
      </c>
      <c r="P125" s="446">
        <v>126</v>
      </c>
      <c r="Q125" s="446">
        <v>9799.99</v>
      </c>
      <c r="R125" s="468">
        <v>1.8260839589540627</v>
      </c>
      <c r="S125" s="447">
        <v>77.777698412698413</v>
      </c>
    </row>
    <row r="126" spans="1:19" ht="14.4" customHeight="1" x14ac:dyDescent="0.3">
      <c r="A126" s="442"/>
      <c r="B126" s="443" t="s">
        <v>1090</v>
      </c>
      <c r="C126" s="443" t="s">
        <v>1083</v>
      </c>
      <c r="D126" s="443" t="s">
        <v>1080</v>
      </c>
      <c r="E126" s="443" t="s">
        <v>1141</v>
      </c>
      <c r="F126" s="443" t="s">
        <v>1152</v>
      </c>
      <c r="G126" s="443" t="s">
        <v>1153</v>
      </c>
      <c r="H126" s="446">
        <v>67</v>
      </c>
      <c r="I126" s="446">
        <v>7444.4500000000007</v>
      </c>
      <c r="J126" s="443">
        <v>1.0460580580524319</v>
      </c>
      <c r="K126" s="443">
        <v>111.11119402985075</v>
      </c>
      <c r="L126" s="446">
        <v>61</v>
      </c>
      <c r="M126" s="446">
        <v>7116.67</v>
      </c>
      <c r="N126" s="443">
        <v>1</v>
      </c>
      <c r="O126" s="443">
        <v>116.66672131147541</v>
      </c>
      <c r="P126" s="446">
        <v>95</v>
      </c>
      <c r="Q126" s="446">
        <v>11083.34</v>
      </c>
      <c r="R126" s="468">
        <v>1.5573772564977721</v>
      </c>
      <c r="S126" s="447">
        <v>116.66673684210527</v>
      </c>
    </row>
    <row r="127" spans="1:19" ht="14.4" customHeight="1" x14ac:dyDescent="0.3">
      <c r="A127" s="442"/>
      <c r="B127" s="443" t="s">
        <v>1090</v>
      </c>
      <c r="C127" s="443" t="s">
        <v>1083</v>
      </c>
      <c r="D127" s="443" t="s">
        <v>1080</v>
      </c>
      <c r="E127" s="443" t="s">
        <v>1141</v>
      </c>
      <c r="F127" s="443" t="s">
        <v>1203</v>
      </c>
      <c r="G127" s="443" t="s">
        <v>1204</v>
      </c>
      <c r="H127" s="446">
        <v>21</v>
      </c>
      <c r="I127" s="446">
        <v>7350</v>
      </c>
      <c r="J127" s="443">
        <v>1.1812504218751507</v>
      </c>
      <c r="K127" s="443">
        <v>350</v>
      </c>
      <c r="L127" s="446">
        <v>16</v>
      </c>
      <c r="M127" s="446">
        <v>6222.2199999999993</v>
      </c>
      <c r="N127" s="443">
        <v>1</v>
      </c>
      <c r="O127" s="443">
        <v>388.88874999999996</v>
      </c>
      <c r="P127" s="446">
        <v>25</v>
      </c>
      <c r="Q127" s="446">
        <v>9722.2199999999993</v>
      </c>
      <c r="R127" s="468">
        <v>1.562500200892929</v>
      </c>
      <c r="S127" s="447">
        <v>388.88879999999995</v>
      </c>
    </row>
    <row r="128" spans="1:19" ht="14.4" customHeight="1" x14ac:dyDescent="0.3">
      <c r="A128" s="442"/>
      <c r="B128" s="443" t="s">
        <v>1090</v>
      </c>
      <c r="C128" s="443" t="s">
        <v>1083</v>
      </c>
      <c r="D128" s="443" t="s">
        <v>1080</v>
      </c>
      <c r="E128" s="443" t="s">
        <v>1141</v>
      </c>
      <c r="F128" s="443" t="s">
        <v>1154</v>
      </c>
      <c r="G128" s="443" t="s">
        <v>1155</v>
      </c>
      <c r="H128" s="446">
        <v>97</v>
      </c>
      <c r="I128" s="446">
        <v>26082.22</v>
      </c>
      <c r="J128" s="443">
        <v>0.5114160784313726</v>
      </c>
      <c r="K128" s="443">
        <v>268.88886597938148</v>
      </c>
      <c r="L128" s="446">
        <v>170</v>
      </c>
      <c r="M128" s="446">
        <v>51000</v>
      </c>
      <c r="N128" s="443">
        <v>1</v>
      </c>
      <c r="O128" s="443">
        <v>300</v>
      </c>
      <c r="P128" s="446">
        <v>184</v>
      </c>
      <c r="Q128" s="446">
        <v>55200</v>
      </c>
      <c r="R128" s="468">
        <v>1.0823529411764705</v>
      </c>
      <c r="S128" s="447">
        <v>300</v>
      </c>
    </row>
    <row r="129" spans="1:19" ht="14.4" customHeight="1" x14ac:dyDescent="0.3">
      <c r="A129" s="442"/>
      <c r="B129" s="443" t="s">
        <v>1090</v>
      </c>
      <c r="C129" s="443" t="s">
        <v>1083</v>
      </c>
      <c r="D129" s="443" t="s">
        <v>1080</v>
      </c>
      <c r="E129" s="443" t="s">
        <v>1141</v>
      </c>
      <c r="F129" s="443" t="s">
        <v>1156</v>
      </c>
      <c r="G129" s="443" t="s">
        <v>1157</v>
      </c>
      <c r="H129" s="446">
        <v>4</v>
      </c>
      <c r="I129" s="446">
        <v>1177.77</v>
      </c>
      <c r="J129" s="443">
        <v>1</v>
      </c>
      <c r="K129" s="443">
        <v>294.4425</v>
      </c>
      <c r="L129" s="446">
        <v>4</v>
      </c>
      <c r="M129" s="446">
        <v>1177.77</v>
      </c>
      <c r="N129" s="443">
        <v>1</v>
      </c>
      <c r="O129" s="443">
        <v>294.4425</v>
      </c>
      <c r="P129" s="446">
        <v>3</v>
      </c>
      <c r="Q129" s="446">
        <v>883.33</v>
      </c>
      <c r="R129" s="468">
        <v>0.75000212265552701</v>
      </c>
      <c r="S129" s="447">
        <v>294.44333333333333</v>
      </c>
    </row>
    <row r="130" spans="1:19" ht="14.4" customHeight="1" x14ac:dyDescent="0.3">
      <c r="A130" s="442"/>
      <c r="B130" s="443" t="s">
        <v>1090</v>
      </c>
      <c r="C130" s="443" t="s">
        <v>1083</v>
      </c>
      <c r="D130" s="443" t="s">
        <v>1080</v>
      </c>
      <c r="E130" s="443" t="s">
        <v>1141</v>
      </c>
      <c r="F130" s="443" t="s">
        <v>1158</v>
      </c>
      <c r="G130" s="443" t="s">
        <v>1159</v>
      </c>
      <c r="H130" s="446"/>
      <c r="I130" s="446"/>
      <c r="J130" s="443"/>
      <c r="K130" s="443"/>
      <c r="L130" s="446">
        <v>1</v>
      </c>
      <c r="M130" s="446">
        <v>33.33</v>
      </c>
      <c r="N130" s="443">
        <v>1</v>
      </c>
      <c r="O130" s="443">
        <v>33.33</v>
      </c>
      <c r="P130" s="446">
        <v>1</v>
      </c>
      <c r="Q130" s="446">
        <v>33.33</v>
      </c>
      <c r="R130" s="468">
        <v>1</v>
      </c>
      <c r="S130" s="447">
        <v>33.33</v>
      </c>
    </row>
    <row r="131" spans="1:19" ht="14.4" customHeight="1" x14ac:dyDescent="0.3">
      <c r="A131" s="442"/>
      <c r="B131" s="443" t="s">
        <v>1090</v>
      </c>
      <c r="C131" s="443" t="s">
        <v>1083</v>
      </c>
      <c r="D131" s="443" t="s">
        <v>1080</v>
      </c>
      <c r="E131" s="443" t="s">
        <v>1141</v>
      </c>
      <c r="F131" s="443" t="s">
        <v>1160</v>
      </c>
      <c r="G131" s="443" t="s">
        <v>1145</v>
      </c>
      <c r="H131" s="446">
        <v>234</v>
      </c>
      <c r="I131" s="446">
        <v>87360</v>
      </c>
      <c r="J131" s="443">
        <v>0.98319320354192652</v>
      </c>
      <c r="K131" s="443">
        <v>373.33333333333331</v>
      </c>
      <c r="L131" s="446">
        <v>238</v>
      </c>
      <c r="M131" s="446">
        <v>88853.34</v>
      </c>
      <c r="N131" s="443">
        <v>1</v>
      </c>
      <c r="O131" s="443">
        <v>373.33336134453782</v>
      </c>
      <c r="P131" s="446">
        <v>235</v>
      </c>
      <c r="Q131" s="446">
        <v>98177.77</v>
      </c>
      <c r="R131" s="468">
        <v>1.1049418063519054</v>
      </c>
      <c r="S131" s="447">
        <v>417.77774468085107</v>
      </c>
    </row>
    <row r="132" spans="1:19" ht="14.4" customHeight="1" x14ac:dyDescent="0.3">
      <c r="A132" s="442"/>
      <c r="B132" s="443" t="s">
        <v>1090</v>
      </c>
      <c r="C132" s="443" t="s">
        <v>1083</v>
      </c>
      <c r="D132" s="443" t="s">
        <v>1080</v>
      </c>
      <c r="E132" s="443" t="s">
        <v>1141</v>
      </c>
      <c r="F132" s="443" t="s">
        <v>1161</v>
      </c>
      <c r="G132" s="443" t="s">
        <v>1162</v>
      </c>
      <c r="H132" s="446">
        <v>10</v>
      </c>
      <c r="I132" s="446">
        <v>1866.67</v>
      </c>
      <c r="J132" s="443">
        <v>0.58947597784416383</v>
      </c>
      <c r="K132" s="443">
        <v>186.667</v>
      </c>
      <c r="L132" s="446">
        <v>15</v>
      </c>
      <c r="M132" s="446">
        <v>3166.6600000000003</v>
      </c>
      <c r="N132" s="443">
        <v>1</v>
      </c>
      <c r="O132" s="443">
        <v>211.11066666666667</v>
      </c>
      <c r="P132" s="446">
        <v>22</v>
      </c>
      <c r="Q132" s="446">
        <v>4644.43</v>
      </c>
      <c r="R132" s="468">
        <v>1.4666651929793535</v>
      </c>
      <c r="S132" s="447">
        <v>211.11045454545456</v>
      </c>
    </row>
    <row r="133" spans="1:19" ht="14.4" customHeight="1" x14ac:dyDescent="0.3">
      <c r="A133" s="442"/>
      <c r="B133" s="443" t="s">
        <v>1090</v>
      </c>
      <c r="C133" s="443" t="s">
        <v>1083</v>
      </c>
      <c r="D133" s="443" t="s">
        <v>1080</v>
      </c>
      <c r="E133" s="443" t="s">
        <v>1141</v>
      </c>
      <c r="F133" s="443" t="s">
        <v>1163</v>
      </c>
      <c r="G133" s="443" t="s">
        <v>1164</v>
      </c>
      <c r="H133" s="446">
        <v>6</v>
      </c>
      <c r="I133" s="446">
        <v>3500</v>
      </c>
      <c r="J133" s="443">
        <v>1</v>
      </c>
      <c r="K133" s="443">
        <v>583.33333333333337</v>
      </c>
      <c r="L133" s="446">
        <v>6</v>
      </c>
      <c r="M133" s="446">
        <v>3500</v>
      </c>
      <c r="N133" s="443">
        <v>1</v>
      </c>
      <c r="O133" s="443">
        <v>583.33333333333337</v>
      </c>
      <c r="P133" s="446">
        <v>10</v>
      </c>
      <c r="Q133" s="446">
        <v>5833.34</v>
      </c>
      <c r="R133" s="468">
        <v>1.6666685714285714</v>
      </c>
      <c r="S133" s="447">
        <v>583.33400000000006</v>
      </c>
    </row>
    <row r="134" spans="1:19" ht="14.4" customHeight="1" x14ac:dyDescent="0.3">
      <c r="A134" s="442"/>
      <c r="B134" s="443" t="s">
        <v>1090</v>
      </c>
      <c r="C134" s="443" t="s">
        <v>1083</v>
      </c>
      <c r="D134" s="443" t="s">
        <v>1080</v>
      </c>
      <c r="E134" s="443" t="s">
        <v>1141</v>
      </c>
      <c r="F134" s="443" t="s">
        <v>1165</v>
      </c>
      <c r="G134" s="443" t="s">
        <v>1166</v>
      </c>
      <c r="H134" s="446">
        <v>4</v>
      </c>
      <c r="I134" s="446">
        <v>1866.67</v>
      </c>
      <c r="J134" s="443">
        <v>0.40000042857112245</v>
      </c>
      <c r="K134" s="443">
        <v>466.66750000000002</v>
      </c>
      <c r="L134" s="446">
        <v>10</v>
      </c>
      <c r="M134" s="446">
        <v>4666.67</v>
      </c>
      <c r="N134" s="443">
        <v>1</v>
      </c>
      <c r="O134" s="443">
        <v>466.66700000000003</v>
      </c>
      <c r="P134" s="446">
        <v>5</v>
      </c>
      <c r="Q134" s="446">
        <v>2333.34</v>
      </c>
      <c r="R134" s="468">
        <v>0.50000107142780614</v>
      </c>
      <c r="S134" s="447">
        <v>466.66800000000001</v>
      </c>
    </row>
    <row r="135" spans="1:19" ht="14.4" customHeight="1" x14ac:dyDescent="0.3">
      <c r="A135" s="442"/>
      <c r="B135" s="443" t="s">
        <v>1090</v>
      </c>
      <c r="C135" s="443" t="s">
        <v>1083</v>
      </c>
      <c r="D135" s="443" t="s">
        <v>1080</v>
      </c>
      <c r="E135" s="443" t="s">
        <v>1141</v>
      </c>
      <c r="F135" s="443" t="s">
        <v>1213</v>
      </c>
      <c r="G135" s="443" t="s">
        <v>1166</v>
      </c>
      <c r="H135" s="446">
        <v>1</v>
      </c>
      <c r="I135" s="446">
        <v>1000</v>
      </c>
      <c r="J135" s="443">
        <v>1</v>
      </c>
      <c r="K135" s="443">
        <v>1000</v>
      </c>
      <c r="L135" s="446">
        <v>1</v>
      </c>
      <c r="M135" s="446">
        <v>1000</v>
      </c>
      <c r="N135" s="443">
        <v>1</v>
      </c>
      <c r="O135" s="443">
        <v>1000</v>
      </c>
      <c r="P135" s="446"/>
      <c r="Q135" s="446"/>
      <c r="R135" s="468"/>
      <c r="S135" s="447"/>
    </row>
    <row r="136" spans="1:19" ht="14.4" customHeight="1" x14ac:dyDescent="0.3">
      <c r="A136" s="442"/>
      <c r="B136" s="443" t="s">
        <v>1090</v>
      </c>
      <c r="C136" s="443" t="s">
        <v>1083</v>
      </c>
      <c r="D136" s="443" t="s">
        <v>1080</v>
      </c>
      <c r="E136" s="443" t="s">
        <v>1141</v>
      </c>
      <c r="F136" s="443" t="s">
        <v>1167</v>
      </c>
      <c r="G136" s="443" t="s">
        <v>1168</v>
      </c>
      <c r="H136" s="446">
        <v>55</v>
      </c>
      <c r="I136" s="446">
        <v>2750</v>
      </c>
      <c r="J136" s="443">
        <v>1.375</v>
      </c>
      <c r="K136" s="443">
        <v>50</v>
      </c>
      <c r="L136" s="446">
        <v>40</v>
      </c>
      <c r="M136" s="446">
        <v>2000</v>
      </c>
      <c r="N136" s="443">
        <v>1</v>
      </c>
      <c r="O136" s="443">
        <v>50</v>
      </c>
      <c r="P136" s="446">
        <v>47</v>
      </c>
      <c r="Q136" s="446">
        <v>2350</v>
      </c>
      <c r="R136" s="468">
        <v>1.175</v>
      </c>
      <c r="S136" s="447">
        <v>50</v>
      </c>
    </row>
    <row r="137" spans="1:19" ht="14.4" customHeight="1" x14ac:dyDescent="0.3">
      <c r="A137" s="442"/>
      <c r="B137" s="443" t="s">
        <v>1090</v>
      </c>
      <c r="C137" s="443" t="s">
        <v>1083</v>
      </c>
      <c r="D137" s="443" t="s">
        <v>1080</v>
      </c>
      <c r="E137" s="443" t="s">
        <v>1141</v>
      </c>
      <c r="F137" s="443" t="s">
        <v>1173</v>
      </c>
      <c r="G137" s="443" t="s">
        <v>1174</v>
      </c>
      <c r="H137" s="446">
        <v>2</v>
      </c>
      <c r="I137" s="446">
        <v>0</v>
      </c>
      <c r="J137" s="443"/>
      <c r="K137" s="443">
        <v>0</v>
      </c>
      <c r="L137" s="446"/>
      <c r="M137" s="446"/>
      <c r="N137" s="443"/>
      <c r="O137" s="443"/>
      <c r="P137" s="446">
        <v>2</v>
      </c>
      <c r="Q137" s="446">
        <v>0</v>
      </c>
      <c r="R137" s="468"/>
      <c r="S137" s="447">
        <v>0</v>
      </c>
    </row>
    <row r="138" spans="1:19" ht="14.4" customHeight="1" x14ac:dyDescent="0.3">
      <c r="A138" s="442"/>
      <c r="B138" s="443" t="s">
        <v>1090</v>
      </c>
      <c r="C138" s="443" t="s">
        <v>1083</v>
      </c>
      <c r="D138" s="443" t="s">
        <v>1080</v>
      </c>
      <c r="E138" s="443" t="s">
        <v>1141</v>
      </c>
      <c r="F138" s="443" t="s">
        <v>1175</v>
      </c>
      <c r="G138" s="443" t="s">
        <v>1176</v>
      </c>
      <c r="H138" s="446">
        <v>78</v>
      </c>
      <c r="I138" s="446">
        <v>23833.32</v>
      </c>
      <c r="J138" s="443">
        <v>0.8571428571428571</v>
      </c>
      <c r="K138" s="443">
        <v>305.55538461538464</v>
      </c>
      <c r="L138" s="446">
        <v>91</v>
      </c>
      <c r="M138" s="446">
        <v>27805.54</v>
      </c>
      <c r="N138" s="443">
        <v>1</v>
      </c>
      <c r="O138" s="443">
        <v>305.55538461538464</v>
      </c>
      <c r="P138" s="446">
        <v>130</v>
      </c>
      <c r="Q138" s="446">
        <v>39722.22</v>
      </c>
      <c r="R138" s="468">
        <v>1.4285721478525502</v>
      </c>
      <c r="S138" s="447">
        <v>305.55553846153845</v>
      </c>
    </row>
    <row r="139" spans="1:19" ht="14.4" customHeight="1" x14ac:dyDescent="0.3">
      <c r="A139" s="442"/>
      <c r="B139" s="443" t="s">
        <v>1090</v>
      </c>
      <c r="C139" s="443" t="s">
        <v>1083</v>
      </c>
      <c r="D139" s="443" t="s">
        <v>1080</v>
      </c>
      <c r="E139" s="443" t="s">
        <v>1141</v>
      </c>
      <c r="F139" s="443" t="s">
        <v>1177</v>
      </c>
      <c r="G139" s="443" t="s">
        <v>1178</v>
      </c>
      <c r="H139" s="446">
        <v>15</v>
      </c>
      <c r="I139" s="446">
        <v>0</v>
      </c>
      <c r="J139" s="443">
        <v>0</v>
      </c>
      <c r="K139" s="443">
        <v>0</v>
      </c>
      <c r="L139" s="446">
        <v>12</v>
      </c>
      <c r="M139" s="446">
        <v>400</v>
      </c>
      <c r="N139" s="443">
        <v>1</v>
      </c>
      <c r="O139" s="443">
        <v>33.333333333333336</v>
      </c>
      <c r="P139" s="446">
        <v>24</v>
      </c>
      <c r="Q139" s="446">
        <v>800</v>
      </c>
      <c r="R139" s="468">
        <v>2</v>
      </c>
      <c r="S139" s="447">
        <v>33.333333333333336</v>
      </c>
    </row>
    <row r="140" spans="1:19" ht="14.4" customHeight="1" x14ac:dyDescent="0.3">
      <c r="A140" s="442"/>
      <c r="B140" s="443" t="s">
        <v>1090</v>
      </c>
      <c r="C140" s="443" t="s">
        <v>1083</v>
      </c>
      <c r="D140" s="443" t="s">
        <v>1080</v>
      </c>
      <c r="E140" s="443" t="s">
        <v>1141</v>
      </c>
      <c r="F140" s="443" t="s">
        <v>1179</v>
      </c>
      <c r="G140" s="443" t="s">
        <v>1180</v>
      </c>
      <c r="H140" s="446">
        <v>298</v>
      </c>
      <c r="I140" s="446">
        <v>135755.54999999999</v>
      </c>
      <c r="J140" s="443">
        <v>1.0955882887005279</v>
      </c>
      <c r="K140" s="443">
        <v>455.55553691275162</v>
      </c>
      <c r="L140" s="446">
        <v>272</v>
      </c>
      <c r="M140" s="446">
        <v>123911.1</v>
      </c>
      <c r="N140" s="443">
        <v>1</v>
      </c>
      <c r="O140" s="443">
        <v>455.55551470588239</v>
      </c>
      <c r="P140" s="446">
        <v>355</v>
      </c>
      <c r="Q140" s="446">
        <v>161722.24000000002</v>
      </c>
      <c r="R140" s="468">
        <v>1.3051473193281313</v>
      </c>
      <c r="S140" s="447">
        <v>455.55560563380288</v>
      </c>
    </row>
    <row r="141" spans="1:19" ht="14.4" customHeight="1" x14ac:dyDescent="0.3">
      <c r="A141" s="442"/>
      <c r="B141" s="443" t="s">
        <v>1090</v>
      </c>
      <c r="C141" s="443" t="s">
        <v>1083</v>
      </c>
      <c r="D141" s="443" t="s">
        <v>1080</v>
      </c>
      <c r="E141" s="443" t="s">
        <v>1141</v>
      </c>
      <c r="F141" s="443" t="s">
        <v>1181</v>
      </c>
      <c r="G141" s="443" t="s">
        <v>1182</v>
      </c>
      <c r="H141" s="446">
        <v>110</v>
      </c>
      <c r="I141" s="446">
        <v>8555.56</v>
      </c>
      <c r="J141" s="443">
        <v>0.92436978421619009</v>
      </c>
      <c r="K141" s="443">
        <v>77.777818181818176</v>
      </c>
      <c r="L141" s="446">
        <v>119</v>
      </c>
      <c r="M141" s="446">
        <v>9255.56</v>
      </c>
      <c r="N141" s="443">
        <v>1</v>
      </c>
      <c r="O141" s="443">
        <v>77.777815126050413</v>
      </c>
      <c r="P141" s="446">
        <v>160</v>
      </c>
      <c r="Q141" s="446">
        <v>12444.449999999999</v>
      </c>
      <c r="R141" s="468">
        <v>1.3445377697297625</v>
      </c>
      <c r="S141" s="447">
        <v>77.777812499999996</v>
      </c>
    </row>
    <row r="142" spans="1:19" ht="14.4" customHeight="1" x14ac:dyDescent="0.3">
      <c r="A142" s="442"/>
      <c r="B142" s="443" t="s">
        <v>1090</v>
      </c>
      <c r="C142" s="443" t="s">
        <v>1083</v>
      </c>
      <c r="D142" s="443" t="s">
        <v>1080</v>
      </c>
      <c r="E142" s="443" t="s">
        <v>1141</v>
      </c>
      <c r="F142" s="443" t="s">
        <v>1214</v>
      </c>
      <c r="G142" s="443" t="s">
        <v>1215</v>
      </c>
      <c r="H142" s="446">
        <v>9</v>
      </c>
      <c r="I142" s="446">
        <v>6300</v>
      </c>
      <c r="J142" s="443">
        <v>0.47368421052631576</v>
      </c>
      <c r="K142" s="443">
        <v>700</v>
      </c>
      <c r="L142" s="446">
        <v>19</v>
      </c>
      <c r="M142" s="446">
        <v>13300</v>
      </c>
      <c r="N142" s="443">
        <v>1</v>
      </c>
      <c r="O142" s="443">
        <v>700</v>
      </c>
      <c r="P142" s="446">
        <v>20</v>
      </c>
      <c r="Q142" s="446">
        <v>14000</v>
      </c>
      <c r="R142" s="468">
        <v>1.0526315789473684</v>
      </c>
      <c r="S142" s="447">
        <v>700</v>
      </c>
    </row>
    <row r="143" spans="1:19" ht="14.4" customHeight="1" x14ac:dyDescent="0.3">
      <c r="A143" s="442"/>
      <c r="B143" s="443" t="s">
        <v>1090</v>
      </c>
      <c r="C143" s="443" t="s">
        <v>1083</v>
      </c>
      <c r="D143" s="443" t="s">
        <v>1080</v>
      </c>
      <c r="E143" s="443" t="s">
        <v>1141</v>
      </c>
      <c r="F143" s="443" t="s">
        <v>1185</v>
      </c>
      <c r="G143" s="443" t="s">
        <v>1186</v>
      </c>
      <c r="H143" s="446">
        <v>143</v>
      </c>
      <c r="I143" s="446">
        <v>12711.109999999999</v>
      </c>
      <c r="J143" s="443">
        <v>0.81568637768692576</v>
      </c>
      <c r="K143" s="443">
        <v>88.888881118881116</v>
      </c>
      <c r="L143" s="446">
        <v>165</v>
      </c>
      <c r="M143" s="446">
        <v>15583.329999999998</v>
      </c>
      <c r="N143" s="443">
        <v>1</v>
      </c>
      <c r="O143" s="443">
        <v>94.444424242424233</v>
      </c>
      <c r="P143" s="446">
        <v>231</v>
      </c>
      <c r="Q143" s="446">
        <v>21816.66</v>
      </c>
      <c r="R143" s="468">
        <v>1.3999998716577267</v>
      </c>
      <c r="S143" s="447">
        <v>94.44441558441558</v>
      </c>
    </row>
    <row r="144" spans="1:19" ht="14.4" customHeight="1" x14ac:dyDescent="0.3">
      <c r="A144" s="442"/>
      <c r="B144" s="443" t="s">
        <v>1090</v>
      </c>
      <c r="C144" s="443" t="s">
        <v>1083</v>
      </c>
      <c r="D144" s="443" t="s">
        <v>1080</v>
      </c>
      <c r="E144" s="443" t="s">
        <v>1141</v>
      </c>
      <c r="F144" s="443" t="s">
        <v>1187</v>
      </c>
      <c r="G144" s="443" t="s">
        <v>1188</v>
      </c>
      <c r="H144" s="446"/>
      <c r="I144" s="446"/>
      <c r="J144" s="443"/>
      <c r="K144" s="443"/>
      <c r="L144" s="446">
        <v>1</v>
      </c>
      <c r="M144" s="446">
        <v>43.33</v>
      </c>
      <c r="N144" s="443">
        <v>1</v>
      </c>
      <c r="O144" s="443">
        <v>43.33</v>
      </c>
      <c r="P144" s="446"/>
      <c r="Q144" s="446"/>
      <c r="R144" s="468"/>
      <c r="S144" s="447"/>
    </row>
    <row r="145" spans="1:19" ht="14.4" customHeight="1" x14ac:dyDescent="0.3">
      <c r="A145" s="442"/>
      <c r="B145" s="443" t="s">
        <v>1090</v>
      </c>
      <c r="C145" s="443" t="s">
        <v>1083</v>
      </c>
      <c r="D145" s="443" t="s">
        <v>1080</v>
      </c>
      <c r="E145" s="443" t="s">
        <v>1141</v>
      </c>
      <c r="F145" s="443" t="s">
        <v>1207</v>
      </c>
      <c r="G145" s="443" t="s">
        <v>1208</v>
      </c>
      <c r="H145" s="446">
        <v>142</v>
      </c>
      <c r="I145" s="446">
        <v>13726.67</v>
      </c>
      <c r="J145" s="443">
        <v>0.86585405085240763</v>
      </c>
      <c r="K145" s="443">
        <v>96.666690140845077</v>
      </c>
      <c r="L145" s="446">
        <v>164</v>
      </c>
      <c r="M145" s="446">
        <v>15853.33</v>
      </c>
      <c r="N145" s="443">
        <v>1</v>
      </c>
      <c r="O145" s="443">
        <v>96.666646341463419</v>
      </c>
      <c r="P145" s="446">
        <v>227</v>
      </c>
      <c r="Q145" s="446">
        <v>21943.33</v>
      </c>
      <c r="R145" s="468">
        <v>1.3841464222343194</v>
      </c>
      <c r="S145" s="447">
        <v>96.666651982378866</v>
      </c>
    </row>
    <row r="146" spans="1:19" ht="14.4" customHeight="1" x14ac:dyDescent="0.3">
      <c r="A146" s="442"/>
      <c r="B146" s="443" t="s">
        <v>1090</v>
      </c>
      <c r="C146" s="443" t="s">
        <v>1083</v>
      </c>
      <c r="D146" s="443" t="s">
        <v>1080</v>
      </c>
      <c r="E146" s="443" t="s">
        <v>1141</v>
      </c>
      <c r="F146" s="443" t="s">
        <v>1189</v>
      </c>
      <c r="G146" s="443" t="s">
        <v>1190</v>
      </c>
      <c r="H146" s="446">
        <v>143</v>
      </c>
      <c r="I146" s="446">
        <v>20020</v>
      </c>
      <c r="J146" s="443">
        <v>0.46746571704033962</v>
      </c>
      <c r="K146" s="443">
        <v>140</v>
      </c>
      <c r="L146" s="446">
        <v>219</v>
      </c>
      <c r="M146" s="446">
        <v>42826.67</v>
      </c>
      <c r="N146" s="443">
        <v>1</v>
      </c>
      <c r="O146" s="443">
        <v>195.55557077625571</v>
      </c>
      <c r="P146" s="446">
        <v>204</v>
      </c>
      <c r="Q146" s="446">
        <v>39893.32</v>
      </c>
      <c r="R146" s="468">
        <v>0.93150646548050553</v>
      </c>
      <c r="S146" s="447">
        <v>195.55549019607844</v>
      </c>
    </row>
    <row r="147" spans="1:19" ht="14.4" customHeight="1" x14ac:dyDescent="0.3">
      <c r="A147" s="442"/>
      <c r="B147" s="443" t="s">
        <v>1090</v>
      </c>
      <c r="C147" s="443" t="s">
        <v>1083</v>
      </c>
      <c r="D147" s="443" t="s">
        <v>1080</v>
      </c>
      <c r="E147" s="443" t="s">
        <v>1141</v>
      </c>
      <c r="F147" s="443" t="s">
        <v>1209</v>
      </c>
      <c r="G147" s="443" t="s">
        <v>1210</v>
      </c>
      <c r="H147" s="446">
        <v>211</v>
      </c>
      <c r="I147" s="446">
        <v>15942.23</v>
      </c>
      <c r="J147" s="443">
        <v>0.88284551035620107</v>
      </c>
      <c r="K147" s="443">
        <v>75.555592417061604</v>
      </c>
      <c r="L147" s="446">
        <v>239</v>
      </c>
      <c r="M147" s="446">
        <v>18057.78</v>
      </c>
      <c r="N147" s="443">
        <v>1</v>
      </c>
      <c r="O147" s="443">
        <v>75.555564853556476</v>
      </c>
      <c r="P147" s="446">
        <v>279</v>
      </c>
      <c r="Q147" s="446">
        <v>21080</v>
      </c>
      <c r="R147" s="468">
        <v>1.1673638730785292</v>
      </c>
      <c r="S147" s="447">
        <v>75.555555555555557</v>
      </c>
    </row>
    <row r="148" spans="1:19" ht="14.4" customHeight="1" x14ac:dyDescent="0.3">
      <c r="A148" s="442"/>
      <c r="B148" s="443" t="s">
        <v>1090</v>
      </c>
      <c r="C148" s="443" t="s">
        <v>1083</v>
      </c>
      <c r="D148" s="443" t="s">
        <v>1080</v>
      </c>
      <c r="E148" s="443" t="s">
        <v>1141</v>
      </c>
      <c r="F148" s="443" t="s">
        <v>1216</v>
      </c>
      <c r="G148" s="443" t="s">
        <v>1217</v>
      </c>
      <c r="H148" s="446">
        <v>33</v>
      </c>
      <c r="I148" s="446">
        <v>42350</v>
      </c>
      <c r="J148" s="443">
        <v>2.3571424198251543</v>
      </c>
      <c r="K148" s="443">
        <v>1283.3333333333333</v>
      </c>
      <c r="L148" s="446">
        <v>14</v>
      </c>
      <c r="M148" s="446">
        <v>17966.669999999998</v>
      </c>
      <c r="N148" s="443">
        <v>1</v>
      </c>
      <c r="O148" s="443">
        <v>1283.3335714285713</v>
      </c>
      <c r="P148" s="446">
        <v>28</v>
      </c>
      <c r="Q148" s="446">
        <v>35933.33</v>
      </c>
      <c r="R148" s="468">
        <v>1.9999994434138326</v>
      </c>
      <c r="S148" s="447">
        <v>1283.3332142857143</v>
      </c>
    </row>
    <row r="149" spans="1:19" ht="14.4" customHeight="1" x14ac:dyDescent="0.3">
      <c r="A149" s="442"/>
      <c r="B149" s="443" t="s">
        <v>1090</v>
      </c>
      <c r="C149" s="443" t="s">
        <v>1083</v>
      </c>
      <c r="D149" s="443" t="s">
        <v>1080</v>
      </c>
      <c r="E149" s="443" t="s">
        <v>1141</v>
      </c>
      <c r="F149" s="443" t="s">
        <v>1191</v>
      </c>
      <c r="G149" s="443" t="s">
        <v>1192</v>
      </c>
      <c r="H149" s="446"/>
      <c r="I149" s="446"/>
      <c r="J149" s="443"/>
      <c r="K149" s="443"/>
      <c r="L149" s="446"/>
      <c r="M149" s="446"/>
      <c r="N149" s="443"/>
      <c r="O149" s="443"/>
      <c r="P149" s="446">
        <v>1</v>
      </c>
      <c r="Q149" s="446">
        <v>116.67</v>
      </c>
      <c r="R149" s="468"/>
      <c r="S149" s="447">
        <v>116.67</v>
      </c>
    </row>
    <row r="150" spans="1:19" ht="14.4" customHeight="1" x14ac:dyDescent="0.3">
      <c r="A150" s="442"/>
      <c r="B150" s="443" t="s">
        <v>1090</v>
      </c>
      <c r="C150" s="443" t="s">
        <v>1083</v>
      </c>
      <c r="D150" s="443" t="s">
        <v>1080</v>
      </c>
      <c r="E150" s="443" t="s">
        <v>1141</v>
      </c>
      <c r="F150" s="443" t="s">
        <v>1195</v>
      </c>
      <c r="G150" s="443" t="s">
        <v>1196</v>
      </c>
      <c r="H150" s="446"/>
      <c r="I150" s="446"/>
      <c r="J150" s="443"/>
      <c r="K150" s="443"/>
      <c r="L150" s="446">
        <v>1</v>
      </c>
      <c r="M150" s="446">
        <v>344.44</v>
      </c>
      <c r="N150" s="443">
        <v>1</v>
      </c>
      <c r="O150" s="443">
        <v>344.44</v>
      </c>
      <c r="P150" s="446"/>
      <c r="Q150" s="446"/>
      <c r="R150" s="468"/>
      <c r="S150" s="447"/>
    </row>
    <row r="151" spans="1:19" ht="14.4" customHeight="1" x14ac:dyDescent="0.3">
      <c r="A151" s="442"/>
      <c r="B151" s="443" t="s">
        <v>1090</v>
      </c>
      <c r="C151" s="443" t="s">
        <v>1083</v>
      </c>
      <c r="D151" s="443" t="s">
        <v>1080</v>
      </c>
      <c r="E151" s="443" t="s">
        <v>1141</v>
      </c>
      <c r="F151" s="443" t="s">
        <v>1218</v>
      </c>
      <c r="G151" s="443" t="s">
        <v>1219</v>
      </c>
      <c r="H151" s="446"/>
      <c r="I151" s="446"/>
      <c r="J151" s="443"/>
      <c r="K151" s="443"/>
      <c r="L151" s="446">
        <v>1</v>
      </c>
      <c r="M151" s="446">
        <v>466.67</v>
      </c>
      <c r="N151" s="443">
        <v>1</v>
      </c>
      <c r="O151" s="443">
        <v>466.67</v>
      </c>
      <c r="P151" s="446"/>
      <c r="Q151" s="446"/>
      <c r="R151" s="468"/>
      <c r="S151" s="447"/>
    </row>
    <row r="152" spans="1:19" ht="14.4" customHeight="1" x14ac:dyDescent="0.3">
      <c r="A152" s="442"/>
      <c r="B152" s="443" t="s">
        <v>1090</v>
      </c>
      <c r="C152" s="443" t="s">
        <v>1083</v>
      </c>
      <c r="D152" s="443" t="s">
        <v>1080</v>
      </c>
      <c r="E152" s="443" t="s">
        <v>1141</v>
      </c>
      <c r="F152" s="443" t="s">
        <v>1220</v>
      </c>
      <c r="G152" s="443" t="s">
        <v>1221</v>
      </c>
      <c r="H152" s="446"/>
      <c r="I152" s="446"/>
      <c r="J152" s="443"/>
      <c r="K152" s="443"/>
      <c r="L152" s="446">
        <v>5</v>
      </c>
      <c r="M152" s="446">
        <v>583.34</v>
      </c>
      <c r="N152" s="443">
        <v>1</v>
      </c>
      <c r="O152" s="443">
        <v>116.66800000000001</v>
      </c>
      <c r="P152" s="446"/>
      <c r="Q152" s="446"/>
      <c r="R152" s="468"/>
      <c r="S152" s="447"/>
    </row>
    <row r="153" spans="1:19" ht="14.4" customHeight="1" x14ac:dyDescent="0.3">
      <c r="A153" s="442"/>
      <c r="B153" s="443" t="s">
        <v>1090</v>
      </c>
      <c r="C153" s="443" t="s">
        <v>1084</v>
      </c>
      <c r="D153" s="443" t="s">
        <v>1080</v>
      </c>
      <c r="E153" s="443" t="s">
        <v>1141</v>
      </c>
      <c r="F153" s="443" t="s">
        <v>1146</v>
      </c>
      <c r="G153" s="443" t="s">
        <v>1147</v>
      </c>
      <c r="H153" s="446">
        <v>35</v>
      </c>
      <c r="I153" s="446">
        <v>2722.22</v>
      </c>
      <c r="J153" s="443">
        <v>0.57376814221218009</v>
      </c>
      <c r="K153" s="443">
        <v>77.777714285714282</v>
      </c>
      <c r="L153" s="446">
        <v>61</v>
      </c>
      <c r="M153" s="446">
        <v>4744.46</v>
      </c>
      <c r="N153" s="443">
        <v>1</v>
      </c>
      <c r="O153" s="443">
        <v>77.778032786885248</v>
      </c>
      <c r="P153" s="446">
        <v>122</v>
      </c>
      <c r="Q153" s="446">
        <v>9488.89</v>
      </c>
      <c r="R153" s="468">
        <v>1.9999936768357198</v>
      </c>
      <c r="S153" s="447">
        <v>77.777786885245902</v>
      </c>
    </row>
    <row r="154" spans="1:19" ht="14.4" customHeight="1" x14ac:dyDescent="0.3">
      <c r="A154" s="442"/>
      <c r="B154" s="443" t="s">
        <v>1090</v>
      </c>
      <c r="C154" s="443" t="s">
        <v>1084</v>
      </c>
      <c r="D154" s="443" t="s">
        <v>1080</v>
      </c>
      <c r="E154" s="443" t="s">
        <v>1141</v>
      </c>
      <c r="F154" s="443" t="s">
        <v>1148</v>
      </c>
      <c r="G154" s="443" t="s">
        <v>1149</v>
      </c>
      <c r="H154" s="446">
        <v>2</v>
      </c>
      <c r="I154" s="446">
        <v>500</v>
      </c>
      <c r="J154" s="443">
        <v>2</v>
      </c>
      <c r="K154" s="443">
        <v>250</v>
      </c>
      <c r="L154" s="446">
        <v>1</v>
      </c>
      <c r="M154" s="446">
        <v>250</v>
      </c>
      <c r="N154" s="443">
        <v>1</v>
      </c>
      <c r="O154" s="443">
        <v>250</v>
      </c>
      <c r="P154" s="446">
        <v>4</v>
      </c>
      <c r="Q154" s="446">
        <v>1000</v>
      </c>
      <c r="R154" s="468">
        <v>4</v>
      </c>
      <c r="S154" s="447">
        <v>250</v>
      </c>
    </row>
    <row r="155" spans="1:19" ht="14.4" customHeight="1" x14ac:dyDescent="0.3">
      <c r="A155" s="442"/>
      <c r="B155" s="443" t="s">
        <v>1090</v>
      </c>
      <c r="C155" s="443" t="s">
        <v>1084</v>
      </c>
      <c r="D155" s="443" t="s">
        <v>1080</v>
      </c>
      <c r="E155" s="443" t="s">
        <v>1141</v>
      </c>
      <c r="F155" s="443" t="s">
        <v>1150</v>
      </c>
      <c r="G155" s="443" t="s">
        <v>1151</v>
      </c>
      <c r="H155" s="446"/>
      <c r="I155" s="446"/>
      <c r="J155" s="443"/>
      <c r="K155" s="443"/>
      <c r="L155" s="446">
        <v>2</v>
      </c>
      <c r="M155" s="446">
        <v>600</v>
      </c>
      <c r="N155" s="443">
        <v>1</v>
      </c>
      <c r="O155" s="443">
        <v>300</v>
      </c>
      <c r="P155" s="446"/>
      <c r="Q155" s="446"/>
      <c r="R155" s="468"/>
      <c r="S155" s="447"/>
    </row>
    <row r="156" spans="1:19" ht="14.4" customHeight="1" x14ac:dyDescent="0.3">
      <c r="A156" s="442"/>
      <c r="B156" s="443" t="s">
        <v>1090</v>
      </c>
      <c r="C156" s="443" t="s">
        <v>1084</v>
      </c>
      <c r="D156" s="443" t="s">
        <v>1080</v>
      </c>
      <c r="E156" s="443" t="s">
        <v>1141</v>
      </c>
      <c r="F156" s="443" t="s">
        <v>1152</v>
      </c>
      <c r="G156" s="443" t="s">
        <v>1153</v>
      </c>
      <c r="H156" s="446">
        <v>51</v>
      </c>
      <c r="I156" s="446">
        <v>5666.66</v>
      </c>
      <c r="J156" s="443">
        <v>0.83743702589309066</v>
      </c>
      <c r="K156" s="443">
        <v>111.11098039215686</v>
      </c>
      <c r="L156" s="446">
        <v>58</v>
      </c>
      <c r="M156" s="446">
        <v>6766.67</v>
      </c>
      <c r="N156" s="443">
        <v>1</v>
      </c>
      <c r="O156" s="443">
        <v>116.66672413793104</v>
      </c>
      <c r="P156" s="446">
        <v>126</v>
      </c>
      <c r="Q156" s="446">
        <v>14700</v>
      </c>
      <c r="R156" s="468">
        <v>2.1724127229493977</v>
      </c>
      <c r="S156" s="447">
        <v>116.66666666666667</v>
      </c>
    </row>
    <row r="157" spans="1:19" ht="14.4" customHeight="1" x14ac:dyDescent="0.3">
      <c r="A157" s="442"/>
      <c r="B157" s="443" t="s">
        <v>1090</v>
      </c>
      <c r="C157" s="443" t="s">
        <v>1084</v>
      </c>
      <c r="D157" s="443" t="s">
        <v>1080</v>
      </c>
      <c r="E157" s="443" t="s">
        <v>1141</v>
      </c>
      <c r="F157" s="443" t="s">
        <v>1154</v>
      </c>
      <c r="G157" s="443" t="s">
        <v>1155</v>
      </c>
      <c r="H157" s="446">
        <v>2</v>
      </c>
      <c r="I157" s="446">
        <v>537.78</v>
      </c>
      <c r="J157" s="443">
        <v>0.89629999999999999</v>
      </c>
      <c r="K157" s="443">
        <v>268.89</v>
      </c>
      <c r="L157" s="446">
        <v>2</v>
      </c>
      <c r="M157" s="446">
        <v>600</v>
      </c>
      <c r="N157" s="443">
        <v>1</v>
      </c>
      <c r="O157" s="443">
        <v>300</v>
      </c>
      <c r="P157" s="446">
        <v>18</v>
      </c>
      <c r="Q157" s="446">
        <v>5400</v>
      </c>
      <c r="R157" s="468">
        <v>9</v>
      </c>
      <c r="S157" s="447">
        <v>300</v>
      </c>
    </row>
    <row r="158" spans="1:19" ht="14.4" customHeight="1" x14ac:dyDescent="0.3">
      <c r="A158" s="442"/>
      <c r="B158" s="443" t="s">
        <v>1090</v>
      </c>
      <c r="C158" s="443" t="s">
        <v>1084</v>
      </c>
      <c r="D158" s="443" t="s">
        <v>1080</v>
      </c>
      <c r="E158" s="443" t="s">
        <v>1141</v>
      </c>
      <c r="F158" s="443" t="s">
        <v>1156</v>
      </c>
      <c r="G158" s="443" t="s">
        <v>1157</v>
      </c>
      <c r="H158" s="446"/>
      <c r="I158" s="446"/>
      <c r="J158" s="443"/>
      <c r="K158" s="443"/>
      <c r="L158" s="446">
        <v>1</v>
      </c>
      <c r="M158" s="446">
        <v>294.44</v>
      </c>
      <c r="N158" s="443">
        <v>1</v>
      </c>
      <c r="O158" s="443">
        <v>294.44</v>
      </c>
      <c r="P158" s="446">
        <v>3</v>
      </c>
      <c r="Q158" s="446">
        <v>883.33</v>
      </c>
      <c r="R158" s="468">
        <v>3.0000339627767967</v>
      </c>
      <c r="S158" s="447">
        <v>294.44333333333333</v>
      </c>
    </row>
    <row r="159" spans="1:19" ht="14.4" customHeight="1" x14ac:dyDescent="0.3">
      <c r="A159" s="442"/>
      <c r="B159" s="443" t="s">
        <v>1090</v>
      </c>
      <c r="C159" s="443" t="s">
        <v>1084</v>
      </c>
      <c r="D159" s="443" t="s">
        <v>1080</v>
      </c>
      <c r="E159" s="443" t="s">
        <v>1141</v>
      </c>
      <c r="F159" s="443" t="s">
        <v>1222</v>
      </c>
      <c r="G159" s="443" t="s">
        <v>1223</v>
      </c>
      <c r="H159" s="446">
        <v>807</v>
      </c>
      <c r="I159" s="446">
        <v>627666.67000000004</v>
      </c>
      <c r="J159" s="443">
        <v>1.193786983542743</v>
      </c>
      <c r="K159" s="443">
        <v>777.77778190830236</v>
      </c>
      <c r="L159" s="446">
        <v>676</v>
      </c>
      <c r="M159" s="446">
        <v>525777.78</v>
      </c>
      <c r="N159" s="443">
        <v>1</v>
      </c>
      <c r="O159" s="443">
        <v>777.77778106508879</v>
      </c>
      <c r="P159" s="446">
        <v>404</v>
      </c>
      <c r="Q159" s="446">
        <v>314222.23000000004</v>
      </c>
      <c r="R159" s="468">
        <v>0.59763314836165204</v>
      </c>
      <c r="S159" s="447">
        <v>777.77779702970304</v>
      </c>
    </row>
    <row r="160" spans="1:19" ht="14.4" customHeight="1" x14ac:dyDescent="0.3">
      <c r="A160" s="442"/>
      <c r="B160" s="443" t="s">
        <v>1090</v>
      </c>
      <c r="C160" s="443" t="s">
        <v>1084</v>
      </c>
      <c r="D160" s="443" t="s">
        <v>1080</v>
      </c>
      <c r="E160" s="443" t="s">
        <v>1141</v>
      </c>
      <c r="F160" s="443" t="s">
        <v>1224</v>
      </c>
      <c r="G160" s="443" t="s">
        <v>1225</v>
      </c>
      <c r="H160" s="446">
        <v>496</v>
      </c>
      <c r="I160" s="446">
        <v>46293.33</v>
      </c>
      <c r="J160" s="443">
        <v>0.99999978398620637</v>
      </c>
      <c r="K160" s="443">
        <v>93.333326612903235</v>
      </c>
      <c r="L160" s="446">
        <v>496</v>
      </c>
      <c r="M160" s="446">
        <v>46293.34</v>
      </c>
      <c r="N160" s="443">
        <v>1</v>
      </c>
      <c r="O160" s="443">
        <v>93.333346774193544</v>
      </c>
      <c r="P160" s="446">
        <v>1505</v>
      </c>
      <c r="Q160" s="446">
        <v>140466.66999999998</v>
      </c>
      <c r="R160" s="468">
        <v>3.0342738285895985</v>
      </c>
      <c r="S160" s="447">
        <v>93.333335548172741</v>
      </c>
    </row>
    <row r="161" spans="1:19" ht="14.4" customHeight="1" x14ac:dyDescent="0.3">
      <c r="A161" s="442"/>
      <c r="B161" s="443" t="s">
        <v>1090</v>
      </c>
      <c r="C161" s="443" t="s">
        <v>1084</v>
      </c>
      <c r="D161" s="443" t="s">
        <v>1080</v>
      </c>
      <c r="E161" s="443" t="s">
        <v>1141</v>
      </c>
      <c r="F161" s="443" t="s">
        <v>1226</v>
      </c>
      <c r="G161" s="443" t="s">
        <v>1227</v>
      </c>
      <c r="H161" s="446">
        <v>10</v>
      </c>
      <c r="I161" s="446">
        <v>6666.67</v>
      </c>
      <c r="J161" s="443">
        <v>0.90909053719042077</v>
      </c>
      <c r="K161" s="443">
        <v>666.66700000000003</v>
      </c>
      <c r="L161" s="446">
        <v>11</v>
      </c>
      <c r="M161" s="446">
        <v>7333.34</v>
      </c>
      <c r="N161" s="443">
        <v>1</v>
      </c>
      <c r="O161" s="443">
        <v>666.66727272727269</v>
      </c>
      <c r="P161" s="446">
        <v>19</v>
      </c>
      <c r="Q161" s="446">
        <v>12666.67</v>
      </c>
      <c r="R161" s="468">
        <v>1.7272716115712621</v>
      </c>
      <c r="S161" s="447">
        <v>666.66684210526319</v>
      </c>
    </row>
    <row r="162" spans="1:19" ht="14.4" customHeight="1" x14ac:dyDescent="0.3">
      <c r="A162" s="442"/>
      <c r="B162" s="443" t="s">
        <v>1090</v>
      </c>
      <c r="C162" s="443" t="s">
        <v>1084</v>
      </c>
      <c r="D162" s="443" t="s">
        <v>1080</v>
      </c>
      <c r="E162" s="443" t="s">
        <v>1141</v>
      </c>
      <c r="F162" s="443" t="s">
        <v>1228</v>
      </c>
      <c r="G162" s="443" t="s">
        <v>1229</v>
      </c>
      <c r="H162" s="446">
        <v>65</v>
      </c>
      <c r="I162" s="446">
        <v>50555.56</v>
      </c>
      <c r="J162" s="443">
        <v>0.73863636861717785</v>
      </c>
      <c r="K162" s="443">
        <v>777.7778461538461</v>
      </c>
      <c r="L162" s="446">
        <v>88</v>
      </c>
      <c r="M162" s="446">
        <v>68444.45</v>
      </c>
      <c r="N162" s="443">
        <v>1</v>
      </c>
      <c r="O162" s="443">
        <v>777.77784090909086</v>
      </c>
      <c r="P162" s="446">
        <v>58</v>
      </c>
      <c r="Q162" s="446">
        <v>45111.119999999995</v>
      </c>
      <c r="R162" s="468">
        <v>0.65909098546339395</v>
      </c>
      <c r="S162" s="447">
        <v>777.77793103448266</v>
      </c>
    </row>
    <row r="163" spans="1:19" ht="14.4" customHeight="1" x14ac:dyDescent="0.3">
      <c r="A163" s="442"/>
      <c r="B163" s="443" t="s">
        <v>1090</v>
      </c>
      <c r="C163" s="443" t="s">
        <v>1084</v>
      </c>
      <c r="D163" s="443" t="s">
        <v>1080</v>
      </c>
      <c r="E163" s="443" t="s">
        <v>1141</v>
      </c>
      <c r="F163" s="443" t="s">
        <v>1230</v>
      </c>
      <c r="G163" s="443" t="s">
        <v>1231</v>
      </c>
      <c r="H163" s="446">
        <v>19</v>
      </c>
      <c r="I163" s="446">
        <v>6333.32</v>
      </c>
      <c r="J163" s="443">
        <v>0.94999752500123746</v>
      </c>
      <c r="K163" s="443">
        <v>333.33263157894737</v>
      </c>
      <c r="L163" s="446">
        <v>20</v>
      </c>
      <c r="M163" s="446">
        <v>6666.67</v>
      </c>
      <c r="N163" s="443">
        <v>1</v>
      </c>
      <c r="O163" s="443">
        <v>333.33350000000002</v>
      </c>
      <c r="P163" s="446">
        <v>20</v>
      </c>
      <c r="Q163" s="446">
        <v>6666.66</v>
      </c>
      <c r="R163" s="468">
        <v>0.99999850000074997</v>
      </c>
      <c r="S163" s="447">
        <v>333.33299999999997</v>
      </c>
    </row>
    <row r="164" spans="1:19" ht="14.4" customHeight="1" x14ac:dyDescent="0.3">
      <c r="A164" s="442"/>
      <c r="B164" s="443" t="s">
        <v>1090</v>
      </c>
      <c r="C164" s="443" t="s">
        <v>1084</v>
      </c>
      <c r="D164" s="443" t="s">
        <v>1080</v>
      </c>
      <c r="E164" s="443" t="s">
        <v>1141</v>
      </c>
      <c r="F164" s="443" t="s">
        <v>1160</v>
      </c>
      <c r="G164" s="443" t="s">
        <v>1145</v>
      </c>
      <c r="H164" s="446">
        <v>1</v>
      </c>
      <c r="I164" s="446">
        <v>373.33</v>
      </c>
      <c r="J164" s="443">
        <v>1</v>
      </c>
      <c r="K164" s="443">
        <v>373.33</v>
      </c>
      <c r="L164" s="446">
        <v>1</v>
      </c>
      <c r="M164" s="446">
        <v>373.33</v>
      </c>
      <c r="N164" s="443">
        <v>1</v>
      </c>
      <c r="O164" s="443">
        <v>373.33</v>
      </c>
      <c r="P164" s="446">
        <v>7</v>
      </c>
      <c r="Q164" s="446">
        <v>2924.4399999999996</v>
      </c>
      <c r="R164" s="468">
        <v>7.8333913695657991</v>
      </c>
      <c r="S164" s="447">
        <v>417.77714285714279</v>
      </c>
    </row>
    <row r="165" spans="1:19" ht="14.4" customHeight="1" x14ac:dyDescent="0.3">
      <c r="A165" s="442"/>
      <c r="B165" s="443" t="s">
        <v>1090</v>
      </c>
      <c r="C165" s="443" t="s">
        <v>1084</v>
      </c>
      <c r="D165" s="443" t="s">
        <v>1080</v>
      </c>
      <c r="E165" s="443" t="s">
        <v>1141</v>
      </c>
      <c r="F165" s="443" t="s">
        <v>1161</v>
      </c>
      <c r="G165" s="443" t="s">
        <v>1162</v>
      </c>
      <c r="H165" s="446">
        <v>11</v>
      </c>
      <c r="I165" s="446">
        <v>2053.34</v>
      </c>
      <c r="J165" s="443">
        <v>0.28606935022994606</v>
      </c>
      <c r="K165" s="443">
        <v>186.66727272727275</v>
      </c>
      <c r="L165" s="446">
        <v>34</v>
      </c>
      <c r="M165" s="446">
        <v>7177.77</v>
      </c>
      <c r="N165" s="443">
        <v>1</v>
      </c>
      <c r="O165" s="443">
        <v>211.11088235294119</v>
      </c>
      <c r="P165" s="446">
        <v>25</v>
      </c>
      <c r="Q165" s="446">
        <v>5277.77</v>
      </c>
      <c r="R165" s="468">
        <v>0.73529383081374855</v>
      </c>
      <c r="S165" s="447">
        <v>211.11080000000001</v>
      </c>
    </row>
    <row r="166" spans="1:19" ht="14.4" customHeight="1" x14ac:dyDescent="0.3">
      <c r="A166" s="442"/>
      <c r="B166" s="443" t="s">
        <v>1090</v>
      </c>
      <c r="C166" s="443" t="s">
        <v>1084</v>
      </c>
      <c r="D166" s="443" t="s">
        <v>1080</v>
      </c>
      <c r="E166" s="443" t="s">
        <v>1141</v>
      </c>
      <c r="F166" s="443" t="s">
        <v>1163</v>
      </c>
      <c r="G166" s="443" t="s">
        <v>1164</v>
      </c>
      <c r="H166" s="446">
        <v>11</v>
      </c>
      <c r="I166" s="446">
        <v>6416.67</v>
      </c>
      <c r="J166" s="443">
        <v>0.68750060267878665</v>
      </c>
      <c r="K166" s="443">
        <v>583.3336363636364</v>
      </c>
      <c r="L166" s="446">
        <v>16</v>
      </c>
      <c r="M166" s="446">
        <v>9333.33</v>
      </c>
      <c r="N166" s="443">
        <v>1</v>
      </c>
      <c r="O166" s="443">
        <v>583.333125</v>
      </c>
      <c r="P166" s="446">
        <v>24</v>
      </c>
      <c r="Q166" s="446">
        <v>14000</v>
      </c>
      <c r="R166" s="468">
        <v>1.500000535714477</v>
      </c>
      <c r="S166" s="447">
        <v>583.33333333333337</v>
      </c>
    </row>
    <row r="167" spans="1:19" ht="14.4" customHeight="1" x14ac:dyDescent="0.3">
      <c r="A167" s="442"/>
      <c r="B167" s="443" t="s">
        <v>1090</v>
      </c>
      <c r="C167" s="443" t="s">
        <v>1084</v>
      </c>
      <c r="D167" s="443" t="s">
        <v>1080</v>
      </c>
      <c r="E167" s="443" t="s">
        <v>1141</v>
      </c>
      <c r="F167" s="443" t="s">
        <v>1165</v>
      </c>
      <c r="G167" s="443" t="s">
        <v>1166</v>
      </c>
      <c r="H167" s="446">
        <v>24</v>
      </c>
      <c r="I167" s="446">
        <v>11200.01</v>
      </c>
      <c r="J167" s="443">
        <v>2.181821546637368</v>
      </c>
      <c r="K167" s="443">
        <v>466.66708333333332</v>
      </c>
      <c r="L167" s="446">
        <v>11</v>
      </c>
      <c r="M167" s="446">
        <v>5133.33</v>
      </c>
      <c r="N167" s="443">
        <v>1</v>
      </c>
      <c r="O167" s="443">
        <v>466.66636363636366</v>
      </c>
      <c r="P167" s="446">
        <v>20</v>
      </c>
      <c r="Q167" s="446">
        <v>9333.34</v>
      </c>
      <c r="R167" s="468">
        <v>1.8181842975222711</v>
      </c>
      <c r="S167" s="447">
        <v>466.66700000000003</v>
      </c>
    </row>
    <row r="168" spans="1:19" ht="14.4" customHeight="1" x14ac:dyDescent="0.3">
      <c r="A168" s="442"/>
      <c r="B168" s="443" t="s">
        <v>1090</v>
      </c>
      <c r="C168" s="443" t="s">
        <v>1084</v>
      </c>
      <c r="D168" s="443" t="s">
        <v>1080</v>
      </c>
      <c r="E168" s="443" t="s">
        <v>1141</v>
      </c>
      <c r="F168" s="443" t="s">
        <v>1213</v>
      </c>
      <c r="G168" s="443" t="s">
        <v>1166</v>
      </c>
      <c r="H168" s="446">
        <v>10</v>
      </c>
      <c r="I168" s="446">
        <v>10000</v>
      </c>
      <c r="J168" s="443">
        <v>0.7142857142857143</v>
      </c>
      <c r="K168" s="443">
        <v>1000</v>
      </c>
      <c r="L168" s="446">
        <v>14</v>
      </c>
      <c r="M168" s="446">
        <v>14000</v>
      </c>
      <c r="N168" s="443">
        <v>1</v>
      </c>
      <c r="O168" s="443">
        <v>1000</v>
      </c>
      <c r="P168" s="446">
        <v>8</v>
      </c>
      <c r="Q168" s="446">
        <v>8000</v>
      </c>
      <c r="R168" s="468">
        <v>0.5714285714285714</v>
      </c>
      <c r="S168" s="447">
        <v>1000</v>
      </c>
    </row>
    <row r="169" spans="1:19" ht="14.4" customHeight="1" x14ac:dyDescent="0.3">
      <c r="A169" s="442"/>
      <c r="B169" s="443" t="s">
        <v>1090</v>
      </c>
      <c r="C169" s="443" t="s">
        <v>1084</v>
      </c>
      <c r="D169" s="443" t="s">
        <v>1080</v>
      </c>
      <c r="E169" s="443" t="s">
        <v>1141</v>
      </c>
      <c r="F169" s="443" t="s">
        <v>1167</v>
      </c>
      <c r="G169" s="443" t="s">
        <v>1168</v>
      </c>
      <c r="H169" s="446">
        <v>102</v>
      </c>
      <c r="I169" s="446">
        <v>5100</v>
      </c>
      <c r="J169" s="443">
        <v>0.90265486725663713</v>
      </c>
      <c r="K169" s="443">
        <v>50</v>
      </c>
      <c r="L169" s="446">
        <v>113</v>
      </c>
      <c r="M169" s="446">
        <v>5650</v>
      </c>
      <c r="N169" s="443">
        <v>1</v>
      </c>
      <c r="O169" s="443">
        <v>50</v>
      </c>
      <c r="P169" s="446">
        <v>120</v>
      </c>
      <c r="Q169" s="446">
        <v>6000</v>
      </c>
      <c r="R169" s="468">
        <v>1.0619469026548674</v>
      </c>
      <c r="S169" s="447">
        <v>50</v>
      </c>
    </row>
    <row r="170" spans="1:19" ht="14.4" customHeight="1" x14ac:dyDescent="0.3">
      <c r="A170" s="442"/>
      <c r="B170" s="443" t="s">
        <v>1090</v>
      </c>
      <c r="C170" s="443" t="s">
        <v>1084</v>
      </c>
      <c r="D170" s="443" t="s">
        <v>1080</v>
      </c>
      <c r="E170" s="443" t="s">
        <v>1141</v>
      </c>
      <c r="F170" s="443" t="s">
        <v>1169</v>
      </c>
      <c r="G170" s="443" t="s">
        <v>1170</v>
      </c>
      <c r="H170" s="446"/>
      <c r="I170" s="446"/>
      <c r="J170" s="443"/>
      <c r="K170" s="443"/>
      <c r="L170" s="446"/>
      <c r="M170" s="446"/>
      <c r="N170" s="443"/>
      <c r="O170" s="443"/>
      <c r="P170" s="446">
        <v>1</v>
      </c>
      <c r="Q170" s="446">
        <v>101.11</v>
      </c>
      <c r="R170" s="468"/>
      <c r="S170" s="447">
        <v>101.11</v>
      </c>
    </row>
    <row r="171" spans="1:19" ht="14.4" customHeight="1" x14ac:dyDescent="0.3">
      <c r="A171" s="442"/>
      <c r="B171" s="443" t="s">
        <v>1090</v>
      </c>
      <c r="C171" s="443" t="s">
        <v>1084</v>
      </c>
      <c r="D171" s="443" t="s">
        <v>1080</v>
      </c>
      <c r="E171" s="443" t="s">
        <v>1141</v>
      </c>
      <c r="F171" s="443" t="s">
        <v>1175</v>
      </c>
      <c r="G171" s="443" t="s">
        <v>1176</v>
      </c>
      <c r="H171" s="446">
        <v>129</v>
      </c>
      <c r="I171" s="446">
        <v>39416.67</v>
      </c>
      <c r="J171" s="443">
        <v>0.90845075778615214</v>
      </c>
      <c r="K171" s="443">
        <v>305.55558139534884</v>
      </c>
      <c r="L171" s="446">
        <v>142</v>
      </c>
      <c r="M171" s="446">
        <v>43388.89</v>
      </c>
      <c r="N171" s="443">
        <v>1</v>
      </c>
      <c r="O171" s="443">
        <v>305.55556338028168</v>
      </c>
      <c r="P171" s="446">
        <v>167</v>
      </c>
      <c r="Q171" s="446">
        <v>51027.770000000004</v>
      </c>
      <c r="R171" s="468">
        <v>1.1760561286541324</v>
      </c>
      <c r="S171" s="447">
        <v>305.55550898203597</v>
      </c>
    </row>
    <row r="172" spans="1:19" ht="14.4" customHeight="1" x14ac:dyDescent="0.3">
      <c r="A172" s="442"/>
      <c r="B172" s="443" t="s">
        <v>1090</v>
      </c>
      <c r="C172" s="443" t="s">
        <v>1084</v>
      </c>
      <c r="D172" s="443" t="s">
        <v>1080</v>
      </c>
      <c r="E172" s="443" t="s">
        <v>1141</v>
      </c>
      <c r="F172" s="443" t="s">
        <v>1177</v>
      </c>
      <c r="G172" s="443" t="s">
        <v>1178</v>
      </c>
      <c r="H172" s="446">
        <v>590</v>
      </c>
      <c r="I172" s="446">
        <v>0</v>
      </c>
      <c r="J172" s="443">
        <v>0</v>
      </c>
      <c r="K172" s="443">
        <v>0</v>
      </c>
      <c r="L172" s="446">
        <v>970</v>
      </c>
      <c r="M172" s="446">
        <v>32333.339999999997</v>
      </c>
      <c r="N172" s="443">
        <v>1</v>
      </c>
      <c r="O172" s="443">
        <v>33.333340206185561</v>
      </c>
      <c r="P172" s="446">
        <v>985</v>
      </c>
      <c r="Q172" s="446">
        <v>32833.32</v>
      </c>
      <c r="R172" s="468">
        <v>1.0154632957807639</v>
      </c>
      <c r="S172" s="447">
        <v>33.333319796954314</v>
      </c>
    </row>
    <row r="173" spans="1:19" ht="14.4" customHeight="1" x14ac:dyDescent="0.3">
      <c r="A173" s="442"/>
      <c r="B173" s="443" t="s">
        <v>1090</v>
      </c>
      <c r="C173" s="443" t="s">
        <v>1084</v>
      </c>
      <c r="D173" s="443" t="s">
        <v>1080</v>
      </c>
      <c r="E173" s="443" t="s">
        <v>1141</v>
      </c>
      <c r="F173" s="443" t="s">
        <v>1179</v>
      </c>
      <c r="G173" s="443" t="s">
        <v>1180</v>
      </c>
      <c r="H173" s="446">
        <v>81</v>
      </c>
      <c r="I173" s="446">
        <v>36899.99</v>
      </c>
      <c r="J173" s="443">
        <v>1.1408449180137297</v>
      </c>
      <c r="K173" s="443">
        <v>455.55543209876538</v>
      </c>
      <c r="L173" s="446">
        <v>71</v>
      </c>
      <c r="M173" s="446">
        <v>32344.44</v>
      </c>
      <c r="N173" s="443">
        <v>1</v>
      </c>
      <c r="O173" s="443">
        <v>455.55549295774648</v>
      </c>
      <c r="P173" s="446">
        <v>86</v>
      </c>
      <c r="Q173" s="446">
        <v>39177.770000000004</v>
      </c>
      <c r="R173" s="468">
        <v>1.211267531606669</v>
      </c>
      <c r="S173" s="447">
        <v>455.55546511627909</v>
      </c>
    </row>
    <row r="174" spans="1:19" ht="14.4" customHeight="1" x14ac:dyDescent="0.3">
      <c r="A174" s="442"/>
      <c r="B174" s="443" t="s">
        <v>1090</v>
      </c>
      <c r="C174" s="443" t="s">
        <v>1084</v>
      </c>
      <c r="D174" s="443" t="s">
        <v>1080</v>
      </c>
      <c r="E174" s="443" t="s">
        <v>1141</v>
      </c>
      <c r="F174" s="443" t="s">
        <v>1205</v>
      </c>
      <c r="G174" s="443" t="s">
        <v>1206</v>
      </c>
      <c r="H174" s="446">
        <v>27</v>
      </c>
      <c r="I174" s="446">
        <v>1590.02</v>
      </c>
      <c r="J174" s="443">
        <v>0.52941901156383087</v>
      </c>
      <c r="K174" s="443">
        <v>58.889629629629631</v>
      </c>
      <c r="L174" s="446">
        <v>51</v>
      </c>
      <c r="M174" s="446">
        <v>3003.33</v>
      </c>
      <c r="N174" s="443">
        <v>1</v>
      </c>
      <c r="O174" s="443">
        <v>58.888823529411766</v>
      </c>
      <c r="P174" s="446">
        <v>43</v>
      </c>
      <c r="Q174" s="446">
        <v>2532.2200000000003</v>
      </c>
      <c r="R174" s="468">
        <v>0.84313745076298652</v>
      </c>
      <c r="S174" s="447">
        <v>58.888837209302331</v>
      </c>
    </row>
    <row r="175" spans="1:19" ht="14.4" customHeight="1" x14ac:dyDescent="0.3">
      <c r="A175" s="442"/>
      <c r="B175" s="443" t="s">
        <v>1090</v>
      </c>
      <c r="C175" s="443" t="s">
        <v>1084</v>
      </c>
      <c r="D175" s="443" t="s">
        <v>1080</v>
      </c>
      <c r="E175" s="443" t="s">
        <v>1141</v>
      </c>
      <c r="F175" s="443" t="s">
        <v>1181</v>
      </c>
      <c r="G175" s="443" t="s">
        <v>1182</v>
      </c>
      <c r="H175" s="446">
        <v>138</v>
      </c>
      <c r="I175" s="446">
        <v>10733.33</v>
      </c>
      <c r="J175" s="443">
        <v>0.85185158730158728</v>
      </c>
      <c r="K175" s="443">
        <v>77.777753623188403</v>
      </c>
      <c r="L175" s="446">
        <v>162</v>
      </c>
      <c r="M175" s="446">
        <v>12600</v>
      </c>
      <c r="N175" s="443">
        <v>1</v>
      </c>
      <c r="O175" s="443">
        <v>77.777777777777771</v>
      </c>
      <c r="P175" s="446">
        <v>167</v>
      </c>
      <c r="Q175" s="446">
        <v>12988.9</v>
      </c>
      <c r="R175" s="468">
        <v>1.0308650793650793</v>
      </c>
      <c r="S175" s="447">
        <v>77.777844311377237</v>
      </c>
    </row>
    <row r="176" spans="1:19" ht="14.4" customHeight="1" x14ac:dyDescent="0.3">
      <c r="A176" s="442"/>
      <c r="B176" s="443" t="s">
        <v>1090</v>
      </c>
      <c r="C176" s="443" t="s">
        <v>1084</v>
      </c>
      <c r="D176" s="443" t="s">
        <v>1080</v>
      </c>
      <c r="E176" s="443" t="s">
        <v>1141</v>
      </c>
      <c r="F176" s="443" t="s">
        <v>1232</v>
      </c>
      <c r="G176" s="443" t="s">
        <v>1233</v>
      </c>
      <c r="H176" s="446">
        <v>51</v>
      </c>
      <c r="I176" s="446">
        <v>56666.66</v>
      </c>
      <c r="J176" s="443">
        <v>0.71830985558420912</v>
      </c>
      <c r="K176" s="443">
        <v>1111.110980392157</v>
      </c>
      <c r="L176" s="446">
        <v>71</v>
      </c>
      <c r="M176" s="446">
        <v>78888.88</v>
      </c>
      <c r="N176" s="443">
        <v>1</v>
      </c>
      <c r="O176" s="443">
        <v>1111.1109859154931</v>
      </c>
      <c r="P176" s="446">
        <v>67</v>
      </c>
      <c r="Q176" s="446">
        <v>74444.44</v>
      </c>
      <c r="R176" s="468">
        <v>0.94366202182107284</v>
      </c>
      <c r="S176" s="447">
        <v>1111.1110447761193</v>
      </c>
    </row>
    <row r="177" spans="1:19" ht="14.4" customHeight="1" x14ac:dyDescent="0.3">
      <c r="A177" s="442"/>
      <c r="B177" s="443" t="s">
        <v>1090</v>
      </c>
      <c r="C177" s="443" t="s">
        <v>1084</v>
      </c>
      <c r="D177" s="443" t="s">
        <v>1080</v>
      </c>
      <c r="E177" s="443" t="s">
        <v>1141</v>
      </c>
      <c r="F177" s="443" t="s">
        <v>1183</v>
      </c>
      <c r="G177" s="443" t="s">
        <v>1184</v>
      </c>
      <c r="H177" s="446">
        <v>5</v>
      </c>
      <c r="I177" s="446">
        <v>1350</v>
      </c>
      <c r="J177" s="443">
        <v>3.5714285714285712E-2</v>
      </c>
      <c r="K177" s="443">
        <v>270</v>
      </c>
      <c r="L177" s="446">
        <v>140</v>
      </c>
      <c r="M177" s="446">
        <v>37800</v>
      </c>
      <c r="N177" s="443">
        <v>1</v>
      </c>
      <c r="O177" s="443">
        <v>270</v>
      </c>
      <c r="P177" s="446">
        <v>440</v>
      </c>
      <c r="Q177" s="446">
        <v>118800</v>
      </c>
      <c r="R177" s="468">
        <v>3.1428571428571428</v>
      </c>
      <c r="S177" s="447">
        <v>270</v>
      </c>
    </row>
    <row r="178" spans="1:19" ht="14.4" customHeight="1" x14ac:dyDescent="0.3">
      <c r="A178" s="442"/>
      <c r="B178" s="443" t="s">
        <v>1090</v>
      </c>
      <c r="C178" s="443" t="s">
        <v>1084</v>
      </c>
      <c r="D178" s="443" t="s">
        <v>1080</v>
      </c>
      <c r="E178" s="443" t="s">
        <v>1141</v>
      </c>
      <c r="F178" s="443" t="s">
        <v>1185</v>
      </c>
      <c r="G178" s="443" t="s">
        <v>1186</v>
      </c>
      <c r="H178" s="446">
        <v>185</v>
      </c>
      <c r="I178" s="446">
        <v>16444.45</v>
      </c>
      <c r="J178" s="443">
        <v>0.83309944637183064</v>
      </c>
      <c r="K178" s="443">
        <v>88.888918918918918</v>
      </c>
      <c r="L178" s="446">
        <v>209</v>
      </c>
      <c r="M178" s="446">
        <v>19738.88</v>
      </c>
      <c r="N178" s="443">
        <v>1</v>
      </c>
      <c r="O178" s="443">
        <v>94.444401913875609</v>
      </c>
      <c r="P178" s="446">
        <v>316</v>
      </c>
      <c r="Q178" s="446">
        <v>29844.450000000004</v>
      </c>
      <c r="R178" s="468">
        <v>1.5119626848129175</v>
      </c>
      <c r="S178" s="447">
        <v>94.444462025316469</v>
      </c>
    </row>
    <row r="179" spans="1:19" ht="14.4" customHeight="1" x14ac:dyDescent="0.3">
      <c r="A179" s="442"/>
      <c r="B179" s="443" t="s">
        <v>1090</v>
      </c>
      <c r="C179" s="443" t="s">
        <v>1084</v>
      </c>
      <c r="D179" s="443" t="s">
        <v>1080</v>
      </c>
      <c r="E179" s="443" t="s">
        <v>1141</v>
      </c>
      <c r="F179" s="443" t="s">
        <v>1207</v>
      </c>
      <c r="G179" s="443" t="s">
        <v>1208</v>
      </c>
      <c r="H179" s="446">
        <v>1</v>
      </c>
      <c r="I179" s="446">
        <v>96.67</v>
      </c>
      <c r="J179" s="443">
        <v>1</v>
      </c>
      <c r="K179" s="443">
        <v>96.67</v>
      </c>
      <c r="L179" s="446">
        <v>1</v>
      </c>
      <c r="M179" s="446">
        <v>96.67</v>
      </c>
      <c r="N179" s="443">
        <v>1</v>
      </c>
      <c r="O179" s="443">
        <v>96.67</v>
      </c>
      <c r="P179" s="446"/>
      <c r="Q179" s="446"/>
      <c r="R179" s="468"/>
      <c r="S179" s="447"/>
    </row>
    <row r="180" spans="1:19" ht="14.4" customHeight="1" x14ac:dyDescent="0.3">
      <c r="A180" s="442"/>
      <c r="B180" s="443" t="s">
        <v>1090</v>
      </c>
      <c r="C180" s="443" t="s">
        <v>1084</v>
      </c>
      <c r="D180" s="443" t="s">
        <v>1080</v>
      </c>
      <c r="E180" s="443" t="s">
        <v>1141</v>
      </c>
      <c r="F180" s="443" t="s">
        <v>1216</v>
      </c>
      <c r="G180" s="443" t="s">
        <v>1217</v>
      </c>
      <c r="H180" s="446">
        <v>10</v>
      </c>
      <c r="I180" s="446">
        <v>12833.33</v>
      </c>
      <c r="J180" s="443">
        <v>0.71428499867532569</v>
      </c>
      <c r="K180" s="443">
        <v>1283.3330000000001</v>
      </c>
      <c r="L180" s="446">
        <v>14</v>
      </c>
      <c r="M180" s="446">
        <v>17966.68</v>
      </c>
      <c r="N180" s="443">
        <v>1</v>
      </c>
      <c r="O180" s="443">
        <v>1283.3342857142857</v>
      </c>
      <c r="P180" s="446">
        <v>13</v>
      </c>
      <c r="Q180" s="446">
        <v>16683.330000000002</v>
      </c>
      <c r="R180" s="468">
        <v>0.92857055393650922</v>
      </c>
      <c r="S180" s="447">
        <v>1283.333076923077</v>
      </c>
    </row>
    <row r="181" spans="1:19" ht="14.4" customHeight="1" x14ac:dyDescent="0.3">
      <c r="A181" s="442"/>
      <c r="B181" s="443" t="s">
        <v>1090</v>
      </c>
      <c r="C181" s="443" t="s">
        <v>1084</v>
      </c>
      <c r="D181" s="443" t="s">
        <v>1080</v>
      </c>
      <c r="E181" s="443" t="s">
        <v>1141</v>
      </c>
      <c r="F181" s="443" t="s">
        <v>1191</v>
      </c>
      <c r="G181" s="443" t="s">
        <v>1192</v>
      </c>
      <c r="H181" s="446">
        <v>3</v>
      </c>
      <c r="I181" s="446">
        <v>350</v>
      </c>
      <c r="J181" s="443">
        <v>0.99997142938773176</v>
      </c>
      <c r="K181" s="443">
        <v>116.66666666666667</v>
      </c>
      <c r="L181" s="446">
        <v>3</v>
      </c>
      <c r="M181" s="446">
        <v>350.01</v>
      </c>
      <c r="N181" s="443">
        <v>1</v>
      </c>
      <c r="O181" s="443">
        <v>116.67</v>
      </c>
      <c r="P181" s="446">
        <v>1</v>
      </c>
      <c r="Q181" s="446">
        <v>116.67</v>
      </c>
      <c r="R181" s="468">
        <v>0.33333333333333337</v>
      </c>
      <c r="S181" s="447">
        <v>116.67</v>
      </c>
    </row>
    <row r="182" spans="1:19" ht="14.4" customHeight="1" x14ac:dyDescent="0.3">
      <c r="A182" s="442"/>
      <c r="B182" s="443" t="s">
        <v>1090</v>
      </c>
      <c r="C182" s="443" t="s">
        <v>1084</v>
      </c>
      <c r="D182" s="443" t="s">
        <v>1080</v>
      </c>
      <c r="E182" s="443" t="s">
        <v>1141</v>
      </c>
      <c r="F182" s="443" t="s">
        <v>1193</v>
      </c>
      <c r="G182" s="443" t="s">
        <v>1194</v>
      </c>
      <c r="H182" s="446">
        <v>15</v>
      </c>
      <c r="I182" s="446">
        <v>733.33999999999992</v>
      </c>
      <c r="J182" s="443">
        <v>0.99999999999999989</v>
      </c>
      <c r="K182" s="443">
        <v>48.889333333333326</v>
      </c>
      <c r="L182" s="446">
        <v>15</v>
      </c>
      <c r="M182" s="446">
        <v>733.34</v>
      </c>
      <c r="N182" s="443">
        <v>1</v>
      </c>
      <c r="O182" s="443">
        <v>48.889333333333333</v>
      </c>
      <c r="P182" s="446">
        <v>23</v>
      </c>
      <c r="Q182" s="446">
        <v>1124.44</v>
      </c>
      <c r="R182" s="468">
        <v>1.5333133335151499</v>
      </c>
      <c r="S182" s="447">
        <v>48.888695652173915</v>
      </c>
    </row>
    <row r="183" spans="1:19" ht="14.4" customHeight="1" x14ac:dyDescent="0.3">
      <c r="A183" s="442"/>
      <c r="B183" s="443" t="s">
        <v>1090</v>
      </c>
      <c r="C183" s="443" t="s">
        <v>1084</v>
      </c>
      <c r="D183" s="443" t="s">
        <v>1080</v>
      </c>
      <c r="E183" s="443" t="s">
        <v>1141</v>
      </c>
      <c r="F183" s="443" t="s">
        <v>1234</v>
      </c>
      <c r="G183" s="443" t="s">
        <v>1235</v>
      </c>
      <c r="H183" s="446">
        <v>1</v>
      </c>
      <c r="I183" s="446">
        <v>466.67</v>
      </c>
      <c r="J183" s="443">
        <v>1</v>
      </c>
      <c r="K183" s="443">
        <v>466.67</v>
      </c>
      <c r="L183" s="446">
        <v>1</v>
      </c>
      <c r="M183" s="446">
        <v>466.67</v>
      </c>
      <c r="N183" s="443">
        <v>1</v>
      </c>
      <c r="O183" s="443">
        <v>466.67</v>
      </c>
      <c r="P183" s="446"/>
      <c r="Q183" s="446"/>
      <c r="R183" s="468"/>
      <c r="S183" s="447"/>
    </row>
    <row r="184" spans="1:19" ht="14.4" customHeight="1" x14ac:dyDescent="0.3">
      <c r="A184" s="442"/>
      <c r="B184" s="443" t="s">
        <v>1090</v>
      </c>
      <c r="C184" s="443" t="s">
        <v>1084</v>
      </c>
      <c r="D184" s="443" t="s">
        <v>1080</v>
      </c>
      <c r="E184" s="443" t="s">
        <v>1141</v>
      </c>
      <c r="F184" s="443" t="s">
        <v>1218</v>
      </c>
      <c r="G184" s="443" t="s">
        <v>1219</v>
      </c>
      <c r="H184" s="446">
        <v>45</v>
      </c>
      <c r="I184" s="446">
        <v>21000</v>
      </c>
      <c r="J184" s="443">
        <v>2.249998392858291</v>
      </c>
      <c r="K184" s="443">
        <v>466.66666666666669</v>
      </c>
      <c r="L184" s="446">
        <v>20</v>
      </c>
      <c r="M184" s="446">
        <v>9333.34</v>
      </c>
      <c r="N184" s="443">
        <v>1</v>
      </c>
      <c r="O184" s="443">
        <v>466.66700000000003</v>
      </c>
      <c r="P184" s="446">
        <v>10</v>
      </c>
      <c r="Q184" s="446">
        <v>4666.66</v>
      </c>
      <c r="R184" s="468">
        <v>0.49999892857219386</v>
      </c>
      <c r="S184" s="447">
        <v>466.666</v>
      </c>
    </row>
    <row r="185" spans="1:19" ht="14.4" customHeight="1" x14ac:dyDescent="0.3">
      <c r="A185" s="442"/>
      <c r="B185" s="443" t="s">
        <v>1090</v>
      </c>
      <c r="C185" s="443" t="s">
        <v>1084</v>
      </c>
      <c r="D185" s="443" t="s">
        <v>1080</v>
      </c>
      <c r="E185" s="443" t="s">
        <v>1141</v>
      </c>
      <c r="F185" s="443" t="s">
        <v>1236</v>
      </c>
      <c r="G185" s="443" t="s">
        <v>1237</v>
      </c>
      <c r="H185" s="446">
        <v>6</v>
      </c>
      <c r="I185" s="446">
        <v>586.67000000000007</v>
      </c>
      <c r="J185" s="443">
        <v>0.75000639206361386</v>
      </c>
      <c r="K185" s="443">
        <v>97.77833333333335</v>
      </c>
      <c r="L185" s="446">
        <v>8</v>
      </c>
      <c r="M185" s="446">
        <v>782.22</v>
      </c>
      <c r="N185" s="443">
        <v>1</v>
      </c>
      <c r="O185" s="443">
        <v>97.777500000000003</v>
      </c>
      <c r="P185" s="446">
        <v>7</v>
      </c>
      <c r="Q185" s="446">
        <v>684.44</v>
      </c>
      <c r="R185" s="468">
        <v>0.87499680396819313</v>
      </c>
      <c r="S185" s="447">
        <v>97.777142857142863</v>
      </c>
    </row>
    <row r="186" spans="1:19" ht="14.4" customHeight="1" x14ac:dyDescent="0.3">
      <c r="A186" s="442"/>
      <c r="B186" s="443" t="s">
        <v>1090</v>
      </c>
      <c r="C186" s="443" t="s">
        <v>1084</v>
      </c>
      <c r="D186" s="443" t="s">
        <v>1080</v>
      </c>
      <c r="E186" s="443" t="s">
        <v>1141</v>
      </c>
      <c r="F186" s="443" t="s">
        <v>1238</v>
      </c>
      <c r="G186" s="443" t="s">
        <v>1239</v>
      </c>
      <c r="H186" s="446"/>
      <c r="I186" s="446"/>
      <c r="J186" s="443"/>
      <c r="K186" s="443"/>
      <c r="L186" s="446">
        <v>1</v>
      </c>
      <c r="M186" s="446">
        <v>481.11</v>
      </c>
      <c r="N186" s="443">
        <v>1</v>
      </c>
      <c r="O186" s="443">
        <v>481.11</v>
      </c>
      <c r="P186" s="446"/>
      <c r="Q186" s="446"/>
      <c r="R186" s="468"/>
      <c r="S186" s="447"/>
    </row>
    <row r="187" spans="1:19" ht="14.4" customHeight="1" x14ac:dyDescent="0.3">
      <c r="A187" s="442"/>
      <c r="B187" s="443" t="s">
        <v>1240</v>
      </c>
      <c r="C187" s="443" t="s">
        <v>1081</v>
      </c>
      <c r="D187" s="443" t="s">
        <v>1080</v>
      </c>
      <c r="E187" s="443" t="s">
        <v>1091</v>
      </c>
      <c r="F187" s="443" t="s">
        <v>1241</v>
      </c>
      <c r="G187" s="443"/>
      <c r="H187" s="446">
        <v>1</v>
      </c>
      <c r="I187" s="446">
        <v>113</v>
      </c>
      <c r="J187" s="443">
        <v>1</v>
      </c>
      <c r="K187" s="443">
        <v>113</v>
      </c>
      <c r="L187" s="446">
        <v>1</v>
      </c>
      <c r="M187" s="446">
        <v>113</v>
      </c>
      <c r="N187" s="443">
        <v>1</v>
      </c>
      <c r="O187" s="443">
        <v>113</v>
      </c>
      <c r="P187" s="446">
        <v>6</v>
      </c>
      <c r="Q187" s="446">
        <v>678</v>
      </c>
      <c r="R187" s="468">
        <v>6</v>
      </c>
      <c r="S187" s="447">
        <v>113</v>
      </c>
    </row>
    <row r="188" spans="1:19" ht="14.4" customHeight="1" x14ac:dyDescent="0.3">
      <c r="A188" s="442"/>
      <c r="B188" s="443" t="s">
        <v>1240</v>
      </c>
      <c r="C188" s="443" t="s">
        <v>1081</v>
      </c>
      <c r="D188" s="443" t="s">
        <v>1080</v>
      </c>
      <c r="E188" s="443" t="s">
        <v>1091</v>
      </c>
      <c r="F188" s="443" t="s">
        <v>1242</v>
      </c>
      <c r="G188" s="443"/>
      <c r="H188" s="446">
        <v>3</v>
      </c>
      <c r="I188" s="446">
        <v>3024</v>
      </c>
      <c r="J188" s="443"/>
      <c r="K188" s="443">
        <v>1008</v>
      </c>
      <c r="L188" s="446"/>
      <c r="M188" s="446"/>
      <c r="N188" s="443"/>
      <c r="O188" s="443"/>
      <c r="P188" s="446">
        <v>4</v>
      </c>
      <c r="Q188" s="446">
        <v>4032</v>
      </c>
      <c r="R188" s="468"/>
      <c r="S188" s="447">
        <v>1008</v>
      </c>
    </row>
    <row r="189" spans="1:19" ht="14.4" customHeight="1" x14ac:dyDescent="0.3">
      <c r="A189" s="442"/>
      <c r="B189" s="443" t="s">
        <v>1240</v>
      </c>
      <c r="C189" s="443" t="s">
        <v>1081</v>
      </c>
      <c r="D189" s="443" t="s">
        <v>1080</v>
      </c>
      <c r="E189" s="443" t="s">
        <v>1091</v>
      </c>
      <c r="F189" s="443" t="s">
        <v>1243</v>
      </c>
      <c r="G189" s="443"/>
      <c r="H189" s="446">
        <v>100</v>
      </c>
      <c r="I189" s="446">
        <v>21700</v>
      </c>
      <c r="J189" s="443">
        <v>1.0416666666666667</v>
      </c>
      <c r="K189" s="443">
        <v>217</v>
      </c>
      <c r="L189" s="446">
        <v>96</v>
      </c>
      <c r="M189" s="446">
        <v>20832</v>
      </c>
      <c r="N189" s="443">
        <v>1</v>
      </c>
      <c r="O189" s="443">
        <v>217</v>
      </c>
      <c r="P189" s="446">
        <v>102</v>
      </c>
      <c r="Q189" s="446">
        <v>22134</v>
      </c>
      <c r="R189" s="468">
        <v>1.0625</v>
      </c>
      <c r="S189" s="447">
        <v>217</v>
      </c>
    </row>
    <row r="190" spans="1:19" ht="14.4" customHeight="1" x14ac:dyDescent="0.3">
      <c r="A190" s="442"/>
      <c r="B190" s="443" t="s">
        <v>1240</v>
      </c>
      <c r="C190" s="443" t="s">
        <v>1081</v>
      </c>
      <c r="D190" s="443" t="s">
        <v>1080</v>
      </c>
      <c r="E190" s="443" t="s">
        <v>1091</v>
      </c>
      <c r="F190" s="443" t="s">
        <v>1244</v>
      </c>
      <c r="G190" s="443"/>
      <c r="H190" s="446">
        <v>1</v>
      </c>
      <c r="I190" s="446">
        <v>1289</v>
      </c>
      <c r="J190" s="443">
        <v>1</v>
      </c>
      <c r="K190" s="443">
        <v>1289</v>
      </c>
      <c r="L190" s="446">
        <v>1</v>
      </c>
      <c r="M190" s="446">
        <v>1289</v>
      </c>
      <c r="N190" s="443">
        <v>1</v>
      </c>
      <c r="O190" s="443">
        <v>1289</v>
      </c>
      <c r="P190" s="446"/>
      <c r="Q190" s="446"/>
      <c r="R190" s="468"/>
      <c r="S190" s="447"/>
    </row>
    <row r="191" spans="1:19" ht="14.4" customHeight="1" x14ac:dyDescent="0.3">
      <c r="A191" s="442"/>
      <c r="B191" s="443" t="s">
        <v>1240</v>
      </c>
      <c r="C191" s="443" t="s">
        <v>1081</v>
      </c>
      <c r="D191" s="443" t="s">
        <v>1080</v>
      </c>
      <c r="E191" s="443" t="s">
        <v>1091</v>
      </c>
      <c r="F191" s="443" t="s">
        <v>1245</v>
      </c>
      <c r="G191" s="443"/>
      <c r="H191" s="446"/>
      <c r="I191" s="446"/>
      <c r="J191" s="443"/>
      <c r="K191" s="443"/>
      <c r="L191" s="446">
        <v>1</v>
      </c>
      <c r="M191" s="446">
        <v>1770</v>
      </c>
      <c r="N191" s="443">
        <v>1</v>
      </c>
      <c r="O191" s="443">
        <v>1770</v>
      </c>
      <c r="P191" s="446">
        <v>1</v>
      </c>
      <c r="Q191" s="446">
        <v>1770</v>
      </c>
      <c r="R191" s="468">
        <v>1</v>
      </c>
      <c r="S191" s="447">
        <v>1770</v>
      </c>
    </row>
    <row r="192" spans="1:19" ht="14.4" customHeight="1" x14ac:dyDescent="0.3">
      <c r="A192" s="442"/>
      <c r="B192" s="443" t="s">
        <v>1240</v>
      </c>
      <c r="C192" s="443" t="s">
        <v>1081</v>
      </c>
      <c r="D192" s="443" t="s">
        <v>1080</v>
      </c>
      <c r="E192" s="443" t="s">
        <v>1091</v>
      </c>
      <c r="F192" s="443" t="s">
        <v>1246</v>
      </c>
      <c r="G192" s="443"/>
      <c r="H192" s="446">
        <v>1</v>
      </c>
      <c r="I192" s="446">
        <v>2450</v>
      </c>
      <c r="J192" s="443"/>
      <c r="K192" s="443">
        <v>2450</v>
      </c>
      <c r="L192" s="446"/>
      <c r="M192" s="446"/>
      <c r="N192" s="443"/>
      <c r="O192" s="443"/>
      <c r="P192" s="446">
        <v>1</v>
      </c>
      <c r="Q192" s="446">
        <v>2450</v>
      </c>
      <c r="R192" s="468"/>
      <c r="S192" s="447">
        <v>2450</v>
      </c>
    </row>
    <row r="193" spans="1:19" ht="14.4" customHeight="1" x14ac:dyDescent="0.3">
      <c r="A193" s="442"/>
      <c r="B193" s="443" t="s">
        <v>1240</v>
      </c>
      <c r="C193" s="443" t="s">
        <v>1081</v>
      </c>
      <c r="D193" s="443" t="s">
        <v>1080</v>
      </c>
      <c r="E193" s="443" t="s">
        <v>1091</v>
      </c>
      <c r="F193" s="443" t="s">
        <v>1247</v>
      </c>
      <c r="G193" s="443"/>
      <c r="H193" s="446"/>
      <c r="I193" s="446"/>
      <c r="J193" s="443"/>
      <c r="K193" s="443"/>
      <c r="L193" s="446">
        <v>2</v>
      </c>
      <c r="M193" s="446">
        <v>2606</v>
      </c>
      <c r="N193" s="443">
        <v>1</v>
      </c>
      <c r="O193" s="443">
        <v>1303</v>
      </c>
      <c r="P193" s="446"/>
      <c r="Q193" s="446"/>
      <c r="R193" s="468"/>
      <c r="S193" s="447"/>
    </row>
    <row r="194" spans="1:19" ht="14.4" customHeight="1" x14ac:dyDescent="0.3">
      <c r="A194" s="442"/>
      <c r="B194" s="443" t="s">
        <v>1240</v>
      </c>
      <c r="C194" s="443" t="s">
        <v>1081</v>
      </c>
      <c r="D194" s="443" t="s">
        <v>1080</v>
      </c>
      <c r="E194" s="443" t="s">
        <v>1091</v>
      </c>
      <c r="F194" s="443" t="s">
        <v>1248</v>
      </c>
      <c r="G194" s="443"/>
      <c r="H194" s="446">
        <v>41</v>
      </c>
      <c r="I194" s="446">
        <v>42763</v>
      </c>
      <c r="J194" s="443">
        <v>1</v>
      </c>
      <c r="K194" s="443">
        <v>1043</v>
      </c>
      <c r="L194" s="446">
        <v>41</v>
      </c>
      <c r="M194" s="446">
        <v>42763</v>
      </c>
      <c r="N194" s="443">
        <v>1</v>
      </c>
      <c r="O194" s="443">
        <v>1043</v>
      </c>
      <c r="P194" s="446">
        <v>60</v>
      </c>
      <c r="Q194" s="446">
        <v>62580</v>
      </c>
      <c r="R194" s="468">
        <v>1.4634146341463414</v>
      </c>
      <c r="S194" s="447">
        <v>1043</v>
      </c>
    </row>
    <row r="195" spans="1:19" ht="14.4" customHeight="1" x14ac:dyDescent="0.3">
      <c r="A195" s="442"/>
      <c r="B195" s="443" t="s">
        <v>1240</v>
      </c>
      <c r="C195" s="443" t="s">
        <v>1081</v>
      </c>
      <c r="D195" s="443" t="s">
        <v>1080</v>
      </c>
      <c r="E195" s="443" t="s">
        <v>1091</v>
      </c>
      <c r="F195" s="443" t="s">
        <v>1249</v>
      </c>
      <c r="G195" s="443"/>
      <c r="H195" s="446"/>
      <c r="I195" s="446"/>
      <c r="J195" s="443"/>
      <c r="K195" s="443"/>
      <c r="L195" s="446">
        <v>1</v>
      </c>
      <c r="M195" s="446">
        <v>1654</v>
      </c>
      <c r="N195" s="443">
        <v>1</v>
      </c>
      <c r="O195" s="443">
        <v>1654</v>
      </c>
      <c r="P195" s="446"/>
      <c r="Q195" s="446"/>
      <c r="R195" s="468"/>
      <c r="S195" s="447"/>
    </row>
    <row r="196" spans="1:19" ht="14.4" customHeight="1" x14ac:dyDescent="0.3">
      <c r="A196" s="442"/>
      <c r="B196" s="443" t="s">
        <v>1240</v>
      </c>
      <c r="C196" s="443" t="s">
        <v>1081</v>
      </c>
      <c r="D196" s="443" t="s">
        <v>1080</v>
      </c>
      <c r="E196" s="443" t="s">
        <v>1091</v>
      </c>
      <c r="F196" s="443" t="s">
        <v>1250</v>
      </c>
      <c r="G196" s="443"/>
      <c r="H196" s="446">
        <v>4</v>
      </c>
      <c r="I196" s="446">
        <v>5292</v>
      </c>
      <c r="J196" s="443">
        <v>0.8</v>
      </c>
      <c r="K196" s="443">
        <v>1323</v>
      </c>
      <c r="L196" s="446">
        <v>5</v>
      </c>
      <c r="M196" s="446">
        <v>6615</v>
      </c>
      <c r="N196" s="443">
        <v>1</v>
      </c>
      <c r="O196" s="443">
        <v>1323</v>
      </c>
      <c r="P196" s="446">
        <v>5</v>
      </c>
      <c r="Q196" s="446">
        <v>6615</v>
      </c>
      <c r="R196" s="468">
        <v>1</v>
      </c>
      <c r="S196" s="447">
        <v>1323</v>
      </c>
    </row>
    <row r="197" spans="1:19" ht="14.4" customHeight="1" x14ac:dyDescent="0.3">
      <c r="A197" s="442"/>
      <c r="B197" s="443" t="s">
        <v>1240</v>
      </c>
      <c r="C197" s="443" t="s">
        <v>1081</v>
      </c>
      <c r="D197" s="443" t="s">
        <v>1080</v>
      </c>
      <c r="E197" s="443" t="s">
        <v>1091</v>
      </c>
      <c r="F197" s="443" t="s">
        <v>1251</v>
      </c>
      <c r="G197" s="443"/>
      <c r="H197" s="446"/>
      <c r="I197" s="446"/>
      <c r="J197" s="443"/>
      <c r="K197" s="443"/>
      <c r="L197" s="446">
        <v>1</v>
      </c>
      <c r="M197" s="446">
        <v>2416</v>
      </c>
      <c r="N197" s="443">
        <v>1</v>
      </c>
      <c r="O197" s="443">
        <v>2416</v>
      </c>
      <c r="P197" s="446"/>
      <c r="Q197" s="446"/>
      <c r="R197" s="468"/>
      <c r="S197" s="447"/>
    </row>
    <row r="198" spans="1:19" ht="14.4" customHeight="1" x14ac:dyDescent="0.3">
      <c r="A198" s="442"/>
      <c r="B198" s="443" t="s">
        <v>1240</v>
      </c>
      <c r="C198" s="443" t="s">
        <v>1081</v>
      </c>
      <c r="D198" s="443" t="s">
        <v>1080</v>
      </c>
      <c r="E198" s="443" t="s">
        <v>1091</v>
      </c>
      <c r="F198" s="443" t="s">
        <v>1252</v>
      </c>
      <c r="G198" s="443"/>
      <c r="H198" s="446">
        <v>1</v>
      </c>
      <c r="I198" s="446">
        <v>1933</v>
      </c>
      <c r="J198" s="443"/>
      <c r="K198" s="443">
        <v>1933</v>
      </c>
      <c r="L198" s="446"/>
      <c r="M198" s="446"/>
      <c r="N198" s="443"/>
      <c r="O198" s="443"/>
      <c r="P198" s="446"/>
      <c r="Q198" s="446"/>
      <c r="R198" s="468"/>
      <c r="S198" s="447"/>
    </row>
    <row r="199" spans="1:19" ht="14.4" customHeight="1" x14ac:dyDescent="0.3">
      <c r="A199" s="442"/>
      <c r="B199" s="443" t="s">
        <v>1240</v>
      </c>
      <c r="C199" s="443" t="s">
        <v>1081</v>
      </c>
      <c r="D199" s="443" t="s">
        <v>1080</v>
      </c>
      <c r="E199" s="443" t="s">
        <v>1091</v>
      </c>
      <c r="F199" s="443" t="s">
        <v>1253</v>
      </c>
      <c r="G199" s="443"/>
      <c r="H199" s="446">
        <v>18</v>
      </c>
      <c r="I199" s="446">
        <v>9756</v>
      </c>
      <c r="J199" s="443">
        <v>1.6363636363636365</v>
      </c>
      <c r="K199" s="443">
        <v>542</v>
      </c>
      <c r="L199" s="446">
        <v>11</v>
      </c>
      <c r="M199" s="446">
        <v>5962</v>
      </c>
      <c r="N199" s="443">
        <v>1</v>
      </c>
      <c r="O199" s="443">
        <v>542</v>
      </c>
      <c r="P199" s="446">
        <v>20</v>
      </c>
      <c r="Q199" s="446">
        <v>10840</v>
      </c>
      <c r="R199" s="468">
        <v>1.8181818181818181</v>
      </c>
      <c r="S199" s="447">
        <v>542</v>
      </c>
    </row>
    <row r="200" spans="1:19" ht="14.4" customHeight="1" x14ac:dyDescent="0.3">
      <c r="A200" s="442"/>
      <c r="B200" s="443" t="s">
        <v>1240</v>
      </c>
      <c r="C200" s="443" t="s">
        <v>1081</v>
      </c>
      <c r="D200" s="443" t="s">
        <v>1080</v>
      </c>
      <c r="E200" s="443" t="s">
        <v>1091</v>
      </c>
      <c r="F200" s="443" t="s">
        <v>1254</v>
      </c>
      <c r="G200" s="443"/>
      <c r="H200" s="446"/>
      <c r="I200" s="446"/>
      <c r="J200" s="443"/>
      <c r="K200" s="443"/>
      <c r="L200" s="446">
        <v>2</v>
      </c>
      <c r="M200" s="446">
        <v>596</v>
      </c>
      <c r="N200" s="443">
        <v>1</v>
      </c>
      <c r="O200" s="443">
        <v>298</v>
      </c>
      <c r="P200" s="446"/>
      <c r="Q200" s="446"/>
      <c r="R200" s="468"/>
      <c r="S200" s="447"/>
    </row>
    <row r="201" spans="1:19" ht="14.4" customHeight="1" x14ac:dyDescent="0.3">
      <c r="A201" s="442"/>
      <c r="B201" s="443" t="s">
        <v>1240</v>
      </c>
      <c r="C201" s="443" t="s">
        <v>1081</v>
      </c>
      <c r="D201" s="443" t="s">
        <v>1080</v>
      </c>
      <c r="E201" s="443" t="s">
        <v>1091</v>
      </c>
      <c r="F201" s="443" t="s">
        <v>1255</v>
      </c>
      <c r="G201" s="443"/>
      <c r="H201" s="446">
        <v>6</v>
      </c>
      <c r="I201" s="446">
        <v>3474</v>
      </c>
      <c r="J201" s="443">
        <v>0.4</v>
      </c>
      <c r="K201" s="443">
        <v>579</v>
      </c>
      <c r="L201" s="446">
        <v>15</v>
      </c>
      <c r="M201" s="446">
        <v>8685</v>
      </c>
      <c r="N201" s="443">
        <v>1</v>
      </c>
      <c r="O201" s="443">
        <v>579</v>
      </c>
      <c r="P201" s="446">
        <v>14</v>
      </c>
      <c r="Q201" s="446">
        <v>8106</v>
      </c>
      <c r="R201" s="468">
        <v>0.93333333333333335</v>
      </c>
      <c r="S201" s="447">
        <v>579</v>
      </c>
    </row>
    <row r="202" spans="1:19" ht="14.4" customHeight="1" x14ac:dyDescent="0.3">
      <c r="A202" s="442"/>
      <c r="B202" s="443" t="s">
        <v>1240</v>
      </c>
      <c r="C202" s="443" t="s">
        <v>1081</v>
      </c>
      <c r="D202" s="443" t="s">
        <v>1080</v>
      </c>
      <c r="E202" s="443" t="s">
        <v>1091</v>
      </c>
      <c r="F202" s="443" t="s">
        <v>1093</v>
      </c>
      <c r="G202" s="443"/>
      <c r="H202" s="446">
        <v>5</v>
      </c>
      <c r="I202" s="446">
        <v>565</v>
      </c>
      <c r="J202" s="443">
        <v>1</v>
      </c>
      <c r="K202" s="443">
        <v>113</v>
      </c>
      <c r="L202" s="446">
        <v>5</v>
      </c>
      <c r="M202" s="446">
        <v>565</v>
      </c>
      <c r="N202" s="443">
        <v>1</v>
      </c>
      <c r="O202" s="443">
        <v>113</v>
      </c>
      <c r="P202" s="446">
        <v>5</v>
      </c>
      <c r="Q202" s="446">
        <v>565</v>
      </c>
      <c r="R202" s="468">
        <v>1</v>
      </c>
      <c r="S202" s="447">
        <v>113</v>
      </c>
    </row>
    <row r="203" spans="1:19" ht="14.4" customHeight="1" x14ac:dyDescent="0.3">
      <c r="A203" s="442"/>
      <c r="B203" s="443" t="s">
        <v>1240</v>
      </c>
      <c r="C203" s="443" t="s">
        <v>1081</v>
      </c>
      <c r="D203" s="443" t="s">
        <v>1080</v>
      </c>
      <c r="E203" s="443" t="s">
        <v>1091</v>
      </c>
      <c r="F203" s="443" t="s">
        <v>1094</v>
      </c>
      <c r="G203" s="443"/>
      <c r="H203" s="446">
        <v>1</v>
      </c>
      <c r="I203" s="446">
        <v>132</v>
      </c>
      <c r="J203" s="443">
        <v>0.33333333333333331</v>
      </c>
      <c r="K203" s="443">
        <v>132</v>
      </c>
      <c r="L203" s="446">
        <v>3</v>
      </c>
      <c r="M203" s="446">
        <v>396</v>
      </c>
      <c r="N203" s="443">
        <v>1</v>
      </c>
      <c r="O203" s="443">
        <v>132</v>
      </c>
      <c r="P203" s="446"/>
      <c r="Q203" s="446"/>
      <c r="R203" s="468"/>
      <c r="S203" s="447"/>
    </row>
    <row r="204" spans="1:19" ht="14.4" customHeight="1" x14ac:dyDescent="0.3">
      <c r="A204" s="442"/>
      <c r="B204" s="443" t="s">
        <v>1240</v>
      </c>
      <c r="C204" s="443" t="s">
        <v>1081</v>
      </c>
      <c r="D204" s="443" t="s">
        <v>1080</v>
      </c>
      <c r="E204" s="443" t="s">
        <v>1091</v>
      </c>
      <c r="F204" s="443" t="s">
        <v>1256</v>
      </c>
      <c r="G204" s="443"/>
      <c r="H204" s="446"/>
      <c r="I204" s="446"/>
      <c r="J204" s="443"/>
      <c r="K204" s="443"/>
      <c r="L204" s="446">
        <v>3</v>
      </c>
      <c r="M204" s="446">
        <v>468</v>
      </c>
      <c r="N204" s="443">
        <v>1</v>
      </c>
      <c r="O204" s="443">
        <v>156</v>
      </c>
      <c r="P204" s="446"/>
      <c r="Q204" s="446"/>
      <c r="R204" s="468"/>
      <c r="S204" s="447"/>
    </row>
    <row r="205" spans="1:19" ht="14.4" customHeight="1" x14ac:dyDescent="0.3">
      <c r="A205" s="442"/>
      <c r="B205" s="443" t="s">
        <v>1240</v>
      </c>
      <c r="C205" s="443" t="s">
        <v>1081</v>
      </c>
      <c r="D205" s="443" t="s">
        <v>1080</v>
      </c>
      <c r="E205" s="443" t="s">
        <v>1091</v>
      </c>
      <c r="F205" s="443" t="s">
        <v>1119</v>
      </c>
      <c r="G205" s="443"/>
      <c r="H205" s="446">
        <v>4</v>
      </c>
      <c r="I205" s="446">
        <v>6960</v>
      </c>
      <c r="J205" s="443"/>
      <c r="K205" s="443">
        <v>1740</v>
      </c>
      <c r="L205" s="446"/>
      <c r="M205" s="446"/>
      <c r="N205" s="443"/>
      <c r="O205" s="443"/>
      <c r="P205" s="446">
        <v>1</v>
      </c>
      <c r="Q205" s="446">
        <v>2000</v>
      </c>
      <c r="R205" s="468"/>
      <c r="S205" s="447">
        <v>2000</v>
      </c>
    </row>
    <row r="206" spans="1:19" ht="14.4" customHeight="1" x14ac:dyDescent="0.3">
      <c r="A206" s="442"/>
      <c r="B206" s="443" t="s">
        <v>1240</v>
      </c>
      <c r="C206" s="443" t="s">
        <v>1081</v>
      </c>
      <c r="D206" s="443" t="s">
        <v>1080</v>
      </c>
      <c r="E206" s="443" t="s">
        <v>1091</v>
      </c>
      <c r="F206" s="443" t="s">
        <v>1257</v>
      </c>
      <c r="G206" s="443"/>
      <c r="H206" s="446"/>
      <c r="I206" s="446"/>
      <c r="J206" s="443"/>
      <c r="K206" s="443"/>
      <c r="L206" s="446">
        <v>3</v>
      </c>
      <c r="M206" s="446">
        <v>3024</v>
      </c>
      <c r="N206" s="443">
        <v>1</v>
      </c>
      <c r="O206" s="443">
        <v>1008</v>
      </c>
      <c r="P206" s="446"/>
      <c r="Q206" s="446"/>
      <c r="R206" s="468"/>
      <c r="S206" s="447"/>
    </row>
    <row r="207" spans="1:19" ht="14.4" customHeight="1" x14ac:dyDescent="0.3">
      <c r="A207" s="442"/>
      <c r="B207" s="443" t="s">
        <v>1240</v>
      </c>
      <c r="C207" s="443" t="s">
        <v>1081</v>
      </c>
      <c r="D207" s="443" t="s">
        <v>1080</v>
      </c>
      <c r="E207" s="443" t="s">
        <v>1091</v>
      </c>
      <c r="F207" s="443" t="s">
        <v>1258</v>
      </c>
      <c r="G207" s="443"/>
      <c r="H207" s="446">
        <v>46</v>
      </c>
      <c r="I207" s="446">
        <v>9982</v>
      </c>
      <c r="J207" s="443">
        <v>0.92</v>
      </c>
      <c r="K207" s="443">
        <v>217</v>
      </c>
      <c r="L207" s="446">
        <v>50</v>
      </c>
      <c r="M207" s="446">
        <v>10850</v>
      </c>
      <c r="N207" s="443">
        <v>1</v>
      </c>
      <c r="O207" s="443">
        <v>217</v>
      </c>
      <c r="P207" s="446">
        <v>39</v>
      </c>
      <c r="Q207" s="446">
        <v>8463</v>
      </c>
      <c r="R207" s="468">
        <v>0.78</v>
      </c>
      <c r="S207" s="447">
        <v>217</v>
      </c>
    </row>
    <row r="208" spans="1:19" ht="14.4" customHeight="1" x14ac:dyDescent="0.3">
      <c r="A208" s="442"/>
      <c r="B208" s="443" t="s">
        <v>1240</v>
      </c>
      <c r="C208" s="443" t="s">
        <v>1081</v>
      </c>
      <c r="D208" s="443" t="s">
        <v>1080</v>
      </c>
      <c r="E208" s="443" t="s">
        <v>1091</v>
      </c>
      <c r="F208" s="443" t="s">
        <v>1259</v>
      </c>
      <c r="G208" s="443"/>
      <c r="H208" s="446">
        <v>26</v>
      </c>
      <c r="I208" s="446">
        <v>27118</v>
      </c>
      <c r="J208" s="443">
        <v>1.0833333333333333</v>
      </c>
      <c r="K208" s="443">
        <v>1043</v>
      </c>
      <c r="L208" s="446">
        <v>24</v>
      </c>
      <c r="M208" s="446">
        <v>25032</v>
      </c>
      <c r="N208" s="443">
        <v>1</v>
      </c>
      <c r="O208" s="443">
        <v>1043</v>
      </c>
      <c r="P208" s="446">
        <v>25</v>
      </c>
      <c r="Q208" s="446">
        <v>26075</v>
      </c>
      <c r="R208" s="468">
        <v>1.0416666666666667</v>
      </c>
      <c r="S208" s="447">
        <v>1043</v>
      </c>
    </row>
    <row r="209" spans="1:19" ht="14.4" customHeight="1" x14ac:dyDescent="0.3">
      <c r="A209" s="442"/>
      <c r="B209" s="443" t="s">
        <v>1240</v>
      </c>
      <c r="C209" s="443" t="s">
        <v>1081</v>
      </c>
      <c r="D209" s="443" t="s">
        <v>1080</v>
      </c>
      <c r="E209" s="443" t="s">
        <v>1091</v>
      </c>
      <c r="F209" s="443" t="s">
        <v>1260</v>
      </c>
      <c r="G209" s="443"/>
      <c r="H209" s="446"/>
      <c r="I209" s="446"/>
      <c r="J209" s="443"/>
      <c r="K209" s="443"/>
      <c r="L209" s="446">
        <v>1</v>
      </c>
      <c r="M209" s="446">
        <v>1323</v>
      </c>
      <c r="N209" s="443">
        <v>1</v>
      </c>
      <c r="O209" s="443">
        <v>1323</v>
      </c>
      <c r="P209" s="446">
        <v>1</v>
      </c>
      <c r="Q209" s="446">
        <v>1323</v>
      </c>
      <c r="R209" s="468">
        <v>1</v>
      </c>
      <c r="S209" s="447">
        <v>1323</v>
      </c>
    </row>
    <row r="210" spans="1:19" ht="14.4" customHeight="1" x14ac:dyDescent="0.3">
      <c r="A210" s="442"/>
      <c r="B210" s="443" t="s">
        <v>1240</v>
      </c>
      <c r="C210" s="443" t="s">
        <v>1081</v>
      </c>
      <c r="D210" s="443" t="s">
        <v>1080</v>
      </c>
      <c r="E210" s="443" t="s">
        <v>1091</v>
      </c>
      <c r="F210" s="443" t="s">
        <v>1261</v>
      </c>
      <c r="G210" s="443"/>
      <c r="H210" s="446">
        <v>4</v>
      </c>
      <c r="I210" s="446">
        <v>2168</v>
      </c>
      <c r="J210" s="443">
        <v>1</v>
      </c>
      <c r="K210" s="443">
        <v>542</v>
      </c>
      <c r="L210" s="446">
        <v>4</v>
      </c>
      <c r="M210" s="446">
        <v>2168</v>
      </c>
      <c r="N210" s="443">
        <v>1</v>
      </c>
      <c r="O210" s="443">
        <v>542</v>
      </c>
      <c r="P210" s="446">
        <v>7</v>
      </c>
      <c r="Q210" s="446">
        <v>3794</v>
      </c>
      <c r="R210" s="468">
        <v>1.75</v>
      </c>
      <c r="S210" s="447">
        <v>542</v>
      </c>
    </row>
    <row r="211" spans="1:19" ht="14.4" customHeight="1" x14ac:dyDescent="0.3">
      <c r="A211" s="442"/>
      <c r="B211" s="443" t="s">
        <v>1240</v>
      </c>
      <c r="C211" s="443" t="s">
        <v>1081</v>
      </c>
      <c r="D211" s="443" t="s">
        <v>1080</v>
      </c>
      <c r="E211" s="443" t="s">
        <v>1091</v>
      </c>
      <c r="F211" s="443" t="s">
        <v>1262</v>
      </c>
      <c r="G211" s="443"/>
      <c r="H211" s="446"/>
      <c r="I211" s="446"/>
      <c r="J211" s="443"/>
      <c r="K211" s="443"/>
      <c r="L211" s="446">
        <v>5</v>
      </c>
      <c r="M211" s="446">
        <v>1490</v>
      </c>
      <c r="N211" s="443">
        <v>1</v>
      </c>
      <c r="O211" s="443">
        <v>298</v>
      </c>
      <c r="P211" s="446"/>
      <c r="Q211" s="446"/>
      <c r="R211" s="468"/>
      <c r="S211" s="447"/>
    </row>
    <row r="212" spans="1:19" ht="14.4" customHeight="1" x14ac:dyDescent="0.3">
      <c r="A212" s="442"/>
      <c r="B212" s="443" t="s">
        <v>1240</v>
      </c>
      <c r="C212" s="443" t="s">
        <v>1081</v>
      </c>
      <c r="D212" s="443" t="s">
        <v>1080</v>
      </c>
      <c r="E212" s="443" t="s">
        <v>1091</v>
      </c>
      <c r="F212" s="443" t="s">
        <v>1263</v>
      </c>
      <c r="G212" s="443"/>
      <c r="H212" s="446">
        <v>16</v>
      </c>
      <c r="I212" s="446">
        <v>9264</v>
      </c>
      <c r="J212" s="443">
        <v>0.88888888888888884</v>
      </c>
      <c r="K212" s="443">
        <v>579</v>
      </c>
      <c r="L212" s="446">
        <v>18</v>
      </c>
      <c r="M212" s="446">
        <v>10422</v>
      </c>
      <c r="N212" s="443">
        <v>1</v>
      </c>
      <c r="O212" s="443">
        <v>579</v>
      </c>
      <c r="P212" s="446">
        <v>20</v>
      </c>
      <c r="Q212" s="446">
        <v>11580</v>
      </c>
      <c r="R212" s="468">
        <v>1.1111111111111112</v>
      </c>
      <c r="S212" s="447">
        <v>579</v>
      </c>
    </row>
    <row r="213" spans="1:19" ht="14.4" customHeight="1" x14ac:dyDescent="0.3">
      <c r="A213" s="442"/>
      <c r="B213" s="443" t="s">
        <v>1240</v>
      </c>
      <c r="C213" s="443" t="s">
        <v>1081</v>
      </c>
      <c r="D213" s="443" t="s">
        <v>1080</v>
      </c>
      <c r="E213" s="443" t="s">
        <v>1091</v>
      </c>
      <c r="F213" s="443" t="s">
        <v>1264</v>
      </c>
      <c r="G213" s="443"/>
      <c r="H213" s="446">
        <v>1</v>
      </c>
      <c r="I213" s="446">
        <v>678</v>
      </c>
      <c r="J213" s="443"/>
      <c r="K213" s="443">
        <v>678</v>
      </c>
      <c r="L213" s="446"/>
      <c r="M213" s="446"/>
      <c r="N213" s="443"/>
      <c r="O213" s="443"/>
      <c r="P213" s="446"/>
      <c r="Q213" s="446"/>
      <c r="R213" s="468"/>
      <c r="S213" s="447"/>
    </row>
    <row r="214" spans="1:19" ht="14.4" customHeight="1" x14ac:dyDescent="0.3">
      <c r="A214" s="442"/>
      <c r="B214" s="443" t="s">
        <v>1240</v>
      </c>
      <c r="C214" s="443" t="s">
        <v>1081</v>
      </c>
      <c r="D214" s="443" t="s">
        <v>1080</v>
      </c>
      <c r="E214" s="443" t="s">
        <v>1091</v>
      </c>
      <c r="F214" s="443" t="s">
        <v>1265</v>
      </c>
      <c r="G214" s="443"/>
      <c r="H214" s="446"/>
      <c r="I214" s="446"/>
      <c r="J214" s="443"/>
      <c r="K214" s="443"/>
      <c r="L214" s="446">
        <v>1</v>
      </c>
      <c r="M214" s="446">
        <v>2416</v>
      </c>
      <c r="N214" s="443">
        <v>1</v>
      </c>
      <c r="O214" s="443">
        <v>2416</v>
      </c>
      <c r="P214" s="446"/>
      <c r="Q214" s="446"/>
      <c r="R214" s="468"/>
      <c r="S214" s="447"/>
    </row>
    <row r="215" spans="1:19" ht="14.4" customHeight="1" x14ac:dyDescent="0.3">
      <c r="A215" s="442"/>
      <c r="B215" s="443" t="s">
        <v>1240</v>
      </c>
      <c r="C215" s="443" t="s">
        <v>1081</v>
      </c>
      <c r="D215" s="443" t="s">
        <v>1080</v>
      </c>
      <c r="E215" s="443" t="s">
        <v>1141</v>
      </c>
      <c r="F215" s="443" t="s">
        <v>1146</v>
      </c>
      <c r="G215" s="443" t="s">
        <v>1147</v>
      </c>
      <c r="H215" s="446">
        <v>7</v>
      </c>
      <c r="I215" s="446">
        <v>544.45000000000005</v>
      </c>
      <c r="J215" s="443">
        <v>3.4999357161223967</v>
      </c>
      <c r="K215" s="443">
        <v>77.778571428571439</v>
      </c>
      <c r="L215" s="446">
        <v>2</v>
      </c>
      <c r="M215" s="446">
        <v>155.56</v>
      </c>
      <c r="N215" s="443">
        <v>1</v>
      </c>
      <c r="O215" s="443">
        <v>77.78</v>
      </c>
      <c r="P215" s="446">
        <v>3</v>
      </c>
      <c r="Q215" s="446">
        <v>233.34</v>
      </c>
      <c r="R215" s="468">
        <v>1.5</v>
      </c>
      <c r="S215" s="447">
        <v>77.78</v>
      </c>
    </row>
    <row r="216" spans="1:19" ht="14.4" customHeight="1" x14ac:dyDescent="0.3">
      <c r="A216" s="442"/>
      <c r="B216" s="443" t="s">
        <v>1240</v>
      </c>
      <c r="C216" s="443" t="s">
        <v>1081</v>
      </c>
      <c r="D216" s="443" t="s">
        <v>1080</v>
      </c>
      <c r="E216" s="443" t="s">
        <v>1141</v>
      </c>
      <c r="F216" s="443" t="s">
        <v>1148</v>
      </c>
      <c r="G216" s="443" t="s">
        <v>1149</v>
      </c>
      <c r="H216" s="446">
        <v>12</v>
      </c>
      <c r="I216" s="446">
        <v>3000</v>
      </c>
      <c r="J216" s="443">
        <v>1.0909090909090908</v>
      </c>
      <c r="K216" s="443">
        <v>250</v>
      </c>
      <c r="L216" s="446">
        <v>11</v>
      </c>
      <c r="M216" s="446">
        <v>2750</v>
      </c>
      <c r="N216" s="443">
        <v>1</v>
      </c>
      <c r="O216" s="443">
        <v>250</v>
      </c>
      <c r="P216" s="446">
        <v>7</v>
      </c>
      <c r="Q216" s="446">
        <v>1750</v>
      </c>
      <c r="R216" s="468">
        <v>0.63636363636363635</v>
      </c>
      <c r="S216" s="447">
        <v>250</v>
      </c>
    </row>
    <row r="217" spans="1:19" ht="14.4" customHeight="1" x14ac:dyDescent="0.3">
      <c r="A217" s="442"/>
      <c r="B217" s="443" t="s">
        <v>1240</v>
      </c>
      <c r="C217" s="443" t="s">
        <v>1081</v>
      </c>
      <c r="D217" s="443" t="s">
        <v>1080</v>
      </c>
      <c r="E217" s="443" t="s">
        <v>1141</v>
      </c>
      <c r="F217" s="443" t="s">
        <v>1150</v>
      </c>
      <c r="G217" s="443" t="s">
        <v>1151</v>
      </c>
      <c r="H217" s="446">
        <v>145</v>
      </c>
      <c r="I217" s="446">
        <v>43500</v>
      </c>
      <c r="J217" s="443">
        <v>1.0431654676258992</v>
      </c>
      <c r="K217" s="443">
        <v>300</v>
      </c>
      <c r="L217" s="446">
        <v>139</v>
      </c>
      <c r="M217" s="446">
        <v>41700</v>
      </c>
      <c r="N217" s="443">
        <v>1</v>
      </c>
      <c r="O217" s="443">
        <v>300</v>
      </c>
      <c r="P217" s="446">
        <v>130</v>
      </c>
      <c r="Q217" s="446">
        <v>39000</v>
      </c>
      <c r="R217" s="468">
        <v>0.93525179856115104</v>
      </c>
      <c r="S217" s="447">
        <v>300</v>
      </c>
    </row>
    <row r="218" spans="1:19" ht="14.4" customHeight="1" x14ac:dyDescent="0.3">
      <c r="A218" s="442"/>
      <c r="B218" s="443" t="s">
        <v>1240</v>
      </c>
      <c r="C218" s="443" t="s">
        <v>1081</v>
      </c>
      <c r="D218" s="443" t="s">
        <v>1080</v>
      </c>
      <c r="E218" s="443" t="s">
        <v>1141</v>
      </c>
      <c r="F218" s="443" t="s">
        <v>1266</v>
      </c>
      <c r="G218" s="443" t="s">
        <v>1267</v>
      </c>
      <c r="H218" s="446">
        <v>77</v>
      </c>
      <c r="I218" s="446">
        <v>51333.33</v>
      </c>
      <c r="J218" s="443">
        <v>0.85555535740744049</v>
      </c>
      <c r="K218" s="443">
        <v>666.66662337662342</v>
      </c>
      <c r="L218" s="446">
        <v>90</v>
      </c>
      <c r="M218" s="446">
        <v>60000.009999999995</v>
      </c>
      <c r="N218" s="443">
        <v>1</v>
      </c>
      <c r="O218" s="443">
        <v>666.66677777777772</v>
      </c>
      <c r="P218" s="446">
        <v>71</v>
      </c>
      <c r="Q218" s="446">
        <v>47333.34</v>
      </c>
      <c r="R218" s="468">
        <v>0.78888886851852191</v>
      </c>
      <c r="S218" s="447">
        <v>666.66676056338019</v>
      </c>
    </row>
    <row r="219" spans="1:19" ht="14.4" customHeight="1" x14ac:dyDescent="0.3">
      <c r="A219" s="442"/>
      <c r="B219" s="443" t="s">
        <v>1240</v>
      </c>
      <c r="C219" s="443" t="s">
        <v>1081</v>
      </c>
      <c r="D219" s="443" t="s">
        <v>1080</v>
      </c>
      <c r="E219" s="443" t="s">
        <v>1141</v>
      </c>
      <c r="F219" s="443" t="s">
        <v>1268</v>
      </c>
      <c r="G219" s="443" t="s">
        <v>1269</v>
      </c>
      <c r="H219" s="446">
        <v>137</v>
      </c>
      <c r="I219" s="446">
        <v>31966.68</v>
      </c>
      <c r="J219" s="443">
        <v>0.93835646395729322</v>
      </c>
      <c r="K219" s="443">
        <v>233.3334306569343</v>
      </c>
      <c r="L219" s="446">
        <v>146</v>
      </c>
      <c r="M219" s="446">
        <v>34066.67</v>
      </c>
      <c r="N219" s="443">
        <v>1</v>
      </c>
      <c r="O219" s="443">
        <v>233.33335616438356</v>
      </c>
      <c r="P219" s="446">
        <v>159</v>
      </c>
      <c r="Q219" s="446">
        <v>37100.019999999997</v>
      </c>
      <c r="R219" s="468">
        <v>1.0890415764147185</v>
      </c>
      <c r="S219" s="447">
        <v>233.33345911949684</v>
      </c>
    </row>
    <row r="220" spans="1:19" ht="14.4" customHeight="1" x14ac:dyDescent="0.3">
      <c r="A220" s="442"/>
      <c r="B220" s="443" t="s">
        <v>1240</v>
      </c>
      <c r="C220" s="443" t="s">
        <v>1081</v>
      </c>
      <c r="D220" s="443" t="s">
        <v>1080</v>
      </c>
      <c r="E220" s="443" t="s">
        <v>1141</v>
      </c>
      <c r="F220" s="443" t="s">
        <v>1270</v>
      </c>
      <c r="G220" s="443" t="s">
        <v>1271</v>
      </c>
      <c r="H220" s="446">
        <v>76</v>
      </c>
      <c r="I220" s="446">
        <v>59111.11</v>
      </c>
      <c r="J220" s="443">
        <v>1.1515152046438444</v>
      </c>
      <c r="K220" s="443">
        <v>777.7777631578947</v>
      </c>
      <c r="L220" s="446">
        <v>66</v>
      </c>
      <c r="M220" s="446">
        <v>51333.33</v>
      </c>
      <c r="N220" s="443">
        <v>1</v>
      </c>
      <c r="O220" s="443">
        <v>777.77772727272725</v>
      </c>
      <c r="P220" s="446">
        <v>96</v>
      </c>
      <c r="Q220" s="446">
        <v>74666.670000000013</v>
      </c>
      <c r="R220" s="468">
        <v>1.4545456139315336</v>
      </c>
      <c r="S220" s="447">
        <v>777.7778125000001</v>
      </c>
    </row>
    <row r="221" spans="1:19" ht="14.4" customHeight="1" x14ac:dyDescent="0.3">
      <c r="A221" s="442"/>
      <c r="B221" s="443" t="s">
        <v>1240</v>
      </c>
      <c r="C221" s="443" t="s">
        <v>1081</v>
      </c>
      <c r="D221" s="443" t="s">
        <v>1080</v>
      </c>
      <c r="E221" s="443" t="s">
        <v>1141</v>
      </c>
      <c r="F221" s="443" t="s">
        <v>1272</v>
      </c>
      <c r="G221" s="443" t="s">
        <v>1273</v>
      </c>
      <c r="H221" s="446">
        <v>299</v>
      </c>
      <c r="I221" s="446">
        <v>73088.88</v>
      </c>
      <c r="J221" s="443">
        <v>1.038194465652623</v>
      </c>
      <c r="K221" s="443">
        <v>244.44441471571909</v>
      </c>
      <c r="L221" s="446">
        <v>288</v>
      </c>
      <c r="M221" s="446">
        <v>70399.990000000005</v>
      </c>
      <c r="N221" s="443">
        <v>1</v>
      </c>
      <c r="O221" s="443">
        <v>244.44440972222225</v>
      </c>
      <c r="P221" s="446">
        <v>241</v>
      </c>
      <c r="Q221" s="446">
        <v>58911.12</v>
      </c>
      <c r="R221" s="468">
        <v>0.8368058006826421</v>
      </c>
      <c r="S221" s="447">
        <v>244.44448132780084</v>
      </c>
    </row>
    <row r="222" spans="1:19" ht="14.4" customHeight="1" x14ac:dyDescent="0.3">
      <c r="A222" s="442"/>
      <c r="B222" s="443" t="s">
        <v>1240</v>
      </c>
      <c r="C222" s="443" t="s">
        <v>1081</v>
      </c>
      <c r="D222" s="443" t="s">
        <v>1080</v>
      </c>
      <c r="E222" s="443" t="s">
        <v>1141</v>
      </c>
      <c r="F222" s="443" t="s">
        <v>1274</v>
      </c>
      <c r="G222" s="443" t="s">
        <v>1275</v>
      </c>
      <c r="H222" s="446">
        <v>2</v>
      </c>
      <c r="I222" s="446">
        <v>1051.1099999999999</v>
      </c>
      <c r="J222" s="443">
        <v>0.33333333333333331</v>
      </c>
      <c r="K222" s="443">
        <v>525.55499999999995</v>
      </c>
      <c r="L222" s="446">
        <v>6</v>
      </c>
      <c r="M222" s="446">
        <v>3153.33</v>
      </c>
      <c r="N222" s="443">
        <v>1</v>
      </c>
      <c r="O222" s="443">
        <v>525.55499999999995</v>
      </c>
      <c r="P222" s="446">
        <v>5</v>
      </c>
      <c r="Q222" s="446">
        <v>2627.7799999999997</v>
      </c>
      <c r="R222" s="468">
        <v>0.83333491895868805</v>
      </c>
      <c r="S222" s="447">
        <v>525.55599999999993</v>
      </c>
    </row>
    <row r="223" spans="1:19" ht="14.4" customHeight="1" x14ac:dyDescent="0.3">
      <c r="A223" s="442"/>
      <c r="B223" s="443" t="s">
        <v>1240</v>
      </c>
      <c r="C223" s="443" t="s">
        <v>1081</v>
      </c>
      <c r="D223" s="443" t="s">
        <v>1080</v>
      </c>
      <c r="E223" s="443" t="s">
        <v>1141</v>
      </c>
      <c r="F223" s="443" t="s">
        <v>1276</v>
      </c>
      <c r="G223" s="443" t="s">
        <v>1277</v>
      </c>
      <c r="H223" s="446">
        <v>1</v>
      </c>
      <c r="I223" s="446">
        <v>1000</v>
      </c>
      <c r="J223" s="443"/>
      <c r="K223" s="443">
        <v>1000</v>
      </c>
      <c r="L223" s="446"/>
      <c r="M223" s="446"/>
      <c r="N223" s="443"/>
      <c r="O223" s="443"/>
      <c r="P223" s="446"/>
      <c r="Q223" s="446"/>
      <c r="R223" s="468"/>
      <c r="S223" s="447"/>
    </row>
    <row r="224" spans="1:19" ht="14.4" customHeight="1" x14ac:dyDescent="0.3">
      <c r="A224" s="442"/>
      <c r="B224" s="443" t="s">
        <v>1240</v>
      </c>
      <c r="C224" s="443" t="s">
        <v>1081</v>
      </c>
      <c r="D224" s="443" t="s">
        <v>1080</v>
      </c>
      <c r="E224" s="443" t="s">
        <v>1141</v>
      </c>
      <c r="F224" s="443" t="s">
        <v>1278</v>
      </c>
      <c r="G224" s="443" t="s">
        <v>1279</v>
      </c>
      <c r="H224" s="446">
        <v>1</v>
      </c>
      <c r="I224" s="446">
        <v>0</v>
      </c>
      <c r="J224" s="443"/>
      <c r="K224" s="443">
        <v>0</v>
      </c>
      <c r="L224" s="446">
        <v>1</v>
      </c>
      <c r="M224" s="446">
        <v>0</v>
      </c>
      <c r="N224" s="443"/>
      <c r="O224" s="443">
        <v>0</v>
      </c>
      <c r="P224" s="446"/>
      <c r="Q224" s="446"/>
      <c r="R224" s="468"/>
      <c r="S224" s="447"/>
    </row>
    <row r="225" spans="1:19" ht="14.4" customHeight="1" x14ac:dyDescent="0.3">
      <c r="A225" s="442"/>
      <c r="B225" s="443" t="s">
        <v>1240</v>
      </c>
      <c r="C225" s="443" t="s">
        <v>1081</v>
      </c>
      <c r="D225" s="443" t="s">
        <v>1080</v>
      </c>
      <c r="E225" s="443" t="s">
        <v>1141</v>
      </c>
      <c r="F225" s="443" t="s">
        <v>1173</v>
      </c>
      <c r="G225" s="443" t="s">
        <v>1174</v>
      </c>
      <c r="H225" s="446">
        <v>211</v>
      </c>
      <c r="I225" s="446">
        <v>0</v>
      </c>
      <c r="J225" s="443"/>
      <c r="K225" s="443">
        <v>0</v>
      </c>
      <c r="L225" s="446">
        <v>220</v>
      </c>
      <c r="M225" s="446">
        <v>0</v>
      </c>
      <c r="N225" s="443"/>
      <c r="O225" s="443">
        <v>0</v>
      </c>
      <c r="P225" s="446">
        <v>220</v>
      </c>
      <c r="Q225" s="446">
        <v>0</v>
      </c>
      <c r="R225" s="468"/>
      <c r="S225" s="447">
        <v>0</v>
      </c>
    </row>
    <row r="226" spans="1:19" ht="14.4" customHeight="1" x14ac:dyDescent="0.3">
      <c r="A226" s="442"/>
      <c r="B226" s="443" t="s">
        <v>1240</v>
      </c>
      <c r="C226" s="443" t="s">
        <v>1081</v>
      </c>
      <c r="D226" s="443" t="s">
        <v>1080</v>
      </c>
      <c r="E226" s="443" t="s">
        <v>1141</v>
      </c>
      <c r="F226" s="443" t="s">
        <v>1175</v>
      </c>
      <c r="G226" s="443" t="s">
        <v>1176</v>
      </c>
      <c r="H226" s="446">
        <v>171</v>
      </c>
      <c r="I226" s="446">
        <v>52250.01</v>
      </c>
      <c r="J226" s="443">
        <v>0.92432446489142162</v>
      </c>
      <c r="K226" s="443">
        <v>305.55561403508773</v>
      </c>
      <c r="L226" s="446">
        <v>185</v>
      </c>
      <c r="M226" s="446">
        <v>56527.78</v>
      </c>
      <c r="N226" s="443">
        <v>1</v>
      </c>
      <c r="O226" s="443">
        <v>305.55556756756755</v>
      </c>
      <c r="P226" s="446">
        <v>162</v>
      </c>
      <c r="Q226" s="446">
        <v>49499.990000000005</v>
      </c>
      <c r="R226" s="468">
        <v>0.87567546434691057</v>
      </c>
      <c r="S226" s="447">
        <v>305.55549382716055</v>
      </c>
    </row>
    <row r="227" spans="1:19" ht="14.4" customHeight="1" x14ac:dyDescent="0.3">
      <c r="A227" s="442"/>
      <c r="B227" s="443" t="s">
        <v>1240</v>
      </c>
      <c r="C227" s="443" t="s">
        <v>1081</v>
      </c>
      <c r="D227" s="443" t="s">
        <v>1080</v>
      </c>
      <c r="E227" s="443" t="s">
        <v>1141</v>
      </c>
      <c r="F227" s="443" t="s">
        <v>1177</v>
      </c>
      <c r="G227" s="443" t="s">
        <v>1178</v>
      </c>
      <c r="H227" s="446">
        <v>210</v>
      </c>
      <c r="I227" s="446">
        <v>0</v>
      </c>
      <c r="J227" s="443">
        <v>0</v>
      </c>
      <c r="K227" s="443">
        <v>0</v>
      </c>
      <c r="L227" s="446">
        <v>485</v>
      </c>
      <c r="M227" s="446">
        <v>16166.66</v>
      </c>
      <c r="N227" s="443">
        <v>1</v>
      </c>
      <c r="O227" s="443">
        <v>33.333319587628864</v>
      </c>
      <c r="P227" s="446">
        <v>439</v>
      </c>
      <c r="Q227" s="446">
        <v>14633.33</v>
      </c>
      <c r="R227" s="468">
        <v>0.9051548062494047</v>
      </c>
      <c r="S227" s="447">
        <v>33.333325740318905</v>
      </c>
    </row>
    <row r="228" spans="1:19" ht="14.4" customHeight="1" x14ac:dyDescent="0.3">
      <c r="A228" s="442"/>
      <c r="B228" s="443" t="s">
        <v>1240</v>
      </c>
      <c r="C228" s="443" t="s">
        <v>1081</v>
      </c>
      <c r="D228" s="443" t="s">
        <v>1080</v>
      </c>
      <c r="E228" s="443" t="s">
        <v>1141</v>
      </c>
      <c r="F228" s="443" t="s">
        <v>1179</v>
      </c>
      <c r="G228" s="443" t="s">
        <v>1180</v>
      </c>
      <c r="H228" s="446">
        <v>146</v>
      </c>
      <c r="I228" s="446">
        <v>66511.11</v>
      </c>
      <c r="J228" s="443">
        <v>0.83908041046760262</v>
      </c>
      <c r="K228" s="443">
        <v>455.55554794520549</v>
      </c>
      <c r="L228" s="446">
        <v>174</v>
      </c>
      <c r="M228" s="446">
        <v>79266.67</v>
      </c>
      <c r="N228" s="443">
        <v>1</v>
      </c>
      <c r="O228" s="443">
        <v>455.55557471264365</v>
      </c>
      <c r="P228" s="446">
        <v>127</v>
      </c>
      <c r="Q228" s="446">
        <v>57855.56</v>
      </c>
      <c r="R228" s="468">
        <v>0.72988508284755749</v>
      </c>
      <c r="S228" s="447">
        <v>455.55559055118107</v>
      </c>
    </row>
    <row r="229" spans="1:19" ht="14.4" customHeight="1" x14ac:dyDescent="0.3">
      <c r="A229" s="442"/>
      <c r="B229" s="443" t="s">
        <v>1240</v>
      </c>
      <c r="C229" s="443" t="s">
        <v>1081</v>
      </c>
      <c r="D229" s="443" t="s">
        <v>1080</v>
      </c>
      <c r="E229" s="443" t="s">
        <v>1141</v>
      </c>
      <c r="F229" s="443" t="s">
        <v>1181</v>
      </c>
      <c r="G229" s="443" t="s">
        <v>1182</v>
      </c>
      <c r="H229" s="446">
        <v>185</v>
      </c>
      <c r="I229" s="446">
        <v>14388.9</v>
      </c>
      <c r="J229" s="443">
        <v>0.97883740056966007</v>
      </c>
      <c r="K229" s="443">
        <v>77.777837837837836</v>
      </c>
      <c r="L229" s="446">
        <v>189</v>
      </c>
      <c r="M229" s="446">
        <v>14699.990000000002</v>
      </c>
      <c r="N229" s="443">
        <v>1</v>
      </c>
      <c r="O229" s="443">
        <v>77.777724867724871</v>
      </c>
      <c r="P229" s="446">
        <v>173</v>
      </c>
      <c r="Q229" s="446">
        <v>13455.55</v>
      </c>
      <c r="R229" s="468">
        <v>0.91534416009806796</v>
      </c>
      <c r="S229" s="447">
        <v>77.777745664739882</v>
      </c>
    </row>
    <row r="230" spans="1:19" ht="14.4" customHeight="1" x14ac:dyDescent="0.3">
      <c r="A230" s="442"/>
      <c r="B230" s="443" t="s">
        <v>1240</v>
      </c>
      <c r="C230" s="443" t="s">
        <v>1081</v>
      </c>
      <c r="D230" s="443" t="s">
        <v>1080</v>
      </c>
      <c r="E230" s="443" t="s">
        <v>1141</v>
      </c>
      <c r="F230" s="443" t="s">
        <v>1280</v>
      </c>
      <c r="G230" s="443" t="s">
        <v>1281</v>
      </c>
      <c r="H230" s="446">
        <v>76</v>
      </c>
      <c r="I230" s="446">
        <v>109777.78</v>
      </c>
      <c r="J230" s="443">
        <v>0.96202534529722827</v>
      </c>
      <c r="K230" s="443">
        <v>1444.4444736842106</v>
      </c>
      <c r="L230" s="446">
        <v>79</v>
      </c>
      <c r="M230" s="446">
        <v>114111.11</v>
      </c>
      <c r="N230" s="443">
        <v>1</v>
      </c>
      <c r="O230" s="443">
        <v>1444.4444303797468</v>
      </c>
      <c r="P230" s="446">
        <v>83</v>
      </c>
      <c r="Q230" s="446">
        <v>119888.89</v>
      </c>
      <c r="R230" s="468">
        <v>1.0506329313596197</v>
      </c>
      <c r="S230" s="447">
        <v>1444.4444578313253</v>
      </c>
    </row>
    <row r="231" spans="1:19" ht="14.4" customHeight="1" x14ac:dyDescent="0.3">
      <c r="A231" s="442"/>
      <c r="B231" s="443" t="s">
        <v>1240</v>
      </c>
      <c r="C231" s="443" t="s">
        <v>1081</v>
      </c>
      <c r="D231" s="443" t="s">
        <v>1080</v>
      </c>
      <c r="E231" s="443" t="s">
        <v>1141</v>
      </c>
      <c r="F231" s="443" t="s">
        <v>1185</v>
      </c>
      <c r="G231" s="443" t="s">
        <v>1186</v>
      </c>
      <c r="H231" s="446"/>
      <c r="I231" s="446"/>
      <c r="J231" s="443"/>
      <c r="K231" s="443"/>
      <c r="L231" s="446"/>
      <c r="M231" s="446"/>
      <c r="N231" s="443"/>
      <c r="O231" s="443"/>
      <c r="P231" s="446">
        <v>1</v>
      </c>
      <c r="Q231" s="446">
        <v>94.44</v>
      </c>
      <c r="R231" s="468"/>
      <c r="S231" s="447">
        <v>94.44</v>
      </c>
    </row>
    <row r="232" spans="1:19" ht="14.4" customHeight="1" x14ac:dyDescent="0.3">
      <c r="A232" s="442"/>
      <c r="B232" s="443" t="s">
        <v>1240</v>
      </c>
      <c r="C232" s="443" t="s">
        <v>1081</v>
      </c>
      <c r="D232" s="443" t="s">
        <v>1080</v>
      </c>
      <c r="E232" s="443" t="s">
        <v>1141</v>
      </c>
      <c r="F232" s="443" t="s">
        <v>1207</v>
      </c>
      <c r="G232" s="443" t="s">
        <v>1208</v>
      </c>
      <c r="H232" s="446">
        <v>1</v>
      </c>
      <c r="I232" s="446">
        <v>96.67</v>
      </c>
      <c r="J232" s="443">
        <v>0.5</v>
      </c>
      <c r="K232" s="443">
        <v>96.67</v>
      </c>
      <c r="L232" s="446">
        <v>2</v>
      </c>
      <c r="M232" s="446">
        <v>193.34</v>
      </c>
      <c r="N232" s="443">
        <v>1</v>
      </c>
      <c r="O232" s="443">
        <v>96.67</v>
      </c>
      <c r="P232" s="446"/>
      <c r="Q232" s="446"/>
      <c r="R232" s="468"/>
      <c r="S232" s="447"/>
    </row>
    <row r="233" spans="1:19" ht="14.4" customHeight="1" x14ac:dyDescent="0.3">
      <c r="A233" s="442"/>
      <c r="B233" s="443" t="s">
        <v>1240</v>
      </c>
      <c r="C233" s="443" t="s">
        <v>1081</v>
      </c>
      <c r="D233" s="443" t="s">
        <v>1080</v>
      </c>
      <c r="E233" s="443" t="s">
        <v>1141</v>
      </c>
      <c r="F233" s="443" t="s">
        <v>1282</v>
      </c>
      <c r="G233" s="443" t="s">
        <v>1283</v>
      </c>
      <c r="H233" s="446">
        <v>103</v>
      </c>
      <c r="I233" s="446">
        <v>36050</v>
      </c>
      <c r="J233" s="443">
        <v>0.96261682242990654</v>
      </c>
      <c r="K233" s="443">
        <v>350</v>
      </c>
      <c r="L233" s="446">
        <v>107</v>
      </c>
      <c r="M233" s="446">
        <v>37450</v>
      </c>
      <c r="N233" s="443">
        <v>1</v>
      </c>
      <c r="O233" s="443">
        <v>350</v>
      </c>
      <c r="P233" s="446">
        <v>85</v>
      </c>
      <c r="Q233" s="446">
        <v>29750</v>
      </c>
      <c r="R233" s="468">
        <v>0.79439252336448596</v>
      </c>
      <c r="S233" s="447">
        <v>350</v>
      </c>
    </row>
    <row r="234" spans="1:19" ht="14.4" customHeight="1" x14ac:dyDescent="0.3">
      <c r="A234" s="442"/>
      <c r="B234" s="443" t="s">
        <v>1240</v>
      </c>
      <c r="C234" s="443" t="s">
        <v>1081</v>
      </c>
      <c r="D234" s="443" t="s">
        <v>1080</v>
      </c>
      <c r="E234" s="443" t="s">
        <v>1141</v>
      </c>
      <c r="F234" s="443" t="s">
        <v>1284</v>
      </c>
      <c r="G234" s="443" t="s">
        <v>1285</v>
      </c>
      <c r="H234" s="446">
        <v>13</v>
      </c>
      <c r="I234" s="446">
        <v>765.56000000000006</v>
      </c>
      <c r="J234" s="443">
        <v>1.083334512573054</v>
      </c>
      <c r="K234" s="443">
        <v>58.889230769230771</v>
      </c>
      <c r="L234" s="446">
        <v>12</v>
      </c>
      <c r="M234" s="446">
        <v>706.67</v>
      </c>
      <c r="N234" s="443">
        <v>1</v>
      </c>
      <c r="O234" s="443">
        <v>58.889166666666661</v>
      </c>
      <c r="P234" s="446">
        <v>7</v>
      </c>
      <c r="Q234" s="446">
        <v>412.21999999999997</v>
      </c>
      <c r="R234" s="468">
        <v>0.58332743713473045</v>
      </c>
      <c r="S234" s="447">
        <v>58.888571428571424</v>
      </c>
    </row>
    <row r="235" spans="1:19" ht="14.4" customHeight="1" x14ac:dyDescent="0.3">
      <c r="A235" s="442"/>
      <c r="B235" s="443" t="s">
        <v>1240</v>
      </c>
      <c r="C235" s="443" t="s">
        <v>1081</v>
      </c>
      <c r="D235" s="443" t="s">
        <v>1080</v>
      </c>
      <c r="E235" s="443" t="s">
        <v>1141</v>
      </c>
      <c r="F235" s="443" t="s">
        <v>1286</v>
      </c>
      <c r="G235" s="443" t="s">
        <v>1287</v>
      </c>
      <c r="H235" s="446">
        <v>145</v>
      </c>
      <c r="I235" s="446">
        <v>18688.879999999997</v>
      </c>
      <c r="J235" s="443">
        <v>1.0283684938313451</v>
      </c>
      <c r="K235" s="443">
        <v>128.88882758620687</v>
      </c>
      <c r="L235" s="446">
        <v>141</v>
      </c>
      <c r="M235" s="446">
        <v>18173.329999999998</v>
      </c>
      <c r="N235" s="443">
        <v>1</v>
      </c>
      <c r="O235" s="443">
        <v>128.88886524822695</v>
      </c>
      <c r="P235" s="446">
        <v>128</v>
      </c>
      <c r="Q235" s="446">
        <v>16497.77</v>
      </c>
      <c r="R235" s="468">
        <v>0.90780115697013164</v>
      </c>
      <c r="S235" s="447">
        <v>128.888828125</v>
      </c>
    </row>
    <row r="236" spans="1:19" ht="14.4" customHeight="1" x14ac:dyDescent="0.3">
      <c r="A236" s="442"/>
      <c r="B236" s="443" t="s">
        <v>1240</v>
      </c>
      <c r="C236" s="443" t="s">
        <v>1081</v>
      </c>
      <c r="D236" s="443" t="s">
        <v>1080</v>
      </c>
      <c r="E236" s="443" t="s">
        <v>1141</v>
      </c>
      <c r="F236" s="443" t="s">
        <v>1193</v>
      </c>
      <c r="G236" s="443" t="s">
        <v>1194</v>
      </c>
      <c r="H236" s="446">
        <v>320</v>
      </c>
      <c r="I236" s="446">
        <v>15644.44</v>
      </c>
      <c r="J236" s="443">
        <v>0.85790839436792721</v>
      </c>
      <c r="K236" s="443">
        <v>48.888874999999999</v>
      </c>
      <c r="L236" s="446">
        <v>373</v>
      </c>
      <c r="M236" s="446">
        <v>18235.560000000001</v>
      </c>
      <c r="N236" s="443">
        <v>1</v>
      </c>
      <c r="O236" s="443">
        <v>48.888900804289548</v>
      </c>
      <c r="P236" s="446">
        <v>344</v>
      </c>
      <c r="Q236" s="446">
        <v>16817.77</v>
      </c>
      <c r="R236" s="468">
        <v>0.92225135943179148</v>
      </c>
      <c r="S236" s="447">
        <v>48.888866279069767</v>
      </c>
    </row>
    <row r="237" spans="1:19" ht="14.4" customHeight="1" x14ac:dyDescent="0.3">
      <c r="A237" s="442"/>
      <c r="B237" s="443" t="s">
        <v>1240</v>
      </c>
      <c r="C237" s="443" t="s">
        <v>1081</v>
      </c>
      <c r="D237" s="443" t="s">
        <v>1080</v>
      </c>
      <c r="E237" s="443" t="s">
        <v>1141</v>
      </c>
      <c r="F237" s="443" t="s">
        <v>1288</v>
      </c>
      <c r="G237" s="443" t="s">
        <v>1289</v>
      </c>
      <c r="H237" s="446">
        <v>603</v>
      </c>
      <c r="I237" s="446">
        <v>536000.00000000012</v>
      </c>
      <c r="J237" s="443">
        <v>1.0237691110332037</v>
      </c>
      <c r="K237" s="443">
        <v>888.88888888888903</v>
      </c>
      <c r="L237" s="446">
        <v>589</v>
      </c>
      <c r="M237" s="446">
        <v>523555.55000000005</v>
      </c>
      <c r="N237" s="443">
        <v>1</v>
      </c>
      <c r="O237" s="443">
        <v>888.88887945670638</v>
      </c>
      <c r="P237" s="446">
        <v>585</v>
      </c>
      <c r="Q237" s="446">
        <v>519999.99</v>
      </c>
      <c r="R237" s="468">
        <v>0.99320881996189314</v>
      </c>
      <c r="S237" s="447">
        <v>888.88887179487176</v>
      </c>
    </row>
    <row r="238" spans="1:19" ht="14.4" customHeight="1" x14ac:dyDescent="0.3">
      <c r="A238" s="442"/>
      <c r="B238" s="443" t="s">
        <v>1240</v>
      </c>
      <c r="C238" s="443" t="s">
        <v>1081</v>
      </c>
      <c r="D238" s="443" t="s">
        <v>1080</v>
      </c>
      <c r="E238" s="443" t="s">
        <v>1141</v>
      </c>
      <c r="F238" s="443" t="s">
        <v>1290</v>
      </c>
      <c r="G238" s="443" t="s">
        <v>1291</v>
      </c>
      <c r="H238" s="446">
        <v>5</v>
      </c>
      <c r="I238" s="446">
        <v>1666.6599999999999</v>
      </c>
      <c r="J238" s="443">
        <v>0.8333299999999999</v>
      </c>
      <c r="K238" s="443">
        <v>333.33199999999999</v>
      </c>
      <c r="L238" s="446">
        <v>6</v>
      </c>
      <c r="M238" s="446">
        <v>2000</v>
      </c>
      <c r="N238" s="443">
        <v>1</v>
      </c>
      <c r="O238" s="443">
        <v>333.33333333333331</v>
      </c>
      <c r="P238" s="446">
        <v>15</v>
      </c>
      <c r="Q238" s="446">
        <v>5000.01</v>
      </c>
      <c r="R238" s="468">
        <v>2.5000050000000003</v>
      </c>
      <c r="S238" s="447">
        <v>333.334</v>
      </c>
    </row>
    <row r="239" spans="1:19" ht="14.4" customHeight="1" x14ac:dyDescent="0.3">
      <c r="A239" s="442"/>
      <c r="B239" s="443" t="s">
        <v>1240</v>
      </c>
      <c r="C239" s="443" t="s">
        <v>1081</v>
      </c>
      <c r="D239" s="443" t="s">
        <v>1080</v>
      </c>
      <c r="E239" s="443" t="s">
        <v>1141</v>
      </c>
      <c r="F239" s="443" t="s">
        <v>1199</v>
      </c>
      <c r="G239" s="443" t="s">
        <v>1200</v>
      </c>
      <c r="H239" s="446"/>
      <c r="I239" s="446"/>
      <c r="J239" s="443"/>
      <c r="K239" s="443"/>
      <c r="L239" s="446"/>
      <c r="M239" s="446"/>
      <c r="N239" s="443"/>
      <c r="O239" s="443"/>
      <c r="P239" s="446">
        <v>1</v>
      </c>
      <c r="Q239" s="446">
        <v>222.22</v>
      </c>
      <c r="R239" s="468"/>
      <c r="S239" s="447">
        <v>222.22</v>
      </c>
    </row>
    <row r="240" spans="1:19" ht="14.4" customHeight="1" thickBot="1" x14ac:dyDescent="0.35">
      <c r="A240" s="448"/>
      <c r="B240" s="449" t="s">
        <v>1240</v>
      </c>
      <c r="C240" s="449" t="s">
        <v>1081</v>
      </c>
      <c r="D240" s="449" t="s">
        <v>1080</v>
      </c>
      <c r="E240" s="449" t="s">
        <v>1141</v>
      </c>
      <c r="F240" s="449" t="s">
        <v>1292</v>
      </c>
      <c r="G240" s="449" t="s">
        <v>1293</v>
      </c>
      <c r="H240" s="452"/>
      <c r="I240" s="452"/>
      <c r="J240" s="449"/>
      <c r="K240" s="449"/>
      <c r="L240" s="452">
        <v>1</v>
      </c>
      <c r="M240" s="452">
        <v>233.33</v>
      </c>
      <c r="N240" s="449">
        <v>1</v>
      </c>
      <c r="O240" s="449">
        <v>233.33</v>
      </c>
      <c r="P240" s="452"/>
      <c r="Q240" s="452"/>
      <c r="R240" s="460"/>
      <c r="S240" s="45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21" t="s">
        <v>104</v>
      </c>
      <c r="B1" s="321"/>
      <c r="C1" s="322"/>
      <c r="D1" s="322"/>
      <c r="E1" s="322"/>
    </row>
    <row r="2" spans="1:5" ht="14.4" customHeight="1" thickBot="1" x14ac:dyDescent="0.35">
      <c r="A2" s="210" t="s">
        <v>268</v>
      </c>
      <c r="B2" s="134"/>
    </row>
    <row r="3" spans="1:5" ht="14.4" customHeight="1" thickBot="1" x14ac:dyDescent="0.35">
      <c r="A3" s="137"/>
      <c r="C3" s="138" t="s">
        <v>92</v>
      </c>
      <c r="D3" s="139" t="s">
        <v>60</v>
      </c>
      <c r="E3" s="140" t="s">
        <v>62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6788.7703881912239</v>
      </c>
      <c r="D4" s="143">
        <f ca="1">IF(ISERROR(VLOOKUP("Náklady celkem",INDIRECT("HI!$A:$G"),5,0)),0,VLOOKUP("Náklady celkem",INDIRECT("HI!$A:$G"),5,0))</f>
        <v>6798.8611599999995</v>
      </c>
      <c r="E4" s="144">
        <f ca="1">IF(C4=0,0,D4/C4)</f>
        <v>1.0014863916779875</v>
      </c>
    </row>
    <row r="5" spans="1:5" ht="14.4" customHeight="1" x14ac:dyDescent="0.3">
      <c r="A5" s="145" t="s">
        <v>126</v>
      </c>
      <c r="B5" s="146"/>
      <c r="C5" s="147"/>
      <c r="D5" s="147"/>
      <c r="E5" s="148"/>
    </row>
    <row r="6" spans="1:5" ht="14.4" customHeight="1" x14ac:dyDescent="0.3">
      <c r="A6" s="149" t="s">
        <v>131</v>
      </c>
      <c r="B6" s="150"/>
      <c r="C6" s="151"/>
      <c r="D6" s="151"/>
      <c r="E6" s="148"/>
    </row>
    <row r="7" spans="1:5" ht="14.4" customHeight="1" x14ac:dyDescent="0.3">
      <c r="A7" s="28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96</v>
      </c>
      <c r="C7" s="151">
        <f>IF(ISERROR(HI!F5),"",HI!F5)</f>
        <v>52.5</v>
      </c>
      <c r="D7" s="151">
        <f>IF(ISERROR(HI!E5),"",HI!E5)</f>
        <v>82.423869999999994</v>
      </c>
      <c r="E7" s="148">
        <f t="shared" ref="E7:E13" si="0">IF(C7=0,0,D7/C7)</f>
        <v>1.569978476190476</v>
      </c>
    </row>
    <row r="8" spans="1:5" ht="14.4" customHeight="1" x14ac:dyDescent="0.3">
      <c r="A8" s="289" t="str">
        <f>HYPERLINK("#'LŽ PL'!A1","Plnění pozitivního listu (min. 90%)")</f>
        <v>Plnění pozitivního listu (min. 90%)</v>
      </c>
      <c r="B8" s="150" t="s">
        <v>124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89" t="str">
        <f>HYPERLINK("#'LŽ Statim'!A1","Podíl statimových žádanek (max. 30%)")</f>
        <v>Podíl statimových žádanek (max. 30%)</v>
      </c>
      <c r="B9" s="287" t="s">
        <v>218</v>
      </c>
      <c r="C9" s="288">
        <v>0.3</v>
      </c>
      <c r="D9" s="288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127</v>
      </c>
      <c r="B10" s="150"/>
      <c r="C10" s="151"/>
      <c r="D10" s="151"/>
      <c r="E10" s="148"/>
    </row>
    <row r="11" spans="1:5" ht="14.4" customHeight="1" x14ac:dyDescent="0.3">
      <c r="A11" s="153" t="s">
        <v>128</v>
      </c>
      <c r="B11" s="150"/>
      <c r="C11" s="151"/>
      <c r="D11" s="151"/>
      <c r="E11" s="148"/>
    </row>
    <row r="12" spans="1:5" ht="14.4" customHeight="1" x14ac:dyDescent="0.3">
      <c r="A12" s="154" t="s">
        <v>132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96</v>
      </c>
      <c r="C13" s="151">
        <f>IF(ISERROR(HI!F6),"",HI!F6)</f>
        <v>636.4666666666667</v>
      </c>
      <c r="D13" s="151">
        <f>IF(ISERROR(HI!E6),"",HI!E6)</f>
        <v>548.62801000000002</v>
      </c>
      <c r="E13" s="148">
        <f t="shared" si="0"/>
        <v>0.86199016968681264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4910.333333333333</v>
      </c>
      <c r="D14" s="147">
        <f ca="1">IF(ISERROR(VLOOKUP("Osobní náklady (Kč) *",INDIRECT("HI!$A:$G"),5,0)),0,VLOOKUP("Osobní náklady (Kč) *",INDIRECT("HI!$A:$G"),5,0))</f>
        <v>4875.9423699999998</v>
      </c>
      <c r="E14" s="148">
        <f ca="1">IF(C14=0,0,D14/C14)</f>
        <v>0.99299620596021998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3526.9900999999986</v>
      </c>
      <c r="D16" s="166">
        <f ca="1">IF(ISERROR(VLOOKUP("Výnosy celkem",INDIRECT("HI!$A:$G"),5,0)),0,VLOOKUP("Výnosy celkem",INDIRECT("HI!$A:$G"),5,0))</f>
        <v>3383.8265599999991</v>
      </c>
      <c r="E16" s="167">
        <f t="shared" ref="E16:E19" ca="1" si="1">IF(C16=0,0,D16/C16)</f>
        <v>0.95940914605912853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3526.9900999999986</v>
      </c>
      <c r="D17" s="147">
        <f ca="1">IF(ISERROR(VLOOKUP("Ambulance *",INDIRECT("HI!$A:$G"),5,0)),0,VLOOKUP("Ambulance *",INDIRECT("HI!$A:$G"),5,0))</f>
        <v>3383.8265599999991</v>
      </c>
      <c r="E17" s="148">
        <f t="shared" ca="1" si="1"/>
        <v>0.95940914605912853</v>
      </c>
    </row>
    <row r="18" spans="1:5" ht="14.4" customHeight="1" x14ac:dyDescent="0.3">
      <c r="A18" s="304" t="str">
        <f>HYPERLINK("#'ZV Vykáz.-A'!A1","Zdravotní výkony vykázané u ambulantních pacientů (min. 100 % 2016)")</f>
        <v>Zdravotní výkony vykázané u ambulantních pacientů (min. 100 % 2016)</v>
      </c>
      <c r="B18" s="305" t="s">
        <v>106</v>
      </c>
      <c r="C18" s="152">
        <v>1</v>
      </c>
      <c r="D18" s="152">
        <f>IF(ISERROR(VLOOKUP("Celkem:",'ZV Vykáz.-A'!$A:$AB,10,0)),"",VLOOKUP("Celkem:",'ZV Vykáz.-A'!$A:$AB,10,0))</f>
        <v>0.95940914605912853</v>
      </c>
      <c r="E18" s="148">
        <f t="shared" si="1"/>
        <v>0.95940914605912853</v>
      </c>
    </row>
    <row r="19" spans="1:5" ht="14.4" customHeight="1" x14ac:dyDescent="0.3">
      <c r="A19" s="303" t="str">
        <f>HYPERLINK("#'ZV Vykáz.-A'!A1","Specializovaná ambulantní péče")</f>
        <v>Specializovaná ambulantní péče</v>
      </c>
      <c r="B19" s="305" t="s">
        <v>106</v>
      </c>
      <c r="C19" s="152">
        <v>1</v>
      </c>
      <c r="D19" s="288">
        <f>IF(ISERROR(VLOOKUP("Specializovaná ambulantní péče",'ZV Vykáz.-A'!$A:$AB,10,0)),"",VLOOKUP("Specializovaná ambulantní péče",'ZV Vykáz.-A'!$A:$AB,10,0))</f>
        <v>0.95940914605912864</v>
      </c>
      <c r="E19" s="148">
        <f t="shared" si="1"/>
        <v>0.95940914605912864</v>
      </c>
    </row>
    <row r="20" spans="1:5" ht="14.4" customHeight="1" x14ac:dyDescent="0.3">
      <c r="A20" s="303" t="str">
        <f>HYPERLINK("#'ZV Vykáz.-A'!A1","Ambulantní péče ve vyjmenovaných odbornostech (§9)")</f>
        <v>Ambulantní péče ve vyjmenovaných odbornostech (§9)</v>
      </c>
      <c r="B20" s="305" t="s">
        <v>106</v>
      </c>
      <c r="C20" s="152">
        <v>1</v>
      </c>
      <c r="D20" s="288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129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130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6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1">
    <cfRule type="cellIs" dxfId="5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2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32" t="s">
        <v>117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0" ht="14.4" customHeight="1" thickBot="1" x14ac:dyDescent="0.35">
      <c r="A2" s="210" t="s">
        <v>268</v>
      </c>
      <c r="B2" s="96"/>
      <c r="C2" s="96"/>
      <c r="D2" s="96"/>
      <c r="E2" s="96"/>
      <c r="F2" s="96"/>
    </row>
    <row r="3" spans="1:10" ht="14.4" customHeight="1" x14ac:dyDescent="0.3">
      <c r="A3" s="323"/>
      <c r="B3" s="92">
        <v>2015</v>
      </c>
      <c r="C3" s="40">
        <v>2016</v>
      </c>
      <c r="D3" s="7"/>
      <c r="E3" s="327">
        <v>2017</v>
      </c>
      <c r="F3" s="328"/>
      <c r="G3" s="328"/>
      <c r="H3" s="329"/>
      <c r="I3" s="330">
        <v>2017</v>
      </c>
      <c r="J3" s="331"/>
    </row>
    <row r="4" spans="1:10" ht="14.4" customHeight="1" thickBot="1" x14ac:dyDescent="0.35">
      <c r="A4" s="324"/>
      <c r="B4" s="325" t="s">
        <v>60</v>
      </c>
      <c r="C4" s="326"/>
      <c r="D4" s="7"/>
      <c r="E4" s="113" t="s">
        <v>60</v>
      </c>
      <c r="F4" s="94" t="s">
        <v>61</v>
      </c>
      <c r="G4" s="94" t="s">
        <v>55</v>
      </c>
      <c r="H4" s="95" t="s">
        <v>62</v>
      </c>
      <c r="I4" s="308" t="s">
        <v>259</v>
      </c>
      <c r="J4" s="309" t="s">
        <v>260</v>
      </c>
    </row>
    <row r="5" spans="1:10" ht="14.4" customHeight="1" x14ac:dyDescent="0.3">
      <c r="A5" s="97" t="str">
        <f>HYPERLINK("#'Léky Žádanky'!A1","Léky (Kč)")</f>
        <v>Léky (Kč)</v>
      </c>
      <c r="B5" s="27">
        <v>53.699169999999995</v>
      </c>
      <c r="C5" s="29">
        <v>56.438479999999998</v>
      </c>
      <c r="D5" s="8"/>
      <c r="E5" s="102">
        <v>82.423869999999994</v>
      </c>
      <c r="F5" s="28">
        <v>52.5</v>
      </c>
      <c r="G5" s="101">
        <f>E5-F5</f>
        <v>29.923869999999994</v>
      </c>
      <c r="H5" s="107">
        <f>IF(F5&lt;0.00000001,"",E5/F5)</f>
        <v>1.569978476190476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492.032340000001</v>
      </c>
      <c r="C6" s="31">
        <v>482.52784999999994</v>
      </c>
      <c r="D6" s="8"/>
      <c r="E6" s="103">
        <v>548.62801000000002</v>
      </c>
      <c r="F6" s="30">
        <v>636.4666666666667</v>
      </c>
      <c r="G6" s="104">
        <f>E6-F6</f>
        <v>-87.838656666666679</v>
      </c>
      <c r="H6" s="108">
        <f>IF(F6&lt;0.00000001,"",E6/F6)</f>
        <v>0.86199016968681264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4452.9880700000012</v>
      </c>
      <c r="C7" s="31">
        <v>4399.5398399999995</v>
      </c>
      <c r="D7" s="8"/>
      <c r="E7" s="103">
        <v>4875.9423699999998</v>
      </c>
      <c r="F7" s="30">
        <v>4910.333333333333</v>
      </c>
      <c r="G7" s="104">
        <f>E7-F7</f>
        <v>-34.390963333333275</v>
      </c>
      <c r="H7" s="108">
        <f>IF(F7&lt;0.00000001,"",E7/F7)</f>
        <v>0.99299620596021998</v>
      </c>
    </row>
    <row r="8" spans="1:10" ht="14.4" customHeight="1" thickBot="1" x14ac:dyDescent="0.35">
      <c r="A8" s="1" t="s">
        <v>63</v>
      </c>
      <c r="B8" s="11">
        <v>962.29019000000824</v>
      </c>
      <c r="C8" s="33">
        <v>979.67912000000001</v>
      </c>
      <c r="D8" s="8"/>
      <c r="E8" s="105">
        <v>1291.8669099999997</v>
      </c>
      <c r="F8" s="32">
        <v>1189.4703881912242</v>
      </c>
      <c r="G8" s="106">
        <f>E8-F8</f>
        <v>102.39652180877556</v>
      </c>
      <c r="H8" s="109">
        <f>IF(F8&lt;0.00000001,"",E8/F8)</f>
        <v>1.0860858099750474</v>
      </c>
    </row>
    <row r="9" spans="1:10" ht="14.4" customHeight="1" thickBot="1" x14ac:dyDescent="0.35">
      <c r="A9" s="2" t="s">
        <v>64</v>
      </c>
      <c r="B9" s="3">
        <v>5961.0097700000106</v>
      </c>
      <c r="C9" s="35">
        <v>5918.1852899999994</v>
      </c>
      <c r="D9" s="8"/>
      <c r="E9" s="3">
        <v>6798.8611599999995</v>
      </c>
      <c r="F9" s="34">
        <v>6788.7703881912239</v>
      </c>
      <c r="G9" s="34">
        <f>E9-F9</f>
        <v>10.090771808775571</v>
      </c>
      <c r="H9" s="110">
        <f>IF(F9&lt;0.00000001,"",E9/F9)</f>
        <v>1.0014863916779875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3419.5555599999993</v>
      </c>
      <c r="C11" s="29">
        <f>IF(ISERROR(VLOOKUP("Celkem:",'ZV Vykáz.-A'!A:H,5,0)),0,VLOOKUP("Celkem:",'ZV Vykáz.-A'!A:H,5,0)/1000)</f>
        <v>3526.9900999999986</v>
      </c>
      <c r="D11" s="8"/>
      <c r="E11" s="102">
        <f>IF(ISERROR(VLOOKUP("Celkem:",'ZV Vykáz.-A'!A:H,8,0)),0,VLOOKUP("Celkem:",'ZV Vykáz.-A'!A:H,8,0)/1000)</f>
        <v>3383.8265599999991</v>
      </c>
      <c r="F11" s="28">
        <f>C11</f>
        <v>3526.9900999999986</v>
      </c>
      <c r="G11" s="101">
        <f>E11-F11</f>
        <v>-143.16353999999956</v>
      </c>
      <c r="H11" s="107">
        <f>IF(F11&lt;0.00000001,"",E11/F11)</f>
        <v>0.95940914605912853</v>
      </c>
      <c r="I11" s="101">
        <f>E11-B11</f>
        <v>-35.729000000000269</v>
      </c>
      <c r="J11" s="107">
        <f>IF(B11&lt;0.00000001,"",E11/B11)</f>
        <v>0.98955156616902573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3419.5555599999993</v>
      </c>
      <c r="C13" s="37">
        <f>SUM(C11:C12)</f>
        <v>3526.9900999999986</v>
      </c>
      <c r="D13" s="8"/>
      <c r="E13" s="5">
        <f>SUM(E11:E12)</f>
        <v>3383.8265599999991</v>
      </c>
      <c r="F13" s="36">
        <f>SUM(F11:F12)</f>
        <v>3526.9900999999986</v>
      </c>
      <c r="G13" s="36">
        <f>E13-F13</f>
        <v>-143.16353999999956</v>
      </c>
      <c r="H13" s="111">
        <f>IF(F13&lt;0.00000001,"",E13/F13)</f>
        <v>0.95940914605912853</v>
      </c>
      <c r="I13" s="36">
        <f>SUM(I11:I12)</f>
        <v>-35.729000000000269</v>
      </c>
      <c r="J13" s="111">
        <f>IF(B13&lt;0.00000001,"",E13/B13)</f>
        <v>0.98955156616902573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0.57365374188943719</v>
      </c>
      <c r="C15" s="39">
        <f>IF(C9=0,"",C13/C9)</f>
        <v>0.59595803902246514</v>
      </c>
      <c r="D15" s="8"/>
      <c r="E15" s="6">
        <f>IF(E9=0,"",E13/E9)</f>
        <v>0.49770490680236207</v>
      </c>
      <c r="F15" s="38">
        <f>IF(F9=0,"",F13/F9)</f>
        <v>0.51953297848091129</v>
      </c>
      <c r="G15" s="38">
        <f>IF(ISERROR(F15-E15),"",E15-F15)</f>
        <v>-2.1828071678549221E-2</v>
      </c>
      <c r="H15" s="112">
        <f>IF(ISERROR(F15-E15),"",IF(F15&lt;0.00000001,"",E15/F15))</f>
        <v>0.95798520482304428</v>
      </c>
    </row>
    <row r="17" spans="1:8" ht="14.4" customHeight="1" x14ac:dyDescent="0.3">
      <c r="A17" s="98" t="s">
        <v>134</v>
      </c>
    </row>
    <row r="18" spans="1:8" ht="14.4" customHeight="1" x14ac:dyDescent="0.3">
      <c r="A18" s="265" t="s">
        <v>171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170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219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258</v>
      </c>
    </row>
    <row r="23" spans="1:8" ht="14.4" customHeight="1" x14ac:dyDescent="0.3">
      <c r="A23" s="100" t="s">
        <v>136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21" t="s">
        <v>90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ht="14.4" customHeight="1" x14ac:dyDescent="0.3">
      <c r="A2" s="210" t="s">
        <v>268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69</v>
      </c>
      <c r="C3" s="182" t="s">
        <v>70</v>
      </c>
      <c r="D3" s="182" t="s">
        <v>71</v>
      </c>
      <c r="E3" s="181" t="s">
        <v>72</v>
      </c>
      <c r="F3" s="182" t="s">
        <v>73</v>
      </c>
      <c r="G3" s="182" t="s">
        <v>74</v>
      </c>
      <c r="H3" s="182" t="s">
        <v>75</v>
      </c>
      <c r="I3" s="182" t="s">
        <v>76</v>
      </c>
      <c r="J3" s="182" t="s">
        <v>77</v>
      </c>
      <c r="K3" s="182" t="s">
        <v>78</v>
      </c>
      <c r="L3" s="182" t="s">
        <v>79</v>
      </c>
      <c r="M3" s="182" t="s">
        <v>80</v>
      </c>
    </row>
    <row r="4" spans="1:13" ht="14.4" customHeight="1" x14ac:dyDescent="0.3">
      <c r="A4" s="180" t="s">
        <v>68</v>
      </c>
      <c r="B4" s="183">
        <f>(B10+B8)/B6</f>
        <v>0.57124262481497634</v>
      </c>
      <c r="C4" s="183">
        <f t="shared" ref="C4:M4" si="0">(C10+C8)/C6</f>
        <v>0.49770493916072261</v>
      </c>
      <c r="D4" s="183">
        <f t="shared" si="0"/>
        <v>0.49770493916072261</v>
      </c>
      <c r="E4" s="183">
        <f t="shared" si="0"/>
        <v>0.49770493916072261</v>
      </c>
      <c r="F4" s="183">
        <f t="shared" si="0"/>
        <v>0.49770493916072261</v>
      </c>
      <c r="G4" s="183">
        <f t="shared" si="0"/>
        <v>0.49770493916072261</v>
      </c>
      <c r="H4" s="183">
        <f t="shared" si="0"/>
        <v>0.49770493916072261</v>
      </c>
      <c r="I4" s="183">
        <f t="shared" si="0"/>
        <v>0.49770493916072261</v>
      </c>
      <c r="J4" s="183">
        <f t="shared" si="0"/>
        <v>0.49770493916072261</v>
      </c>
      <c r="K4" s="183">
        <f t="shared" si="0"/>
        <v>0.49770493916072261</v>
      </c>
      <c r="L4" s="183">
        <f t="shared" si="0"/>
        <v>0.49770493916072261</v>
      </c>
      <c r="M4" s="183">
        <f t="shared" si="0"/>
        <v>0.49770493916072261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0</v>
      </c>
      <c r="E5" s="183">
        <f>IF(ISERROR(VLOOKUP($A5,'Man Tab'!$A:$Q,COLUMN()+2,0)),0,VLOOKUP($A5,'Man Tab'!$A:$Q,COLUMN()+2,0))</f>
        <v>0</v>
      </c>
      <c r="F5" s="183">
        <f>IF(ISERROR(VLOOKUP($A5,'Man Tab'!$A:$Q,COLUMN()+2,0)),0,VLOOKUP($A5,'Man Tab'!$A:$Q,COLUMN()+2,0))</f>
        <v>0</v>
      </c>
      <c r="G5" s="183">
        <f>IF(ISERROR(VLOOKUP($A5,'Man Tab'!$A:$Q,COLUMN()+2,0)),0,VLOOKUP($A5,'Man Tab'!$A:$Q,COLUMN()+2,0))</f>
        <v>0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64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6798.8611600000004</v>
      </c>
      <c r="E6" s="185">
        <f t="shared" si="1"/>
        <v>6798.8611600000004</v>
      </c>
      <c r="F6" s="185">
        <f t="shared" si="1"/>
        <v>6798.8611600000004</v>
      </c>
      <c r="G6" s="185">
        <f t="shared" si="1"/>
        <v>6798.8611600000004</v>
      </c>
      <c r="H6" s="185">
        <f t="shared" si="1"/>
        <v>6798.8611600000004</v>
      </c>
      <c r="I6" s="185">
        <f t="shared" si="1"/>
        <v>6798.8611600000004</v>
      </c>
      <c r="J6" s="185">
        <f t="shared" si="1"/>
        <v>6798.8611600000004</v>
      </c>
      <c r="K6" s="185">
        <f t="shared" si="1"/>
        <v>6798.8611600000004</v>
      </c>
      <c r="L6" s="185">
        <f t="shared" si="1"/>
        <v>6798.8611600000004</v>
      </c>
      <c r="M6" s="185">
        <f t="shared" si="1"/>
        <v>6798.8611600000004</v>
      </c>
    </row>
    <row r="7" spans="1:13" ht="14.4" customHeight="1" x14ac:dyDescent="0.3">
      <c r="A7" s="184" t="s">
        <v>88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65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89</v>
      </c>
      <c r="B9" s="184">
        <v>1914203.4400000006</v>
      </c>
      <c r="C9" s="184">
        <v>1469623.3399999999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66</v>
      </c>
      <c r="B10" s="185">
        <f>B9/1000</f>
        <v>1914.2034400000007</v>
      </c>
      <c r="C10" s="185">
        <f t="shared" ref="C10:M10" si="3">C9/1000+B10</f>
        <v>3383.8267800000003</v>
      </c>
      <c r="D10" s="185">
        <f t="shared" si="3"/>
        <v>3383.8267800000003</v>
      </c>
      <c r="E10" s="185">
        <f t="shared" si="3"/>
        <v>3383.8267800000003</v>
      </c>
      <c r="F10" s="185">
        <f t="shared" si="3"/>
        <v>3383.8267800000003</v>
      </c>
      <c r="G10" s="185">
        <f t="shared" si="3"/>
        <v>3383.8267800000003</v>
      </c>
      <c r="H10" s="185">
        <f t="shared" si="3"/>
        <v>3383.8267800000003</v>
      </c>
      <c r="I10" s="185">
        <f t="shared" si="3"/>
        <v>3383.8267800000003</v>
      </c>
      <c r="J10" s="185">
        <f t="shared" si="3"/>
        <v>3383.8267800000003</v>
      </c>
      <c r="K10" s="185">
        <f t="shared" si="3"/>
        <v>3383.8267800000003</v>
      </c>
      <c r="L10" s="185">
        <f t="shared" si="3"/>
        <v>3383.8267800000003</v>
      </c>
      <c r="M10" s="185">
        <f t="shared" si="3"/>
        <v>3383.8267800000003</v>
      </c>
    </row>
    <row r="11" spans="1:13" ht="14.4" customHeight="1" x14ac:dyDescent="0.3">
      <c r="A11" s="180"/>
      <c r="B11" s="180" t="s">
        <v>81</v>
      </c>
      <c r="C11" s="180">
        <f ca="1">IF(MONTH(TODAY())=1,12,MONTH(TODAY())-1)</f>
        <v>2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0.51953297848091129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0.51953297848091129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33" t="s">
        <v>270</v>
      </c>
      <c r="B1" s="333"/>
      <c r="C1" s="333"/>
      <c r="D1" s="333"/>
      <c r="E1" s="333"/>
      <c r="F1" s="333"/>
      <c r="G1" s="333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7" s="186" customFormat="1" ht="14.4" customHeight="1" thickBot="1" x14ac:dyDescent="0.3">
      <c r="A2" s="210" t="s">
        <v>268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34" t="s">
        <v>16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302" t="s">
        <v>234</v>
      </c>
      <c r="E4" s="302" t="s">
        <v>235</v>
      </c>
      <c r="F4" s="302" t="s">
        <v>236</v>
      </c>
      <c r="G4" s="302" t="s">
        <v>237</v>
      </c>
      <c r="H4" s="302" t="s">
        <v>238</v>
      </c>
      <c r="I4" s="302" t="s">
        <v>239</v>
      </c>
      <c r="J4" s="302" t="s">
        <v>240</v>
      </c>
      <c r="K4" s="302" t="s">
        <v>241</v>
      </c>
      <c r="L4" s="302" t="s">
        <v>242</v>
      </c>
      <c r="M4" s="302" t="s">
        <v>243</v>
      </c>
      <c r="N4" s="302" t="s">
        <v>244</v>
      </c>
      <c r="O4" s="302" t="s">
        <v>245</v>
      </c>
      <c r="P4" s="336" t="s">
        <v>3</v>
      </c>
      <c r="Q4" s="337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269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82.423869999999994</v>
      </c>
      <c r="Q7" s="81">
        <v>1.56997847619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269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548.62801000000002</v>
      </c>
      <c r="Q9" s="81">
        <v>0.86199016968599995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269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76.064959999999999</v>
      </c>
      <c r="Q11" s="81">
        <v>0.93929567143600001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2.8361999999999998</v>
      </c>
      <c r="Q12" s="81">
        <v>0.21190890910499999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19.50235</v>
      </c>
      <c r="Q13" s="81">
        <v>0.98206894655200005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360.05797000000001</v>
      </c>
      <c r="Q14" s="81">
        <v>1.429871127532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269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169.49393000000001</v>
      </c>
      <c r="Q17" s="81">
        <v>1.2731886462149999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269</v>
      </c>
    </row>
    <row r="19" spans="1:17" ht="14.4" customHeight="1" x14ac:dyDescent="0.3">
      <c r="A19" s="15" t="s">
        <v>34</v>
      </c>
      <c r="B19" s="51">
        <v>2748.8601691208801</v>
      </c>
      <c r="C19" s="52">
        <v>229.071680760074</v>
      </c>
      <c r="D19" s="52">
        <v>100.86099</v>
      </c>
      <c r="E19" s="52">
        <v>286.33215999999999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387.19315</v>
      </c>
      <c r="Q19" s="81">
        <v>0.84513534958799996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4875.9423699999998</v>
      </c>
      <c r="Q20" s="81">
        <v>0.99299620596000004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242.381</v>
      </c>
      <c r="Q21" s="81">
        <v>1.0439956927489999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5.8810000000000002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5.8810000000000002</v>
      </c>
      <c r="Q22" s="81" t="s">
        <v>269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269</v>
      </c>
    </row>
    <row r="24" spans="1:17" ht="14.4" customHeight="1" x14ac:dyDescent="0.3">
      <c r="A24" s="16" t="s">
        <v>39</v>
      </c>
      <c r="B24" s="51">
        <v>0</v>
      </c>
      <c r="C24" s="52">
        <v>-4.5474735088646402E-13</v>
      </c>
      <c r="D24" s="52">
        <v>-1.8000000000000001E-4</v>
      </c>
      <c r="E24" s="52">
        <v>28.456530000000001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28.45635</v>
      </c>
      <c r="Q24" s="81" t="s">
        <v>269</v>
      </c>
    </row>
    <row r="25" spans="1:17" ht="14.4" customHeight="1" x14ac:dyDescent="0.3">
      <c r="A25" s="17" t="s">
        <v>40</v>
      </c>
      <c r="B25" s="54">
        <v>40732.6223291473</v>
      </c>
      <c r="C25" s="55">
        <v>3394.3851940956101</v>
      </c>
      <c r="D25" s="55">
        <v>3350.9464400000002</v>
      </c>
      <c r="E25" s="55">
        <v>3447.9147200000002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6798.8611600000004</v>
      </c>
      <c r="Q25" s="82">
        <v>1.001486391677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278.19148999999999</v>
      </c>
      <c r="E26" s="52">
        <v>279.25601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557.44749999999999</v>
      </c>
      <c r="Q26" s="81" t="s">
        <v>269</v>
      </c>
    </row>
    <row r="27" spans="1:17" ht="14.4" customHeight="1" x14ac:dyDescent="0.3">
      <c r="A27" s="18" t="s">
        <v>42</v>
      </c>
      <c r="B27" s="54">
        <v>40732.6223291473</v>
      </c>
      <c r="C27" s="55">
        <v>3394.3851940956101</v>
      </c>
      <c r="D27" s="55">
        <v>3629.1379299999999</v>
      </c>
      <c r="E27" s="55">
        <v>3727.1707299999998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7356.3086599999997</v>
      </c>
      <c r="Q27" s="82">
        <v>1.0835995680149999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1730.3368</v>
      </c>
      <c r="Q28" s="81">
        <v>1.1200195048270001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269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246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33" t="s">
        <v>48</v>
      </c>
      <c r="B1" s="333"/>
      <c r="C1" s="333"/>
      <c r="D1" s="333"/>
      <c r="E1" s="333"/>
      <c r="F1" s="333"/>
      <c r="G1" s="333"/>
      <c r="H1" s="338"/>
      <c r="I1" s="338"/>
      <c r="J1" s="338"/>
      <c r="K1" s="338"/>
    </row>
    <row r="2" spans="1:11" s="60" customFormat="1" ht="14.4" customHeight="1" thickBot="1" x14ac:dyDescent="0.35">
      <c r="A2" s="210" t="s">
        <v>268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34" t="s">
        <v>49</v>
      </c>
      <c r="C3" s="335"/>
      <c r="D3" s="335"/>
      <c r="E3" s="335"/>
      <c r="F3" s="341" t="s">
        <v>50</v>
      </c>
      <c r="G3" s="335"/>
      <c r="H3" s="335"/>
      <c r="I3" s="335"/>
      <c r="J3" s="335"/>
      <c r="K3" s="342"/>
    </row>
    <row r="4" spans="1:11" ht="14.4" customHeight="1" x14ac:dyDescent="0.3">
      <c r="A4" s="69"/>
      <c r="B4" s="339"/>
      <c r="C4" s="340"/>
      <c r="D4" s="340"/>
      <c r="E4" s="340"/>
      <c r="F4" s="343" t="s">
        <v>247</v>
      </c>
      <c r="G4" s="345" t="s">
        <v>51</v>
      </c>
      <c r="H4" s="125" t="s">
        <v>121</v>
      </c>
      <c r="I4" s="343" t="s">
        <v>52</v>
      </c>
      <c r="J4" s="345" t="s">
        <v>254</v>
      </c>
      <c r="K4" s="346" t="s">
        <v>248</v>
      </c>
    </row>
    <row r="5" spans="1:11" ht="42" thickBot="1" x14ac:dyDescent="0.35">
      <c r="A5" s="70"/>
      <c r="B5" s="24" t="s">
        <v>250</v>
      </c>
      <c r="C5" s="25" t="s">
        <v>251</v>
      </c>
      <c r="D5" s="26" t="s">
        <v>252</v>
      </c>
      <c r="E5" s="26" t="s">
        <v>253</v>
      </c>
      <c r="F5" s="344"/>
      <c r="G5" s="344"/>
      <c r="H5" s="25" t="s">
        <v>249</v>
      </c>
      <c r="I5" s="344"/>
      <c r="J5" s="344"/>
      <c r="K5" s="347"/>
    </row>
    <row r="6" spans="1:11" ht="14.4" customHeight="1" thickBot="1" x14ac:dyDescent="0.35">
      <c r="A6" s="414" t="s">
        <v>271</v>
      </c>
      <c r="B6" s="396">
        <v>38971.941760049303</v>
      </c>
      <c r="C6" s="396">
        <v>41339.829729999998</v>
      </c>
      <c r="D6" s="397">
        <v>2367.8879699507202</v>
      </c>
      <c r="E6" s="398">
        <v>1.0607587885800001</v>
      </c>
      <c r="F6" s="396">
        <v>40732.6223291473</v>
      </c>
      <c r="G6" s="397">
        <v>6788.7703881912203</v>
      </c>
      <c r="H6" s="399">
        <v>3447.9147200000002</v>
      </c>
      <c r="I6" s="396">
        <v>6798.8611600000004</v>
      </c>
      <c r="J6" s="397">
        <v>10.090771808781</v>
      </c>
      <c r="K6" s="400">
        <v>0.166914398612</v>
      </c>
    </row>
    <row r="7" spans="1:11" ht="14.4" customHeight="1" thickBot="1" x14ac:dyDescent="0.35">
      <c r="A7" s="415" t="s">
        <v>272</v>
      </c>
      <c r="B7" s="396">
        <v>6353.0735140751603</v>
      </c>
      <c r="C7" s="396">
        <v>5939.9261100000003</v>
      </c>
      <c r="D7" s="397">
        <v>-413.147404075162</v>
      </c>
      <c r="E7" s="398">
        <v>0.93496889290499996</v>
      </c>
      <c r="F7" s="396">
        <v>6330.0089014087398</v>
      </c>
      <c r="G7" s="397">
        <v>1055.00148356812</v>
      </c>
      <c r="H7" s="399">
        <v>450.19707</v>
      </c>
      <c r="I7" s="396">
        <v>1089.5115699999999</v>
      </c>
      <c r="J7" s="397">
        <v>34.510086431875997</v>
      </c>
      <c r="K7" s="400">
        <v>0.17211848939999999</v>
      </c>
    </row>
    <row r="8" spans="1:11" ht="14.4" customHeight="1" thickBot="1" x14ac:dyDescent="0.35">
      <c r="A8" s="416" t="s">
        <v>273</v>
      </c>
      <c r="B8" s="396">
        <v>4806.2026411638599</v>
      </c>
      <c r="C8" s="396">
        <v>4446.4444599999997</v>
      </c>
      <c r="D8" s="397">
        <v>-359.75818116385301</v>
      </c>
      <c r="E8" s="398">
        <v>0.92514710509999998</v>
      </c>
      <c r="F8" s="396">
        <v>4819.1399997277003</v>
      </c>
      <c r="G8" s="397">
        <v>803.18999995461604</v>
      </c>
      <c r="H8" s="399">
        <v>284.596</v>
      </c>
      <c r="I8" s="396">
        <v>729.45360000000005</v>
      </c>
      <c r="J8" s="397">
        <v>-73.736399954616004</v>
      </c>
      <c r="K8" s="400">
        <v>0.15136592836900001</v>
      </c>
    </row>
    <row r="9" spans="1:11" ht="14.4" customHeight="1" thickBot="1" x14ac:dyDescent="0.35">
      <c r="A9" s="417" t="s">
        <v>274</v>
      </c>
      <c r="B9" s="401">
        <v>0</v>
      </c>
      <c r="C9" s="401">
        <v>-2.1360000000000001E-2</v>
      </c>
      <c r="D9" s="402">
        <v>-2.1360000000000001E-2</v>
      </c>
      <c r="E9" s="403" t="s">
        <v>269</v>
      </c>
      <c r="F9" s="401">
        <v>0</v>
      </c>
      <c r="G9" s="402">
        <v>0</v>
      </c>
      <c r="H9" s="404">
        <v>-1.6100000000000001E-3</v>
      </c>
      <c r="I9" s="401">
        <v>-1.7899999999999999E-3</v>
      </c>
      <c r="J9" s="402">
        <v>-1.7899999999999999E-3</v>
      </c>
      <c r="K9" s="405" t="s">
        <v>269</v>
      </c>
    </row>
    <row r="10" spans="1:11" ht="14.4" customHeight="1" thickBot="1" x14ac:dyDescent="0.35">
      <c r="A10" s="418" t="s">
        <v>275</v>
      </c>
      <c r="B10" s="396">
        <v>0</v>
      </c>
      <c r="C10" s="396">
        <v>-2.1360000000000001E-2</v>
      </c>
      <c r="D10" s="397">
        <v>-2.1360000000000001E-2</v>
      </c>
      <c r="E10" s="406" t="s">
        <v>269</v>
      </c>
      <c r="F10" s="396">
        <v>0</v>
      </c>
      <c r="G10" s="397">
        <v>0</v>
      </c>
      <c r="H10" s="399">
        <v>-1.6100000000000001E-3</v>
      </c>
      <c r="I10" s="396">
        <v>-1.7899999999999999E-3</v>
      </c>
      <c r="J10" s="397">
        <v>-1.7899999999999999E-3</v>
      </c>
      <c r="K10" s="407" t="s">
        <v>269</v>
      </c>
    </row>
    <row r="11" spans="1:11" ht="14.4" customHeight="1" thickBot="1" x14ac:dyDescent="0.35">
      <c r="A11" s="417" t="s">
        <v>276</v>
      </c>
      <c r="B11" s="401">
        <v>325.12253011157702</v>
      </c>
      <c r="C11" s="401">
        <v>318.94376</v>
      </c>
      <c r="D11" s="402">
        <v>-6.1787701115760001</v>
      </c>
      <c r="E11" s="408">
        <v>0.98099556462699999</v>
      </c>
      <c r="F11" s="401">
        <v>315</v>
      </c>
      <c r="G11" s="402">
        <v>52.5</v>
      </c>
      <c r="H11" s="404">
        <v>29.51229</v>
      </c>
      <c r="I11" s="401">
        <v>82.423869999999994</v>
      </c>
      <c r="J11" s="402">
        <v>29.923870000000001</v>
      </c>
      <c r="K11" s="409">
        <v>0.261663079365</v>
      </c>
    </row>
    <row r="12" spans="1:11" ht="14.4" customHeight="1" thickBot="1" x14ac:dyDescent="0.35">
      <c r="A12" s="418" t="s">
        <v>277</v>
      </c>
      <c r="B12" s="396">
        <v>268.02147828136799</v>
      </c>
      <c r="C12" s="396">
        <v>270.30925999999999</v>
      </c>
      <c r="D12" s="397">
        <v>2.287781718632</v>
      </c>
      <c r="E12" s="398">
        <v>1.0085358148650001</v>
      </c>
      <c r="F12" s="396">
        <v>268</v>
      </c>
      <c r="G12" s="397">
        <v>44.666666666666003</v>
      </c>
      <c r="H12" s="399">
        <v>21.27843</v>
      </c>
      <c r="I12" s="396">
        <v>58.780149999999999</v>
      </c>
      <c r="J12" s="397">
        <v>14.113483333333001</v>
      </c>
      <c r="K12" s="400">
        <v>0.21932891791</v>
      </c>
    </row>
    <row r="13" spans="1:11" ht="14.4" customHeight="1" thickBot="1" x14ac:dyDescent="0.35">
      <c r="A13" s="418" t="s">
        <v>278</v>
      </c>
      <c r="B13" s="396">
        <v>2.0000001805580001</v>
      </c>
      <c r="C13" s="396">
        <v>1.4384999999999999</v>
      </c>
      <c r="D13" s="397">
        <v>-0.56150018055799999</v>
      </c>
      <c r="E13" s="398">
        <v>0.71924993506599999</v>
      </c>
      <c r="F13" s="396">
        <v>2</v>
      </c>
      <c r="G13" s="397">
        <v>0.33333333333300003</v>
      </c>
      <c r="H13" s="399">
        <v>0.22986000000000001</v>
      </c>
      <c r="I13" s="396">
        <v>0.45972000000000002</v>
      </c>
      <c r="J13" s="397">
        <v>0.12638666666600001</v>
      </c>
      <c r="K13" s="400">
        <v>0.22986000000000001</v>
      </c>
    </row>
    <row r="14" spans="1:11" ht="14.4" customHeight="1" thickBot="1" x14ac:dyDescent="0.35">
      <c r="A14" s="418" t="s">
        <v>279</v>
      </c>
      <c r="B14" s="396">
        <v>0.101046684277</v>
      </c>
      <c r="C14" s="396">
        <v>0</v>
      </c>
      <c r="D14" s="397">
        <v>-0.101046684277</v>
      </c>
      <c r="E14" s="398">
        <v>0</v>
      </c>
      <c r="F14" s="396">
        <v>0</v>
      </c>
      <c r="G14" s="397">
        <v>0</v>
      </c>
      <c r="H14" s="399">
        <v>0</v>
      </c>
      <c r="I14" s="396">
        <v>0</v>
      </c>
      <c r="J14" s="397">
        <v>0</v>
      </c>
      <c r="K14" s="400">
        <v>2</v>
      </c>
    </row>
    <row r="15" spans="1:11" ht="14.4" customHeight="1" thickBot="1" x14ac:dyDescent="0.35">
      <c r="A15" s="418" t="s">
        <v>280</v>
      </c>
      <c r="B15" s="396">
        <v>55.000004965370998</v>
      </c>
      <c r="C15" s="396">
        <v>47.195999999999998</v>
      </c>
      <c r="D15" s="397">
        <v>-7.804004965371</v>
      </c>
      <c r="E15" s="398">
        <v>0.85810901343900003</v>
      </c>
      <c r="F15" s="396">
        <v>45</v>
      </c>
      <c r="G15" s="397">
        <v>7.5</v>
      </c>
      <c r="H15" s="399">
        <v>8.0039999999999996</v>
      </c>
      <c r="I15" s="396">
        <v>23.184000000000001</v>
      </c>
      <c r="J15" s="397">
        <v>15.683999999999999</v>
      </c>
      <c r="K15" s="400">
        <v>0.51519999999999999</v>
      </c>
    </row>
    <row r="16" spans="1:11" ht="14.4" customHeight="1" thickBot="1" x14ac:dyDescent="0.35">
      <c r="A16" s="417" t="s">
        <v>281</v>
      </c>
      <c r="B16" s="401">
        <v>3866.3274490500198</v>
      </c>
      <c r="C16" s="401">
        <v>3428.2334799999999</v>
      </c>
      <c r="D16" s="402">
        <v>-438.09396905001802</v>
      </c>
      <c r="E16" s="408">
        <v>0.88668989504200002</v>
      </c>
      <c r="F16" s="401">
        <v>3818.8</v>
      </c>
      <c r="G16" s="402">
        <v>636.46666666666704</v>
      </c>
      <c r="H16" s="404">
        <v>215.90207000000001</v>
      </c>
      <c r="I16" s="401">
        <v>548.62801000000002</v>
      </c>
      <c r="J16" s="402">
        <v>-87.838656666665997</v>
      </c>
      <c r="K16" s="409">
        <v>0.143665028281</v>
      </c>
    </row>
    <row r="17" spans="1:11" ht="14.4" customHeight="1" thickBot="1" x14ac:dyDescent="0.35">
      <c r="A17" s="418" t="s">
        <v>282</v>
      </c>
      <c r="B17" s="396">
        <v>1.252350113061</v>
      </c>
      <c r="C17" s="396">
        <v>0.86099999999999999</v>
      </c>
      <c r="D17" s="397">
        <v>-0.39135011306099998</v>
      </c>
      <c r="E17" s="398">
        <v>0.68750742385800001</v>
      </c>
      <c r="F17" s="396">
        <v>1</v>
      </c>
      <c r="G17" s="397">
        <v>0.166666666666</v>
      </c>
      <c r="H17" s="399">
        <v>3.993E-2</v>
      </c>
      <c r="I17" s="396">
        <v>0.38211000000000001</v>
      </c>
      <c r="J17" s="397">
        <v>0.215443333333</v>
      </c>
      <c r="K17" s="400">
        <v>0.38211000000000001</v>
      </c>
    </row>
    <row r="18" spans="1:11" ht="14.4" customHeight="1" thickBot="1" x14ac:dyDescent="0.35">
      <c r="A18" s="418" t="s">
        <v>283</v>
      </c>
      <c r="B18" s="396">
        <v>60.000005416769</v>
      </c>
      <c r="C18" s="396">
        <v>57.330399999999997</v>
      </c>
      <c r="D18" s="397">
        <v>-2.669605416769</v>
      </c>
      <c r="E18" s="398">
        <v>0.95550658040400005</v>
      </c>
      <c r="F18" s="396">
        <v>62</v>
      </c>
      <c r="G18" s="397">
        <v>10.333333333333</v>
      </c>
      <c r="H18" s="399">
        <v>4.6597400000000002</v>
      </c>
      <c r="I18" s="396">
        <v>8.59863</v>
      </c>
      <c r="J18" s="397">
        <v>-1.734703333333</v>
      </c>
      <c r="K18" s="400">
        <v>0.138687580645</v>
      </c>
    </row>
    <row r="19" spans="1:11" ht="14.4" customHeight="1" thickBot="1" x14ac:dyDescent="0.35">
      <c r="A19" s="418" t="s">
        <v>284</v>
      </c>
      <c r="B19" s="396">
        <v>88.000007944594003</v>
      </c>
      <c r="C19" s="396">
        <v>82.366669999999999</v>
      </c>
      <c r="D19" s="397">
        <v>-5.6333379445940004</v>
      </c>
      <c r="E19" s="398">
        <v>0.93598480186300004</v>
      </c>
      <c r="F19" s="396">
        <v>90</v>
      </c>
      <c r="G19" s="397">
        <v>15</v>
      </c>
      <c r="H19" s="399">
        <v>7.8483000000000001</v>
      </c>
      <c r="I19" s="396">
        <v>13.782109999999999</v>
      </c>
      <c r="J19" s="397">
        <v>-1.2178899999999999</v>
      </c>
      <c r="K19" s="400">
        <v>0.153134555555</v>
      </c>
    </row>
    <row r="20" spans="1:11" ht="14.4" customHeight="1" thickBot="1" x14ac:dyDescent="0.35">
      <c r="A20" s="418" t="s">
        <v>285</v>
      </c>
      <c r="B20" s="396">
        <v>75.000006770960994</v>
      </c>
      <c r="C20" s="396">
        <v>75.110209999999995</v>
      </c>
      <c r="D20" s="397">
        <v>0.11020322903800001</v>
      </c>
      <c r="E20" s="398">
        <v>1.0014693762539999</v>
      </c>
      <c r="F20" s="396">
        <v>75</v>
      </c>
      <c r="G20" s="397">
        <v>12.5</v>
      </c>
      <c r="H20" s="399">
        <v>1.6181099999999999</v>
      </c>
      <c r="I20" s="396">
        <v>18.852689999999999</v>
      </c>
      <c r="J20" s="397">
        <v>6.3526899999999999</v>
      </c>
      <c r="K20" s="400">
        <v>0.25136920000000001</v>
      </c>
    </row>
    <row r="21" spans="1:11" ht="14.4" customHeight="1" thickBot="1" x14ac:dyDescent="0.35">
      <c r="A21" s="418" t="s">
        <v>286</v>
      </c>
      <c r="B21" s="396">
        <v>6.0000005416760001</v>
      </c>
      <c r="C21" s="396">
        <v>7.8138800000000002</v>
      </c>
      <c r="D21" s="397">
        <v>1.813879458323</v>
      </c>
      <c r="E21" s="398">
        <v>1.302313215761</v>
      </c>
      <c r="F21" s="396">
        <v>6</v>
      </c>
      <c r="G21" s="397">
        <v>1</v>
      </c>
      <c r="H21" s="399">
        <v>0.27500000000000002</v>
      </c>
      <c r="I21" s="396">
        <v>0.54500000000000004</v>
      </c>
      <c r="J21" s="397">
        <v>-0.45500000000000002</v>
      </c>
      <c r="K21" s="400">
        <v>9.0833333333000005E-2</v>
      </c>
    </row>
    <row r="22" spans="1:11" ht="14.4" customHeight="1" thickBot="1" x14ac:dyDescent="0.35">
      <c r="A22" s="418" t="s">
        <v>287</v>
      </c>
      <c r="B22" s="396">
        <v>180.000016250307</v>
      </c>
      <c r="C22" s="396">
        <v>177.42264</v>
      </c>
      <c r="D22" s="397">
        <v>-2.5773762503070001</v>
      </c>
      <c r="E22" s="398">
        <v>0.98568124434600002</v>
      </c>
      <c r="F22" s="396">
        <v>180</v>
      </c>
      <c r="G22" s="397">
        <v>30</v>
      </c>
      <c r="H22" s="399">
        <v>10.0595</v>
      </c>
      <c r="I22" s="396">
        <v>25.003260000000001</v>
      </c>
      <c r="J22" s="397">
        <v>-4.99674</v>
      </c>
      <c r="K22" s="400">
        <v>0.138907</v>
      </c>
    </row>
    <row r="23" spans="1:11" ht="14.4" customHeight="1" thickBot="1" x14ac:dyDescent="0.35">
      <c r="A23" s="418" t="s">
        <v>288</v>
      </c>
      <c r="B23" s="396">
        <v>7.4750006748000003E-2</v>
      </c>
      <c r="C23" s="396">
        <v>2.2835899999999998</v>
      </c>
      <c r="D23" s="397">
        <v>2.2088399932509999</v>
      </c>
      <c r="E23" s="398">
        <v>30.549696238645002</v>
      </c>
      <c r="F23" s="396">
        <v>5</v>
      </c>
      <c r="G23" s="397">
        <v>0.83333333333299997</v>
      </c>
      <c r="H23" s="399">
        <v>0</v>
      </c>
      <c r="I23" s="396">
        <v>0</v>
      </c>
      <c r="J23" s="397">
        <v>-0.83333333333299997</v>
      </c>
      <c r="K23" s="400">
        <v>0</v>
      </c>
    </row>
    <row r="24" spans="1:11" ht="14.4" customHeight="1" thickBot="1" x14ac:dyDescent="0.35">
      <c r="A24" s="418" t="s">
        <v>289</v>
      </c>
      <c r="B24" s="396">
        <v>3456.0003120059</v>
      </c>
      <c r="C24" s="396">
        <v>3025.0450900000001</v>
      </c>
      <c r="D24" s="397">
        <v>-430.95522200589897</v>
      </c>
      <c r="E24" s="398">
        <v>0.87530231970500005</v>
      </c>
      <c r="F24" s="396">
        <v>3399.8</v>
      </c>
      <c r="G24" s="397">
        <v>566.63333333333298</v>
      </c>
      <c r="H24" s="399">
        <v>191.40149</v>
      </c>
      <c r="I24" s="396">
        <v>481.46420999999998</v>
      </c>
      <c r="J24" s="397">
        <v>-85.169123333333005</v>
      </c>
      <c r="K24" s="400">
        <v>0.14161545090800001</v>
      </c>
    </row>
    <row r="25" spans="1:11" ht="14.4" customHeight="1" thickBot="1" x14ac:dyDescent="0.35">
      <c r="A25" s="417" t="s">
        <v>290</v>
      </c>
      <c r="B25" s="401">
        <v>489.530878297664</v>
      </c>
      <c r="C25" s="401">
        <v>493.48662000000002</v>
      </c>
      <c r="D25" s="402">
        <v>3.9557417023350001</v>
      </c>
      <c r="E25" s="408">
        <v>1.0080806786200001</v>
      </c>
      <c r="F25" s="401">
        <v>485.88508802796503</v>
      </c>
      <c r="G25" s="402">
        <v>80.980848004660004</v>
      </c>
      <c r="H25" s="404">
        <v>32.659709999999997</v>
      </c>
      <c r="I25" s="401">
        <v>76.064959999999999</v>
      </c>
      <c r="J25" s="402">
        <v>-4.9158880046600002</v>
      </c>
      <c r="K25" s="409">
        <v>0.15654927857199999</v>
      </c>
    </row>
    <row r="26" spans="1:11" ht="14.4" customHeight="1" thickBot="1" x14ac:dyDescent="0.35">
      <c r="A26" s="418" t="s">
        <v>291</v>
      </c>
      <c r="B26" s="396">
        <v>4.9549018673100003</v>
      </c>
      <c r="C26" s="396">
        <v>3.297999999999</v>
      </c>
      <c r="D26" s="397">
        <v>-1.65690186731</v>
      </c>
      <c r="E26" s="398">
        <v>0.66560349494600002</v>
      </c>
      <c r="F26" s="396">
        <v>0</v>
      </c>
      <c r="G26" s="397">
        <v>0</v>
      </c>
      <c r="H26" s="399">
        <v>0</v>
      </c>
      <c r="I26" s="396">
        <v>0.999</v>
      </c>
      <c r="J26" s="397">
        <v>0.999</v>
      </c>
      <c r="K26" s="407" t="s">
        <v>269</v>
      </c>
    </row>
    <row r="27" spans="1:11" ht="14.4" customHeight="1" thickBot="1" x14ac:dyDescent="0.35">
      <c r="A27" s="418" t="s">
        <v>292</v>
      </c>
      <c r="B27" s="396">
        <v>8.9117242745180008</v>
      </c>
      <c r="C27" s="396">
        <v>9.2529199999999996</v>
      </c>
      <c r="D27" s="397">
        <v>0.34119572548100002</v>
      </c>
      <c r="E27" s="398">
        <v>1.038286162696</v>
      </c>
      <c r="F27" s="396">
        <v>25</v>
      </c>
      <c r="G27" s="397">
        <v>4.1666666666659999</v>
      </c>
      <c r="H27" s="399">
        <v>1.7485200000000001</v>
      </c>
      <c r="I27" s="396">
        <v>4.2252999999999998</v>
      </c>
      <c r="J27" s="397">
        <v>5.8633333332999998E-2</v>
      </c>
      <c r="K27" s="400">
        <v>0.169012</v>
      </c>
    </row>
    <row r="28" spans="1:11" ht="14.4" customHeight="1" thickBot="1" x14ac:dyDescent="0.35">
      <c r="A28" s="418" t="s">
        <v>293</v>
      </c>
      <c r="B28" s="396">
        <v>217.15544959507599</v>
      </c>
      <c r="C28" s="396">
        <v>186.84021000000001</v>
      </c>
      <c r="D28" s="397">
        <v>-30.315239595074999</v>
      </c>
      <c r="E28" s="398">
        <v>0.86039843968100005</v>
      </c>
      <c r="F28" s="396">
        <v>171.546637730523</v>
      </c>
      <c r="G28" s="397">
        <v>28.591106288420001</v>
      </c>
      <c r="H28" s="399">
        <v>15.42207</v>
      </c>
      <c r="I28" s="396">
        <v>35.426490000000001</v>
      </c>
      <c r="J28" s="397">
        <v>6.8353837115790004</v>
      </c>
      <c r="K28" s="400">
        <v>0.20651229583200001</v>
      </c>
    </row>
    <row r="29" spans="1:11" ht="14.4" customHeight="1" thickBot="1" x14ac:dyDescent="0.35">
      <c r="A29" s="418" t="s">
        <v>294</v>
      </c>
      <c r="B29" s="396">
        <v>39.827799437802</v>
      </c>
      <c r="C29" s="396">
        <v>36.095509999999997</v>
      </c>
      <c r="D29" s="397">
        <v>-3.7322894378020002</v>
      </c>
      <c r="E29" s="398">
        <v>0.90628933833900005</v>
      </c>
      <c r="F29" s="396">
        <v>40</v>
      </c>
      <c r="G29" s="397">
        <v>6.6666666666659999</v>
      </c>
      <c r="H29" s="399">
        <v>3.38287</v>
      </c>
      <c r="I29" s="396">
        <v>5.5832699999999997</v>
      </c>
      <c r="J29" s="397">
        <v>-1.083396666666</v>
      </c>
      <c r="K29" s="400">
        <v>0.13958175</v>
      </c>
    </row>
    <row r="30" spans="1:11" ht="14.4" customHeight="1" thickBot="1" x14ac:dyDescent="0.35">
      <c r="A30" s="418" t="s">
        <v>295</v>
      </c>
      <c r="B30" s="396">
        <v>21.456986357068999</v>
      </c>
      <c r="C30" s="396">
        <v>13.326029999999999</v>
      </c>
      <c r="D30" s="397">
        <v>-8.1309563570689996</v>
      </c>
      <c r="E30" s="398">
        <v>0.62105785864899998</v>
      </c>
      <c r="F30" s="396">
        <v>14.389628373447</v>
      </c>
      <c r="G30" s="397">
        <v>2.398271395574</v>
      </c>
      <c r="H30" s="399">
        <v>0.1694</v>
      </c>
      <c r="I30" s="396">
        <v>0.1694</v>
      </c>
      <c r="J30" s="397">
        <v>-2.228871395574</v>
      </c>
      <c r="K30" s="400">
        <v>1.1772367957999999E-2</v>
      </c>
    </row>
    <row r="31" spans="1:11" ht="14.4" customHeight="1" thickBot="1" x14ac:dyDescent="0.35">
      <c r="A31" s="418" t="s">
        <v>296</v>
      </c>
      <c r="B31" s="396">
        <v>0</v>
      </c>
      <c r="C31" s="396">
        <v>0.02</v>
      </c>
      <c r="D31" s="397">
        <v>0.02</v>
      </c>
      <c r="E31" s="406" t="s">
        <v>297</v>
      </c>
      <c r="F31" s="396">
        <v>0</v>
      </c>
      <c r="G31" s="397">
        <v>0</v>
      </c>
      <c r="H31" s="399">
        <v>0</v>
      </c>
      <c r="I31" s="396">
        <v>0</v>
      </c>
      <c r="J31" s="397">
        <v>0</v>
      </c>
      <c r="K31" s="407" t="s">
        <v>269</v>
      </c>
    </row>
    <row r="32" spans="1:11" ht="14.4" customHeight="1" thickBot="1" x14ac:dyDescent="0.35">
      <c r="A32" s="418" t="s">
        <v>298</v>
      </c>
      <c r="B32" s="396">
        <v>0.862112033103</v>
      </c>
      <c r="C32" s="396">
        <v>15.10975</v>
      </c>
      <c r="D32" s="397">
        <v>14.247637966896001</v>
      </c>
      <c r="E32" s="398">
        <v>17.526434407377</v>
      </c>
      <c r="F32" s="396">
        <v>19</v>
      </c>
      <c r="G32" s="397">
        <v>3.1666666666659999</v>
      </c>
      <c r="H32" s="399">
        <v>0</v>
      </c>
      <c r="I32" s="396">
        <v>0</v>
      </c>
      <c r="J32" s="397">
        <v>-3.1666666666659999</v>
      </c>
      <c r="K32" s="400">
        <v>0</v>
      </c>
    </row>
    <row r="33" spans="1:11" ht="14.4" customHeight="1" thickBot="1" x14ac:dyDescent="0.35">
      <c r="A33" s="418" t="s">
        <v>299</v>
      </c>
      <c r="B33" s="396">
        <v>106.041054350848</v>
      </c>
      <c r="C33" s="396">
        <v>77.685820000000007</v>
      </c>
      <c r="D33" s="397">
        <v>-28.355234350848001</v>
      </c>
      <c r="E33" s="398">
        <v>0.73260135402799997</v>
      </c>
      <c r="F33" s="396">
        <v>80</v>
      </c>
      <c r="G33" s="397">
        <v>13.333333333333</v>
      </c>
      <c r="H33" s="399">
        <v>1.9843999999999999</v>
      </c>
      <c r="I33" s="396">
        <v>12.23189</v>
      </c>
      <c r="J33" s="397">
        <v>-1.101443333333</v>
      </c>
      <c r="K33" s="400">
        <v>0.15289862500000001</v>
      </c>
    </row>
    <row r="34" spans="1:11" ht="14.4" customHeight="1" thickBot="1" x14ac:dyDescent="0.35">
      <c r="A34" s="418" t="s">
        <v>300</v>
      </c>
      <c r="B34" s="396">
        <v>18.269437384450999</v>
      </c>
      <c r="C34" s="396">
        <v>23.396719999999998</v>
      </c>
      <c r="D34" s="397">
        <v>5.1272826155480002</v>
      </c>
      <c r="E34" s="398">
        <v>1.280648084976</v>
      </c>
      <c r="F34" s="396">
        <v>25.948821923994</v>
      </c>
      <c r="G34" s="397">
        <v>4.324803653999</v>
      </c>
      <c r="H34" s="399">
        <v>1.4912000000000001</v>
      </c>
      <c r="I34" s="396">
        <v>3.2183799999999998</v>
      </c>
      <c r="J34" s="397">
        <v>-1.106423653999</v>
      </c>
      <c r="K34" s="400">
        <v>0.124027981286</v>
      </c>
    </row>
    <row r="35" spans="1:11" ht="14.4" customHeight="1" thickBot="1" x14ac:dyDescent="0.35">
      <c r="A35" s="418" t="s">
        <v>301</v>
      </c>
      <c r="B35" s="396">
        <v>0</v>
      </c>
      <c r="C35" s="396">
        <v>15.419</v>
      </c>
      <c r="D35" s="397">
        <v>15.419</v>
      </c>
      <c r="E35" s="406" t="s">
        <v>269</v>
      </c>
      <c r="F35" s="396">
        <v>0</v>
      </c>
      <c r="G35" s="397">
        <v>0</v>
      </c>
      <c r="H35" s="399">
        <v>0</v>
      </c>
      <c r="I35" s="396">
        <v>0</v>
      </c>
      <c r="J35" s="397">
        <v>0</v>
      </c>
      <c r="K35" s="407" t="s">
        <v>269</v>
      </c>
    </row>
    <row r="36" spans="1:11" ht="14.4" customHeight="1" thickBot="1" x14ac:dyDescent="0.35">
      <c r="A36" s="418" t="s">
        <v>302</v>
      </c>
      <c r="B36" s="396">
        <v>0</v>
      </c>
      <c r="C36" s="396">
        <v>10.923999999999999</v>
      </c>
      <c r="D36" s="397">
        <v>10.923999999999999</v>
      </c>
      <c r="E36" s="406" t="s">
        <v>297</v>
      </c>
      <c r="F36" s="396">
        <v>0</v>
      </c>
      <c r="G36" s="397">
        <v>0</v>
      </c>
      <c r="H36" s="399">
        <v>0</v>
      </c>
      <c r="I36" s="396">
        <v>0</v>
      </c>
      <c r="J36" s="397">
        <v>0</v>
      </c>
      <c r="K36" s="407" t="s">
        <v>269</v>
      </c>
    </row>
    <row r="37" spans="1:11" ht="14.4" customHeight="1" thickBot="1" x14ac:dyDescent="0.35">
      <c r="A37" s="418" t="s">
        <v>303</v>
      </c>
      <c r="B37" s="396">
        <v>0</v>
      </c>
      <c r="C37" s="396">
        <v>0</v>
      </c>
      <c r="D37" s="397">
        <v>0</v>
      </c>
      <c r="E37" s="398">
        <v>1</v>
      </c>
      <c r="F37" s="396">
        <v>0</v>
      </c>
      <c r="G37" s="397">
        <v>0</v>
      </c>
      <c r="H37" s="399">
        <v>0</v>
      </c>
      <c r="I37" s="396">
        <v>1.1919999999999999</v>
      </c>
      <c r="J37" s="397">
        <v>1.1919999999999999</v>
      </c>
      <c r="K37" s="407" t="s">
        <v>297</v>
      </c>
    </row>
    <row r="38" spans="1:11" ht="14.4" customHeight="1" thickBot="1" x14ac:dyDescent="0.35">
      <c r="A38" s="418" t="s">
        <v>304</v>
      </c>
      <c r="B38" s="396">
        <v>72.051412997483993</v>
      </c>
      <c r="C38" s="396">
        <v>102.11866000000001</v>
      </c>
      <c r="D38" s="397">
        <v>30.067247002515</v>
      </c>
      <c r="E38" s="398">
        <v>1.4173026697410001</v>
      </c>
      <c r="F38" s="396">
        <v>100</v>
      </c>
      <c r="G38" s="397">
        <v>16.666666666666</v>
      </c>
      <c r="H38" s="399">
        <v>8.4612499999999997</v>
      </c>
      <c r="I38" s="396">
        <v>13.01923</v>
      </c>
      <c r="J38" s="397">
        <v>-3.6474366666660001</v>
      </c>
      <c r="K38" s="400">
        <v>0.13019230000000001</v>
      </c>
    </row>
    <row r="39" spans="1:11" ht="14.4" customHeight="1" thickBot="1" x14ac:dyDescent="0.35">
      <c r="A39" s="418" t="s">
        <v>305</v>
      </c>
      <c r="B39" s="396">
        <v>0</v>
      </c>
      <c r="C39" s="396">
        <v>0</v>
      </c>
      <c r="D39" s="397">
        <v>0</v>
      </c>
      <c r="E39" s="398">
        <v>1</v>
      </c>
      <c r="F39" s="396">
        <v>10</v>
      </c>
      <c r="G39" s="397">
        <v>1.6666666666659999</v>
      </c>
      <c r="H39" s="399">
        <v>0</v>
      </c>
      <c r="I39" s="396">
        <v>0</v>
      </c>
      <c r="J39" s="397">
        <v>-1.6666666666659999</v>
      </c>
      <c r="K39" s="400">
        <v>0</v>
      </c>
    </row>
    <row r="40" spans="1:11" ht="14.4" customHeight="1" thickBot="1" x14ac:dyDescent="0.35">
      <c r="A40" s="417" t="s">
        <v>306</v>
      </c>
      <c r="B40" s="401">
        <v>62.663959847645998</v>
      </c>
      <c r="C40" s="401">
        <v>98.949749999999995</v>
      </c>
      <c r="D40" s="402">
        <v>36.285790152353002</v>
      </c>
      <c r="E40" s="408">
        <v>1.5790535778549999</v>
      </c>
      <c r="F40" s="401">
        <v>80.304315999897995</v>
      </c>
      <c r="G40" s="402">
        <v>13.384052666649</v>
      </c>
      <c r="H40" s="404">
        <v>-4.2706799999999996</v>
      </c>
      <c r="I40" s="401">
        <v>2.8361999999999998</v>
      </c>
      <c r="J40" s="402">
        <v>-10.547852666649</v>
      </c>
      <c r="K40" s="409">
        <v>3.5318151516999997E-2</v>
      </c>
    </row>
    <row r="41" spans="1:11" ht="14.4" customHeight="1" thickBot="1" x14ac:dyDescent="0.35">
      <c r="A41" s="418" t="s">
        <v>307</v>
      </c>
      <c r="B41" s="396">
        <v>58.955127105660999</v>
      </c>
      <c r="C41" s="396">
        <v>26.142679999999999</v>
      </c>
      <c r="D41" s="397">
        <v>-32.812447105661001</v>
      </c>
      <c r="E41" s="398">
        <v>0.44343352789500001</v>
      </c>
      <c r="F41" s="396">
        <v>0</v>
      </c>
      <c r="G41" s="397">
        <v>0</v>
      </c>
      <c r="H41" s="399">
        <v>1.694</v>
      </c>
      <c r="I41" s="396">
        <v>2.5409999999999999</v>
      </c>
      <c r="J41" s="397">
        <v>2.5409999999999999</v>
      </c>
      <c r="K41" s="407" t="s">
        <v>269</v>
      </c>
    </row>
    <row r="42" spans="1:11" ht="14.4" customHeight="1" thickBot="1" x14ac:dyDescent="0.35">
      <c r="A42" s="418" t="s">
        <v>308</v>
      </c>
      <c r="B42" s="396">
        <v>0.171065990147</v>
      </c>
      <c r="C42" s="396">
        <v>10.475</v>
      </c>
      <c r="D42" s="397">
        <v>10.303934009852</v>
      </c>
      <c r="E42" s="398">
        <v>61.233679418027002</v>
      </c>
      <c r="F42" s="396">
        <v>13.658759141219001</v>
      </c>
      <c r="G42" s="397">
        <v>2.2764598568690002</v>
      </c>
      <c r="H42" s="399">
        <v>0</v>
      </c>
      <c r="I42" s="396">
        <v>0</v>
      </c>
      <c r="J42" s="397">
        <v>-2.2764598568690002</v>
      </c>
      <c r="K42" s="400">
        <v>0</v>
      </c>
    </row>
    <row r="43" spans="1:11" ht="14.4" customHeight="1" thickBot="1" x14ac:dyDescent="0.35">
      <c r="A43" s="418" t="s">
        <v>309</v>
      </c>
      <c r="B43" s="396">
        <v>0</v>
      </c>
      <c r="C43" s="396">
        <v>59.817500000000003</v>
      </c>
      <c r="D43" s="397">
        <v>59.817500000000003</v>
      </c>
      <c r="E43" s="406" t="s">
        <v>297</v>
      </c>
      <c r="F43" s="396">
        <v>64.020197211945003</v>
      </c>
      <c r="G43" s="397">
        <v>10.670032868657</v>
      </c>
      <c r="H43" s="399">
        <v>-5.9646800000000004</v>
      </c>
      <c r="I43" s="396">
        <v>0</v>
      </c>
      <c r="J43" s="397">
        <v>-10.670032868657</v>
      </c>
      <c r="K43" s="400">
        <v>0</v>
      </c>
    </row>
    <row r="44" spans="1:11" ht="14.4" customHeight="1" thickBot="1" x14ac:dyDescent="0.35">
      <c r="A44" s="418" t="s">
        <v>310</v>
      </c>
      <c r="B44" s="396">
        <v>0</v>
      </c>
      <c r="C44" s="396">
        <v>7.9000000000000001E-2</v>
      </c>
      <c r="D44" s="397">
        <v>7.9000000000000001E-2</v>
      </c>
      <c r="E44" s="406" t="s">
        <v>269</v>
      </c>
      <c r="F44" s="396">
        <v>7.3328019063000002E-2</v>
      </c>
      <c r="G44" s="397">
        <v>1.222133651E-2</v>
      </c>
      <c r="H44" s="399">
        <v>0</v>
      </c>
      <c r="I44" s="396">
        <v>0</v>
      </c>
      <c r="J44" s="397">
        <v>-1.222133651E-2</v>
      </c>
      <c r="K44" s="400">
        <v>0</v>
      </c>
    </row>
    <row r="45" spans="1:11" ht="14.4" customHeight="1" thickBot="1" x14ac:dyDescent="0.35">
      <c r="A45" s="418" t="s">
        <v>311</v>
      </c>
      <c r="B45" s="396">
        <v>3.5377667518370002</v>
      </c>
      <c r="C45" s="396">
        <v>2.4355699999999998</v>
      </c>
      <c r="D45" s="397">
        <v>-1.1021967518369999</v>
      </c>
      <c r="E45" s="398">
        <v>0.68844843960799995</v>
      </c>
      <c r="F45" s="396">
        <v>2.5520316276699999</v>
      </c>
      <c r="G45" s="397">
        <v>0.42533860461099998</v>
      </c>
      <c r="H45" s="399">
        <v>0</v>
      </c>
      <c r="I45" s="396">
        <v>0.29520000000000002</v>
      </c>
      <c r="J45" s="397">
        <v>-0.13013860461099999</v>
      </c>
      <c r="K45" s="400">
        <v>0.115672547628</v>
      </c>
    </row>
    <row r="46" spans="1:11" ht="14.4" customHeight="1" thickBot="1" x14ac:dyDescent="0.35">
      <c r="A46" s="417" t="s">
        <v>312</v>
      </c>
      <c r="B46" s="401">
        <v>62.557823856949</v>
      </c>
      <c r="C46" s="401">
        <v>106.85221</v>
      </c>
      <c r="D46" s="402">
        <v>44.294386143051</v>
      </c>
      <c r="E46" s="408">
        <v>1.7080550986609999</v>
      </c>
      <c r="F46" s="401">
        <v>119.150595699832</v>
      </c>
      <c r="G46" s="402">
        <v>19.858432616638002</v>
      </c>
      <c r="H46" s="404">
        <v>10.794219999999999</v>
      </c>
      <c r="I46" s="401">
        <v>19.50235</v>
      </c>
      <c r="J46" s="402">
        <v>-0.356082616638</v>
      </c>
      <c r="K46" s="409">
        <v>0.16367815775799999</v>
      </c>
    </row>
    <row r="47" spans="1:11" ht="14.4" customHeight="1" thickBot="1" x14ac:dyDescent="0.35">
      <c r="A47" s="418" t="s">
        <v>313</v>
      </c>
      <c r="B47" s="396">
        <v>0</v>
      </c>
      <c r="C47" s="396">
        <v>44.809170000000002</v>
      </c>
      <c r="D47" s="397">
        <v>44.809170000000002</v>
      </c>
      <c r="E47" s="406" t="s">
        <v>269</v>
      </c>
      <c r="F47" s="396">
        <v>50</v>
      </c>
      <c r="G47" s="397">
        <v>8.333333333333</v>
      </c>
      <c r="H47" s="399">
        <v>5.8829500000000001</v>
      </c>
      <c r="I47" s="396">
        <v>8.0174299999999992</v>
      </c>
      <c r="J47" s="397">
        <v>-0.31590333333300002</v>
      </c>
      <c r="K47" s="400">
        <v>0.16034860000000001</v>
      </c>
    </row>
    <row r="48" spans="1:11" ht="14.4" customHeight="1" thickBot="1" x14ac:dyDescent="0.35">
      <c r="A48" s="418" t="s">
        <v>314</v>
      </c>
      <c r="B48" s="396">
        <v>19.852380248336001</v>
      </c>
      <c r="C48" s="396">
        <v>17.32564</v>
      </c>
      <c r="D48" s="397">
        <v>-2.526740248336</v>
      </c>
      <c r="E48" s="398">
        <v>0.87272356177300003</v>
      </c>
      <c r="F48" s="396">
        <v>23.525565710972</v>
      </c>
      <c r="G48" s="397">
        <v>3.9209276184949999</v>
      </c>
      <c r="H48" s="399">
        <v>1.6677900000000001</v>
      </c>
      <c r="I48" s="396">
        <v>3.2194600000000002</v>
      </c>
      <c r="J48" s="397">
        <v>-0.70146761849499994</v>
      </c>
      <c r="K48" s="400">
        <v>0.136849419034</v>
      </c>
    </row>
    <row r="49" spans="1:11" ht="14.4" customHeight="1" thickBot="1" x14ac:dyDescent="0.35">
      <c r="A49" s="418" t="s">
        <v>315</v>
      </c>
      <c r="B49" s="396">
        <v>24.705441983581998</v>
      </c>
      <c r="C49" s="396">
        <v>22.167940000000002</v>
      </c>
      <c r="D49" s="397">
        <v>-2.5375019835820001</v>
      </c>
      <c r="E49" s="398">
        <v>0.89728975562199997</v>
      </c>
      <c r="F49" s="396">
        <v>22.625029988859001</v>
      </c>
      <c r="G49" s="397">
        <v>3.7708383314759999</v>
      </c>
      <c r="H49" s="399">
        <v>1.38348</v>
      </c>
      <c r="I49" s="396">
        <v>3.0574599999999998</v>
      </c>
      <c r="J49" s="397">
        <v>-0.71337833147600005</v>
      </c>
      <c r="K49" s="400">
        <v>0.13513617447099999</v>
      </c>
    </row>
    <row r="50" spans="1:11" ht="14.4" customHeight="1" thickBot="1" x14ac:dyDescent="0.35">
      <c r="A50" s="418" t="s">
        <v>316</v>
      </c>
      <c r="B50" s="396">
        <v>18.000001625029999</v>
      </c>
      <c r="C50" s="396">
        <v>22.54946</v>
      </c>
      <c r="D50" s="397">
        <v>4.5494583749690003</v>
      </c>
      <c r="E50" s="398">
        <v>1.25274766468</v>
      </c>
      <c r="F50" s="396">
        <v>23</v>
      </c>
      <c r="G50" s="397">
        <v>3.833333333333</v>
      </c>
      <c r="H50" s="399">
        <v>1.86</v>
      </c>
      <c r="I50" s="396">
        <v>5.2080000000000002</v>
      </c>
      <c r="J50" s="397">
        <v>1.3746666666659999</v>
      </c>
      <c r="K50" s="400">
        <v>0.22643478260800001</v>
      </c>
    </row>
    <row r="51" spans="1:11" ht="14.4" customHeight="1" thickBot="1" x14ac:dyDescent="0.35">
      <c r="A51" s="416" t="s">
        <v>29</v>
      </c>
      <c r="B51" s="396">
        <v>1546.87087291131</v>
      </c>
      <c r="C51" s="396">
        <v>1493.4816499999999</v>
      </c>
      <c r="D51" s="397">
        <v>-53.389222911307002</v>
      </c>
      <c r="E51" s="398">
        <v>0.96548566280000003</v>
      </c>
      <c r="F51" s="396">
        <v>1510.8689016810499</v>
      </c>
      <c r="G51" s="397">
        <v>251.81148361350799</v>
      </c>
      <c r="H51" s="399">
        <v>165.60106999999999</v>
      </c>
      <c r="I51" s="396">
        <v>360.05797000000001</v>
      </c>
      <c r="J51" s="397">
        <v>108.24648638649199</v>
      </c>
      <c r="K51" s="400">
        <v>0.238311854588</v>
      </c>
    </row>
    <row r="52" spans="1:11" ht="14.4" customHeight="1" thickBot="1" x14ac:dyDescent="0.35">
      <c r="A52" s="417" t="s">
        <v>317</v>
      </c>
      <c r="B52" s="401">
        <v>1546.87087291131</v>
      </c>
      <c r="C52" s="401">
        <v>1493.4816499999999</v>
      </c>
      <c r="D52" s="402">
        <v>-53.389222911307002</v>
      </c>
      <c r="E52" s="408">
        <v>0.96548566280000003</v>
      </c>
      <c r="F52" s="401">
        <v>1510.8689016810499</v>
      </c>
      <c r="G52" s="402">
        <v>251.81148361350799</v>
      </c>
      <c r="H52" s="404">
        <v>165.60106999999999</v>
      </c>
      <c r="I52" s="401">
        <v>360.05797000000001</v>
      </c>
      <c r="J52" s="402">
        <v>108.24648638649199</v>
      </c>
      <c r="K52" s="409">
        <v>0.238311854588</v>
      </c>
    </row>
    <row r="53" spans="1:11" ht="14.4" customHeight="1" thickBot="1" x14ac:dyDescent="0.35">
      <c r="A53" s="418" t="s">
        <v>318</v>
      </c>
      <c r="B53" s="396">
        <v>538.97442015608499</v>
      </c>
      <c r="C53" s="396">
        <v>503.67574999999999</v>
      </c>
      <c r="D53" s="397">
        <v>-35.298670156084</v>
      </c>
      <c r="E53" s="398">
        <v>0.93450770790500004</v>
      </c>
      <c r="F53" s="396">
        <v>522.99999999999795</v>
      </c>
      <c r="G53" s="397">
        <v>87.166666666666003</v>
      </c>
      <c r="H53" s="399">
        <v>47.901000000000003</v>
      </c>
      <c r="I53" s="396">
        <v>50.724249999999998</v>
      </c>
      <c r="J53" s="397">
        <v>-36.442416666665999</v>
      </c>
      <c r="K53" s="400">
        <v>9.6987093689999998E-2</v>
      </c>
    </row>
    <row r="54" spans="1:11" ht="14.4" customHeight="1" thickBot="1" x14ac:dyDescent="0.35">
      <c r="A54" s="418" t="s">
        <v>319</v>
      </c>
      <c r="B54" s="396">
        <v>192.55925688983001</v>
      </c>
      <c r="C54" s="396">
        <v>200.81200000000001</v>
      </c>
      <c r="D54" s="397">
        <v>8.25274311017</v>
      </c>
      <c r="E54" s="398">
        <v>1.042858199826</v>
      </c>
      <c r="F54" s="396">
        <v>216.86890168105299</v>
      </c>
      <c r="G54" s="397">
        <v>36.144816946841999</v>
      </c>
      <c r="H54" s="399">
        <v>16.555</v>
      </c>
      <c r="I54" s="396">
        <v>37.866</v>
      </c>
      <c r="J54" s="397">
        <v>1.721183053157</v>
      </c>
      <c r="K54" s="400">
        <v>0.174603180568</v>
      </c>
    </row>
    <row r="55" spans="1:11" ht="14.4" customHeight="1" thickBot="1" x14ac:dyDescent="0.35">
      <c r="A55" s="418" t="s">
        <v>320</v>
      </c>
      <c r="B55" s="396">
        <v>801.05155680542396</v>
      </c>
      <c r="C55" s="396">
        <v>784.65990000000102</v>
      </c>
      <c r="D55" s="397">
        <v>-16.391656805423001</v>
      </c>
      <c r="E55" s="398">
        <v>0.97953732607300004</v>
      </c>
      <c r="F55" s="396">
        <v>752.99999999999704</v>
      </c>
      <c r="G55" s="397">
        <v>125.49999999999901</v>
      </c>
      <c r="H55" s="399">
        <v>100.54507</v>
      </c>
      <c r="I55" s="396">
        <v>270.86772000000002</v>
      </c>
      <c r="J55" s="397">
        <v>145.36771999999999</v>
      </c>
      <c r="K55" s="400">
        <v>0.35971808764899998</v>
      </c>
    </row>
    <row r="56" spans="1:11" ht="14.4" customHeight="1" thickBot="1" x14ac:dyDescent="0.35">
      <c r="A56" s="418" t="s">
        <v>321</v>
      </c>
      <c r="B56" s="396">
        <v>14.285639059969</v>
      </c>
      <c r="C56" s="396">
        <v>4.3339999999990004</v>
      </c>
      <c r="D56" s="397">
        <v>-9.9516390599690006</v>
      </c>
      <c r="E56" s="398">
        <v>0.303381597547</v>
      </c>
      <c r="F56" s="396">
        <v>17.999999999999002</v>
      </c>
      <c r="G56" s="397">
        <v>2.9999999999989999</v>
      </c>
      <c r="H56" s="399">
        <v>0.6</v>
      </c>
      <c r="I56" s="396">
        <v>0.6</v>
      </c>
      <c r="J56" s="397">
        <v>-2.3999999999989998</v>
      </c>
      <c r="K56" s="400">
        <v>3.3333333333000002E-2</v>
      </c>
    </row>
    <row r="57" spans="1:11" ht="14.4" customHeight="1" thickBot="1" x14ac:dyDescent="0.35">
      <c r="A57" s="419" t="s">
        <v>322</v>
      </c>
      <c r="B57" s="401">
        <v>3582.8642821357698</v>
      </c>
      <c r="C57" s="401">
        <v>4120.9793499999996</v>
      </c>
      <c r="D57" s="402">
        <v>538.11506786423399</v>
      </c>
      <c r="E57" s="408">
        <v>1.1501913065880001</v>
      </c>
      <c r="F57" s="401">
        <v>3547.61342773857</v>
      </c>
      <c r="G57" s="402">
        <v>591.26890462309495</v>
      </c>
      <c r="H57" s="404">
        <v>363.22165000000001</v>
      </c>
      <c r="I57" s="401">
        <v>556.68708000000004</v>
      </c>
      <c r="J57" s="402">
        <v>-34.581824623095002</v>
      </c>
      <c r="K57" s="409">
        <v>0.156918754351</v>
      </c>
    </row>
    <row r="58" spans="1:11" ht="14.4" customHeight="1" thickBot="1" x14ac:dyDescent="0.35">
      <c r="A58" s="416" t="s">
        <v>32</v>
      </c>
      <c r="B58" s="396">
        <v>1434.3185658244499</v>
      </c>
      <c r="C58" s="396">
        <v>1529.16623</v>
      </c>
      <c r="D58" s="397">
        <v>94.847664175545006</v>
      </c>
      <c r="E58" s="398">
        <v>1.066127334913</v>
      </c>
      <c r="F58" s="396">
        <v>798.75325861768897</v>
      </c>
      <c r="G58" s="397">
        <v>133.125543102948</v>
      </c>
      <c r="H58" s="399">
        <v>76.889489999999995</v>
      </c>
      <c r="I58" s="396">
        <v>169.49393000000001</v>
      </c>
      <c r="J58" s="397">
        <v>36.368386897051003</v>
      </c>
      <c r="K58" s="400">
        <v>0.21219810770200001</v>
      </c>
    </row>
    <row r="59" spans="1:11" ht="14.4" customHeight="1" thickBot="1" x14ac:dyDescent="0.35">
      <c r="A59" s="420" t="s">
        <v>323</v>
      </c>
      <c r="B59" s="396">
        <v>1434.3185658244499</v>
      </c>
      <c r="C59" s="396">
        <v>1529.16623</v>
      </c>
      <c r="D59" s="397">
        <v>94.847664175545006</v>
      </c>
      <c r="E59" s="398">
        <v>1.066127334913</v>
      </c>
      <c r="F59" s="396">
        <v>798.75325861768897</v>
      </c>
      <c r="G59" s="397">
        <v>133.125543102948</v>
      </c>
      <c r="H59" s="399">
        <v>76.889489999999995</v>
      </c>
      <c r="I59" s="396">
        <v>169.49393000000001</v>
      </c>
      <c r="J59" s="397">
        <v>36.368386897051003</v>
      </c>
      <c r="K59" s="400">
        <v>0.21219810770200001</v>
      </c>
    </row>
    <row r="60" spans="1:11" ht="14.4" customHeight="1" thickBot="1" x14ac:dyDescent="0.35">
      <c r="A60" s="418" t="s">
        <v>324</v>
      </c>
      <c r="B60" s="396">
        <v>98.873238712524994</v>
      </c>
      <c r="C60" s="396">
        <v>278.61081000000001</v>
      </c>
      <c r="D60" s="397">
        <v>179.737571287474</v>
      </c>
      <c r="E60" s="398">
        <v>2.8178586402939998</v>
      </c>
      <c r="F60" s="396">
        <v>297.57648417584898</v>
      </c>
      <c r="G60" s="397">
        <v>49.596080695974003</v>
      </c>
      <c r="H60" s="399">
        <v>36.579680000000003</v>
      </c>
      <c r="I60" s="396">
        <v>98.281660000000002</v>
      </c>
      <c r="J60" s="397">
        <v>48.685579304024998</v>
      </c>
      <c r="K60" s="400">
        <v>0.33027361107499997</v>
      </c>
    </row>
    <row r="61" spans="1:11" ht="14.4" customHeight="1" thickBot="1" x14ac:dyDescent="0.35">
      <c r="A61" s="418" t="s">
        <v>325</v>
      </c>
      <c r="B61" s="396">
        <v>4.4787759087619996</v>
      </c>
      <c r="C61" s="396">
        <v>10.372999999999999</v>
      </c>
      <c r="D61" s="397">
        <v>5.8942240912369996</v>
      </c>
      <c r="E61" s="398">
        <v>2.3160346066219999</v>
      </c>
      <c r="F61" s="396">
        <v>0</v>
      </c>
      <c r="G61" s="397">
        <v>0</v>
      </c>
      <c r="H61" s="399">
        <v>0</v>
      </c>
      <c r="I61" s="396">
        <v>0</v>
      </c>
      <c r="J61" s="397">
        <v>0</v>
      </c>
      <c r="K61" s="407" t="s">
        <v>269</v>
      </c>
    </row>
    <row r="62" spans="1:11" ht="14.4" customHeight="1" thickBot="1" x14ac:dyDescent="0.35">
      <c r="A62" s="418" t="s">
        <v>326</v>
      </c>
      <c r="B62" s="396">
        <v>148.965180262464</v>
      </c>
      <c r="C62" s="396">
        <v>263.11066</v>
      </c>
      <c r="D62" s="397">
        <v>114.14547973753599</v>
      </c>
      <c r="E62" s="398">
        <v>1.766256111236</v>
      </c>
      <c r="F62" s="396">
        <v>235.17677444184</v>
      </c>
      <c r="G62" s="397">
        <v>39.196129073640002</v>
      </c>
      <c r="H62" s="399">
        <v>0.33676</v>
      </c>
      <c r="I62" s="396">
        <v>0.33676</v>
      </c>
      <c r="J62" s="397">
        <v>-38.859369073640003</v>
      </c>
      <c r="K62" s="400">
        <v>1.431944122E-3</v>
      </c>
    </row>
    <row r="63" spans="1:11" ht="14.4" customHeight="1" thickBot="1" x14ac:dyDescent="0.35">
      <c r="A63" s="418" t="s">
        <v>327</v>
      </c>
      <c r="B63" s="396">
        <v>1072.1771310761501</v>
      </c>
      <c r="C63" s="396">
        <v>805.03980999999999</v>
      </c>
      <c r="D63" s="397">
        <v>-267.13732107614697</v>
      </c>
      <c r="E63" s="398">
        <v>0.75084590658200001</v>
      </c>
      <c r="F63" s="396">
        <v>84.999999999999005</v>
      </c>
      <c r="G63" s="397">
        <v>14.166666666666</v>
      </c>
      <c r="H63" s="399">
        <v>23.400449999999999</v>
      </c>
      <c r="I63" s="396">
        <v>35.897570000000002</v>
      </c>
      <c r="J63" s="397">
        <v>21.730903333333</v>
      </c>
      <c r="K63" s="400">
        <v>0.42232435294100001</v>
      </c>
    </row>
    <row r="64" spans="1:11" ht="14.4" customHeight="1" thickBot="1" x14ac:dyDescent="0.35">
      <c r="A64" s="418" t="s">
        <v>328</v>
      </c>
      <c r="B64" s="396">
        <v>109.82423986455601</v>
      </c>
      <c r="C64" s="396">
        <v>172.03194999999999</v>
      </c>
      <c r="D64" s="397">
        <v>62.207710135443001</v>
      </c>
      <c r="E64" s="398">
        <v>1.566429689949</v>
      </c>
      <c r="F64" s="396">
        <v>180.99999999999901</v>
      </c>
      <c r="G64" s="397">
        <v>30.166666666666</v>
      </c>
      <c r="H64" s="399">
        <v>16.572600000000001</v>
      </c>
      <c r="I64" s="396">
        <v>34.977939999999997</v>
      </c>
      <c r="J64" s="397">
        <v>4.8112733333330002</v>
      </c>
      <c r="K64" s="400">
        <v>0.193248287292</v>
      </c>
    </row>
    <row r="65" spans="1:11" ht="14.4" customHeight="1" thickBot="1" x14ac:dyDescent="0.35">
      <c r="A65" s="421" t="s">
        <v>33</v>
      </c>
      <c r="B65" s="401">
        <v>0</v>
      </c>
      <c r="C65" s="401">
        <v>12.045</v>
      </c>
      <c r="D65" s="402">
        <v>12.045</v>
      </c>
      <c r="E65" s="403" t="s">
        <v>269</v>
      </c>
      <c r="F65" s="401">
        <v>0</v>
      </c>
      <c r="G65" s="402">
        <v>0</v>
      </c>
      <c r="H65" s="404">
        <v>0</v>
      </c>
      <c r="I65" s="401">
        <v>0</v>
      </c>
      <c r="J65" s="402">
        <v>0</v>
      </c>
      <c r="K65" s="409">
        <v>2</v>
      </c>
    </row>
    <row r="66" spans="1:11" ht="14.4" customHeight="1" thickBot="1" x14ac:dyDescent="0.35">
      <c r="A66" s="417" t="s">
        <v>329</v>
      </c>
      <c r="B66" s="401">
        <v>0</v>
      </c>
      <c r="C66" s="401">
        <v>12.045</v>
      </c>
      <c r="D66" s="402">
        <v>12.045</v>
      </c>
      <c r="E66" s="403" t="s">
        <v>297</v>
      </c>
      <c r="F66" s="401">
        <v>0</v>
      </c>
      <c r="G66" s="402">
        <v>0</v>
      </c>
      <c r="H66" s="404">
        <v>0</v>
      </c>
      <c r="I66" s="401">
        <v>0</v>
      </c>
      <c r="J66" s="402">
        <v>0</v>
      </c>
      <c r="K66" s="409">
        <v>2</v>
      </c>
    </row>
    <row r="67" spans="1:11" ht="14.4" customHeight="1" thickBot="1" x14ac:dyDescent="0.35">
      <c r="A67" s="418" t="s">
        <v>330</v>
      </c>
      <c r="B67" s="396">
        <v>0</v>
      </c>
      <c r="C67" s="396">
        <v>12.045</v>
      </c>
      <c r="D67" s="397">
        <v>12.045</v>
      </c>
      <c r="E67" s="406" t="s">
        <v>297</v>
      </c>
      <c r="F67" s="396">
        <v>0</v>
      </c>
      <c r="G67" s="397">
        <v>0</v>
      </c>
      <c r="H67" s="399">
        <v>0</v>
      </c>
      <c r="I67" s="396">
        <v>0</v>
      </c>
      <c r="J67" s="397">
        <v>0</v>
      </c>
      <c r="K67" s="400">
        <v>2</v>
      </c>
    </row>
    <row r="68" spans="1:11" ht="14.4" customHeight="1" thickBot="1" x14ac:dyDescent="0.35">
      <c r="A68" s="416" t="s">
        <v>34</v>
      </c>
      <c r="B68" s="396">
        <v>2148.5457163113101</v>
      </c>
      <c r="C68" s="396">
        <v>2579.7681200000002</v>
      </c>
      <c r="D68" s="397">
        <v>431.22240368868898</v>
      </c>
      <c r="E68" s="398">
        <v>1.2007043184670001</v>
      </c>
      <c r="F68" s="396">
        <v>2748.8601691208801</v>
      </c>
      <c r="G68" s="397">
        <v>458.14336152014698</v>
      </c>
      <c r="H68" s="399">
        <v>286.33215999999999</v>
      </c>
      <c r="I68" s="396">
        <v>387.19315</v>
      </c>
      <c r="J68" s="397">
        <v>-70.950211520146993</v>
      </c>
      <c r="K68" s="400">
        <v>0.14085589159799999</v>
      </c>
    </row>
    <row r="69" spans="1:11" ht="14.4" customHeight="1" thickBot="1" x14ac:dyDescent="0.35">
      <c r="A69" s="417" t="s">
        <v>331</v>
      </c>
      <c r="B69" s="401">
        <v>1.199160429128</v>
      </c>
      <c r="C69" s="401">
        <v>0</v>
      </c>
      <c r="D69" s="402">
        <v>-1.199160429128</v>
      </c>
      <c r="E69" s="408">
        <v>0</v>
      </c>
      <c r="F69" s="401">
        <v>0</v>
      </c>
      <c r="G69" s="402">
        <v>0</v>
      </c>
      <c r="H69" s="404">
        <v>0</v>
      </c>
      <c r="I69" s="401">
        <v>0</v>
      </c>
      <c r="J69" s="402">
        <v>0</v>
      </c>
      <c r="K69" s="409">
        <v>2</v>
      </c>
    </row>
    <row r="70" spans="1:11" ht="14.4" customHeight="1" thickBot="1" x14ac:dyDescent="0.35">
      <c r="A70" s="418" t="s">
        <v>332</v>
      </c>
      <c r="B70" s="396">
        <v>1.199160429128</v>
      </c>
      <c r="C70" s="396">
        <v>0</v>
      </c>
      <c r="D70" s="397">
        <v>-1.199160429128</v>
      </c>
      <c r="E70" s="398">
        <v>0</v>
      </c>
      <c r="F70" s="396">
        <v>0</v>
      </c>
      <c r="G70" s="397">
        <v>0</v>
      </c>
      <c r="H70" s="399">
        <v>0</v>
      </c>
      <c r="I70" s="396">
        <v>0</v>
      </c>
      <c r="J70" s="397">
        <v>0</v>
      </c>
      <c r="K70" s="400">
        <v>2</v>
      </c>
    </row>
    <row r="71" spans="1:11" ht="14.4" customHeight="1" thickBot="1" x14ac:dyDescent="0.35">
      <c r="A71" s="417" t="s">
        <v>333</v>
      </c>
      <c r="B71" s="401">
        <v>64.434680221606001</v>
      </c>
      <c r="C71" s="401">
        <v>56.565800000000003</v>
      </c>
      <c r="D71" s="402">
        <v>-7.8688802216060001</v>
      </c>
      <c r="E71" s="408">
        <v>0.87787818307499998</v>
      </c>
      <c r="F71" s="401">
        <v>64.064981655786994</v>
      </c>
      <c r="G71" s="402">
        <v>10.677496942631</v>
      </c>
      <c r="H71" s="404">
        <v>3.3392599999999999</v>
      </c>
      <c r="I71" s="401">
        <v>5.9236399999999998</v>
      </c>
      <c r="J71" s="402">
        <v>-4.7538569426309998</v>
      </c>
      <c r="K71" s="409">
        <v>9.2462993773999996E-2</v>
      </c>
    </row>
    <row r="72" spans="1:11" ht="14.4" customHeight="1" thickBot="1" x14ac:dyDescent="0.35">
      <c r="A72" s="418" t="s">
        <v>334</v>
      </c>
      <c r="B72" s="396">
        <v>2.4924814617309998</v>
      </c>
      <c r="C72" s="396">
        <v>4.0224000000000002</v>
      </c>
      <c r="D72" s="397">
        <v>1.5299185382680001</v>
      </c>
      <c r="E72" s="398">
        <v>1.613813407144</v>
      </c>
      <c r="F72" s="396">
        <v>3.7763781683870001</v>
      </c>
      <c r="G72" s="397">
        <v>0.62939636139699995</v>
      </c>
      <c r="H72" s="399">
        <v>0.26029999999999998</v>
      </c>
      <c r="I72" s="396">
        <v>0.47499999999999998</v>
      </c>
      <c r="J72" s="397">
        <v>-0.154396361397</v>
      </c>
      <c r="K72" s="400">
        <v>0.12578189440199999</v>
      </c>
    </row>
    <row r="73" spans="1:11" ht="14.4" customHeight="1" thickBot="1" x14ac:dyDescent="0.35">
      <c r="A73" s="418" t="s">
        <v>335</v>
      </c>
      <c r="B73" s="396">
        <v>0</v>
      </c>
      <c r="C73" s="396">
        <v>2</v>
      </c>
      <c r="D73" s="397">
        <v>2</v>
      </c>
      <c r="E73" s="406" t="s">
        <v>297</v>
      </c>
      <c r="F73" s="396">
        <v>2.6494277236110002</v>
      </c>
      <c r="G73" s="397">
        <v>0.44157128726799999</v>
      </c>
      <c r="H73" s="399">
        <v>0</v>
      </c>
      <c r="I73" s="396">
        <v>0</v>
      </c>
      <c r="J73" s="397">
        <v>-0.44157128726799999</v>
      </c>
      <c r="K73" s="400">
        <v>0</v>
      </c>
    </row>
    <row r="74" spans="1:11" ht="14.4" customHeight="1" thickBot="1" x14ac:dyDescent="0.35">
      <c r="A74" s="418" t="s">
        <v>336</v>
      </c>
      <c r="B74" s="396">
        <v>61.942198759874998</v>
      </c>
      <c r="C74" s="396">
        <v>50.543399999999998</v>
      </c>
      <c r="D74" s="397">
        <v>-11.398798759875</v>
      </c>
      <c r="E74" s="398">
        <v>0.81597684634800005</v>
      </c>
      <c r="F74" s="396">
        <v>57.639175763788003</v>
      </c>
      <c r="G74" s="397">
        <v>9.6065292939639999</v>
      </c>
      <c r="H74" s="399">
        <v>3.0789599999999999</v>
      </c>
      <c r="I74" s="396">
        <v>5.4486400000000001</v>
      </c>
      <c r="J74" s="397">
        <v>-4.1578892939639998</v>
      </c>
      <c r="K74" s="400">
        <v>9.4530151199999995E-2</v>
      </c>
    </row>
    <row r="75" spans="1:11" ht="14.4" customHeight="1" thickBot="1" x14ac:dyDescent="0.35">
      <c r="A75" s="417" t="s">
        <v>337</v>
      </c>
      <c r="B75" s="401">
        <v>39.867680462044</v>
      </c>
      <c r="C75" s="401">
        <v>24.626899999999999</v>
      </c>
      <c r="D75" s="402">
        <v>-15.240780462044</v>
      </c>
      <c r="E75" s="408">
        <v>0.61771589705200003</v>
      </c>
      <c r="F75" s="401">
        <v>18</v>
      </c>
      <c r="G75" s="402">
        <v>3</v>
      </c>
      <c r="H75" s="404">
        <v>0.58950999999999998</v>
      </c>
      <c r="I75" s="401">
        <v>13.85585</v>
      </c>
      <c r="J75" s="402">
        <v>10.85585</v>
      </c>
      <c r="K75" s="409">
        <v>0.76976944444399997</v>
      </c>
    </row>
    <row r="76" spans="1:11" ht="14.4" customHeight="1" thickBot="1" x14ac:dyDescent="0.35">
      <c r="A76" s="418" t="s">
        <v>338</v>
      </c>
      <c r="B76" s="396">
        <v>2.999995225393</v>
      </c>
      <c r="C76" s="396">
        <v>2.7</v>
      </c>
      <c r="D76" s="397">
        <v>-0.299995225393</v>
      </c>
      <c r="E76" s="398">
        <v>0.90000143238399999</v>
      </c>
      <c r="F76" s="396">
        <v>3</v>
      </c>
      <c r="G76" s="397">
        <v>0.5</v>
      </c>
      <c r="H76" s="399">
        <v>0</v>
      </c>
      <c r="I76" s="396">
        <v>0.67500000000000004</v>
      </c>
      <c r="J76" s="397">
        <v>0.17499999999900001</v>
      </c>
      <c r="K76" s="400">
        <v>0.22500000000000001</v>
      </c>
    </row>
    <row r="77" spans="1:11" ht="14.4" customHeight="1" thickBot="1" x14ac:dyDescent="0.35">
      <c r="A77" s="418" t="s">
        <v>339</v>
      </c>
      <c r="B77" s="396">
        <v>36.867685236649997</v>
      </c>
      <c r="C77" s="396">
        <v>21.9269</v>
      </c>
      <c r="D77" s="397">
        <v>-14.940785236649999</v>
      </c>
      <c r="E77" s="398">
        <v>0.59474577422599995</v>
      </c>
      <c r="F77" s="396">
        <v>15</v>
      </c>
      <c r="G77" s="397">
        <v>2.5</v>
      </c>
      <c r="H77" s="399">
        <v>0.58950999999999998</v>
      </c>
      <c r="I77" s="396">
        <v>13.18085</v>
      </c>
      <c r="J77" s="397">
        <v>10.68085</v>
      </c>
      <c r="K77" s="400">
        <v>0.87872333333300001</v>
      </c>
    </row>
    <row r="78" spans="1:11" ht="14.4" customHeight="1" thickBot="1" x14ac:dyDescent="0.35">
      <c r="A78" s="417" t="s">
        <v>340</v>
      </c>
      <c r="B78" s="401">
        <v>2.4572564585830001</v>
      </c>
      <c r="C78" s="401">
        <v>0</v>
      </c>
      <c r="D78" s="402">
        <v>-2.4572564585830001</v>
      </c>
      <c r="E78" s="408">
        <v>0</v>
      </c>
      <c r="F78" s="401">
        <v>0</v>
      </c>
      <c r="G78" s="402">
        <v>0</v>
      </c>
      <c r="H78" s="404">
        <v>0</v>
      </c>
      <c r="I78" s="401">
        <v>0</v>
      </c>
      <c r="J78" s="402">
        <v>0</v>
      </c>
      <c r="K78" s="409">
        <v>2</v>
      </c>
    </row>
    <row r="79" spans="1:11" ht="14.4" customHeight="1" thickBot="1" x14ac:dyDescent="0.35">
      <c r="A79" s="418" t="s">
        <v>341</v>
      </c>
      <c r="B79" s="396">
        <v>2.4572564585830001</v>
      </c>
      <c r="C79" s="396">
        <v>0</v>
      </c>
      <c r="D79" s="397">
        <v>-2.4572564585830001</v>
      </c>
      <c r="E79" s="398">
        <v>0</v>
      </c>
      <c r="F79" s="396">
        <v>0</v>
      </c>
      <c r="G79" s="397">
        <v>0</v>
      </c>
      <c r="H79" s="399">
        <v>0</v>
      </c>
      <c r="I79" s="396">
        <v>0</v>
      </c>
      <c r="J79" s="397">
        <v>0</v>
      </c>
      <c r="K79" s="400">
        <v>2</v>
      </c>
    </row>
    <row r="80" spans="1:11" ht="14.4" customHeight="1" thickBot="1" x14ac:dyDescent="0.35">
      <c r="A80" s="417" t="s">
        <v>342</v>
      </c>
      <c r="B80" s="401">
        <v>794.68227416794798</v>
      </c>
      <c r="C80" s="401">
        <v>965.49428</v>
      </c>
      <c r="D80" s="402">
        <v>170.81200583205199</v>
      </c>
      <c r="E80" s="408">
        <v>1.2149437723530001</v>
      </c>
      <c r="F80" s="401">
        <v>1067.44211063697</v>
      </c>
      <c r="G80" s="402">
        <v>177.90701843949401</v>
      </c>
      <c r="H80" s="404">
        <v>68.805130000000005</v>
      </c>
      <c r="I80" s="401">
        <v>137.20060000000001</v>
      </c>
      <c r="J80" s="402">
        <v>-40.706418439494001</v>
      </c>
      <c r="K80" s="409">
        <v>0.12853212238100001</v>
      </c>
    </row>
    <row r="81" spans="1:11" ht="14.4" customHeight="1" thickBot="1" x14ac:dyDescent="0.35">
      <c r="A81" s="418" t="s">
        <v>343</v>
      </c>
      <c r="B81" s="396">
        <v>754.58139673198798</v>
      </c>
      <c r="C81" s="396">
        <v>763.08407999999997</v>
      </c>
      <c r="D81" s="397">
        <v>8.5026832680109994</v>
      </c>
      <c r="E81" s="398">
        <v>1.011268079633</v>
      </c>
      <c r="F81" s="396">
        <v>790.00000000000102</v>
      </c>
      <c r="G81" s="397">
        <v>131.666666666667</v>
      </c>
      <c r="H81" s="399">
        <v>65.468450000000004</v>
      </c>
      <c r="I81" s="396">
        <v>130.93690000000001</v>
      </c>
      <c r="J81" s="397">
        <v>-0.72976666666599999</v>
      </c>
      <c r="K81" s="400">
        <v>0.16574291139200001</v>
      </c>
    </row>
    <row r="82" spans="1:11" ht="14.4" customHeight="1" thickBot="1" x14ac:dyDescent="0.35">
      <c r="A82" s="418" t="s">
        <v>344</v>
      </c>
      <c r="B82" s="396">
        <v>0</v>
      </c>
      <c r="C82" s="396">
        <v>164.06283999999999</v>
      </c>
      <c r="D82" s="397">
        <v>164.06283999999999</v>
      </c>
      <c r="E82" s="406" t="s">
        <v>297</v>
      </c>
      <c r="F82" s="396">
        <v>230</v>
      </c>
      <c r="G82" s="397">
        <v>38.333333333333002</v>
      </c>
      <c r="H82" s="399">
        <v>0</v>
      </c>
      <c r="I82" s="396">
        <v>0</v>
      </c>
      <c r="J82" s="397">
        <v>-38.333333333333002</v>
      </c>
      <c r="K82" s="400">
        <v>0</v>
      </c>
    </row>
    <row r="83" spans="1:11" ht="14.4" customHeight="1" thickBot="1" x14ac:dyDescent="0.35">
      <c r="A83" s="418" t="s">
        <v>345</v>
      </c>
      <c r="B83" s="396">
        <v>1.4794313093889999</v>
      </c>
      <c r="C83" s="396">
        <v>2.3210000000000002</v>
      </c>
      <c r="D83" s="397">
        <v>0.84156869060999995</v>
      </c>
      <c r="E83" s="398">
        <v>1.5688460729930001</v>
      </c>
      <c r="F83" s="396">
        <v>2.6063039891950002</v>
      </c>
      <c r="G83" s="397">
        <v>0.43438399819899998</v>
      </c>
      <c r="H83" s="399">
        <v>0.48399999999999999</v>
      </c>
      <c r="I83" s="396">
        <v>0.48399999999999999</v>
      </c>
      <c r="J83" s="397">
        <v>4.9616001799999997E-2</v>
      </c>
      <c r="K83" s="400">
        <v>0.18570358715099999</v>
      </c>
    </row>
    <row r="84" spans="1:11" ht="14.4" customHeight="1" thickBot="1" x14ac:dyDescent="0.35">
      <c r="A84" s="418" t="s">
        <v>346</v>
      </c>
      <c r="B84" s="396">
        <v>38.62144612657</v>
      </c>
      <c r="C84" s="396">
        <v>36.026359999999997</v>
      </c>
      <c r="D84" s="397">
        <v>-2.595086126569</v>
      </c>
      <c r="E84" s="398">
        <v>0.93280712177199998</v>
      </c>
      <c r="F84" s="396">
        <v>44.835806647769999</v>
      </c>
      <c r="G84" s="397">
        <v>7.4726344412949999</v>
      </c>
      <c r="H84" s="399">
        <v>2.8526799999999999</v>
      </c>
      <c r="I84" s="396">
        <v>5.7797000000000001</v>
      </c>
      <c r="J84" s="397">
        <v>-1.692934441295</v>
      </c>
      <c r="K84" s="400">
        <v>0.12890813017800001</v>
      </c>
    </row>
    <row r="85" spans="1:11" ht="14.4" customHeight="1" thickBot="1" x14ac:dyDescent="0.35">
      <c r="A85" s="417" t="s">
        <v>347</v>
      </c>
      <c r="B85" s="401">
        <v>631.05861150728299</v>
      </c>
      <c r="C85" s="401">
        <v>559.51346000000001</v>
      </c>
      <c r="D85" s="402">
        <v>-71.545151507282</v>
      </c>
      <c r="E85" s="408">
        <v>0.88662677253300004</v>
      </c>
      <c r="F85" s="401">
        <v>566.31851984489401</v>
      </c>
      <c r="G85" s="402">
        <v>94.386419974149007</v>
      </c>
      <c r="H85" s="404">
        <v>28.2258</v>
      </c>
      <c r="I85" s="401">
        <v>44.468600000000002</v>
      </c>
      <c r="J85" s="402">
        <v>-49.917819974148998</v>
      </c>
      <c r="K85" s="409">
        <v>7.8522242239000006E-2</v>
      </c>
    </row>
    <row r="86" spans="1:11" ht="14.4" customHeight="1" thickBot="1" x14ac:dyDescent="0.35">
      <c r="A86" s="418" t="s">
        <v>348</v>
      </c>
      <c r="B86" s="396">
        <v>57.999907690939999</v>
      </c>
      <c r="C86" s="396">
        <v>45.912999999999997</v>
      </c>
      <c r="D86" s="397">
        <v>-12.08690769094</v>
      </c>
      <c r="E86" s="398">
        <v>0.79160470814200001</v>
      </c>
      <c r="F86" s="396">
        <v>0</v>
      </c>
      <c r="G86" s="397">
        <v>0</v>
      </c>
      <c r="H86" s="399">
        <v>0</v>
      </c>
      <c r="I86" s="396">
        <v>0</v>
      </c>
      <c r="J86" s="397">
        <v>0</v>
      </c>
      <c r="K86" s="407" t="s">
        <v>269</v>
      </c>
    </row>
    <row r="87" spans="1:11" ht="14.4" customHeight="1" thickBot="1" x14ac:dyDescent="0.35">
      <c r="A87" s="418" t="s">
        <v>349</v>
      </c>
      <c r="B87" s="396">
        <v>553.21407252571396</v>
      </c>
      <c r="C87" s="396">
        <v>376.75454000000002</v>
      </c>
      <c r="D87" s="397">
        <v>-176.459532525714</v>
      </c>
      <c r="E87" s="398">
        <v>0.68102848193900001</v>
      </c>
      <c r="F87" s="396">
        <v>366.68615769480101</v>
      </c>
      <c r="G87" s="397">
        <v>61.114359615799998</v>
      </c>
      <c r="H87" s="399">
        <v>14.161</v>
      </c>
      <c r="I87" s="396">
        <v>16.338999999999999</v>
      </c>
      <c r="J87" s="397">
        <v>-44.775359615799999</v>
      </c>
      <c r="K87" s="400">
        <v>4.4558540477000003E-2</v>
      </c>
    </row>
    <row r="88" spans="1:11" ht="14.4" customHeight="1" thickBot="1" x14ac:dyDescent="0.35">
      <c r="A88" s="418" t="s">
        <v>350</v>
      </c>
      <c r="B88" s="396">
        <v>2.999995225393</v>
      </c>
      <c r="C88" s="396">
        <v>6.0460000000000003</v>
      </c>
      <c r="D88" s="397">
        <v>3.0460047746060002</v>
      </c>
      <c r="E88" s="398">
        <v>2.0153365408130002</v>
      </c>
      <c r="F88" s="396">
        <v>3</v>
      </c>
      <c r="G88" s="397">
        <v>0.5</v>
      </c>
      <c r="H88" s="399">
        <v>0</v>
      </c>
      <c r="I88" s="396">
        <v>0</v>
      </c>
      <c r="J88" s="397">
        <v>-0.5</v>
      </c>
      <c r="K88" s="400">
        <v>0</v>
      </c>
    </row>
    <row r="89" spans="1:11" ht="14.4" customHeight="1" thickBot="1" x14ac:dyDescent="0.35">
      <c r="A89" s="418" t="s">
        <v>351</v>
      </c>
      <c r="B89" s="396">
        <v>3.7751249817949999</v>
      </c>
      <c r="C89" s="396">
        <v>4.6020399999999997</v>
      </c>
      <c r="D89" s="397">
        <v>0.82691501820400004</v>
      </c>
      <c r="E89" s="398">
        <v>1.2190430839219999</v>
      </c>
      <c r="F89" s="396">
        <v>2.3263803933779998</v>
      </c>
      <c r="G89" s="397">
        <v>0.38773006556299999</v>
      </c>
      <c r="H89" s="399">
        <v>0</v>
      </c>
      <c r="I89" s="396">
        <v>0</v>
      </c>
      <c r="J89" s="397">
        <v>-0.38773006556299999</v>
      </c>
      <c r="K89" s="400">
        <v>0</v>
      </c>
    </row>
    <row r="90" spans="1:11" ht="14.4" customHeight="1" thickBot="1" x14ac:dyDescent="0.35">
      <c r="A90" s="418" t="s">
        <v>352</v>
      </c>
      <c r="B90" s="396">
        <v>13.069511083439</v>
      </c>
      <c r="C90" s="396">
        <v>126.19788</v>
      </c>
      <c r="D90" s="397">
        <v>113.12836891656001</v>
      </c>
      <c r="E90" s="398">
        <v>9.655899076431</v>
      </c>
      <c r="F90" s="396">
        <v>194.305981756714</v>
      </c>
      <c r="G90" s="397">
        <v>32.384330292785002</v>
      </c>
      <c r="H90" s="399">
        <v>14.0648</v>
      </c>
      <c r="I90" s="396">
        <v>28.1296</v>
      </c>
      <c r="J90" s="397">
        <v>-4.2547302927850001</v>
      </c>
      <c r="K90" s="400">
        <v>0.14476960382599999</v>
      </c>
    </row>
    <row r="91" spans="1:11" ht="14.4" customHeight="1" thickBot="1" x14ac:dyDescent="0.35">
      <c r="A91" s="417" t="s">
        <v>353</v>
      </c>
      <c r="B91" s="401">
        <v>614.84605306471997</v>
      </c>
      <c r="C91" s="401">
        <v>973.56768000000102</v>
      </c>
      <c r="D91" s="402">
        <v>358.72162693528202</v>
      </c>
      <c r="E91" s="408">
        <v>1.5834332434059999</v>
      </c>
      <c r="F91" s="401">
        <v>1033.03455698324</v>
      </c>
      <c r="G91" s="402">
        <v>172.17242616387301</v>
      </c>
      <c r="H91" s="404">
        <v>185.37245999999999</v>
      </c>
      <c r="I91" s="401">
        <v>185.74446</v>
      </c>
      <c r="J91" s="402">
        <v>13.572033836127</v>
      </c>
      <c r="K91" s="409">
        <v>0.179804691667</v>
      </c>
    </row>
    <row r="92" spans="1:11" ht="14.4" customHeight="1" thickBot="1" x14ac:dyDescent="0.35">
      <c r="A92" s="418" t="s">
        <v>354</v>
      </c>
      <c r="B92" s="396">
        <v>0</v>
      </c>
      <c r="C92" s="396">
        <v>0</v>
      </c>
      <c r="D92" s="397">
        <v>0</v>
      </c>
      <c r="E92" s="398">
        <v>1</v>
      </c>
      <c r="F92" s="396">
        <v>0</v>
      </c>
      <c r="G92" s="397">
        <v>0</v>
      </c>
      <c r="H92" s="399">
        <v>49.404000000000003</v>
      </c>
      <c r="I92" s="396">
        <v>49.404000000000003</v>
      </c>
      <c r="J92" s="397">
        <v>49.404000000000003</v>
      </c>
      <c r="K92" s="407" t="s">
        <v>297</v>
      </c>
    </row>
    <row r="93" spans="1:11" ht="14.4" customHeight="1" thickBot="1" x14ac:dyDescent="0.35">
      <c r="A93" s="418" t="s">
        <v>355</v>
      </c>
      <c r="B93" s="396">
        <v>0.47187841615800002</v>
      </c>
      <c r="C93" s="396">
        <v>0</v>
      </c>
      <c r="D93" s="397">
        <v>-0.47187841615800002</v>
      </c>
      <c r="E93" s="398">
        <v>0</v>
      </c>
      <c r="F93" s="396">
        <v>0</v>
      </c>
      <c r="G93" s="397">
        <v>0</v>
      </c>
      <c r="H93" s="399">
        <v>0</v>
      </c>
      <c r="I93" s="396">
        <v>0</v>
      </c>
      <c r="J93" s="397">
        <v>0</v>
      </c>
      <c r="K93" s="400">
        <v>2</v>
      </c>
    </row>
    <row r="94" spans="1:11" ht="14.4" customHeight="1" thickBot="1" x14ac:dyDescent="0.35">
      <c r="A94" s="418" t="s">
        <v>356</v>
      </c>
      <c r="B94" s="396">
        <v>614.37417464856105</v>
      </c>
      <c r="C94" s="396">
        <v>912.56468000000098</v>
      </c>
      <c r="D94" s="397">
        <v>298.19050535143998</v>
      </c>
      <c r="E94" s="398">
        <v>1.485356510178</v>
      </c>
      <c r="F94" s="396">
        <v>1033.03455698324</v>
      </c>
      <c r="G94" s="397">
        <v>172.17242616387301</v>
      </c>
      <c r="H94" s="399">
        <v>135.59646000000001</v>
      </c>
      <c r="I94" s="396">
        <v>135.59646000000001</v>
      </c>
      <c r="J94" s="397">
        <v>-36.575966163872003</v>
      </c>
      <c r="K94" s="400">
        <v>0.131260333048</v>
      </c>
    </row>
    <row r="95" spans="1:11" ht="14.4" customHeight="1" thickBot="1" x14ac:dyDescent="0.35">
      <c r="A95" s="418" t="s">
        <v>357</v>
      </c>
      <c r="B95" s="396">
        <v>0</v>
      </c>
      <c r="C95" s="396">
        <v>61.003</v>
      </c>
      <c r="D95" s="397">
        <v>61.003</v>
      </c>
      <c r="E95" s="406" t="s">
        <v>269</v>
      </c>
      <c r="F95" s="396">
        <v>0</v>
      </c>
      <c r="G95" s="397">
        <v>0</v>
      </c>
      <c r="H95" s="399">
        <v>0.372</v>
      </c>
      <c r="I95" s="396">
        <v>0.74399999999999999</v>
      </c>
      <c r="J95" s="397">
        <v>0.74399999999999999</v>
      </c>
      <c r="K95" s="407" t="s">
        <v>269</v>
      </c>
    </row>
    <row r="96" spans="1:11" ht="14.4" customHeight="1" thickBot="1" x14ac:dyDescent="0.35">
      <c r="A96" s="415" t="s">
        <v>35</v>
      </c>
      <c r="B96" s="396">
        <v>28431.002566736301</v>
      </c>
      <c r="C96" s="396">
        <v>29747.021850000001</v>
      </c>
      <c r="D96" s="397">
        <v>1316.0192832637399</v>
      </c>
      <c r="E96" s="398">
        <v>1.046288177146</v>
      </c>
      <c r="F96" s="396">
        <v>29462</v>
      </c>
      <c r="G96" s="397">
        <v>4910.3333333333303</v>
      </c>
      <c r="H96" s="399">
        <v>2479.8608599999998</v>
      </c>
      <c r="I96" s="396">
        <v>4875.9423699999998</v>
      </c>
      <c r="J96" s="397">
        <v>-34.390963333332998</v>
      </c>
      <c r="K96" s="400">
        <v>0.16549936766000001</v>
      </c>
    </row>
    <row r="97" spans="1:11" ht="14.4" customHeight="1" thickBot="1" x14ac:dyDescent="0.35">
      <c r="A97" s="421" t="s">
        <v>358</v>
      </c>
      <c r="B97" s="401">
        <v>21059.001901195901</v>
      </c>
      <c r="C97" s="401">
        <v>22060.395</v>
      </c>
      <c r="D97" s="402">
        <v>1001.39309880416</v>
      </c>
      <c r="E97" s="408">
        <v>1.047551783484</v>
      </c>
      <c r="F97" s="401">
        <v>21735</v>
      </c>
      <c r="G97" s="402">
        <v>3622.5</v>
      </c>
      <c r="H97" s="404">
        <v>1833.107</v>
      </c>
      <c r="I97" s="401">
        <v>3606.5819999999999</v>
      </c>
      <c r="J97" s="402">
        <v>-15.918000000001999</v>
      </c>
      <c r="K97" s="409">
        <v>0.165934299516</v>
      </c>
    </row>
    <row r="98" spans="1:11" ht="14.4" customHeight="1" thickBot="1" x14ac:dyDescent="0.35">
      <c r="A98" s="417" t="s">
        <v>359</v>
      </c>
      <c r="B98" s="401">
        <v>20770.001875105099</v>
      </c>
      <c r="C98" s="401">
        <v>21791.303</v>
      </c>
      <c r="D98" s="402">
        <v>1021.30112489493</v>
      </c>
      <c r="E98" s="408">
        <v>1.049171932243</v>
      </c>
      <c r="F98" s="401">
        <v>21466</v>
      </c>
      <c r="G98" s="402">
        <v>3577.6666666666702</v>
      </c>
      <c r="H98" s="404">
        <v>1802.559</v>
      </c>
      <c r="I98" s="401">
        <v>3534.212</v>
      </c>
      <c r="J98" s="402">
        <v>-43.454666666668999</v>
      </c>
      <c r="K98" s="409">
        <v>0.16464231808400001</v>
      </c>
    </row>
    <row r="99" spans="1:11" ht="14.4" customHeight="1" thickBot="1" x14ac:dyDescent="0.35">
      <c r="A99" s="418" t="s">
        <v>360</v>
      </c>
      <c r="B99" s="396">
        <v>20770.001875105099</v>
      </c>
      <c r="C99" s="396">
        <v>21791.303</v>
      </c>
      <c r="D99" s="397">
        <v>1021.30112489493</v>
      </c>
      <c r="E99" s="398">
        <v>1.049171932243</v>
      </c>
      <c r="F99" s="396">
        <v>21466</v>
      </c>
      <c r="G99" s="397">
        <v>3577.6666666666702</v>
      </c>
      <c r="H99" s="399">
        <v>1802.559</v>
      </c>
      <c r="I99" s="396">
        <v>3534.212</v>
      </c>
      <c r="J99" s="397">
        <v>-43.454666666668999</v>
      </c>
      <c r="K99" s="400">
        <v>0.16464231808400001</v>
      </c>
    </row>
    <row r="100" spans="1:11" ht="14.4" customHeight="1" thickBot="1" x14ac:dyDescent="0.35">
      <c r="A100" s="417" t="s">
        <v>361</v>
      </c>
      <c r="B100" s="401">
        <v>230.00002076428399</v>
      </c>
      <c r="C100" s="401">
        <v>209.04</v>
      </c>
      <c r="D100" s="402">
        <v>-20.960020764283001</v>
      </c>
      <c r="E100" s="408">
        <v>0.90886948316500005</v>
      </c>
      <c r="F100" s="401">
        <v>210</v>
      </c>
      <c r="G100" s="402">
        <v>35</v>
      </c>
      <c r="H100" s="404">
        <v>18.399999999999999</v>
      </c>
      <c r="I100" s="401">
        <v>35.51</v>
      </c>
      <c r="J100" s="402">
        <v>0.51</v>
      </c>
      <c r="K100" s="409">
        <v>0.16909523809499999</v>
      </c>
    </row>
    <row r="101" spans="1:11" ht="14.4" customHeight="1" thickBot="1" x14ac:dyDescent="0.35">
      <c r="A101" s="418" t="s">
        <v>362</v>
      </c>
      <c r="B101" s="396">
        <v>230.00002076428399</v>
      </c>
      <c r="C101" s="396">
        <v>209.04</v>
      </c>
      <c r="D101" s="397">
        <v>-20.960020764283001</v>
      </c>
      <c r="E101" s="398">
        <v>0.90886948316500005</v>
      </c>
      <c r="F101" s="396">
        <v>210</v>
      </c>
      <c r="G101" s="397">
        <v>35</v>
      </c>
      <c r="H101" s="399">
        <v>18.399999999999999</v>
      </c>
      <c r="I101" s="396">
        <v>35.51</v>
      </c>
      <c r="J101" s="397">
        <v>0.51</v>
      </c>
      <c r="K101" s="400">
        <v>0.16909523809499999</v>
      </c>
    </row>
    <row r="102" spans="1:11" ht="14.4" customHeight="1" thickBot="1" x14ac:dyDescent="0.35">
      <c r="A102" s="417" t="s">
        <v>363</v>
      </c>
      <c r="B102" s="401">
        <v>59.000005326489998</v>
      </c>
      <c r="C102" s="401">
        <v>60.052</v>
      </c>
      <c r="D102" s="402">
        <v>1.051994673509</v>
      </c>
      <c r="E102" s="408">
        <v>1.0178304165850001</v>
      </c>
      <c r="F102" s="401">
        <v>59</v>
      </c>
      <c r="G102" s="402">
        <v>9.833333333333</v>
      </c>
      <c r="H102" s="404">
        <v>12.148</v>
      </c>
      <c r="I102" s="401">
        <v>36.86</v>
      </c>
      <c r="J102" s="402">
        <v>27.026666666665999</v>
      </c>
      <c r="K102" s="409">
        <v>0.62474576271100002</v>
      </c>
    </row>
    <row r="103" spans="1:11" ht="14.4" customHeight="1" thickBot="1" x14ac:dyDescent="0.35">
      <c r="A103" s="418" t="s">
        <v>364</v>
      </c>
      <c r="B103" s="396">
        <v>59.000005326489998</v>
      </c>
      <c r="C103" s="396">
        <v>60.052</v>
      </c>
      <c r="D103" s="397">
        <v>1.051994673509</v>
      </c>
      <c r="E103" s="398">
        <v>1.0178304165850001</v>
      </c>
      <c r="F103" s="396">
        <v>59</v>
      </c>
      <c r="G103" s="397">
        <v>9.833333333333</v>
      </c>
      <c r="H103" s="399">
        <v>12.148</v>
      </c>
      <c r="I103" s="396">
        <v>36.86</v>
      </c>
      <c r="J103" s="397">
        <v>27.026666666665999</v>
      </c>
      <c r="K103" s="400">
        <v>0.62474576271100002</v>
      </c>
    </row>
    <row r="104" spans="1:11" ht="14.4" customHeight="1" thickBot="1" x14ac:dyDescent="0.35">
      <c r="A104" s="416" t="s">
        <v>365</v>
      </c>
      <c r="B104" s="396">
        <v>7061.0006374635004</v>
      </c>
      <c r="C104" s="396">
        <v>7358.8572700000004</v>
      </c>
      <c r="D104" s="397">
        <v>297.85663253649801</v>
      </c>
      <c r="E104" s="398">
        <v>1.042183345934</v>
      </c>
      <c r="F104" s="396">
        <v>7297.99999999999</v>
      </c>
      <c r="G104" s="397">
        <v>1216.3333333333301</v>
      </c>
      <c r="H104" s="399">
        <v>610.46029999999996</v>
      </c>
      <c r="I104" s="396">
        <v>1197.9398000000001</v>
      </c>
      <c r="J104" s="397">
        <v>-18.393533333331</v>
      </c>
      <c r="K104" s="400">
        <v>0.16414631405800001</v>
      </c>
    </row>
    <row r="105" spans="1:11" ht="14.4" customHeight="1" thickBot="1" x14ac:dyDescent="0.35">
      <c r="A105" s="417" t="s">
        <v>366</v>
      </c>
      <c r="B105" s="401">
        <v>1869.00016873237</v>
      </c>
      <c r="C105" s="401">
        <v>1970.3727699999999</v>
      </c>
      <c r="D105" s="402">
        <v>101.372601267627</v>
      </c>
      <c r="E105" s="408">
        <v>1.0542389470919999</v>
      </c>
      <c r="F105" s="401">
        <v>1930.99999999999</v>
      </c>
      <c r="G105" s="402">
        <v>321.83333333333201</v>
      </c>
      <c r="H105" s="404">
        <v>163.10730000000001</v>
      </c>
      <c r="I105" s="401">
        <v>319.8673</v>
      </c>
      <c r="J105" s="402">
        <v>-1.9660333333319999</v>
      </c>
      <c r="K105" s="409">
        <v>0.16564852408</v>
      </c>
    </row>
    <row r="106" spans="1:11" ht="14.4" customHeight="1" thickBot="1" x14ac:dyDescent="0.35">
      <c r="A106" s="418" t="s">
        <v>367</v>
      </c>
      <c r="B106" s="396">
        <v>1869.00016873237</v>
      </c>
      <c r="C106" s="396">
        <v>1970.3727699999999</v>
      </c>
      <c r="D106" s="397">
        <v>101.372601267627</v>
      </c>
      <c r="E106" s="398">
        <v>1.0542389470919999</v>
      </c>
      <c r="F106" s="396">
        <v>1930.99999999999</v>
      </c>
      <c r="G106" s="397">
        <v>321.83333333333201</v>
      </c>
      <c r="H106" s="399">
        <v>163.10730000000001</v>
      </c>
      <c r="I106" s="396">
        <v>319.8673</v>
      </c>
      <c r="J106" s="397">
        <v>-1.9660333333319999</v>
      </c>
      <c r="K106" s="400">
        <v>0.16564852408</v>
      </c>
    </row>
    <row r="107" spans="1:11" ht="14.4" customHeight="1" thickBot="1" x14ac:dyDescent="0.35">
      <c r="A107" s="417" t="s">
        <v>368</v>
      </c>
      <c r="B107" s="401">
        <v>5192.0004687311302</v>
      </c>
      <c r="C107" s="401">
        <v>5388.4844999999996</v>
      </c>
      <c r="D107" s="402">
        <v>196.48403126887101</v>
      </c>
      <c r="E107" s="408">
        <v>1.037843608153</v>
      </c>
      <c r="F107" s="401">
        <v>5367</v>
      </c>
      <c r="G107" s="402">
        <v>894.5</v>
      </c>
      <c r="H107" s="404">
        <v>447.35300000000001</v>
      </c>
      <c r="I107" s="401">
        <v>878.07249999999999</v>
      </c>
      <c r="J107" s="402">
        <v>-16.427499999999</v>
      </c>
      <c r="K107" s="409">
        <v>0.163605831935</v>
      </c>
    </row>
    <row r="108" spans="1:11" ht="14.4" customHeight="1" thickBot="1" x14ac:dyDescent="0.35">
      <c r="A108" s="418" t="s">
        <v>369</v>
      </c>
      <c r="B108" s="396">
        <v>5192.0004687311302</v>
      </c>
      <c r="C108" s="396">
        <v>5388.4844999999996</v>
      </c>
      <c r="D108" s="397">
        <v>196.48403126887101</v>
      </c>
      <c r="E108" s="398">
        <v>1.037843608153</v>
      </c>
      <c r="F108" s="396">
        <v>5367</v>
      </c>
      <c r="G108" s="397">
        <v>894.5</v>
      </c>
      <c r="H108" s="399">
        <v>447.35300000000001</v>
      </c>
      <c r="I108" s="396">
        <v>878.07249999999999</v>
      </c>
      <c r="J108" s="397">
        <v>-16.427499999999</v>
      </c>
      <c r="K108" s="400">
        <v>0.163605831935</v>
      </c>
    </row>
    <row r="109" spans="1:11" ht="14.4" customHeight="1" thickBot="1" x14ac:dyDescent="0.35">
      <c r="A109" s="416" t="s">
        <v>370</v>
      </c>
      <c r="B109" s="396">
        <v>311.00002807692198</v>
      </c>
      <c r="C109" s="396">
        <v>327.76958000000002</v>
      </c>
      <c r="D109" s="397">
        <v>16.769551923077</v>
      </c>
      <c r="E109" s="398">
        <v>1.0539213839520001</v>
      </c>
      <c r="F109" s="396">
        <v>429</v>
      </c>
      <c r="G109" s="397">
        <v>71.5</v>
      </c>
      <c r="H109" s="399">
        <v>36.293559999999999</v>
      </c>
      <c r="I109" s="396">
        <v>71.420569999999998</v>
      </c>
      <c r="J109" s="397">
        <v>-7.9430000000000001E-2</v>
      </c>
      <c r="K109" s="400">
        <v>0.16648151515099999</v>
      </c>
    </row>
    <row r="110" spans="1:11" ht="14.4" customHeight="1" thickBot="1" x14ac:dyDescent="0.35">
      <c r="A110" s="417" t="s">
        <v>371</v>
      </c>
      <c r="B110" s="401">
        <v>311.00002807692198</v>
      </c>
      <c r="C110" s="401">
        <v>327.76958000000002</v>
      </c>
      <c r="D110" s="402">
        <v>16.769551923077</v>
      </c>
      <c r="E110" s="408">
        <v>1.0539213839520001</v>
      </c>
      <c r="F110" s="401">
        <v>429</v>
      </c>
      <c r="G110" s="402">
        <v>71.5</v>
      </c>
      <c r="H110" s="404">
        <v>36.293559999999999</v>
      </c>
      <c r="I110" s="401">
        <v>71.420569999999998</v>
      </c>
      <c r="J110" s="402">
        <v>-7.9430000000000001E-2</v>
      </c>
      <c r="K110" s="409">
        <v>0.16648151515099999</v>
      </c>
    </row>
    <row r="111" spans="1:11" ht="14.4" customHeight="1" thickBot="1" x14ac:dyDescent="0.35">
      <c r="A111" s="418" t="s">
        <v>372</v>
      </c>
      <c r="B111" s="396">
        <v>311.00002807692198</v>
      </c>
      <c r="C111" s="396">
        <v>327.76958000000002</v>
      </c>
      <c r="D111" s="397">
        <v>16.769551923077</v>
      </c>
      <c r="E111" s="398">
        <v>1.0539213839520001</v>
      </c>
      <c r="F111" s="396">
        <v>429</v>
      </c>
      <c r="G111" s="397">
        <v>71.5</v>
      </c>
      <c r="H111" s="399">
        <v>36.293559999999999</v>
      </c>
      <c r="I111" s="396">
        <v>71.420569999999998</v>
      </c>
      <c r="J111" s="397">
        <v>-7.9430000000000001E-2</v>
      </c>
      <c r="K111" s="400">
        <v>0.16648151515099999</v>
      </c>
    </row>
    <row r="112" spans="1:11" ht="14.4" customHeight="1" thickBot="1" x14ac:dyDescent="0.35">
      <c r="A112" s="415" t="s">
        <v>373</v>
      </c>
      <c r="B112" s="396">
        <v>0</v>
      </c>
      <c r="C112" s="396">
        <v>210.66965999999999</v>
      </c>
      <c r="D112" s="397">
        <v>210.66965999999999</v>
      </c>
      <c r="E112" s="406" t="s">
        <v>269</v>
      </c>
      <c r="F112" s="396">
        <v>0</v>
      </c>
      <c r="G112" s="397">
        <v>0</v>
      </c>
      <c r="H112" s="399">
        <v>28.45814</v>
      </c>
      <c r="I112" s="396">
        <v>28.45814</v>
      </c>
      <c r="J112" s="397">
        <v>28.45814</v>
      </c>
      <c r="K112" s="407" t="s">
        <v>269</v>
      </c>
    </row>
    <row r="113" spans="1:11" ht="14.4" customHeight="1" thickBot="1" x14ac:dyDescent="0.35">
      <c r="A113" s="416" t="s">
        <v>374</v>
      </c>
      <c r="B113" s="396">
        <v>0</v>
      </c>
      <c r="C113" s="396">
        <v>12.65</v>
      </c>
      <c r="D113" s="397">
        <v>12.65</v>
      </c>
      <c r="E113" s="406" t="s">
        <v>297</v>
      </c>
      <c r="F113" s="396">
        <v>0</v>
      </c>
      <c r="G113" s="397">
        <v>0</v>
      </c>
      <c r="H113" s="399">
        <v>0</v>
      </c>
      <c r="I113" s="396">
        <v>0</v>
      </c>
      <c r="J113" s="397">
        <v>0</v>
      </c>
      <c r="K113" s="407" t="s">
        <v>269</v>
      </c>
    </row>
    <row r="114" spans="1:11" ht="14.4" customHeight="1" thickBot="1" x14ac:dyDescent="0.35">
      <c r="A114" s="420" t="s">
        <v>375</v>
      </c>
      <c r="B114" s="396">
        <v>0</v>
      </c>
      <c r="C114" s="396">
        <v>12.65</v>
      </c>
      <c r="D114" s="397">
        <v>12.65</v>
      </c>
      <c r="E114" s="406" t="s">
        <v>297</v>
      </c>
      <c r="F114" s="396">
        <v>0</v>
      </c>
      <c r="G114" s="397">
        <v>0</v>
      </c>
      <c r="H114" s="399">
        <v>0</v>
      </c>
      <c r="I114" s="396">
        <v>0</v>
      </c>
      <c r="J114" s="397">
        <v>0</v>
      </c>
      <c r="K114" s="407" t="s">
        <v>269</v>
      </c>
    </row>
    <row r="115" spans="1:11" ht="14.4" customHeight="1" thickBot="1" x14ac:dyDescent="0.35">
      <c r="A115" s="418" t="s">
        <v>376</v>
      </c>
      <c r="B115" s="396">
        <v>0</v>
      </c>
      <c r="C115" s="396">
        <v>12.65</v>
      </c>
      <c r="D115" s="397">
        <v>12.65</v>
      </c>
      <c r="E115" s="406" t="s">
        <v>297</v>
      </c>
      <c r="F115" s="396">
        <v>0</v>
      </c>
      <c r="G115" s="397">
        <v>0</v>
      </c>
      <c r="H115" s="399">
        <v>0</v>
      </c>
      <c r="I115" s="396">
        <v>0</v>
      </c>
      <c r="J115" s="397">
        <v>0</v>
      </c>
      <c r="K115" s="407" t="s">
        <v>269</v>
      </c>
    </row>
    <row r="116" spans="1:11" ht="14.4" customHeight="1" thickBot="1" x14ac:dyDescent="0.35">
      <c r="A116" s="416" t="s">
        <v>377</v>
      </c>
      <c r="B116" s="396">
        <v>0</v>
      </c>
      <c r="C116" s="396">
        <v>198.01965999999999</v>
      </c>
      <c r="D116" s="397">
        <v>198.01965999999999</v>
      </c>
      <c r="E116" s="406" t="s">
        <v>269</v>
      </c>
      <c r="F116" s="396">
        <v>0</v>
      </c>
      <c r="G116" s="397">
        <v>0</v>
      </c>
      <c r="H116" s="399">
        <v>28.45814</v>
      </c>
      <c r="I116" s="396">
        <v>28.45814</v>
      </c>
      <c r="J116" s="397">
        <v>28.45814</v>
      </c>
      <c r="K116" s="407" t="s">
        <v>269</v>
      </c>
    </row>
    <row r="117" spans="1:11" ht="14.4" customHeight="1" thickBot="1" x14ac:dyDescent="0.35">
      <c r="A117" s="417" t="s">
        <v>378</v>
      </c>
      <c r="B117" s="401">
        <v>0</v>
      </c>
      <c r="C117" s="401">
        <v>198.01965999999999</v>
      </c>
      <c r="D117" s="402">
        <v>198.01965999999999</v>
      </c>
      <c r="E117" s="403" t="s">
        <v>269</v>
      </c>
      <c r="F117" s="401">
        <v>0</v>
      </c>
      <c r="G117" s="402">
        <v>0</v>
      </c>
      <c r="H117" s="404">
        <v>28.45814</v>
      </c>
      <c r="I117" s="401">
        <v>28.45814</v>
      </c>
      <c r="J117" s="402">
        <v>28.45814</v>
      </c>
      <c r="K117" s="405" t="s">
        <v>269</v>
      </c>
    </row>
    <row r="118" spans="1:11" ht="14.4" customHeight="1" thickBot="1" x14ac:dyDescent="0.35">
      <c r="A118" s="418" t="s">
        <v>379</v>
      </c>
      <c r="B118" s="396">
        <v>0</v>
      </c>
      <c r="C118" s="396">
        <v>41.816659999999999</v>
      </c>
      <c r="D118" s="397">
        <v>41.816659999999999</v>
      </c>
      <c r="E118" s="406" t="s">
        <v>269</v>
      </c>
      <c r="F118" s="396">
        <v>0</v>
      </c>
      <c r="G118" s="397">
        <v>0</v>
      </c>
      <c r="H118" s="399">
        <v>0.65813999999999995</v>
      </c>
      <c r="I118" s="396">
        <v>0.65813999999999995</v>
      </c>
      <c r="J118" s="397">
        <v>0.65813999999999995</v>
      </c>
      <c r="K118" s="407" t="s">
        <v>269</v>
      </c>
    </row>
    <row r="119" spans="1:11" ht="14.4" customHeight="1" thickBot="1" x14ac:dyDescent="0.35">
      <c r="A119" s="418" t="s">
        <v>380</v>
      </c>
      <c r="B119" s="396">
        <v>0</v>
      </c>
      <c r="C119" s="396">
        <v>129.69300000000001</v>
      </c>
      <c r="D119" s="397">
        <v>129.69300000000001</v>
      </c>
      <c r="E119" s="406" t="s">
        <v>269</v>
      </c>
      <c r="F119" s="396">
        <v>0</v>
      </c>
      <c r="G119" s="397">
        <v>0</v>
      </c>
      <c r="H119" s="399">
        <v>0</v>
      </c>
      <c r="I119" s="396">
        <v>0</v>
      </c>
      <c r="J119" s="397">
        <v>0</v>
      </c>
      <c r="K119" s="407" t="s">
        <v>269</v>
      </c>
    </row>
    <row r="120" spans="1:11" ht="14.4" customHeight="1" thickBot="1" x14ac:dyDescent="0.35">
      <c r="A120" s="418" t="s">
        <v>381</v>
      </c>
      <c r="B120" s="396">
        <v>0</v>
      </c>
      <c r="C120" s="396">
        <v>24.95</v>
      </c>
      <c r="D120" s="397">
        <v>24.95</v>
      </c>
      <c r="E120" s="406" t="s">
        <v>269</v>
      </c>
      <c r="F120" s="396">
        <v>0</v>
      </c>
      <c r="G120" s="397">
        <v>0</v>
      </c>
      <c r="H120" s="399">
        <v>27.8</v>
      </c>
      <c r="I120" s="396">
        <v>27.8</v>
      </c>
      <c r="J120" s="397">
        <v>27.8</v>
      </c>
      <c r="K120" s="407" t="s">
        <v>269</v>
      </c>
    </row>
    <row r="121" spans="1:11" ht="14.4" customHeight="1" thickBot="1" x14ac:dyDescent="0.35">
      <c r="A121" s="418" t="s">
        <v>382</v>
      </c>
      <c r="B121" s="396">
        <v>0</v>
      </c>
      <c r="C121" s="396">
        <v>1.56</v>
      </c>
      <c r="D121" s="397">
        <v>1.56</v>
      </c>
      <c r="E121" s="406" t="s">
        <v>297</v>
      </c>
      <c r="F121" s="396">
        <v>0</v>
      </c>
      <c r="G121" s="397">
        <v>0</v>
      </c>
      <c r="H121" s="399">
        <v>0</v>
      </c>
      <c r="I121" s="396">
        <v>0</v>
      </c>
      <c r="J121" s="397">
        <v>0</v>
      </c>
      <c r="K121" s="407" t="s">
        <v>269</v>
      </c>
    </row>
    <row r="122" spans="1:11" ht="14.4" customHeight="1" thickBot="1" x14ac:dyDescent="0.35">
      <c r="A122" s="415" t="s">
        <v>383</v>
      </c>
      <c r="B122" s="396">
        <v>605.001397102091</v>
      </c>
      <c r="C122" s="396">
        <v>1321.2327600000001</v>
      </c>
      <c r="D122" s="397">
        <v>716.23136289791</v>
      </c>
      <c r="E122" s="398">
        <v>2.1838507585740001</v>
      </c>
      <c r="F122" s="396">
        <v>1393</v>
      </c>
      <c r="G122" s="397">
        <v>232.166666666667</v>
      </c>
      <c r="H122" s="399">
        <v>126.17700000000001</v>
      </c>
      <c r="I122" s="396">
        <v>248.262</v>
      </c>
      <c r="J122" s="397">
        <v>16.095333333332999</v>
      </c>
      <c r="K122" s="400">
        <v>0.17822110552699999</v>
      </c>
    </row>
    <row r="123" spans="1:11" ht="14.4" customHeight="1" thickBot="1" x14ac:dyDescent="0.35">
      <c r="A123" s="416" t="s">
        <v>384</v>
      </c>
      <c r="B123" s="396">
        <v>605.001397102091</v>
      </c>
      <c r="C123" s="396">
        <v>1094.05</v>
      </c>
      <c r="D123" s="397">
        <v>489.04860289790997</v>
      </c>
      <c r="E123" s="398">
        <v>1.8083429315040001</v>
      </c>
      <c r="F123" s="396">
        <v>1393</v>
      </c>
      <c r="G123" s="397">
        <v>232.166666666667</v>
      </c>
      <c r="H123" s="399">
        <v>120.29600000000001</v>
      </c>
      <c r="I123" s="396">
        <v>242.381</v>
      </c>
      <c r="J123" s="397">
        <v>10.214333333333</v>
      </c>
      <c r="K123" s="400">
        <v>0.17399928212400001</v>
      </c>
    </row>
    <row r="124" spans="1:11" ht="14.4" customHeight="1" thickBot="1" x14ac:dyDescent="0.35">
      <c r="A124" s="417" t="s">
        <v>385</v>
      </c>
      <c r="B124" s="401">
        <v>605.001397102091</v>
      </c>
      <c r="C124" s="401">
        <v>890.61100000000101</v>
      </c>
      <c r="D124" s="402">
        <v>285.60960289791001</v>
      </c>
      <c r="E124" s="408">
        <v>1.472080898103</v>
      </c>
      <c r="F124" s="401">
        <v>1393</v>
      </c>
      <c r="G124" s="402">
        <v>232.166666666667</v>
      </c>
      <c r="H124" s="404">
        <v>120.29600000000001</v>
      </c>
      <c r="I124" s="401">
        <v>242.381</v>
      </c>
      <c r="J124" s="402">
        <v>10.214333333333</v>
      </c>
      <c r="K124" s="409">
        <v>0.17399928212400001</v>
      </c>
    </row>
    <row r="125" spans="1:11" ht="14.4" customHeight="1" thickBot="1" x14ac:dyDescent="0.35">
      <c r="A125" s="418" t="s">
        <v>386</v>
      </c>
      <c r="B125" s="396">
        <v>77.000177812993002</v>
      </c>
      <c r="C125" s="396">
        <v>313.00400000000002</v>
      </c>
      <c r="D125" s="397">
        <v>236.00382218700699</v>
      </c>
      <c r="E125" s="398">
        <v>4.0649776258979999</v>
      </c>
      <c r="F125" s="396">
        <v>785.00000000000102</v>
      </c>
      <c r="G125" s="397">
        <v>130.833333333334</v>
      </c>
      <c r="H125" s="399">
        <v>65.430999999999997</v>
      </c>
      <c r="I125" s="396">
        <v>130.86199999999999</v>
      </c>
      <c r="J125" s="397">
        <v>2.8666666665999999E-2</v>
      </c>
      <c r="K125" s="400">
        <v>0.166703184713</v>
      </c>
    </row>
    <row r="126" spans="1:11" ht="14.4" customHeight="1" thickBot="1" x14ac:dyDescent="0.35">
      <c r="A126" s="418" t="s">
        <v>387</v>
      </c>
      <c r="B126" s="396">
        <v>291.00067199455901</v>
      </c>
      <c r="C126" s="396">
        <v>255.16300000000001</v>
      </c>
      <c r="D126" s="397">
        <v>-35.837671994559003</v>
      </c>
      <c r="E126" s="398">
        <v>0.87684677238300002</v>
      </c>
      <c r="F126" s="396">
        <v>164</v>
      </c>
      <c r="G126" s="397">
        <v>27.333333333333002</v>
      </c>
      <c r="H126" s="399">
        <v>16.872</v>
      </c>
      <c r="I126" s="396">
        <v>34.869</v>
      </c>
      <c r="J126" s="397">
        <v>7.5356666666659997</v>
      </c>
      <c r="K126" s="400">
        <v>0.21261585365800001</v>
      </c>
    </row>
    <row r="127" spans="1:11" ht="14.4" customHeight="1" thickBot="1" x14ac:dyDescent="0.35">
      <c r="A127" s="418" t="s">
        <v>388</v>
      </c>
      <c r="B127" s="396">
        <v>117.00027018338</v>
      </c>
      <c r="C127" s="396">
        <v>117.372</v>
      </c>
      <c r="D127" s="397">
        <v>0.37172981661999999</v>
      </c>
      <c r="E127" s="398">
        <v>1.0031771705820001</v>
      </c>
      <c r="F127" s="396">
        <v>117</v>
      </c>
      <c r="G127" s="397">
        <v>19.5</v>
      </c>
      <c r="H127" s="399">
        <v>9.7810000000000006</v>
      </c>
      <c r="I127" s="396">
        <v>19.562000000000001</v>
      </c>
      <c r="J127" s="397">
        <v>6.1999999999000001E-2</v>
      </c>
      <c r="K127" s="400">
        <v>0.167196581196</v>
      </c>
    </row>
    <row r="128" spans="1:11" ht="14.4" customHeight="1" thickBot="1" x14ac:dyDescent="0.35">
      <c r="A128" s="418" t="s">
        <v>389</v>
      </c>
      <c r="B128" s="396">
        <v>0</v>
      </c>
      <c r="C128" s="396">
        <v>85.287999999999997</v>
      </c>
      <c r="D128" s="397">
        <v>85.287999999999997</v>
      </c>
      <c r="E128" s="406" t="s">
        <v>297</v>
      </c>
      <c r="F128" s="396">
        <v>256</v>
      </c>
      <c r="G128" s="397">
        <v>42.666666666666003</v>
      </c>
      <c r="H128" s="399">
        <v>21.321999999999999</v>
      </c>
      <c r="I128" s="396">
        <v>42.643999999999998</v>
      </c>
      <c r="J128" s="397">
        <v>-2.2666666666E-2</v>
      </c>
      <c r="K128" s="400">
        <v>0.16657812499999999</v>
      </c>
    </row>
    <row r="129" spans="1:11" ht="14.4" customHeight="1" thickBot="1" x14ac:dyDescent="0.35">
      <c r="A129" s="418" t="s">
        <v>390</v>
      </c>
      <c r="B129" s="396">
        <v>120.000277111158</v>
      </c>
      <c r="C129" s="396">
        <v>119.78400000000001</v>
      </c>
      <c r="D129" s="397">
        <v>-0.216277111158</v>
      </c>
      <c r="E129" s="398">
        <v>0.99819769490200005</v>
      </c>
      <c r="F129" s="396">
        <v>71</v>
      </c>
      <c r="G129" s="397">
        <v>11.833333333333</v>
      </c>
      <c r="H129" s="399">
        <v>6.89</v>
      </c>
      <c r="I129" s="396">
        <v>14.444000000000001</v>
      </c>
      <c r="J129" s="397">
        <v>2.6106666666659999</v>
      </c>
      <c r="K129" s="400">
        <v>0.20343661971800001</v>
      </c>
    </row>
    <row r="130" spans="1:11" ht="14.4" customHeight="1" thickBot="1" x14ac:dyDescent="0.35">
      <c r="A130" s="417" t="s">
        <v>391</v>
      </c>
      <c r="B130" s="401">
        <v>0</v>
      </c>
      <c r="C130" s="401">
        <v>203.43899999999999</v>
      </c>
      <c r="D130" s="402">
        <v>203.43899999999999</v>
      </c>
      <c r="E130" s="403" t="s">
        <v>269</v>
      </c>
      <c r="F130" s="401">
        <v>0</v>
      </c>
      <c r="G130" s="402">
        <v>0</v>
      </c>
      <c r="H130" s="404">
        <v>0</v>
      </c>
      <c r="I130" s="401">
        <v>0</v>
      </c>
      <c r="J130" s="402">
        <v>0</v>
      </c>
      <c r="K130" s="405" t="s">
        <v>269</v>
      </c>
    </row>
    <row r="131" spans="1:11" ht="14.4" customHeight="1" thickBot="1" x14ac:dyDescent="0.35">
      <c r="A131" s="418" t="s">
        <v>392</v>
      </c>
      <c r="B131" s="396">
        <v>0</v>
      </c>
      <c r="C131" s="396">
        <v>203.43899999999999</v>
      </c>
      <c r="D131" s="397">
        <v>203.43899999999999</v>
      </c>
      <c r="E131" s="406" t="s">
        <v>269</v>
      </c>
      <c r="F131" s="396">
        <v>0</v>
      </c>
      <c r="G131" s="397">
        <v>0</v>
      </c>
      <c r="H131" s="399">
        <v>0</v>
      </c>
      <c r="I131" s="396">
        <v>0</v>
      </c>
      <c r="J131" s="397">
        <v>0</v>
      </c>
      <c r="K131" s="407" t="s">
        <v>269</v>
      </c>
    </row>
    <row r="132" spans="1:11" ht="14.4" customHeight="1" thickBot="1" x14ac:dyDescent="0.35">
      <c r="A132" s="416" t="s">
        <v>393</v>
      </c>
      <c r="B132" s="396">
        <v>0</v>
      </c>
      <c r="C132" s="396">
        <v>227.18276</v>
      </c>
      <c r="D132" s="397">
        <v>227.18276</v>
      </c>
      <c r="E132" s="406" t="s">
        <v>269</v>
      </c>
      <c r="F132" s="396">
        <v>0</v>
      </c>
      <c r="G132" s="397">
        <v>0</v>
      </c>
      <c r="H132" s="399">
        <v>5.8810000000000002</v>
      </c>
      <c r="I132" s="396">
        <v>5.8810000000000002</v>
      </c>
      <c r="J132" s="397">
        <v>5.8810000000000002</v>
      </c>
      <c r="K132" s="407" t="s">
        <v>269</v>
      </c>
    </row>
    <row r="133" spans="1:11" ht="14.4" customHeight="1" thickBot="1" x14ac:dyDescent="0.35">
      <c r="A133" s="417" t="s">
        <v>394</v>
      </c>
      <c r="B133" s="401">
        <v>0</v>
      </c>
      <c r="C133" s="401">
        <v>183.90185</v>
      </c>
      <c r="D133" s="402">
        <v>183.90185</v>
      </c>
      <c r="E133" s="403" t="s">
        <v>297</v>
      </c>
      <c r="F133" s="401">
        <v>0</v>
      </c>
      <c r="G133" s="402">
        <v>0</v>
      </c>
      <c r="H133" s="404">
        <v>0</v>
      </c>
      <c r="I133" s="401">
        <v>0</v>
      </c>
      <c r="J133" s="402">
        <v>0</v>
      </c>
      <c r="K133" s="405" t="s">
        <v>269</v>
      </c>
    </row>
    <row r="134" spans="1:11" ht="14.4" customHeight="1" thickBot="1" x14ac:dyDescent="0.35">
      <c r="A134" s="418" t="s">
        <v>395</v>
      </c>
      <c r="B134" s="396">
        <v>0</v>
      </c>
      <c r="C134" s="396">
        <v>183.90185</v>
      </c>
      <c r="D134" s="397">
        <v>183.90185</v>
      </c>
      <c r="E134" s="406" t="s">
        <v>297</v>
      </c>
      <c r="F134" s="396">
        <v>0</v>
      </c>
      <c r="G134" s="397">
        <v>0</v>
      </c>
      <c r="H134" s="399">
        <v>0</v>
      </c>
      <c r="I134" s="396">
        <v>0</v>
      </c>
      <c r="J134" s="397">
        <v>0</v>
      </c>
      <c r="K134" s="407" t="s">
        <v>269</v>
      </c>
    </row>
    <row r="135" spans="1:11" ht="14.4" customHeight="1" thickBot="1" x14ac:dyDescent="0.35">
      <c r="A135" s="417" t="s">
        <v>396</v>
      </c>
      <c r="B135" s="401">
        <v>0</v>
      </c>
      <c r="C135" s="401">
        <v>15.208909999999999</v>
      </c>
      <c r="D135" s="402">
        <v>15.208909999999999</v>
      </c>
      <c r="E135" s="403" t="s">
        <v>269</v>
      </c>
      <c r="F135" s="401">
        <v>0</v>
      </c>
      <c r="G135" s="402">
        <v>0</v>
      </c>
      <c r="H135" s="404">
        <v>0</v>
      </c>
      <c r="I135" s="401">
        <v>0</v>
      </c>
      <c r="J135" s="402">
        <v>0</v>
      </c>
      <c r="K135" s="405" t="s">
        <v>269</v>
      </c>
    </row>
    <row r="136" spans="1:11" ht="14.4" customHeight="1" thickBot="1" x14ac:dyDescent="0.35">
      <c r="A136" s="418" t="s">
        <v>397</v>
      </c>
      <c r="B136" s="396">
        <v>0</v>
      </c>
      <c r="C136" s="396">
        <v>12.196009999999999</v>
      </c>
      <c r="D136" s="397">
        <v>12.196009999999999</v>
      </c>
      <c r="E136" s="406" t="s">
        <v>269</v>
      </c>
      <c r="F136" s="396">
        <v>0</v>
      </c>
      <c r="G136" s="397">
        <v>0</v>
      </c>
      <c r="H136" s="399">
        <v>0</v>
      </c>
      <c r="I136" s="396">
        <v>0</v>
      </c>
      <c r="J136" s="397">
        <v>0</v>
      </c>
      <c r="K136" s="407" t="s">
        <v>269</v>
      </c>
    </row>
    <row r="137" spans="1:11" ht="14.4" customHeight="1" thickBot="1" x14ac:dyDescent="0.35">
      <c r="A137" s="418" t="s">
        <v>398</v>
      </c>
      <c r="B137" s="396">
        <v>0</v>
      </c>
      <c r="C137" s="396">
        <v>3.0129000000000001</v>
      </c>
      <c r="D137" s="397">
        <v>3.0129000000000001</v>
      </c>
      <c r="E137" s="406" t="s">
        <v>297</v>
      </c>
      <c r="F137" s="396">
        <v>0</v>
      </c>
      <c r="G137" s="397">
        <v>0</v>
      </c>
      <c r="H137" s="399">
        <v>0</v>
      </c>
      <c r="I137" s="396">
        <v>0</v>
      </c>
      <c r="J137" s="397">
        <v>0</v>
      </c>
      <c r="K137" s="407" t="s">
        <v>269</v>
      </c>
    </row>
    <row r="138" spans="1:11" ht="14.4" customHeight="1" thickBot="1" x14ac:dyDescent="0.35">
      <c r="A138" s="417" t="s">
        <v>399</v>
      </c>
      <c r="B138" s="401">
        <v>0</v>
      </c>
      <c r="C138" s="401">
        <v>28.071999999999999</v>
      </c>
      <c r="D138" s="402">
        <v>28.071999999999999</v>
      </c>
      <c r="E138" s="403" t="s">
        <v>269</v>
      </c>
      <c r="F138" s="401">
        <v>0</v>
      </c>
      <c r="G138" s="402">
        <v>0</v>
      </c>
      <c r="H138" s="404">
        <v>5.8810000000000002</v>
      </c>
      <c r="I138" s="401">
        <v>5.8810000000000002</v>
      </c>
      <c r="J138" s="402">
        <v>5.8810000000000002</v>
      </c>
      <c r="K138" s="405" t="s">
        <v>269</v>
      </c>
    </row>
    <row r="139" spans="1:11" ht="14.4" customHeight="1" thickBot="1" x14ac:dyDescent="0.35">
      <c r="A139" s="418" t="s">
        <v>400</v>
      </c>
      <c r="B139" s="396">
        <v>0</v>
      </c>
      <c r="C139" s="396">
        <v>28.071999999999999</v>
      </c>
      <c r="D139" s="397">
        <v>28.071999999999999</v>
      </c>
      <c r="E139" s="406" t="s">
        <v>269</v>
      </c>
      <c r="F139" s="396">
        <v>0</v>
      </c>
      <c r="G139" s="397">
        <v>0</v>
      </c>
      <c r="H139" s="399">
        <v>5.8810000000000002</v>
      </c>
      <c r="I139" s="396">
        <v>5.8810000000000002</v>
      </c>
      <c r="J139" s="397">
        <v>5.8810000000000002</v>
      </c>
      <c r="K139" s="407" t="s">
        <v>269</v>
      </c>
    </row>
    <row r="140" spans="1:11" ht="14.4" customHeight="1" thickBot="1" x14ac:dyDescent="0.35">
      <c r="A140" s="414" t="s">
        <v>401</v>
      </c>
      <c r="B140" s="396">
        <v>30048.153771825899</v>
      </c>
      <c r="C140" s="396">
        <v>29420.12213</v>
      </c>
      <c r="D140" s="397">
        <v>-628.03164182586602</v>
      </c>
      <c r="E140" s="398">
        <v>0.97909916041400002</v>
      </c>
      <c r="F140" s="396">
        <v>29622.884225753201</v>
      </c>
      <c r="G140" s="397">
        <v>4937.1473709588699</v>
      </c>
      <c r="H140" s="399">
        <v>2772.11519</v>
      </c>
      <c r="I140" s="396">
        <v>5239.2340000000004</v>
      </c>
      <c r="J140" s="397">
        <v>302.08662904112998</v>
      </c>
      <c r="K140" s="400">
        <v>0.17686441198799999</v>
      </c>
    </row>
    <row r="141" spans="1:11" ht="14.4" customHeight="1" thickBot="1" x14ac:dyDescent="0.35">
      <c r="A141" s="415" t="s">
        <v>402</v>
      </c>
      <c r="B141" s="396">
        <v>29754.1097563564</v>
      </c>
      <c r="C141" s="396">
        <v>29106.618689999999</v>
      </c>
      <c r="D141" s="397">
        <v>-647.49106635644796</v>
      </c>
      <c r="E141" s="398">
        <v>0.97823860059400003</v>
      </c>
      <c r="F141" s="396">
        <v>29621.5</v>
      </c>
      <c r="G141" s="397">
        <v>4936.9166666666697</v>
      </c>
      <c r="H141" s="399">
        <v>2743.8420000000001</v>
      </c>
      <c r="I141" s="396">
        <v>5161.2870000000003</v>
      </c>
      <c r="J141" s="397">
        <v>224.37033333333201</v>
      </c>
      <c r="K141" s="400">
        <v>0.174241243691</v>
      </c>
    </row>
    <row r="142" spans="1:11" ht="14.4" customHeight="1" thickBot="1" x14ac:dyDescent="0.35">
      <c r="A142" s="416" t="s">
        <v>403</v>
      </c>
      <c r="B142" s="396">
        <v>29754.1097563564</v>
      </c>
      <c r="C142" s="396">
        <v>29106.618689999999</v>
      </c>
      <c r="D142" s="397">
        <v>-647.49106635644796</v>
      </c>
      <c r="E142" s="398">
        <v>0.97823860059400003</v>
      </c>
      <c r="F142" s="396">
        <v>29621.5</v>
      </c>
      <c r="G142" s="397">
        <v>4936.9166666666697</v>
      </c>
      <c r="H142" s="399">
        <v>2743.8420000000001</v>
      </c>
      <c r="I142" s="396">
        <v>5161.2870000000003</v>
      </c>
      <c r="J142" s="397">
        <v>224.37033333333201</v>
      </c>
      <c r="K142" s="400">
        <v>0.174241243691</v>
      </c>
    </row>
    <row r="143" spans="1:11" ht="14.4" customHeight="1" thickBot="1" x14ac:dyDescent="0.35">
      <c r="A143" s="417" t="s">
        <v>404</v>
      </c>
      <c r="B143" s="401">
        <v>10078.3264069741</v>
      </c>
      <c r="C143" s="401">
        <v>9719.1640000000007</v>
      </c>
      <c r="D143" s="402">
        <v>-359.16240697404999</v>
      </c>
      <c r="E143" s="408">
        <v>0.96436289196500002</v>
      </c>
      <c r="F143" s="401">
        <v>9269.5</v>
      </c>
      <c r="G143" s="402">
        <v>1544.9166666666699</v>
      </c>
      <c r="H143" s="404">
        <v>899.64080000000001</v>
      </c>
      <c r="I143" s="401">
        <v>1730.3368</v>
      </c>
      <c r="J143" s="402">
        <v>185.42013333333301</v>
      </c>
      <c r="K143" s="409">
        <v>0.18666991747100001</v>
      </c>
    </row>
    <row r="144" spans="1:11" ht="14.4" customHeight="1" thickBot="1" x14ac:dyDescent="0.35">
      <c r="A144" s="418" t="s">
        <v>405</v>
      </c>
      <c r="B144" s="396">
        <v>2.3760253773320001</v>
      </c>
      <c r="C144" s="396">
        <v>33.20928</v>
      </c>
      <c r="D144" s="397">
        <v>30.833254622666999</v>
      </c>
      <c r="E144" s="398">
        <v>13.976820414804999</v>
      </c>
      <c r="F144" s="396">
        <v>30</v>
      </c>
      <c r="G144" s="397">
        <v>5</v>
      </c>
      <c r="H144" s="399">
        <v>3.5640000000000001</v>
      </c>
      <c r="I144" s="396">
        <v>9.0719999999999992</v>
      </c>
      <c r="J144" s="397">
        <v>4.0720000000000001</v>
      </c>
      <c r="K144" s="400">
        <v>0.3024</v>
      </c>
    </row>
    <row r="145" spans="1:11" ht="14.4" customHeight="1" thickBot="1" x14ac:dyDescent="0.35">
      <c r="A145" s="418" t="s">
        <v>406</v>
      </c>
      <c r="B145" s="396">
        <v>27.565708133326002</v>
      </c>
      <c r="C145" s="396">
        <v>35.164999999999999</v>
      </c>
      <c r="D145" s="397">
        <v>7.5992918666730001</v>
      </c>
      <c r="E145" s="398">
        <v>1.2756791818990001</v>
      </c>
      <c r="F145" s="396">
        <v>40</v>
      </c>
      <c r="G145" s="397">
        <v>6.6666666666659999</v>
      </c>
      <c r="H145" s="399">
        <v>5.8000000000000003E-2</v>
      </c>
      <c r="I145" s="396">
        <v>2.1040000000000001</v>
      </c>
      <c r="J145" s="397">
        <v>-4.5626666666659998</v>
      </c>
      <c r="K145" s="400">
        <v>5.2600000000000001E-2</v>
      </c>
    </row>
    <row r="146" spans="1:11" ht="14.4" customHeight="1" thickBot="1" x14ac:dyDescent="0.35">
      <c r="A146" s="418" t="s">
        <v>407</v>
      </c>
      <c r="B146" s="396">
        <v>10048.384673463401</v>
      </c>
      <c r="C146" s="396">
        <v>9650.7897200000007</v>
      </c>
      <c r="D146" s="397">
        <v>-397.59495346339099</v>
      </c>
      <c r="E146" s="398">
        <v>0.96043195335499998</v>
      </c>
      <c r="F146" s="396">
        <v>9199.5</v>
      </c>
      <c r="G146" s="397">
        <v>1533.25</v>
      </c>
      <c r="H146" s="399">
        <v>896.01880000000006</v>
      </c>
      <c r="I146" s="396">
        <v>1719.1608000000001</v>
      </c>
      <c r="J146" s="397">
        <v>185.910799999999</v>
      </c>
      <c r="K146" s="400">
        <v>0.186875460622</v>
      </c>
    </row>
    <row r="147" spans="1:11" ht="14.4" customHeight="1" thickBot="1" x14ac:dyDescent="0.35">
      <c r="A147" s="417" t="s">
        <v>408</v>
      </c>
      <c r="B147" s="401">
        <v>6252.7820034762099</v>
      </c>
      <c r="C147" s="401">
        <v>5729.7915999999996</v>
      </c>
      <c r="D147" s="402">
        <v>-522.99040347621201</v>
      </c>
      <c r="E147" s="408">
        <v>0.91635876587599996</v>
      </c>
      <c r="F147" s="401">
        <v>5894</v>
      </c>
      <c r="G147" s="402">
        <v>982.33333333333303</v>
      </c>
      <c r="H147" s="404">
        <v>541.32799999999997</v>
      </c>
      <c r="I147" s="401">
        <v>983.53300000000002</v>
      </c>
      <c r="J147" s="402">
        <v>1.1996666666660001</v>
      </c>
      <c r="K147" s="409">
        <v>0.16687020698999999</v>
      </c>
    </row>
    <row r="148" spans="1:11" ht="14.4" customHeight="1" thickBot="1" x14ac:dyDescent="0.35">
      <c r="A148" s="418" t="s">
        <v>409</v>
      </c>
      <c r="B148" s="396">
        <v>6241.00062577669</v>
      </c>
      <c r="C148" s="396">
        <v>5726.1346000000003</v>
      </c>
      <c r="D148" s="397">
        <v>-514.866025776691</v>
      </c>
      <c r="E148" s="398">
        <v>0.91750264794799996</v>
      </c>
      <c r="F148" s="396">
        <v>5887</v>
      </c>
      <c r="G148" s="397">
        <v>981.16666666666697</v>
      </c>
      <c r="H148" s="399">
        <v>540.14800000000002</v>
      </c>
      <c r="I148" s="396">
        <v>983.50300000000004</v>
      </c>
      <c r="J148" s="397">
        <v>2.3363333333330001</v>
      </c>
      <c r="K148" s="400">
        <v>0.16706352981100001</v>
      </c>
    </row>
    <row r="149" spans="1:11" ht="14.4" customHeight="1" thickBot="1" x14ac:dyDescent="0.35">
      <c r="A149" s="418" t="s">
        <v>410</v>
      </c>
      <c r="B149" s="396">
        <v>11.781377699521</v>
      </c>
      <c r="C149" s="396">
        <v>3.657</v>
      </c>
      <c r="D149" s="397">
        <v>-8.1243776995210002</v>
      </c>
      <c r="E149" s="398">
        <v>0.31040512351499999</v>
      </c>
      <c r="F149" s="396">
        <v>7</v>
      </c>
      <c r="G149" s="397">
        <v>1.1666666666659999</v>
      </c>
      <c r="H149" s="399">
        <v>1.18</v>
      </c>
      <c r="I149" s="396">
        <v>0.03</v>
      </c>
      <c r="J149" s="397">
        <v>-1.1366666666659999</v>
      </c>
      <c r="K149" s="400">
        <v>4.2857142849999997E-3</v>
      </c>
    </row>
    <row r="150" spans="1:11" ht="14.4" customHeight="1" thickBot="1" x14ac:dyDescent="0.35">
      <c r="A150" s="417" t="s">
        <v>411</v>
      </c>
      <c r="B150" s="401">
        <v>13423.001345906199</v>
      </c>
      <c r="C150" s="401">
        <v>13671.55255</v>
      </c>
      <c r="D150" s="402">
        <v>248.551204093812</v>
      </c>
      <c r="E150" s="408">
        <v>1.018516812871</v>
      </c>
      <c r="F150" s="401">
        <v>14458</v>
      </c>
      <c r="G150" s="402">
        <v>2409.6666666666702</v>
      </c>
      <c r="H150" s="404">
        <v>1302.8732</v>
      </c>
      <c r="I150" s="401">
        <v>2447.4171999999999</v>
      </c>
      <c r="J150" s="402">
        <v>37.750533333332001</v>
      </c>
      <c r="K150" s="409">
        <v>0.169277714759</v>
      </c>
    </row>
    <row r="151" spans="1:11" ht="14.4" customHeight="1" thickBot="1" x14ac:dyDescent="0.35">
      <c r="A151" s="418" t="s">
        <v>412</v>
      </c>
      <c r="B151" s="396">
        <v>13423.001345906199</v>
      </c>
      <c r="C151" s="396">
        <v>13671.55255</v>
      </c>
      <c r="D151" s="397">
        <v>248.551204093812</v>
      </c>
      <c r="E151" s="398">
        <v>1.018516812871</v>
      </c>
      <c r="F151" s="396">
        <v>14458</v>
      </c>
      <c r="G151" s="397">
        <v>2409.6666666666702</v>
      </c>
      <c r="H151" s="399">
        <v>1302.8732</v>
      </c>
      <c r="I151" s="396">
        <v>2447.4171999999999</v>
      </c>
      <c r="J151" s="397">
        <v>37.750533333332001</v>
      </c>
      <c r="K151" s="400">
        <v>0.169277714759</v>
      </c>
    </row>
    <row r="152" spans="1:11" ht="14.4" customHeight="1" thickBot="1" x14ac:dyDescent="0.35">
      <c r="A152" s="417" t="s">
        <v>413</v>
      </c>
      <c r="B152" s="401">
        <v>0</v>
      </c>
      <c r="C152" s="401">
        <v>-13.88946</v>
      </c>
      <c r="D152" s="402">
        <v>-13.88946</v>
      </c>
      <c r="E152" s="403" t="s">
        <v>297</v>
      </c>
      <c r="F152" s="401">
        <v>0</v>
      </c>
      <c r="G152" s="402">
        <v>0</v>
      </c>
      <c r="H152" s="404">
        <v>0</v>
      </c>
      <c r="I152" s="401">
        <v>0</v>
      </c>
      <c r="J152" s="402">
        <v>0</v>
      </c>
      <c r="K152" s="405" t="s">
        <v>269</v>
      </c>
    </row>
    <row r="153" spans="1:11" ht="14.4" customHeight="1" thickBot="1" x14ac:dyDescent="0.35">
      <c r="A153" s="418" t="s">
        <v>414</v>
      </c>
      <c r="B153" s="396">
        <v>0</v>
      </c>
      <c r="C153" s="396">
        <v>-13.88946</v>
      </c>
      <c r="D153" s="397">
        <v>-13.88946</v>
      </c>
      <c r="E153" s="406" t="s">
        <v>297</v>
      </c>
      <c r="F153" s="396">
        <v>0</v>
      </c>
      <c r="G153" s="397">
        <v>0</v>
      </c>
      <c r="H153" s="399">
        <v>0</v>
      </c>
      <c r="I153" s="396">
        <v>0</v>
      </c>
      <c r="J153" s="397">
        <v>0</v>
      </c>
      <c r="K153" s="407" t="s">
        <v>269</v>
      </c>
    </row>
    <row r="154" spans="1:11" ht="14.4" customHeight="1" thickBot="1" x14ac:dyDescent="0.35">
      <c r="A154" s="415" t="s">
        <v>415</v>
      </c>
      <c r="B154" s="396">
        <v>294.04401546941898</v>
      </c>
      <c r="C154" s="396">
        <v>313.50344000000001</v>
      </c>
      <c r="D154" s="397">
        <v>19.459424530580002</v>
      </c>
      <c r="E154" s="398">
        <v>1.066178611047</v>
      </c>
      <c r="F154" s="396">
        <v>1.3842257532110001</v>
      </c>
      <c r="G154" s="397">
        <v>0.230704292201</v>
      </c>
      <c r="H154" s="399">
        <v>28.27319</v>
      </c>
      <c r="I154" s="396">
        <v>77.947000000000003</v>
      </c>
      <c r="J154" s="397">
        <v>77.716295707797997</v>
      </c>
      <c r="K154" s="400">
        <v>56.310901469036999</v>
      </c>
    </row>
    <row r="155" spans="1:11" ht="14.4" customHeight="1" thickBot="1" x14ac:dyDescent="0.35">
      <c r="A155" s="421" t="s">
        <v>416</v>
      </c>
      <c r="B155" s="401">
        <v>294.04401546941898</v>
      </c>
      <c r="C155" s="401">
        <v>313.50344000000001</v>
      </c>
      <c r="D155" s="402">
        <v>19.459424530580002</v>
      </c>
      <c r="E155" s="408">
        <v>1.066178611047</v>
      </c>
      <c r="F155" s="401">
        <v>1.3842257532110001</v>
      </c>
      <c r="G155" s="402">
        <v>0.230704292201</v>
      </c>
      <c r="H155" s="404">
        <v>28.27319</v>
      </c>
      <c r="I155" s="401">
        <v>77.947000000000003</v>
      </c>
      <c r="J155" s="402">
        <v>77.716295707797997</v>
      </c>
      <c r="K155" s="409">
        <v>56.310901469036999</v>
      </c>
    </row>
    <row r="156" spans="1:11" ht="14.4" customHeight="1" thickBot="1" x14ac:dyDescent="0.35">
      <c r="A156" s="417" t="s">
        <v>417</v>
      </c>
      <c r="B156" s="401">
        <v>0</v>
      </c>
      <c r="C156" s="401">
        <v>15.904540000000001</v>
      </c>
      <c r="D156" s="402">
        <v>15.904540000000001</v>
      </c>
      <c r="E156" s="403" t="s">
        <v>269</v>
      </c>
      <c r="F156" s="401">
        <v>0</v>
      </c>
      <c r="G156" s="402">
        <v>0</v>
      </c>
      <c r="H156" s="404">
        <v>6.0000000000000002E-5</v>
      </c>
      <c r="I156" s="401">
        <v>1.7000000000000001E-4</v>
      </c>
      <c r="J156" s="402">
        <v>1.7000000000000001E-4</v>
      </c>
      <c r="K156" s="405" t="s">
        <v>269</v>
      </c>
    </row>
    <row r="157" spans="1:11" ht="14.4" customHeight="1" thickBot="1" x14ac:dyDescent="0.35">
      <c r="A157" s="418" t="s">
        <v>418</v>
      </c>
      <c r="B157" s="396">
        <v>0</v>
      </c>
      <c r="C157" s="396">
        <v>5.4000000000000001E-4</v>
      </c>
      <c r="D157" s="397">
        <v>5.4000000000000001E-4</v>
      </c>
      <c r="E157" s="406" t="s">
        <v>269</v>
      </c>
      <c r="F157" s="396">
        <v>0</v>
      </c>
      <c r="G157" s="397">
        <v>0</v>
      </c>
      <c r="H157" s="399">
        <v>6.0000000000000002E-5</v>
      </c>
      <c r="I157" s="396">
        <v>1.7000000000000001E-4</v>
      </c>
      <c r="J157" s="397">
        <v>1.7000000000000001E-4</v>
      </c>
      <c r="K157" s="407" t="s">
        <v>269</v>
      </c>
    </row>
    <row r="158" spans="1:11" ht="14.4" customHeight="1" thickBot="1" x14ac:dyDescent="0.35">
      <c r="A158" s="418" t="s">
        <v>419</v>
      </c>
      <c r="B158" s="396">
        <v>0</v>
      </c>
      <c r="C158" s="396">
        <v>12.35</v>
      </c>
      <c r="D158" s="397">
        <v>12.35</v>
      </c>
      <c r="E158" s="406" t="s">
        <v>297</v>
      </c>
      <c r="F158" s="396">
        <v>0</v>
      </c>
      <c r="G158" s="397">
        <v>0</v>
      </c>
      <c r="H158" s="399">
        <v>0</v>
      </c>
      <c r="I158" s="396">
        <v>0</v>
      </c>
      <c r="J158" s="397">
        <v>0</v>
      </c>
      <c r="K158" s="407" t="s">
        <v>269</v>
      </c>
    </row>
    <row r="159" spans="1:11" ht="14.4" customHeight="1" thickBot="1" x14ac:dyDescent="0.35">
      <c r="A159" s="418" t="s">
        <v>420</v>
      </c>
      <c r="B159" s="396">
        <v>0</v>
      </c>
      <c r="C159" s="396">
        <v>3.5539999999999998</v>
      </c>
      <c r="D159" s="397">
        <v>3.5539999999999998</v>
      </c>
      <c r="E159" s="406" t="s">
        <v>297</v>
      </c>
      <c r="F159" s="396">
        <v>0</v>
      </c>
      <c r="G159" s="397">
        <v>0</v>
      </c>
      <c r="H159" s="399">
        <v>0</v>
      </c>
      <c r="I159" s="396">
        <v>0</v>
      </c>
      <c r="J159" s="397">
        <v>0</v>
      </c>
      <c r="K159" s="407" t="s">
        <v>269</v>
      </c>
    </row>
    <row r="160" spans="1:11" ht="14.4" customHeight="1" thickBot="1" x14ac:dyDescent="0.35">
      <c r="A160" s="417" t="s">
        <v>421</v>
      </c>
      <c r="B160" s="401">
        <v>294.04401546941898</v>
      </c>
      <c r="C160" s="401">
        <v>297.59890000000001</v>
      </c>
      <c r="D160" s="402">
        <v>3.5548845305799999</v>
      </c>
      <c r="E160" s="408">
        <v>1.012089634012</v>
      </c>
      <c r="F160" s="401">
        <v>1.3842257532110001</v>
      </c>
      <c r="G160" s="402">
        <v>0.230704292201</v>
      </c>
      <c r="H160" s="404">
        <v>28.273129999999998</v>
      </c>
      <c r="I160" s="401">
        <v>77.946830000000006</v>
      </c>
      <c r="J160" s="402">
        <v>77.716125707798</v>
      </c>
      <c r="K160" s="409">
        <v>56.310778656700002</v>
      </c>
    </row>
    <row r="161" spans="1:11" ht="14.4" customHeight="1" thickBot="1" x14ac:dyDescent="0.35">
      <c r="A161" s="418" t="s">
        <v>422</v>
      </c>
      <c r="B161" s="396">
        <v>1.674890349697</v>
      </c>
      <c r="C161" s="396">
        <v>1.401</v>
      </c>
      <c r="D161" s="397">
        <v>-0.27389034969699999</v>
      </c>
      <c r="E161" s="398">
        <v>0.83647266834699996</v>
      </c>
      <c r="F161" s="396">
        <v>1.3842257532110001</v>
      </c>
      <c r="G161" s="397">
        <v>0.230704292201</v>
      </c>
      <c r="H161" s="399">
        <v>0.17399999999999999</v>
      </c>
      <c r="I161" s="396">
        <v>0.26100000000000001</v>
      </c>
      <c r="J161" s="397">
        <v>3.0295707798000001E-2</v>
      </c>
      <c r="K161" s="400">
        <v>0.188553058917</v>
      </c>
    </row>
    <row r="162" spans="1:11" ht="14.4" customHeight="1" thickBot="1" x14ac:dyDescent="0.35">
      <c r="A162" s="418" t="s">
        <v>423</v>
      </c>
      <c r="B162" s="396">
        <v>292.36912511972201</v>
      </c>
      <c r="C162" s="396">
        <v>296.1979</v>
      </c>
      <c r="D162" s="397">
        <v>3.8287748802779999</v>
      </c>
      <c r="E162" s="398">
        <v>1.013095688126</v>
      </c>
      <c r="F162" s="396">
        <v>0</v>
      </c>
      <c r="G162" s="397">
        <v>0</v>
      </c>
      <c r="H162" s="399">
        <v>28.099129999999999</v>
      </c>
      <c r="I162" s="396">
        <v>77.685829999999996</v>
      </c>
      <c r="J162" s="397">
        <v>77.685829999999996</v>
      </c>
      <c r="K162" s="407" t="s">
        <v>269</v>
      </c>
    </row>
    <row r="163" spans="1:11" ht="14.4" customHeight="1" thickBot="1" x14ac:dyDescent="0.35">
      <c r="A163" s="414" t="s">
        <v>424</v>
      </c>
      <c r="B163" s="396">
        <v>3766.3125080807699</v>
      </c>
      <c r="C163" s="396">
        <v>3814.43525</v>
      </c>
      <c r="D163" s="397">
        <v>48.122741919229</v>
      </c>
      <c r="E163" s="398">
        <v>1.0127771505459999</v>
      </c>
      <c r="F163" s="396">
        <v>0</v>
      </c>
      <c r="G163" s="397">
        <v>0</v>
      </c>
      <c r="H163" s="399">
        <v>279.25601</v>
      </c>
      <c r="I163" s="396">
        <v>557.44749999999999</v>
      </c>
      <c r="J163" s="397">
        <v>557.44749999999999</v>
      </c>
      <c r="K163" s="407" t="s">
        <v>297</v>
      </c>
    </row>
    <row r="164" spans="1:11" ht="14.4" customHeight="1" thickBot="1" x14ac:dyDescent="0.35">
      <c r="A164" s="419" t="s">
        <v>425</v>
      </c>
      <c r="B164" s="401">
        <v>3766.3125080807699</v>
      </c>
      <c r="C164" s="401">
        <v>3814.43525</v>
      </c>
      <c r="D164" s="402">
        <v>48.122741919229</v>
      </c>
      <c r="E164" s="408">
        <v>1.0127771505459999</v>
      </c>
      <c r="F164" s="401">
        <v>0</v>
      </c>
      <c r="G164" s="402">
        <v>0</v>
      </c>
      <c r="H164" s="404">
        <v>279.25601</v>
      </c>
      <c r="I164" s="401">
        <v>557.44749999999999</v>
      </c>
      <c r="J164" s="402">
        <v>557.44749999999999</v>
      </c>
      <c r="K164" s="405" t="s">
        <v>297</v>
      </c>
    </row>
    <row r="165" spans="1:11" ht="14.4" customHeight="1" thickBot="1" x14ac:dyDescent="0.35">
      <c r="A165" s="421" t="s">
        <v>41</v>
      </c>
      <c r="B165" s="401">
        <v>3766.3125080807699</v>
      </c>
      <c r="C165" s="401">
        <v>3814.43525</v>
      </c>
      <c r="D165" s="402">
        <v>48.122741919229</v>
      </c>
      <c r="E165" s="408">
        <v>1.0127771505459999</v>
      </c>
      <c r="F165" s="401">
        <v>0</v>
      </c>
      <c r="G165" s="402">
        <v>0</v>
      </c>
      <c r="H165" s="404">
        <v>279.25601</v>
      </c>
      <c r="I165" s="401">
        <v>557.44749999999999</v>
      </c>
      <c r="J165" s="402">
        <v>557.44749999999999</v>
      </c>
      <c r="K165" s="405" t="s">
        <v>297</v>
      </c>
    </row>
    <row r="166" spans="1:11" ht="14.4" customHeight="1" thickBot="1" x14ac:dyDescent="0.35">
      <c r="A166" s="420" t="s">
        <v>426</v>
      </c>
      <c r="B166" s="396">
        <v>0</v>
      </c>
      <c r="C166" s="396">
        <v>0</v>
      </c>
      <c r="D166" s="397">
        <v>0</v>
      </c>
      <c r="E166" s="398">
        <v>1</v>
      </c>
      <c r="F166" s="396">
        <v>0</v>
      </c>
      <c r="G166" s="397">
        <v>0</v>
      </c>
      <c r="H166" s="399">
        <v>1.1646799999999999</v>
      </c>
      <c r="I166" s="396">
        <v>3.8340900000000002</v>
      </c>
      <c r="J166" s="397">
        <v>3.8340900000000002</v>
      </c>
      <c r="K166" s="407" t="s">
        <v>297</v>
      </c>
    </row>
    <row r="167" spans="1:11" ht="14.4" customHeight="1" thickBot="1" x14ac:dyDescent="0.35">
      <c r="A167" s="418" t="s">
        <v>427</v>
      </c>
      <c r="B167" s="396">
        <v>0</v>
      </c>
      <c r="C167" s="396">
        <v>0</v>
      </c>
      <c r="D167" s="397">
        <v>0</v>
      </c>
      <c r="E167" s="398">
        <v>1</v>
      </c>
      <c r="F167" s="396">
        <v>0</v>
      </c>
      <c r="G167" s="397">
        <v>0</v>
      </c>
      <c r="H167" s="399">
        <v>1.1646799999999999</v>
      </c>
      <c r="I167" s="396">
        <v>3.8340900000000002</v>
      </c>
      <c r="J167" s="397">
        <v>3.8340900000000002</v>
      </c>
      <c r="K167" s="407" t="s">
        <v>297</v>
      </c>
    </row>
    <row r="168" spans="1:11" ht="14.4" customHeight="1" thickBot="1" x14ac:dyDescent="0.35">
      <c r="A168" s="417" t="s">
        <v>428</v>
      </c>
      <c r="B168" s="401">
        <v>50.835875060672997</v>
      </c>
      <c r="C168" s="401">
        <v>47.015999999999998</v>
      </c>
      <c r="D168" s="402">
        <v>-3.8198750606730001</v>
      </c>
      <c r="E168" s="408">
        <v>0.92485867399499999</v>
      </c>
      <c r="F168" s="401">
        <v>0</v>
      </c>
      <c r="G168" s="402">
        <v>0</v>
      </c>
      <c r="H168" s="404">
        <v>4.6779999999999999</v>
      </c>
      <c r="I168" s="401">
        <v>8.5960000000000001</v>
      </c>
      <c r="J168" s="402">
        <v>8.5960000000000001</v>
      </c>
      <c r="K168" s="405" t="s">
        <v>297</v>
      </c>
    </row>
    <row r="169" spans="1:11" ht="14.4" customHeight="1" thickBot="1" x14ac:dyDescent="0.35">
      <c r="A169" s="418" t="s">
        <v>429</v>
      </c>
      <c r="B169" s="396">
        <v>50.835875060672997</v>
      </c>
      <c r="C169" s="396">
        <v>47.015999999999998</v>
      </c>
      <c r="D169" s="397">
        <v>-3.8198750606730001</v>
      </c>
      <c r="E169" s="398">
        <v>0.92485867399499999</v>
      </c>
      <c r="F169" s="396">
        <v>0</v>
      </c>
      <c r="G169" s="397">
        <v>0</v>
      </c>
      <c r="H169" s="399">
        <v>4.6779999999999999</v>
      </c>
      <c r="I169" s="396">
        <v>8.5960000000000001</v>
      </c>
      <c r="J169" s="397">
        <v>8.5960000000000001</v>
      </c>
      <c r="K169" s="407" t="s">
        <v>297</v>
      </c>
    </row>
    <row r="170" spans="1:11" ht="14.4" customHeight="1" thickBot="1" x14ac:dyDescent="0.35">
      <c r="A170" s="417" t="s">
        <v>430</v>
      </c>
      <c r="B170" s="401">
        <v>89.918518263607993</v>
      </c>
      <c r="C170" s="401">
        <v>85.131159999999994</v>
      </c>
      <c r="D170" s="402">
        <v>-4.7873582636069996</v>
      </c>
      <c r="E170" s="408">
        <v>0.94675892845999998</v>
      </c>
      <c r="F170" s="401">
        <v>0</v>
      </c>
      <c r="G170" s="402">
        <v>0</v>
      </c>
      <c r="H170" s="404">
        <v>7.7685399999999998</v>
      </c>
      <c r="I170" s="401">
        <v>12.534179999999999</v>
      </c>
      <c r="J170" s="402">
        <v>12.534179999999999</v>
      </c>
      <c r="K170" s="405" t="s">
        <v>297</v>
      </c>
    </row>
    <row r="171" spans="1:11" ht="14.4" customHeight="1" thickBot="1" x14ac:dyDescent="0.35">
      <c r="A171" s="418" t="s">
        <v>431</v>
      </c>
      <c r="B171" s="396">
        <v>41.876389848820999</v>
      </c>
      <c r="C171" s="396">
        <v>44.4</v>
      </c>
      <c r="D171" s="397">
        <v>2.523610151178</v>
      </c>
      <c r="E171" s="398">
        <v>1.060263316878</v>
      </c>
      <c r="F171" s="396">
        <v>0</v>
      </c>
      <c r="G171" s="397">
        <v>0</v>
      </c>
      <c r="H171" s="399">
        <v>4.4400000000000004</v>
      </c>
      <c r="I171" s="396">
        <v>6.29</v>
      </c>
      <c r="J171" s="397">
        <v>6.29</v>
      </c>
      <c r="K171" s="407" t="s">
        <v>297</v>
      </c>
    </row>
    <row r="172" spans="1:11" ht="14.4" customHeight="1" thickBot="1" x14ac:dyDescent="0.35">
      <c r="A172" s="418" t="s">
        <v>432</v>
      </c>
      <c r="B172" s="396">
        <v>0</v>
      </c>
      <c r="C172" s="396">
        <v>0.1431</v>
      </c>
      <c r="D172" s="397">
        <v>0.1431</v>
      </c>
      <c r="E172" s="406" t="s">
        <v>297</v>
      </c>
      <c r="F172" s="396">
        <v>0</v>
      </c>
      <c r="G172" s="397">
        <v>0</v>
      </c>
      <c r="H172" s="399">
        <v>5.3600000000000002E-2</v>
      </c>
      <c r="I172" s="396">
        <v>5.3600000000000002E-2</v>
      </c>
      <c r="J172" s="397">
        <v>5.3600000000000002E-2</v>
      </c>
      <c r="K172" s="407" t="s">
        <v>297</v>
      </c>
    </row>
    <row r="173" spans="1:11" ht="14.4" customHeight="1" thickBot="1" x14ac:dyDescent="0.35">
      <c r="A173" s="418" t="s">
        <v>433</v>
      </c>
      <c r="B173" s="396">
        <v>48.042128414785999</v>
      </c>
      <c r="C173" s="396">
        <v>40.588059999999999</v>
      </c>
      <c r="D173" s="397">
        <v>-7.4540684147859997</v>
      </c>
      <c r="E173" s="398">
        <v>0.84484308541800002</v>
      </c>
      <c r="F173" s="396">
        <v>0</v>
      </c>
      <c r="G173" s="397">
        <v>0</v>
      </c>
      <c r="H173" s="399">
        <v>3.27494</v>
      </c>
      <c r="I173" s="396">
        <v>6.1905799999999997</v>
      </c>
      <c r="J173" s="397">
        <v>6.1905799999999997</v>
      </c>
      <c r="K173" s="407" t="s">
        <v>297</v>
      </c>
    </row>
    <row r="174" spans="1:11" ht="14.4" customHeight="1" thickBot="1" x14ac:dyDescent="0.35">
      <c r="A174" s="417" t="s">
        <v>434</v>
      </c>
      <c r="B174" s="401">
        <v>174.76401946244701</v>
      </c>
      <c r="C174" s="401">
        <v>160.78190000000001</v>
      </c>
      <c r="D174" s="402">
        <v>-13.982119462446001</v>
      </c>
      <c r="E174" s="408">
        <v>0.91999428998300004</v>
      </c>
      <c r="F174" s="401">
        <v>0</v>
      </c>
      <c r="G174" s="402">
        <v>0</v>
      </c>
      <c r="H174" s="404">
        <v>13.8767</v>
      </c>
      <c r="I174" s="401">
        <v>30.023099999999999</v>
      </c>
      <c r="J174" s="402">
        <v>30.023099999999999</v>
      </c>
      <c r="K174" s="405" t="s">
        <v>297</v>
      </c>
    </row>
    <row r="175" spans="1:11" ht="14.4" customHeight="1" thickBot="1" x14ac:dyDescent="0.35">
      <c r="A175" s="418" t="s">
        <v>435</v>
      </c>
      <c r="B175" s="396">
        <v>174.76401946244701</v>
      </c>
      <c r="C175" s="396">
        <v>160.78190000000001</v>
      </c>
      <c r="D175" s="397">
        <v>-13.982119462446001</v>
      </c>
      <c r="E175" s="398">
        <v>0.91999428998300004</v>
      </c>
      <c r="F175" s="396">
        <v>0</v>
      </c>
      <c r="G175" s="397">
        <v>0</v>
      </c>
      <c r="H175" s="399">
        <v>13.8767</v>
      </c>
      <c r="I175" s="396">
        <v>30.023099999999999</v>
      </c>
      <c r="J175" s="397">
        <v>30.023099999999999</v>
      </c>
      <c r="K175" s="407" t="s">
        <v>297</v>
      </c>
    </row>
    <row r="176" spans="1:11" ht="14.4" customHeight="1" thickBot="1" x14ac:dyDescent="0.35">
      <c r="A176" s="417" t="s">
        <v>436</v>
      </c>
      <c r="B176" s="401">
        <v>0</v>
      </c>
      <c r="C176" s="401">
        <v>5.726</v>
      </c>
      <c r="D176" s="402">
        <v>5.726</v>
      </c>
      <c r="E176" s="403" t="s">
        <v>297</v>
      </c>
      <c r="F176" s="401">
        <v>0</v>
      </c>
      <c r="G176" s="402">
        <v>0</v>
      </c>
      <c r="H176" s="404">
        <v>0.498</v>
      </c>
      <c r="I176" s="401">
        <v>1.522</v>
      </c>
      <c r="J176" s="402">
        <v>1.522</v>
      </c>
      <c r="K176" s="405" t="s">
        <v>297</v>
      </c>
    </row>
    <row r="177" spans="1:11" ht="14.4" customHeight="1" thickBot="1" x14ac:dyDescent="0.35">
      <c r="A177" s="418" t="s">
        <v>437</v>
      </c>
      <c r="B177" s="396">
        <v>0</v>
      </c>
      <c r="C177" s="396">
        <v>5.726</v>
      </c>
      <c r="D177" s="397">
        <v>5.726</v>
      </c>
      <c r="E177" s="406" t="s">
        <v>297</v>
      </c>
      <c r="F177" s="396">
        <v>0</v>
      </c>
      <c r="G177" s="397">
        <v>0</v>
      </c>
      <c r="H177" s="399">
        <v>0.498</v>
      </c>
      <c r="I177" s="396">
        <v>1.522</v>
      </c>
      <c r="J177" s="397">
        <v>1.522</v>
      </c>
      <c r="K177" s="407" t="s">
        <v>297</v>
      </c>
    </row>
    <row r="178" spans="1:11" ht="14.4" customHeight="1" thickBot="1" x14ac:dyDescent="0.35">
      <c r="A178" s="417" t="s">
        <v>438</v>
      </c>
      <c r="B178" s="401">
        <v>470.75036372250798</v>
      </c>
      <c r="C178" s="401">
        <v>450.40825999999998</v>
      </c>
      <c r="D178" s="402">
        <v>-20.342103722508</v>
      </c>
      <c r="E178" s="408">
        <v>0.95678791714199996</v>
      </c>
      <c r="F178" s="401">
        <v>0</v>
      </c>
      <c r="G178" s="402">
        <v>0</v>
      </c>
      <c r="H178" s="404">
        <v>27.650459999999999</v>
      </c>
      <c r="I178" s="401">
        <v>56.648820000000001</v>
      </c>
      <c r="J178" s="402">
        <v>56.648820000000001</v>
      </c>
      <c r="K178" s="405" t="s">
        <v>297</v>
      </c>
    </row>
    <row r="179" spans="1:11" ht="14.4" customHeight="1" thickBot="1" x14ac:dyDescent="0.35">
      <c r="A179" s="418" t="s">
        <v>439</v>
      </c>
      <c r="B179" s="396">
        <v>470.75036372250798</v>
      </c>
      <c r="C179" s="396">
        <v>450.40825999999998</v>
      </c>
      <c r="D179" s="397">
        <v>-20.342103722508</v>
      </c>
      <c r="E179" s="398">
        <v>0.95678791714199996</v>
      </c>
      <c r="F179" s="396">
        <v>0</v>
      </c>
      <c r="G179" s="397">
        <v>0</v>
      </c>
      <c r="H179" s="399">
        <v>27.650459999999999</v>
      </c>
      <c r="I179" s="396">
        <v>56.648820000000001</v>
      </c>
      <c r="J179" s="397">
        <v>56.648820000000001</v>
      </c>
      <c r="K179" s="407" t="s">
        <v>297</v>
      </c>
    </row>
    <row r="180" spans="1:11" ht="14.4" customHeight="1" thickBot="1" x14ac:dyDescent="0.35">
      <c r="A180" s="417" t="s">
        <v>440</v>
      </c>
      <c r="B180" s="401">
        <v>2980.0437315715299</v>
      </c>
      <c r="C180" s="401">
        <v>3065.3719299999998</v>
      </c>
      <c r="D180" s="402">
        <v>85.328198428465001</v>
      </c>
      <c r="E180" s="408">
        <v>1.0286332034400001</v>
      </c>
      <c r="F180" s="401">
        <v>0</v>
      </c>
      <c r="G180" s="402">
        <v>0</v>
      </c>
      <c r="H180" s="404">
        <v>223.61963</v>
      </c>
      <c r="I180" s="401">
        <v>444.28931</v>
      </c>
      <c r="J180" s="402">
        <v>444.28931</v>
      </c>
      <c r="K180" s="405" t="s">
        <v>297</v>
      </c>
    </row>
    <row r="181" spans="1:11" ht="14.4" customHeight="1" thickBot="1" x14ac:dyDescent="0.35">
      <c r="A181" s="418" t="s">
        <v>441</v>
      </c>
      <c r="B181" s="396">
        <v>2980.0437315715299</v>
      </c>
      <c r="C181" s="396">
        <v>3065.3719299999998</v>
      </c>
      <c r="D181" s="397">
        <v>85.328198428465001</v>
      </c>
      <c r="E181" s="398">
        <v>1.0286332034400001</v>
      </c>
      <c r="F181" s="396">
        <v>0</v>
      </c>
      <c r="G181" s="397">
        <v>0</v>
      </c>
      <c r="H181" s="399">
        <v>223.61963</v>
      </c>
      <c r="I181" s="396">
        <v>444.28931</v>
      </c>
      <c r="J181" s="397">
        <v>444.28931</v>
      </c>
      <c r="K181" s="407" t="s">
        <v>297</v>
      </c>
    </row>
    <row r="182" spans="1:11" ht="14.4" customHeight="1" thickBot="1" x14ac:dyDescent="0.35">
      <c r="A182" s="422"/>
      <c r="B182" s="396">
        <v>-12690.1004963042</v>
      </c>
      <c r="C182" s="396">
        <v>-15734.14285</v>
      </c>
      <c r="D182" s="397">
        <v>-3044.0423536958201</v>
      </c>
      <c r="E182" s="398">
        <v>1.239875354382</v>
      </c>
      <c r="F182" s="396">
        <v>-11109.7381033941</v>
      </c>
      <c r="G182" s="397">
        <v>-1851.6230172323501</v>
      </c>
      <c r="H182" s="399">
        <v>-955.05554000000097</v>
      </c>
      <c r="I182" s="396">
        <v>-2117.0746600000002</v>
      </c>
      <c r="J182" s="397">
        <v>-265.45164276765098</v>
      </c>
      <c r="K182" s="400">
        <v>0.19056026706400001</v>
      </c>
    </row>
    <row r="183" spans="1:11" ht="14.4" customHeight="1" thickBot="1" x14ac:dyDescent="0.35">
      <c r="A183" s="423" t="s">
        <v>53</v>
      </c>
      <c r="B183" s="410">
        <v>-12690.1004963042</v>
      </c>
      <c r="C183" s="410">
        <v>-15734.14285</v>
      </c>
      <c r="D183" s="411">
        <v>-3044.0423536958201</v>
      </c>
      <c r="E183" s="412">
        <v>-1.0944367787110001</v>
      </c>
      <c r="F183" s="410">
        <v>-11109.7381033941</v>
      </c>
      <c r="G183" s="411">
        <v>-1851.6230172323501</v>
      </c>
      <c r="H183" s="410">
        <v>-955.05554000000097</v>
      </c>
      <c r="I183" s="410">
        <v>-2117.0746600000002</v>
      </c>
      <c r="J183" s="411">
        <v>-265.45164276765098</v>
      </c>
      <c r="K183" s="413">
        <v>0.19056026706400001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1" t="s">
        <v>118</v>
      </c>
      <c r="B1" s="352"/>
      <c r="C1" s="352"/>
      <c r="D1" s="352"/>
      <c r="E1" s="352"/>
      <c r="F1" s="352"/>
      <c r="G1" s="322"/>
      <c r="H1" s="353"/>
      <c r="I1" s="353"/>
    </row>
    <row r="2" spans="1:10" ht="14.4" customHeight="1" thickBot="1" x14ac:dyDescent="0.35">
      <c r="A2" s="210" t="s">
        <v>268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314"/>
      <c r="C3" s="313">
        <v>2015</v>
      </c>
      <c r="D3" s="271">
        <v>2016</v>
      </c>
      <c r="E3" s="7"/>
      <c r="F3" s="330">
        <v>2017</v>
      </c>
      <c r="G3" s="348"/>
      <c r="H3" s="348"/>
      <c r="I3" s="331"/>
    </row>
    <row r="4" spans="1:10" ht="14.4" customHeight="1" thickBot="1" x14ac:dyDescent="0.35">
      <c r="A4" s="275" t="s">
        <v>0</v>
      </c>
      <c r="B4" s="276" t="s">
        <v>207</v>
      </c>
      <c r="C4" s="349" t="s">
        <v>60</v>
      </c>
      <c r="D4" s="35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24" t="s">
        <v>442</v>
      </c>
      <c r="B5" s="425" t="s">
        <v>443</v>
      </c>
      <c r="C5" s="426" t="s">
        <v>444</v>
      </c>
      <c r="D5" s="426" t="s">
        <v>444</v>
      </c>
      <c r="E5" s="426"/>
      <c r="F5" s="426" t="s">
        <v>444</v>
      </c>
      <c r="G5" s="426" t="s">
        <v>444</v>
      </c>
      <c r="H5" s="426" t="s">
        <v>444</v>
      </c>
      <c r="I5" s="427" t="s">
        <v>444</v>
      </c>
      <c r="J5" s="428" t="s">
        <v>56</v>
      </c>
    </row>
    <row r="6" spans="1:10" ht="14.4" customHeight="1" x14ac:dyDescent="0.3">
      <c r="A6" s="424" t="s">
        <v>442</v>
      </c>
      <c r="B6" s="425" t="s">
        <v>277</v>
      </c>
      <c r="C6" s="426">
        <v>44.866129999999998</v>
      </c>
      <c r="D6" s="426">
        <v>56.108890000000002</v>
      </c>
      <c r="E6" s="426"/>
      <c r="F6" s="426">
        <v>58.780149999999999</v>
      </c>
      <c r="G6" s="426">
        <v>44.666666666666664</v>
      </c>
      <c r="H6" s="426">
        <v>14.113483333333335</v>
      </c>
      <c r="I6" s="427">
        <v>1.3159735074626866</v>
      </c>
      <c r="J6" s="428" t="s">
        <v>1</v>
      </c>
    </row>
    <row r="7" spans="1:10" ht="14.4" customHeight="1" x14ac:dyDescent="0.3">
      <c r="A7" s="424" t="s">
        <v>442</v>
      </c>
      <c r="B7" s="425" t="s">
        <v>278</v>
      </c>
      <c r="C7" s="426">
        <v>0.52488999999999997</v>
      </c>
      <c r="D7" s="426">
        <v>0.32958999999999999</v>
      </c>
      <c r="E7" s="426"/>
      <c r="F7" s="426">
        <v>0.45972000000000002</v>
      </c>
      <c r="G7" s="426">
        <v>0.33333333333333331</v>
      </c>
      <c r="H7" s="426">
        <v>0.1263866666666667</v>
      </c>
      <c r="I7" s="427">
        <v>1.3791600000000002</v>
      </c>
      <c r="J7" s="428" t="s">
        <v>1</v>
      </c>
    </row>
    <row r="8" spans="1:10" ht="14.4" customHeight="1" x14ac:dyDescent="0.3">
      <c r="A8" s="424" t="s">
        <v>442</v>
      </c>
      <c r="B8" s="425" t="s">
        <v>279</v>
      </c>
      <c r="C8" s="426">
        <v>0.10105</v>
      </c>
      <c r="D8" s="426">
        <v>0</v>
      </c>
      <c r="E8" s="426"/>
      <c r="F8" s="426" t="s">
        <v>444</v>
      </c>
      <c r="G8" s="426" t="s">
        <v>444</v>
      </c>
      <c r="H8" s="426" t="s">
        <v>444</v>
      </c>
      <c r="I8" s="427" t="s">
        <v>444</v>
      </c>
      <c r="J8" s="428" t="s">
        <v>1</v>
      </c>
    </row>
    <row r="9" spans="1:10" ht="14.4" customHeight="1" x14ac:dyDescent="0.3">
      <c r="A9" s="424" t="s">
        <v>442</v>
      </c>
      <c r="B9" s="425" t="s">
        <v>280</v>
      </c>
      <c r="C9" s="426">
        <v>8.2071000000000005</v>
      </c>
      <c r="D9" s="426">
        <v>0</v>
      </c>
      <c r="E9" s="426"/>
      <c r="F9" s="426">
        <v>23.183999999999997</v>
      </c>
      <c r="G9" s="426">
        <v>7.5</v>
      </c>
      <c r="H9" s="426">
        <v>15.683999999999997</v>
      </c>
      <c r="I9" s="427">
        <v>3.0911999999999997</v>
      </c>
      <c r="J9" s="428" t="s">
        <v>1</v>
      </c>
    </row>
    <row r="10" spans="1:10" ht="14.4" customHeight="1" x14ac:dyDescent="0.3">
      <c r="A10" s="424" t="s">
        <v>442</v>
      </c>
      <c r="B10" s="425" t="s">
        <v>445</v>
      </c>
      <c r="C10" s="426">
        <v>53.699169999999995</v>
      </c>
      <c r="D10" s="426">
        <v>56.438480000000006</v>
      </c>
      <c r="E10" s="426"/>
      <c r="F10" s="426">
        <v>82.423869999999994</v>
      </c>
      <c r="G10" s="426">
        <v>52.5</v>
      </c>
      <c r="H10" s="426">
        <v>29.923869999999994</v>
      </c>
      <c r="I10" s="427">
        <v>1.569978476190476</v>
      </c>
      <c r="J10" s="428" t="s">
        <v>446</v>
      </c>
    </row>
    <row r="12" spans="1:10" ht="14.4" customHeight="1" x14ac:dyDescent="0.3">
      <c r="A12" s="424" t="s">
        <v>442</v>
      </c>
      <c r="B12" s="425" t="s">
        <v>443</v>
      </c>
      <c r="C12" s="426" t="s">
        <v>444</v>
      </c>
      <c r="D12" s="426" t="s">
        <v>444</v>
      </c>
      <c r="E12" s="426"/>
      <c r="F12" s="426" t="s">
        <v>444</v>
      </c>
      <c r="G12" s="426" t="s">
        <v>444</v>
      </c>
      <c r="H12" s="426" t="s">
        <v>444</v>
      </c>
      <c r="I12" s="427" t="s">
        <v>444</v>
      </c>
      <c r="J12" s="428" t="s">
        <v>56</v>
      </c>
    </row>
    <row r="13" spans="1:10" ht="14.4" customHeight="1" x14ac:dyDescent="0.3">
      <c r="A13" s="424" t="s">
        <v>447</v>
      </c>
      <c r="B13" s="425" t="s">
        <v>448</v>
      </c>
      <c r="C13" s="426" t="s">
        <v>444</v>
      </c>
      <c r="D13" s="426" t="s">
        <v>444</v>
      </c>
      <c r="E13" s="426"/>
      <c r="F13" s="426" t="s">
        <v>444</v>
      </c>
      <c r="G13" s="426" t="s">
        <v>444</v>
      </c>
      <c r="H13" s="426" t="s">
        <v>444</v>
      </c>
      <c r="I13" s="427" t="s">
        <v>444</v>
      </c>
      <c r="J13" s="428" t="s">
        <v>0</v>
      </c>
    </row>
    <row r="14" spans="1:10" ht="14.4" customHeight="1" x14ac:dyDescent="0.3">
      <c r="A14" s="424" t="s">
        <v>447</v>
      </c>
      <c r="B14" s="425" t="s">
        <v>277</v>
      </c>
      <c r="C14" s="426">
        <v>44.866129999999998</v>
      </c>
      <c r="D14" s="426">
        <v>56.108890000000002</v>
      </c>
      <c r="E14" s="426"/>
      <c r="F14" s="426">
        <v>58.780149999999999</v>
      </c>
      <c r="G14" s="426">
        <v>44.666666666666664</v>
      </c>
      <c r="H14" s="426">
        <v>14.113483333333335</v>
      </c>
      <c r="I14" s="427">
        <v>1.3159735074626866</v>
      </c>
      <c r="J14" s="428" t="s">
        <v>1</v>
      </c>
    </row>
    <row r="15" spans="1:10" ht="14.4" customHeight="1" x14ac:dyDescent="0.3">
      <c r="A15" s="424" t="s">
        <v>447</v>
      </c>
      <c r="B15" s="425" t="s">
        <v>278</v>
      </c>
      <c r="C15" s="426">
        <v>0.52488999999999997</v>
      </c>
      <c r="D15" s="426">
        <v>0.32958999999999999</v>
      </c>
      <c r="E15" s="426"/>
      <c r="F15" s="426">
        <v>0.45972000000000002</v>
      </c>
      <c r="G15" s="426">
        <v>0.33333333333333331</v>
      </c>
      <c r="H15" s="426">
        <v>0.1263866666666667</v>
      </c>
      <c r="I15" s="427">
        <v>1.3791600000000002</v>
      </c>
      <c r="J15" s="428" t="s">
        <v>1</v>
      </c>
    </row>
    <row r="16" spans="1:10" ht="14.4" customHeight="1" x14ac:dyDescent="0.3">
      <c r="A16" s="424" t="s">
        <v>447</v>
      </c>
      <c r="B16" s="425" t="s">
        <v>279</v>
      </c>
      <c r="C16" s="426">
        <v>0.10105</v>
      </c>
      <c r="D16" s="426">
        <v>0</v>
      </c>
      <c r="E16" s="426"/>
      <c r="F16" s="426" t="s">
        <v>444</v>
      </c>
      <c r="G16" s="426" t="s">
        <v>444</v>
      </c>
      <c r="H16" s="426" t="s">
        <v>444</v>
      </c>
      <c r="I16" s="427" t="s">
        <v>444</v>
      </c>
      <c r="J16" s="428" t="s">
        <v>1</v>
      </c>
    </row>
    <row r="17" spans="1:10" ht="14.4" customHeight="1" x14ac:dyDescent="0.3">
      <c r="A17" s="424" t="s">
        <v>447</v>
      </c>
      <c r="B17" s="425" t="s">
        <v>280</v>
      </c>
      <c r="C17" s="426">
        <v>8.2071000000000005</v>
      </c>
      <c r="D17" s="426">
        <v>0</v>
      </c>
      <c r="E17" s="426"/>
      <c r="F17" s="426">
        <v>23.183999999999997</v>
      </c>
      <c r="G17" s="426">
        <v>7.5</v>
      </c>
      <c r="H17" s="426">
        <v>15.683999999999997</v>
      </c>
      <c r="I17" s="427">
        <v>3.0911999999999997</v>
      </c>
      <c r="J17" s="428" t="s">
        <v>1</v>
      </c>
    </row>
    <row r="18" spans="1:10" ht="14.4" customHeight="1" x14ac:dyDescent="0.3">
      <c r="A18" s="424" t="s">
        <v>447</v>
      </c>
      <c r="B18" s="425" t="s">
        <v>449</v>
      </c>
      <c r="C18" s="426">
        <v>53.699169999999995</v>
      </c>
      <c r="D18" s="426">
        <v>56.438480000000006</v>
      </c>
      <c r="E18" s="426"/>
      <c r="F18" s="426">
        <v>82.423869999999994</v>
      </c>
      <c r="G18" s="426">
        <v>52.5</v>
      </c>
      <c r="H18" s="426">
        <v>29.923869999999994</v>
      </c>
      <c r="I18" s="427">
        <v>1.569978476190476</v>
      </c>
      <c r="J18" s="428" t="s">
        <v>450</v>
      </c>
    </row>
    <row r="19" spans="1:10" ht="14.4" customHeight="1" x14ac:dyDescent="0.3">
      <c r="A19" s="424" t="s">
        <v>444</v>
      </c>
      <c r="B19" s="425" t="s">
        <v>444</v>
      </c>
      <c r="C19" s="426" t="s">
        <v>444</v>
      </c>
      <c r="D19" s="426" t="s">
        <v>444</v>
      </c>
      <c r="E19" s="426"/>
      <c r="F19" s="426" t="s">
        <v>444</v>
      </c>
      <c r="G19" s="426" t="s">
        <v>444</v>
      </c>
      <c r="H19" s="426" t="s">
        <v>444</v>
      </c>
      <c r="I19" s="427" t="s">
        <v>444</v>
      </c>
      <c r="J19" s="428" t="s">
        <v>451</v>
      </c>
    </row>
    <row r="20" spans="1:10" ht="14.4" customHeight="1" x14ac:dyDescent="0.3">
      <c r="A20" s="424" t="s">
        <v>442</v>
      </c>
      <c r="B20" s="425" t="s">
        <v>445</v>
      </c>
      <c r="C20" s="426">
        <v>53.699169999999995</v>
      </c>
      <c r="D20" s="426">
        <v>56.438480000000006</v>
      </c>
      <c r="E20" s="426"/>
      <c r="F20" s="426">
        <v>82.423869999999994</v>
      </c>
      <c r="G20" s="426">
        <v>52.5</v>
      </c>
      <c r="H20" s="426">
        <v>29.923869999999994</v>
      </c>
      <c r="I20" s="427">
        <v>1.569978476190476</v>
      </c>
      <c r="J20" s="428" t="s">
        <v>446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58" t="s">
        <v>137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4.4" customHeight="1" thickBot="1" x14ac:dyDescent="0.35">
      <c r="A2" s="210" t="s">
        <v>268</v>
      </c>
      <c r="B2" s="62"/>
      <c r="C2" s="193"/>
      <c r="D2" s="193"/>
      <c r="E2" s="193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54"/>
      <c r="D3" s="355"/>
      <c r="E3" s="355"/>
      <c r="F3" s="355"/>
      <c r="G3" s="355"/>
      <c r="H3" s="355"/>
      <c r="I3" s="355"/>
      <c r="J3" s="356" t="s">
        <v>108</v>
      </c>
      <c r="K3" s="357"/>
      <c r="L3" s="84">
        <f>IF(M3&lt;&gt;0,N3/M3,0)</f>
        <v>118.24325325908525</v>
      </c>
      <c r="M3" s="84">
        <f>SUBTOTAL(9,M5:M1048576)</f>
        <v>501</v>
      </c>
      <c r="N3" s="85">
        <f>SUBTOTAL(9,N5:N1048576)</f>
        <v>59239.869882801708</v>
      </c>
    </row>
    <row r="4" spans="1:14" s="190" customFormat="1" ht="14.4" customHeight="1" thickBot="1" x14ac:dyDescent="0.35">
      <c r="A4" s="429" t="s">
        <v>4</v>
      </c>
      <c r="B4" s="430" t="s">
        <v>5</v>
      </c>
      <c r="C4" s="430" t="s">
        <v>0</v>
      </c>
      <c r="D4" s="430" t="s">
        <v>6</v>
      </c>
      <c r="E4" s="430" t="s">
        <v>7</v>
      </c>
      <c r="F4" s="430" t="s">
        <v>1</v>
      </c>
      <c r="G4" s="430" t="s">
        <v>8</v>
      </c>
      <c r="H4" s="430" t="s">
        <v>9</v>
      </c>
      <c r="I4" s="430" t="s">
        <v>10</v>
      </c>
      <c r="J4" s="431" t="s">
        <v>11</v>
      </c>
      <c r="K4" s="431" t="s">
        <v>12</v>
      </c>
      <c r="L4" s="432" t="s">
        <v>122</v>
      </c>
      <c r="M4" s="432" t="s">
        <v>13</v>
      </c>
      <c r="N4" s="433" t="s">
        <v>133</v>
      </c>
    </row>
    <row r="5" spans="1:14" ht="14.4" customHeight="1" x14ac:dyDescent="0.3">
      <c r="A5" s="436" t="s">
        <v>442</v>
      </c>
      <c r="B5" s="437" t="s">
        <v>443</v>
      </c>
      <c r="C5" s="438" t="s">
        <v>447</v>
      </c>
      <c r="D5" s="439" t="s">
        <v>606</v>
      </c>
      <c r="E5" s="438" t="s">
        <v>452</v>
      </c>
      <c r="F5" s="439" t="s">
        <v>607</v>
      </c>
      <c r="G5" s="438" t="s">
        <v>453</v>
      </c>
      <c r="H5" s="438" t="s">
        <v>454</v>
      </c>
      <c r="I5" s="438" t="s">
        <v>454</v>
      </c>
      <c r="J5" s="438" t="s">
        <v>455</v>
      </c>
      <c r="K5" s="438" t="s">
        <v>456</v>
      </c>
      <c r="L5" s="440">
        <v>92.949999999999989</v>
      </c>
      <c r="M5" s="440">
        <v>11</v>
      </c>
      <c r="N5" s="441">
        <v>1022.4499999999999</v>
      </c>
    </row>
    <row r="6" spans="1:14" ht="14.4" customHeight="1" x14ac:dyDescent="0.3">
      <c r="A6" s="442" t="s">
        <v>442</v>
      </c>
      <c r="B6" s="443" t="s">
        <v>443</v>
      </c>
      <c r="C6" s="444" t="s">
        <v>447</v>
      </c>
      <c r="D6" s="445" t="s">
        <v>606</v>
      </c>
      <c r="E6" s="444" t="s">
        <v>452</v>
      </c>
      <c r="F6" s="445" t="s">
        <v>607</v>
      </c>
      <c r="G6" s="444" t="s">
        <v>453</v>
      </c>
      <c r="H6" s="444" t="s">
        <v>457</v>
      </c>
      <c r="I6" s="444" t="s">
        <v>458</v>
      </c>
      <c r="J6" s="444" t="s">
        <v>459</v>
      </c>
      <c r="K6" s="444" t="s">
        <v>460</v>
      </c>
      <c r="L6" s="446">
        <v>87.030000000000015</v>
      </c>
      <c r="M6" s="446">
        <v>3</v>
      </c>
      <c r="N6" s="447">
        <v>261.09000000000003</v>
      </c>
    </row>
    <row r="7" spans="1:14" ht="14.4" customHeight="1" x14ac:dyDescent="0.3">
      <c r="A7" s="442" t="s">
        <v>442</v>
      </c>
      <c r="B7" s="443" t="s">
        <v>443</v>
      </c>
      <c r="C7" s="444" t="s">
        <v>447</v>
      </c>
      <c r="D7" s="445" t="s">
        <v>606</v>
      </c>
      <c r="E7" s="444" t="s">
        <v>452</v>
      </c>
      <c r="F7" s="445" t="s">
        <v>607</v>
      </c>
      <c r="G7" s="444" t="s">
        <v>453</v>
      </c>
      <c r="H7" s="444" t="s">
        <v>461</v>
      </c>
      <c r="I7" s="444" t="s">
        <v>462</v>
      </c>
      <c r="J7" s="444" t="s">
        <v>463</v>
      </c>
      <c r="K7" s="444" t="s">
        <v>464</v>
      </c>
      <c r="L7" s="446">
        <v>96.819947084401676</v>
      </c>
      <c r="M7" s="446">
        <v>3</v>
      </c>
      <c r="N7" s="447">
        <v>290.45984125320501</v>
      </c>
    </row>
    <row r="8" spans="1:14" ht="14.4" customHeight="1" x14ac:dyDescent="0.3">
      <c r="A8" s="442" t="s">
        <v>442</v>
      </c>
      <c r="B8" s="443" t="s">
        <v>443</v>
      </c>
      <c r="C8" s="444" t="s">
        <v>447</v>
      </c>
      <c r="D8" s="445" t="s">
        <v>606</v>
      </c>
      <c r="E8" s="444" t="s">
        <v>452</v>
      </c>
      <c r="F8" s="445" t="s">
        <v>607</v>
      </c>
      <c r="G8" s="444" t="s">
        <v>453</v>
      </c>
      <c r="H8" s="444" t="s">
        <v>465</v>
      </c>
      <c r="I8" s="444" t="s">
        <v>466</v>
      </c>
      <c r="J8" s="444" t="s">
        <v>463</v>
      </c>
      <c r="K8" s="444" t="s">
        <v>467</v>
      </c>
      <c r="L8" s="446">
        <v>100.76059893825655</v>
      </c>
      <c r="M8" s="446">
        <v>2</v>
      </c>
      <c r="N8" s="447">
        <v>201.5211978765131</v>
      </c>
    </row>
    <row r="9" spans="1:14" ht="14.4" customHeight="1" x14ac:dyDescent="0.3">
      <c r="A9" s="442" t="s">
        <v>442</v>
      </c>
      <c r="B9" s="443" t="s">
        <v>443</v>
      </c>
      <c r="C9" s="444" t="s">
        <v>447</v>
      </c>
      <c r="D9" s="445" t="s">
        <v>606</v>
      </c>
      <c r="E9" s="444" t="s">
        <v>452</v>
      </c>
      <c r="F9" s="445" t="s">
        <v>607</v>
      </c>
      <c r="G9" s="444" t="s">
        <v>453</v>
      </c>
      <c r="H9" s="444" t="s">
        <v>468</v>
      </c>
      <c r="I9" s="444" t="s">
        <v>469</v>
      </c>
      <c r="J9" s="444" t="s">
        <v>470</v>
      </c>
      <c r="K9" s="444" t="s">
        <v>471</v>
      </c>
      <c r="L9" s="446">
        <v>43.620000000000005</v>
      </c>
      <c r="M9" s="446">
        <v>1</v>
      </c>
      <c r="N9" s="447">
        <v>43.620000000000005</v>
      </c>
    </row>
    <row r="10" spans="1:14" ht="14.4" customHeight="1" x14ac:dyDescent="0.3">
      <c r="A10" s="442" t="s">
        <v>442</v>
      </c>
      <c r="B10" s="443" t="s">
        <v>443</v>
      </c>
      <c r="C10" s="444" t="s">
        <v>447</v>
      </c>
      <c r="D10" s="445" t="s">
        <v>606</v>
      </c>
      <c r="E10" s="444" t="s">
        <v>452</v>
      </c>
      <c r="F10" s="445" t="s">
        <v>607</v>
      </c>
      <c r="G10" s="444" t="s">
        <v>453</v>
      </c>
      <c r="H10" s="444" t="s">
        <v>472</v>
      </c>
      <c r="I10" s="444" t="s">
        <v>473</v>
      </c>
      <c r="J10" s="444" t="s">
        <v>474</v>
      </c>
      <c r="K10" s="444" t="s">
        <v>475</v>
      </c>
      <c r="L10" s="446">
        <v>77.361167833268169</v>
      </c>
      <c r="M10" s="446">
        <v>1</v>
      </c>
      <c r="N10" s="447">
        <v>77.361167833268169</v>
      </c>
    </row>
    <row r="11" spans="1:14" ht="14.4" customHeight="1" x14ac:dyDescent="0.3">
      <c r="A11" s="442" t="s">
        <v>442</v>
      </c>
      <c r="B11" s="443" t="s">
        <v>443</v>
      </c>
      <c r="C11" s="444" t="s">
        <v>447</v>
      </c>
      <c r="D11" s="445" t="s">
        <v>606</v>
      </c>
      <c r="E11" s="444" t="s">
        <v>452</v>
      </c>
      <c r="F11" s="445" t="s">
        <v>607</v>
      </c>
      <c r="G11" s="444" t="s">
        <v>453</v>
      </c>
      <c r="H11" s="444" t="s">
        <v>476</v>
      </c>
      <c r="I11" s="444" t="s">
        <v>477</v>
      </c>
      <c r="J11" s="444" t="s">
        <v>478</v>
      </c>
      <c r="K11" s="444" t="s">
        <v>479</v>
      </c>
      <c r="L11" s="446">
        <v>86.139999022958477</v>
      </c>
      <c r="M11" s="446">
        <v>1</v>
      </c>
      <c r="N11" s="447">
        <v>86.139999022958477</v>
      </c>
    </row>
    <row r="12" spans="1:14" ht="14.4" customHeight="1" x14ac:dyDescent="0.3">
      <c r="A12" s="442" t="s">
        <v>442</v>
      </c>
      <c r="B12" s="443" t="s">
        <v>443</v>
      </c>
      <c r="C12" s="444" t="s">
        <v>447</v>
      </c>
      <c r="D12" s="445" t="s">
        <v>606</v>
      </c>
      <c r="E12" s="444" t="s">
        <v>452</v>
      </c>
      <c r="F12" s="445" t="s">
        <v>607</v>
      </c>
      <c r="G12" s="444" t="s">
        <v>453</v>
      </c>
      <c r="H12" s="444" t="s">
        <v>480</v>
      </c>
      <c r="I12" s="444" t="s">
        <v>481</v>
      </c>
      <c r="J12" s="444" t="s">
        <v>482</v>
      </c>
      <c r="K12" s="444" t="s">
        <v>483</v>
      </c>
      <c r="L12" s="446">
        <v>40.170000000000016</v>
      </c>
      <c r="M12" s="446">
        <v>1</v>
      </c>
      <c r="N12" s="447">
        <v>40.170000000000016</v>
      </c>
    </row>
    <row r="13" spans="1:14" ht="14.4" customHeight="1" x14ac:dyDescent="0.3">
      <c r="A13" s="442" t="s">
        <v>442</v>
      </c>
      <c r="B13" s="443" t="s">
        <v>443</v>
      </c>
      <c r="C13" s="444" t="s">
        <v>447</v>
      </c>
      <c r="D13" s="445" t="s">
        <v>606</v>
      </c>
      <c r="E13" s="444" t="s">
        <v>452</v>
      </c>
      <c r="F13" s="445" t="s">
        <v>607</v>
      </c>
      <c r="G13" s="444" t="s">
        <v>453</v>
      </c>
      <c r="H13" s="444" t="s">
        <v>484</v>
      </c>
      <c r="I13" s="444" t="s">
        <v>485</v>
      </c>
      <c r="J13" s="444" t="s">
        <v>486</v>
      </c>
      <c r="K13" s="444" t="s">
        <v>487</v>
      </c>
      <c r="L13" s="446">
        <v>117.41000000000001</v>
      </c>
      <c r="M13" s="446">
        <v>5</v>
      </c>
      <c r="N13" s="447">
        <v>587.05000000000007</v>
      </c>
    </row>
    <row r="14" spans="1:14" ht="14.4" customHeight="1" x14ac:dyDescent="0.3">
      <c r="A14" s="442" t="s">
        <v>442</v>
      </c>
      <c r="B14" s="443" t="s">
        <v>443</v>
      </c>
      <c r="C14" s="444" t="s">
        <v>447</v>
      </c>
      <c r="D14" s="445" t="s">
        <v>606</v>
      </c>
      <c r="E14" s="444" t="s">
        <v>452</v>
      </c>
      <c r="F14" s="445" t="s">
        <v>607</v>
      </c>
      <c r="G14" s="444" t="s">
        <v>453</v>
      </c>
      <c r="H14" s="444" t="s">
        <v>488</v>
      </c>
      <c r="I14" s="444" t="s">
        <v>489</v>
      </c>
      <c r="J14" s="444" t="s">
        <v>490</v>
      </c>
      <c r="K14" s="444" t="s">
        <v>491</v>
      </c>
      <c r="L14" s="446">
        <v>172.57000000000002</v>
      </c>
      <c r="M14" s="446">
        <v>6</v>
      </c>
      <c r="N14" s="447">
        <v>1035.42</v>
      </c>
    </row>
    <row r="15" spans="1:14" ht="14.4" customHeight="1" x14ac:dyDescent="0.3">
      <c r="A15" s="442" t="s">
        <v>442</v>
      </c>
      <c r="B15" s="443" t="s">
        <v>443</v>
      </c>
      <c r="C15" s="444" t="s">
        <v>447</v>
      </c>
      <c r="D15" s="445" t="s">
        <v>606</v>
      </c>
      <c r="E15" s="444" t="s">
        <v>452</v>
      </c>
      <c r="F15" s="445" t="s">
        <v>607</v>
      </c>
      <c r="G15" s="444" t="s">
        <v>453</v>
      </c>
      <c r="H15" s="444" t="s">
        <v>492</v>
      </c>
      <c r="I15" s="444" t="s">
        <v>493</v>
      </c>
      <c r="J15" s="444" t="s">
        <v>494</v>
      </c>
      <c r="K15" s="444" t="s">
        <v>495</v>
      </c>
      <c r="L15" s="446">
        <v>28.409999999999993</v>
      </c>
      <c r="M15" s="446">
        <v>1</v>
      </c>
      <c r="N15" s="447">
        <v>28.409999999999993</v>
      </c>
    </row>
    <row r="16" spans="1:14" ht="14.4" customHeight="1" x14ac:dyDescent="0.3">
      <c r="A16" s="442" t="s">
        <v>442</v>
      </c>
      <c r="B16" s="443" t="s">
        <v>443</v>
      </c>
      <c r="C16" s="444" t="s">
        <v>447</v>
      </c>
      <c r="D16" s="445" t="s">
        <v>606</v>
      </c>
      <c r="E16" s="444" t="s">
        <v>452</v>
      </c>
      <c r="F16" s="445" t="s">
        <v>607</v>
      </c>
      <c r="G16" s="444" t="s">
        <v>453</v>
      </c>
      <c r="H16" s="444" t="s">
        <v>496</v>
      </c>
      <c r="I16" s="444" t="s">
        <v>497</v>
      </c>
      <c r="J16" s="444" t="s">
        <v>498</v>
      </c>
      <c r="K16" s="444"/>
      <c r="L16" s="446">
        <v>37.434555555555555</v>
      </c>
      <c r="M16" s="446">
        <v>6</v>
      </c>
      <c r="N16" s="447">
        <v>224.60733333333332</v>
      </c>
    </row>
    <row r="17" spans="1:14" ht="14.4" customHeight="1" x14ac:dyDescent="0.3">
      <c r="A17" s="442" t="s">
        <v>442</v>
      </c>
      <c r="B17" s="443" t="s">
        <v>443</v>
      </c>
      <c r="C17" s="444" t="s">
        <v>447</v>
      </c>
      <c r="D17" s="445" t="s">
        <v>606</v>
      </c>
      <c r="E17" s="444" t="s">
        <v>452</v>
      </c>
      <c r="F17" s="445" t="s">
        <v>607</v>
      </c>
      <c r="G17" s="444" t="s">
        <v>453</v>
      </c>
      <c r="H17" s="444" t="s">
        <v>499</v>
      </c>
      <c r="I17" s="444" t="s">
        <v>500</v>
      </c>
      <c r="J17" s="444" t="s">
        <v>501</v>
      </c>
      <c r="K17" s="444" t="s">
        <v>502</v>
      </c>
      <c r="L17" s="446">
        <v>152.16</v>
      </c>
      <c r="M17" s="446">
        <v>215</v>
      </c>
      <c r="N17" s="447">
        <v>32714.400000000001</v>
      </c>
    </row>
    <row r="18" spans="1:14" ht="14.4" customHeight="1" x14ac:dyDescent="0.3">
      <c r="A18" s="442" t="s">
        <v>442</v>
      </c>
      <c r="B18" s="443" t="s">
        <v>443</v>
      </c>
      <c r="C18" s="444" t="s">
        <v>447</v>
      </c>
      <c r="D18" s="445" t="s">
        <v>606</v>
      </c>
      <c r="E18" s="444" t="s">
        <v>452</v>
      </c>
      <c r="F18" s="445" t="s">
        <v>607</v>
      </c>
      <c r="G18" s="444" t="s">
        <v>453</v>
      </c>
      <c r="H18" s="444" t="s">
        <v>503</v>
      </c>
      <c r="I18" s="444" t="s">
        <v>497</v>
      </c>
      <c r="J18" s="444" t="s">
        <v>504</v>
      </c>
      <c r="K18" s="444"/>
      <c r="L18" s="446">
        <v>98.36728701691375</v>
      </c>
      <c r="M18" s="446">
        <v>6</v>
      </c>
      <c r="N18" s="447">
        <v>590.20372210148253</v>
      </c>
    </row>
    <row r="19" spans="1:14" ht="14.4" customHeight="1" x14ac:dyDescent="0.3">
      <c r="A19" s="442" t="s">
        <v>442</v>
      </c>
      <c r="B19" s="443" t="s">
        <v>443</v>
      </c>
      <c r="C19" s="444" t="s">
        <v>447</v>
      </c>
      <c r="D19" s="445" t="s">
        <v>606</v>
      </c>
      <c r="E19" s="444" t="s">
        <v>452</v>
      </c>
      <c r="F19" s="445" t="s">
        <v>607</v>
      </c>
      <c r="G19" s="444" t="s">
        <v>453</v>
      </c>
      <c r="H19" s="444" t="s">
        <v>505</v>
      </c>
      <c r="I19" s="444" t="s">
        <v>506</v>
      </c>
      <c r="J19" s="444" t="s">
        <v>507</v>
      </c>
      <c r="K19" s="444" t="s">
        <v>508</v>
      </c>
      <c r="L19" s="446">
        <v>48.4</v>
      </c>
      <c r="M19" s="446">
        <v>3</v>
      </c>
      <c r="N19" s="447">
        <v>145.19999999999999</v>
      </c>
    </row>
    <row r="20" spans="1:14" ht="14.4" customHeight="1" x14ac:dyDescent="0.3">
      <c r="A20" s="442" t="s">
        <v>442</v>
      </c>
      <c r="B20" s="443" t="s">
        <v>443</v>
      </c>
      <c r="C20" s="444" t="s">
        <v>447</v>
      </c>
      <c r="D20" s="445" t="s">
        <v>606</v>
      </c>
      <c r="E20" s="444" t="s">
        <v>452</v>
      </c>
      <c r="F20" s="445" t="s">
        <v>607</v>
      </c>
      <c r="G20" s="444" t="s">
        <v>453</v>
      </c>
      <c r="H20" s="444" t="s">
        <v>509</v>
      </c>
      <c r="I20" s="444" t="s">
        <v>497</v>
      </c>
      <c r="J20" s="444" t="s">
        <v>510</v>
      </c>
      <c r="K20" s="444" t="s">
        <v>511</v>
      </c>
      <c r="L20" s="446">
        <v>23.700522168414778</v>
      </c>
      <c r="M20" s="446">
        <v>72</v>
      </c>
      <c r="N20" s="447">
        <v>1706.437596125864</v>
      </c>
    </row>
    <row r="21" spans="1:14" ht="14.4" customHeight="1" x14ac:dyDescent="0.3">
      <c r="A21" s="442" t="s">
        <v>442</v>
      </c>
      <c r="B21" s="443" t="s">
        <v>443</v>
      </c>
      <c r="C21" s="444" t="s">
        <v>447</v>
      </c>
      <c r="D21" s="445" t="s">
        <v>606</v>
      </c>
      <c r="E21" s="444" t="s">
        <v>452</v>
      </c>
      <c r="F21" s="445" t="s">
        <v>607</v>
      </c>
      <c r="G21" s="444" t="s">
        <v>453</v>
      </c>
      <c r="H21" s="444" t="s">
        <v>512</v>
      </c>
      <c r="I21" s="444" t="s">
        <v>513</v>
      </c>
      <c r="J21" s="444" t="s">
        <v>514</v>
      </c>
      <c r="K21" s="444" t="s">
        <v>515</v>
      </c>
      <c r="L21" s="446">
        <v>36.93</v>
      </c>
      <c r="M21" s="446">
        <v>3</v>
      </c>
      <c r="N21" s="447">
        <v>110.78999999999999</v>
      </c>
    </row>
    <row r="22" spans="1:14" ht="14.4" customHeight="1" x14ac:dyDescent="0.3">
      <c r="A22" s="442" t="s">
        <v>442</v>
      </c>
      <c r="B22" s="443" t="s">
        <v>443</v>
      </c>
      <c r="C22" s="444" t="s">
        <v>447</v>
      </c>
      <c r="D22" s="445" t="s">
        <v>606</v>
      </c>
      <c r="E22" s="444" t="s">
        <v>452</v>
      </c>
      <c r="F22" s="445" t="s">
        <v>607</v>
      </c>
      <c r="G22" s="444" t="s">
        <v>453</v>
      </c>
      <c r="H22" s="444" t="s">
        <v>516</v>
      </c>
      <c r="I22" s="444" t="s">
        <v>517</v>
      </c>
      <c r="J22" s="444" t="s">
        <v>518</v>
      </c>
      <c r="K22" s="444" t="s">
        <v>519</v>
      </c>
      <c r="L22" s="446">
        <v>56.139999999999993</v>
      </c>
      <c r="M22" s="446">
        <v>1</v>
      </c>
      <c r="N22" s="447">
        <v>56.139999999999993</v>
      </c>
    </row>
    <row r="23" spans="1:14" ht="14.4" customHeight="1" x14ac:dyDescent="0.3">
      <c r="A23" s="442" t="s">
        <v>442</v>
      </c>
      <c r="B23" s="443" t="s">
        <v>443</v>
      </c>
      <c r="C23" s="444" t="s">
        <v>447</v>
      </c>
      <c r="D23" s="445" t="s">
        <v>606</v>
      </c>
      <c r="E23" s="444" t="s">
        <v>452</v>
      </c>
      <c r="F23" s="445" t="s">
        <v>607</v>
      </c>
      <c r="G23" s="444" t="s">
        <v>453</v>
      </c>
      <c r="H23" s="444" t="s">
        <v>520</v>
      </c>
      <c r="I23" s="444" t="s">
        <v>497</v>
      </c>
      <c r="J23" s="444" t="s">
        <v>521</v>
      </c>
      <c r="K23" s="444"/>
      <c r="L23" s="446">
        <v>96.184543008746687</v>
      </c>
      <c r="M23" s="446">
        <v>1</v>
      </c>
      <c r="N23" s="447">
        <v>96.184543008746687</v>
      </c>
    </row>
    <row r="24" spans="1:14" ht="14.4" customHeight="1" x14ac:dyDescent="0.3">
      <c r="A24" s="442" t="s">
        <v>442</v>
      </c>
      <c r="B24" s="443" t="s">
        <v>443</v>
      </c>
      <c r="C24" s="444" t="s">
        <v>447</v>
      </c>
      <c r="D24" s="445" t="s">
        <v>606</v>
      </c>
      <c r="E24" s="444" t="s">
        <v>452</v>
      </c>
      <c r="F24" s="445" t="s">
        <v>607</v>
      </c>
      <c r="G24" s="444" t="s">
        <v>453</v>
      </c>
      <c r="H24" s="444" t="s">
        <v>522</v>
      </c>
      <c r="I24" s="444" t="s">
        <v>497</v>
      </c>
      <c r="J24" s="444" t="s">
        <v>523</v>
      </c>
      <c r="K24" s="444"/>
      <c r="L24" s="446">
        <v>54.508694075831286</v>
      </c>
      <c r="M24" s="446">
        <v>1</v>
      </c>
      <c r="N24" s="447">
        <v>54.508694075831286</v>
      </c>
    </row>
    <row r="25" spans="1:14" ht="14.4" customHeight="1" x14ac:dyDescent="0.3">
      <c r="A25" s="442" t="s">
        <v>442</v>
      </c>
      <c r="B25" s="443" t="s">
        <v>443</v>
      </c>
      <c r="C25" s="444" t="s">
        <v>447</v>
      </c>
      <c r="D25" s="445" t="s">
        <v>606</v>
      </c>
      <c r="E25" s="444" t="s">
        <v>452</v>
      </c>
      <c r="F25" s="445" t="s">
        <v>607</v>
      </c>
      <c r="G25" s="444" t="s">
        <v>453</v>
      </c>
      <c r="H25" s="444" t="s">
        <v>524</v>
      </c>
      <c r="I25" s="444" t="s">
        <v>497</v>
      </c>
      <c r="J25" s="444" t="s">
        <v>525</v>
      </c>
      <c r="K25" s="444"/>
      <c r="L25" s="446">
        <v>38.689897040623919</v>
      </c>
      <c r="M25" s="446">
        <v>5</v>
      </c>
      <c r="N25" s="447">
        <v>193.44948520311959</v>
      </c>
    </row>
    <row r="26" spans="1:14" ht="14.4" customHeight="1" x14ac:dyDescent="0.3">
      <c r="A26" s="442" t="s">
        <v>442</v>
      </c>
      <c r="B26" s="443" t="s">
        <v>443</v>
      </c>
      <c r="C26" s="444" t="s">
        <v>447</v>
      </c>
      <c r="D26" s="445" t="s">
        <v>606</v>
      </c>
      <c r="E26" s="444" t="s">
        <v>452</v>
      </c>
      <c r="F26" s="445" t="s">
        <v>607</v>
      </c>
      <c r="G26" s="444" t="s">
        <v>453</v>
      </c>
      <c r="H26" s="444" t="s">
        <v>526</v>
      </c>
      <c r="I26" s="444" t="s">
        <v>497</v>
      </c>
      <c r="J26" s="444" t="s">
        <v>527</v>
      </c>
      <c r="K26" s="444"/>
      <c r="L26" s="446">
        <v>31.871375</v>
      </c>
      <c r="M26" s="446">
        <v>4</v>
      </c>
      <c r="N26" s="447">
        <v>127.4855</v>
      </c>
    </row>
    <row r="27" spans="1:14" ht="14.4" customHeight="1" x14ac:dyDescent="0.3">
      <c r="A27" s="442" t="s">
        <v>442</v>
      </c>
      <c r="B27" s="443" t="s">
        <v>443</v>
      </c>
      <c r="C27" s="444" t="s">
        <v>447</v>
      </c>
      <c r="D27" s="445" t="s">
        <v>606</v>
      </c>
      <c r="E27" s="444" t="s">
        <v>452</v>
      </c>
      <c r="F27" s="445" t="s">
        <v>607</v>
      </c>
      <c r="G27" s="444" t="s">
        <v>453</v>
      </c>
      <c r="H27" s="444" t="s">
        <v>528</v>
      </c>
      <c r="I27" s="444" t="s">
        <v>497</v>
      </c>
      <c r="J27" s="444" t="s">
        <v>529</v>
      </c>
      <c r="K27" s="444" t="s">
        <v>530</v>
      </c>
      <c r="L27" s="446">
        <v>112.44919956710048</v>
      </c>
      <c r="M27" s="446">
        <v>1</v>
      </c>
      <c r="N27" s="447">
        <v>112.44919956710048</v>
      </c>
    </row>
    <row r="28" spans="1:14" ht="14.4" customHeight="1" x14ac:dyDescent="0.3">
      <c r="A28" s="442" t="s">
        <v>442</v>
      </c>
      <c r="B28" s="443" t="s">
        <v>443</v>
      </c>
      <c r="C28" s="444" t="s">
        <v>447</v>
      </c>
      <c r="D28" s="445" t="s">
        <v>606</v>
      </c>
      <c r="E28" s="444" t="s">
        <v>452</v>
      </c>
      <c r="F28" s="445" t="s">
        <v>607</v>
      </c>
      <c r="G28" s="444" t="s">
        <v>453</v>
      </c>
      <c r="H28" s="444" t="s">
        <v>531</v>
      </c>
      <c r="I28" s="444" t="s">
        <v>497</v>
      </c>
      <c r="J28" s="444" t="s">
        <v>532</v>
      </c>
      <c r="K28" s="444"/>
      <c r="L28" s="446">
        <v>44.811391843444767</v>
      </c>
      <c r="M28" s="446">
        <v>5</v>
      </c>
      <c r="N28" s="447">
        <v>224.05695921722383</v>
      </c>
    </row>
    <row r="29" spans="1:14" ht="14.4" customHeight="1" x14ac:dyDescent="0.3">
      <c r="A29" s="442" t="s">
        <v>442</v>
      </c>
      <c r="B29" s="443" t="s">
        <v>443</v>
      </c>
      <c r="C29" s="444" t="s">
        <v>447</v>
      </c>
      <c r="D29" s="445" t="s">
        <v>606</v>
      </c>
      <c r="E29" s="444" t="s">
        <v>452</v>
      </c>
      <c r="F29" s="445" t="s">
        <v>607</v>
      </c>
      <c r="G29" s="444" t="s">
        <v>453</v>
      </c>
      <c r="H29" s="444" t="s">
        <v>533</v>
      </c>
      <c r="I29" s="444" t="s">
        <v>534</v>
      </c>
      <c r="J29" s="444" t="s">
        <v>535</v>
      </c>
      <c r="K29" s="444" t="s">
        <v>536</v>
      </c>
      <c r="L29" s="446">
        <v>83.129999999999939</v>
      </c>
      <c r="M29" s="446">
        <v>2</v>
      </c>
      <c r="N29" s="447">
        <v>166.25999999999988</v>
      </c>
    </row>
    <row r="30" spans="1:14" ht="14.4" customHeight="1" x14ac:dyDescent="0.3">
      <c r="A30" s="442" t="s">
        <v>442</v>
      </c>
      <c r="B30" s="443" t="s">
        <v>443</v>
      </c>
      <c r="C30" s="444" t="s">
        <v>447</v>
      </c>
      <c r="D30" s="445" t="s">
        <v>606</v>
      </c>
      <c r="E30" s="444" t="s">
        <v>452</v>
      </c>
      <c r="F30" s="445" t="s">
        <v>607</v>
      </c>
      <c r="G30" s="444" t="s">
        <v>453</v>
      </c>
      <c r="H30" s="444" t="s">
        <v>537</v>
      </c>
      <c r="I30" s="444" t="s">
        <v>538</v>
      </c>
      <c r="J30" s="444" t="s">
        <v>539</v>
      </c>
      <c r="K30" s="444" t="s">
        <v>540</v>
      </c>
      <c r="L30" s="446">
        <v>50.16</v>
      </c>
      <c r="M30" s="446">
        <v>15</v>
      </c>
      <c r="N30" s="447">
        <v>752.4</v>
      </c>
    </row>
    <row r="31" spans="1:14" ht="14.4" customHeight="1" x14ac:dyDescent="0.3">
      <c r="A31" s="442" t="s">
        <v>442</v>
      </c>
      <c r="B31" s="443" t="s">
        <v>443</v>
      </c>
      <c r="C31" s="444" t="s">
        <v>447</v>
      </c>
      <c r="D31" s="445" t="s">
        <v>606</v>
      </c>
      <c r="E31" s="444" t="s">
        <v>452</v>
      </c>
      <c r="F31" s="445" t="s">
        <v>607</v>
      </c>
      <c r="G31" s="444" t="s">
        <v>453</v>
      </c>
      <c r="H31" s="444" t="s">
        <v>541</v>
      </c>
      <c r="I31" s="444" t="s">
        <v>497</v>
      </c>
      <c r="J31" s="444" t="s">
        <v>542</v>
      </c>
      <c r="K31" s="444"/>
      <c r="L31" s="446">
        <v>75.991301639205403</v>
      </c>
      <c r="M31" s="446">
        <v>1</v>
      </c>
      <c r="N31" s="447">
        <v>75.991301639205403</v>
      </c>
    </row>
    <row r="32" spans="1:14" ht="14.4" customHeight="1" x14ac:dyDescent="0.3">
      <c r="A32" s="442" t="s">
        <v>442</v>
      </c>
      <c r="B32" s="443" t="s">
        <v>443</v>
      </c>
      <c r="C32" s="444" t="s">
        <v>447</v>
      </c>
      <c r="D32" s="445" t="s">
        <v>606</v>
      </c>
      <c r="E32" s="444" t="s">
        <v>452</v>
      </c>
      <c r="F32" s="445" t="s">
        <v>607</v>
      </c>
      <c r="G32" s="444" t="s">
        <v>453</v>
      </c>
      <c r="H32" s="444" t="s">
        <v>543</v>
      </c>
      <c r="I32" s="444" t="s">
        <v>497</v>
      </c>
      <c r="J32" s="444" t="s">
        <v>544</v>
      </c>
      <c r="K32" s="444" t="s">
        <v>545</v>
      </c>
      <c r="L32" s="446">
        <v>106.27381995255205</v>
      </c>
      <c r="M32" s="446">
        <v>20</v>
      </c>
      <c r="N32" s="447">
        <v>2125.476399051041</v>
      </c>
    </row>
    <row r="33" spans="1:14" ht="14.4" customHeight="1" x14ac:dyDescent="0.3">
      <c r="A33" s="442" t="s">
        <v>442</v>
      </c>
      <c r="B33" s="443" t="s">
        <v>443</v>
      </c>
      <c r="C33" s="444" t="s">
        <v>447</v>
      </c>
      <c r="D33" s="445" t="s">
        <v>606</v>
      </c>
      <c r="E33" s="444" t="s">
        <v>452</v>
      </c>
      <c r="F33" s="445" t="s">
        <v>607</v>
      </c>
      <c r="G33" s="444" t="s">
        <v>453</v>
      </c>
      <c r="H33" s="444" t="s">
        <v>546</v>
      </c>
      <c r="I33" s="444" t="s">
        <v>497</v>
      </c>
      <c r="J33" s="444" t="s">
        <v>547</v>
      </c>
      <c r="K33" s="444"/>
      <c r="L33" s="446">
        <v>62.187400727949388</v>
      </c>
      <c r="M33" s="446">
        <v>3</v>
      </c>
      <c r="N33" s="447">
        <v>186.56220218384817</v>
      </c>
    </row>
    <row r="34" spans="1:14" ht="14.4" customHeight="1" x14ac:dyDescent="0.3">
      <c r="A34" s="442" t="s">
        <v>442</v>
      </c>
      <c r="B34" s="443" t="s">
        <v>443</v>
      </c>
      <c r="C34" s="444" t="s">
        <v>447</v>
      </c>
      <c r="D34" s="445" t="s">
        <v>606</v>
      </c>
      <c r="E34" s="444" t="s">
        <v>452</v>
      </c>
      <c r="F34" s="445" t="s">
        <v>607</v>
      </c>
      <c r="G34" s="444" t="s">
        <v>453</v>
      </c>
      <c r="H34" s="444" t="s">
        <v>548</v>
      </c>
      <c r="I34" s="444" t="s">
        <v>497</v>
      </c>
      <c r="J34" s="444" t="s">
        <v>549</v>
      </c>
      <c r="K34" s="444"/>
      <c r="L34" s="446">
        <v>64.940799999999996</v>
      </c>
      <c r="M34" s="446">
        <v>1</v>
      </c>
      <c r="N34" s="447">
        <v>64.940799999999996</v>
      </c>
    </row>
    <row r="35" spans="1:14" ht="14.4" customHeight="1" x14ac:dyDescent="0.3">
      <c r="A35" s="442" t="s">
        <v>442</v>
      </c>
      <c r="B35" s="443" t="s">
        <v>443</v>
      </c>
      <c r="C35" s="444" t="s">
        <v>447</v>
      </c>
      <c r="D35" s="445" t="s">
        <v>606</v>
      </c>
      <c r="E35" s="444" t="s">
        <v>452</v>
      </c>
      <c r="F35" s="445" t="s">
        <v>607</v>
      </c>
      <c r="G35" s="444" t="s">
        <v>453</v>
      </c>
      <c r="H35" s="444" t="s">
        <v>550</v>
      </c>
      <c r="I35" s="444" t="s">
        <v>551</v>
      </c>
      <c r="J35" s="444" t="s">
        <v>552</v>
      </c>
      <c r="K35" s="444" t="s">
        <v>553</v>
      </c>
      <c r="L35" s="446">
        <v>192.04999999999995</v>
      </c>
      <c r="M35" s="446">
        <v>4</v>
      </c>
      <c r="N35" s="447">
        <v>768.19999999999982</v>
      </c>
    </row>
    <row r="36" spans="1:14" ht="14.4" customHeight="1" x14ac:dyDescent="0.3">
      <c r="A36" s="442" t="s">
        <v>442</v>
      </c>
      <c r="B36" s="443" t="s">
        <v>443</v>
      </c>
      <c r="C36" s="444" t="s">
        <v>447</v>
      </c>
      <c r="D36" s="445" t="s">
        <v>606</v>
      </c>
      <c r="E36" s="444" t="s">
        <v>452</v>
      </c>
      <c r="F36" s="445" t="s">
        <v>607</v>
      </c>
      <c r="G36" s="444" t="s">
        <v>453</v>
      </c>
      <c r="H36" s="444" t="s">
        <v>554</v>
      </c>
      <c r="I36" s="444" t="s">
        <v>497</v>
      </c>
      <c r="J36" s="444" t="s">
        <v>555</v>
      </c>
      <c r="K36" s="444"/>
      <c r="L36" s="446">
        <v>53.913495300583783</v>
      </c>
      <c r="M36" s="446">
        <v>5</v>
      </c>
      <c r="N36" s="447">
        <v>269.56747650291891</v>
      </c>
    </row>
    <row r="37" spans="1:14" ht="14.4" customHeight="1" x14ac:dyDescent="0.3">
      <c r="A37" s="442" t="s">
        <v>442</v>
      </c>
      <c r="B37" s="443" t="s">
        <v>443</v>
      </c>
      <c r="C37" s="444" t="s">
        <v>447</v>
      </c>
      <c r="D37" s="445" t="s">
        <v>606</v>
      </c>
      <c r="E37" s="444" t="s">
        <v>452</v>
      </c>
      <c r="F37" s="445" t="s">
        <v>607</v>
      </c>
      <c r="G37" s="444" t="s">
        <v>453</v>
      </c>
      <c r="H37" s="444" t="s">
        <v>556</v>
      </c>
      <c r="I37" s="444" t="s">
        <v>497</v>
      </c>
      <c r="J37" s="444" t="s">
        <v>557</v>
      </c>
      <c r="K37" s="444"/>
      <c r="L37" s="446">
        <v>73.44446557765373</v>
      </c>
      <c r="M37" s="446">
        <v>6</v>
      </c>
      <c r="N37" s="447">
        <v>440.66679346592241</v>
      </c>
    </row>
    <row r="38" spans="1:14" ht="14.4" customHeight="1" x14ac:dyDescent="0.3">
      <c r="A38" s="442" t="s">
        <v>442</v>
      </c>
      <c r="B38" s="443" t="s">
        <v>443</v>
      </c>
      <c r="C38" s="444" t="s">
        <v>447</v>
      </c>
      <c r="D38" s="445" t="s">
        <v>606</v>
      </c>
      <c r="E38" s="444" t="s">
        <v>452</v>
      </c>
      <c r="F38" s="445" t="s">
        <v>607</v>
      </c>
      <c r="G38" s="444" t="s">
        <v>453</v>
      </c>
      <c r="H38" s="444" t="s">
        <v>558</v>
      </c>
      <c r="I38" s="444" t="s">
        <v>497</v>
      </c>
      <c r="J38" s="444" t="s">
        <v>559</v>
      </c>
      <c r="K38" s="444"/>
      <c r="L38" s="446">
        <v>95.875325877574085</v>
      </c>
      <c r="M38" s="446">
        <v>2</v>
      </c>
      <c r="N38" s="447">
        <v>191.75065175514817</v>
      </c>
    </row>
    <row r="39" spans="1:14" ht="14.4" customHeight="1" x14ac:dyDescent="0.3">
      <c r="A39" s="442" t="s">
        <v>442</v>
      </c>
      <c r="B39" s="443" t="s">
        <v>443</v>
      </c>
      <c r="C39" s="444" t="s">
        <v>447</v>
      </c>
      <c r="D39" s="445" t="s">
        <v>606</v>
      </c>
      <c r="E39" s="444" t="s">
        <v>452</v>
      </c>
      <c r="F39" s="445" t="s">
        <v>607</v>
      </c>
      <c r="G39" s="444" t="s">
        <v>453</v>
      </c>
      <c r="H39" s="444" t="s">
        <v>560</v>
      </c>
      <c r="I39" s="444" t="s">
        <v>497</v>
      </c>
      <c r="J39" s="444" t="s">
        <v>561</v>
      </c>
      <c r="K39" s="444"/>
      <c r="L39" s="446">
        <v>158.24960902573457</v>
      </c>
      <c r="M39" s="446">
        <v>2</v>
      </c>
      <c r="N39" s="447">
        <v>316.49921805146914</v>
      </c>
    </row>
    <row r="40" spans="1:14" ht="14.4" customHeight="1" x14ac:dyDescent="0.3">
      <c r="A40" s="442" t="s">
        <v>442</v>
      </c>
      <c r="B40" s="443" t="s">
        <v>443</v>
      </c>
      <c r="C40" s="444" t="s">
        <v>447</v>
      </c>
      <c r="D40" s="445" t="s">
        <v>606</v>
      </c>
      <c r="E40" s="444" t="s">
        <v>452</v>
      </c>
      <c r="F40" s="445" t="s">
        <v>607</v>
      </c>
      <c r="G40" s="444" t="s">
        <v>453</v>
      </c>
      <c r="H40" s="444" t="s">
        <v>562</v>
      </c>
      <c r="I40" s="444" t="s">
        <v>497</v>
      </c>
      <c r="J40" s="444" t="s">
        <v>563</v>
      </c>
      <c r="K40" s="444"/>
      <c r="L40" s="446">
        <v>104.69049626246132</v>
      </c>
      <c r="M40" s="446">
        <v>8</v>
      </c>
      <c r="N40" s="447">
        <v>837.52397009969059</v>
      </c>
    </row>
    <row r="41" spans="1:14" ht="14.4" customHeight="1" x14ac:dyDescent="0.3">
      <c r="A41" s="442" t="s">
        <v>442</v>
      </c>
      <c r="B41" s="443" t="s">
        <v>443</v>
      </c>
      <c r="C41" s="444" t="s">
        <v>447</v>
      </c>
      <c r="D41" s="445" t="s">
        <v>606</v>
      </c>
      <c r="E41" s="444" t="s">
        <v>452</v>
      </c>
      <c r="F41" s="445" t="s">
        <v>607</v>
      </c>
      <c r="G41" s="444" t="s">
        <v>453</v>
      </c>
      <c r="H41" s="444" t="s">
        <v>564</v>
      </c>
      <c r="I41" s="444" t="s">
        <v>497</v>
      </c>
      <c r="J41" s="444" t="s">
        <v>565</v>
      </c>
      <c r="K41" s="444"/>
      <c r="L41" s="446">
        <v>50.155902070993015</v>
      </c>
      <c r="M41" s="446">
        <v>7</v>
      </c>
      <c r="N41" s="447">
        <v>351.0913144969511</v>
      </c>
    </row>
    <row r="42" spans="1:14" ht="14.4" customHeight="1" x14ac:dyDescent="0.3">
      <c r="A42" s="442" t="s">
        <v>442</v>
      </c>
      <c r="B42" s="443" t="s">
        <v>443</v>
      </c>
      <c r="C42" s="444" t="s">
        <v>447</v>
      </c>
      <c r="D42" s="445" t="s">
        <v>606</v>
      </c>
      <c r="E42" s="444" t="s">
        <v>452</v>
      </c>
      <c r="F42" s="445" t="s">
        <v>607</v>
      </c>
      <c r="G42" s="444" t="s">
        <v>453</v>
      </c>
      <c r="H42" s="444" t="s">
        <v>566</v>
      </c>
      <c r="I42" s="444" t="s">
        <v>497</v>
      </c>
      <c r="J42" s="444" t="s">
        <v>567</v>
      </c>
      <c r="K42" s="444"/>
      <c r="L42" s="446">
        <v>66.950074647099882</v>
      </c>
      <c r="M42" s="446">
        <v>7</v>
      </c>
      <c r="N42" s="447">
        <v>468.65052252969917</v>
      </c>
    </row>
    <row r="43" spans="1:14" ht="14.4" customHeight="1" x14ac:dyDescent="0.3">
      <c r="A43" s="442" t="s">
        <v>442</v>
      </c>
      <c r="B43" s="443" t="s">
        <v>443</v>
      </c>
      <c r="C43" s="444" t="s">
        <v>447</v>
      </c>
      <c r="D43" s="445" t="s">
        <v>606</v>
      </c>
      <c r="E43" s="444" t="s">
        <v>452</v>
      </c>
      <c r="F43" s="445" t="s">
        <v>607</v>
      </c>
      <c r="G43" s="444" t="s">
        <v>453</v>
      </c>
      <c r="H43" s="444" t="s">
        <v>568</v>
      </c>
      <c r="I43" s="444" t="s">
        <v>497</v>
      </c>
      <c r="J43" s="444" t="s">
        <v>569</v>
      </c>
      <c r="K43" s="444"/>
      <c r="L43" s="446">
        <v>101.95330333406173</v>
      </c>
      <c r="M43" s="446">
        <v>4</v>
      </c>
      <c r="N43" s="447">
        <v>407.81321333624692</v>
      </c>
    </row>
    <row r="44" spans="1:14" ht="14.4" customHeight="1" x14ac:dyDescent="0.3">
      <c r="A44" s="442" t="s">
        <v>442</v>
      </c>
      <c r="B44" s="443" t="s">
        <v>443</v>
      </c>
      <c r="C44" s="444" t="s">
        <v>447</v>
      </c>
      <c r="D44" s="445" t="s">
        <v>606</v>
      </c>
      <c r="E44" s="444" t="s">
        <v>452</v>
      </c>
      <c r="F44" s="445" t="s">
        <v>607</v>
      </c>
      <c r="G44" s="444" t="s">
        <v>453</v>
      </c>
      <c r="H44" s="444" t="s">
        <v>570</v>
      </c>
      <c r="I44" s="444" t="s">
        <v>497</v>
      </c>
      <c r="J44" s="444" t="s">
        <v>571</v>
      </c>
      <c r="K44" s="444" t="s">
        <v>545</v>
      </c>
      <c r="L44" s="446">
        <v>162.51300761046429</v>
      </c>
      <c r="M44" s="446">
        <v>2</v>
      </c>
      <c r="N44" s="447">
        <v>325.02601522092857</v>
      </c>
    </row>
    <row r="45" spans="1:14" ht="14.4" customHeight="1" x14ac:dyDescent="0.3">
      <c r="A45" s="442" t="s">
        <v>442</v>
      </c>
      <c r="B45" s="443" t="s">
        <v>443</v>
      </c>
      <c r="C45" s="444" t="s">
        <v>447</v>
      </c>
      <c r="D45" s="445" t="s">
        <v>606</v>
      </c>
      <c r="E45" s="444" t="s">
        <v>452</v>
      </c>
      <c r="F45" s="445" t="s">
        <v>607</v>
      </c>
      <c r="G45" s="444" t="s">
        <v>453</v>
      </c>
      <c r="H45" s="444" t="s">
        <v>572</v>
      </c>
      <c r="I45" s="444" t="s">
        <v>497</v>
      </c>
      <c r="J45" s="444" t="s">
        <v>573</v>
      </c>
      <c r="K45" s="444" t="s">
        <v>545</v>
      </c>
      <c r="L45" s="446">
        <v>149.40418951618412</v>
      </c>
      <c r="M45" s="446">
        <v>6</v>
      </c>
      <c r="N45" s="447">
        <v>896.42513709710465</v>
      </c>
    </row>
    <row r="46" spans="1:14" ht="14.4" customHeight="1" x14ac:dyDescent="0.3">
      <c r="A46" s="442" t="s">
        <v>442</v>
      </c>
      <c r="B46" s="443" t="s">
        <v>443</v>
      </c>
      <c r="C46" s="444" t="s">
        <v>447</v>
      </c>
      <c r="D46" s="445" t="s">
        <v>606</v>
      </c>
      <c r="E46" s="444" t="s">
        <v>452</v>
      </c>
      <c r="F46" s="445" t="s">
        <v>607</v>
      </c>
      <c r="G46" s="444" t="s">
        <v>453</v>
      </c>
      <c r="H46" s="444" t="s">
        <v>574</v>
      </c>
      <c r="I46" s="444" t="s">
        <v>497</v>
      </c>
      <c r="J46" s="444" t="s">
        <v>575</v>
      </c>
      <c r="K46" s="444"/>
      <c r="L46" s="446">
        <v>205.46538709646003</v>
      </c>
      <c r="M46" s="446">
        <v>17</v>
      </c>
      <c r="N46" s="447">
        <v>3492.9115806398204</v>
      </c>
    </row>
    <row r="47" spans="1:14" ht="14.4" customHeight="1" x14ac:dyDescent="0.3">
      <c r="A47" s="442" t="s">
        <v>442</v>
      </c>
      <c r="B47" s="443" t="s">
        <v>443</v>
      </c>
      <c r="C47" s="444" t="s">
        <v>447</v>
      </c>
      <c r="D47" s="445" t="s">
        <v>606</v>
      </c>
      <c r="E47" s="444" t="s">
        <v>452</v>
      </c>
      <c r="F47" s="445" t="s">
        <v>607</v>
      </c>
      <c r="G47" s="444" t="s">
        <v>453</v>
      </c>
      <c r="H47" s="444" t="s">
        <v>576</v>
      </c>
      <c r="I47" s="444" t="s">
        <v>577</v>
      </c>
      <c r="J47" s="444" t="s">
        <v>578</v>
      </c>
      <c r="K47" s="444" t="s">
        <v>579</v>
      </c>
      <c r="L47" s="446">
        <v>156.05000000000001</v>
      </c>
      <c r="M47" s="446">
        <v>1</v>
      </c>
      <c r="N47" s="447">
        <v>156.05000000000001</v>
      </c>
    </row>
    <row r="48" spans="1:14" ht="14.4" customHeight="1" x14ac:dyDescent="0.3">
      <c r="A48" s="442" t="s">
        <v>442</v>
      </c>
      <c r="B48" s="443" t="s">
        <v>443</v>
      </c>
      <c r="C48" s="444" t="s">
        <v>447</v>
      </c>
      <c r="D48" s="445" t="s">
        <v>606</v>
      </c>
      <c r="E48" s="444" t="s">
        <v>452</v>
      </c>
      <c r="F48" s="445" t="s">
        <v>607</v>
      </c>
      <c r="G48" s="444" t="s">
        <v>453</v>
      </c>
      <c r="H48" s="444" t="s">
        <v>580</v>
      </c>
      <c r="I48" s="444" t="s">
        <v>497</v>
      </c>
      <c r="J48" s="444" t="s">
        <v>581</v>
      </c>
      <c r="K48" s="444"/>
      <c r="L48" s="446">
        <v>167.20000000000002</v>
      </c>
      <c r="M48" s="446">
        <v>1</v>
      </c>
      <c r="N48" s="447">
        <v>167.20000000000002</v>
      </c>
    </row>
    <row r="49" spans="1:14" ht="14.4" customHeight="1" x14ac:dyDescent="0.3">
      <c r="A49" s="442" t="s">
        <v>442</v>
      </c>
      <c r="B49" s="443" t="s">
        <v>443</v>
      </c>
      <c r="C49" s="444" t="s">
        <v>447</v>
      </c>
      <c r="D49" s="445" t="s">
        <v>606</v>
      </c>
      <c r="E49" s="444" t="s">
        <v>452</v>
      </c>
      <c r="F49" s="445" t="s">
        <v>607</v>
      </c>
      <c r="G49" s="444" t="s">
        <v>453</v>
      </c>
      <c r="H49" s="444" t="s">
        <v>582</v>
      </c>
      <c r="I49" s="444" t="s">
        <v>582</v>
      </c>
      <c r="J49" s="444" t="s">
        <v>583</v>
      </c>
      <c r="K49" s="444" t="s">
        <v>584</v>
      </c>
      <c r="L49" s="446">
        <v>151.56</v>
      </c>
      <c r="M49" s="446">
        <v>5</v>
      </c>
      <c r="N49" s="447">
        <v>757.8</v>
      </c>
    </row>
    <row r="50" spans="1:14" ht="14.4" customHeight="1" x14ac:dyDescent="0.3">
      <c r="A50" s="442" t="s">
        <v>442</v>
      </c>
      <c r="B50" s="443" t="s">
        <v>443</v>
      </c>
      <c r="C50" s="444" t="s">
        <v>447</v>
      </c>
      <c r="D50" s="445" t="s">
        <v>606</v>
      </c>
      <c r="E50" s="444" t="s">
        <v>452</v>
      </c>
      <c r="F50" s="445" t="s">
        <v>607</v>
      </c>
      <c r="G50" s="444" t="s">
        <v>453</v>
      </c>
      <c r="H50" s="444" t="s">
        <v>585</v>
      </c>
      <c r="I50" s="444" t="s">
        <v>497</v>
      </c>
      <c r="J50" s="444" t="s">
        <v>586</v>
      </c>
      <c r="K50" s="444"/>
      <c r="L50" s="446">
        <v>194.29068387802542</v>
      </c>
      <c r="M50" s="446">
        <v>6</v>
      </c>
      <c r="N50" s="447">
        <v>1165.7441032681525</v>
      </c>
    </row>
    <row r="51" spans="1:14" ht="14.4" customHeight="1" x14ac:dyDescent="0.3">
      <c r="A51" s="442" t="s">
        <v>442</v>
      </c>
      <c r="B51" s="443" t="s">
        <v>443</v>
      </c>
      <c r="C51" s="444" t="s">
        <v>447</v>
      </c>
      <c r="D51" s="445" t="s">
        <v>606</v>
      </c>
      <c r="E51" s="444" t="s">
        <v>452</v>
      </c>
      <c r="F51" s="445" t="s">
        <v>607</v>
      </c>
      <c r="G51" s="444" t="s">
        <v>453</v>
      </c>
      <c r="H51" s="444" t="s">
        <v>587</v>
      </c>
      <c r="I51" s="444" t="s">
        <v>588</v>
      </c>
      <c r="J51" s="444" t="s">
        <v>589</v>
      </c>
      <c r="K51" s="444" t="s">
        <v>590</v>
      </c>
      <c r="L51" s="446">
        <v>574.42333333333329</v>
      </c>
      <c r="M51" s="446">
        <v>6</v>
      </c>
      <c r="N51" s="447">
        <v>3446.54</v>
      </c>
    </row>
    <row r="52" spans="1:14" ht="14.4" customHeight="1" x14ac:dyDescent="0.3">
      <c r="A52" s="442" t="s">
        <v>442</v>
      </c>
      <c r="B52" s="443" t="s">
        <v>443</v>
      </c>
      <c r="C52" s="444" t="s">
        <v>447</v>
      </c>
      <c r="D52" s="445" t="s">
        <v>606</v>
      </c>
      <c r="E52" s="444" t="s">
        <v>452</v>
      </c>
      <c r="F52" s="445" t="s">
        <v>607</v>
      </c>
      <c r="G52" s="444" t="s">
        <v>453</v>
      </c>
      <c r="H52" s="444" t="s">
        <v>591</v>
      </c>
      <c r="I52" s="444" t="s">
        <v>497</v>
      </c>
      <c r="J52" s="444" t="s">
        <v>592</v>
      </c>
      <c r="K52" s="444" t="s">
        <v>593</v>
      </c>
      <c r="L52" s="446">
        <v>115.43009925646864</v>
      </c>
      <c r="M52" s="446">
        <v>5</v>
      </c>
      <c r="N52" s="447">
        <v>577.15049628234317</v>
      </c>
    </row>
    <row r="53" spans="1:14" ht="14.4" customHeight="1" x14ac:dyDescent="0.3">
      <c r="A53" s="442" t="s">
        <v>442</v>
      </c>
      <c r="B53" s="443" t="s">
        <v>443</v>
      </c>
      <c r="C53" s="444" t="s">
        <v>447</v>
      </c>
      <c r="D53" s="445" t="s">
        <v>606</v>
      </c>
      <c r="E53" s="444" t="s">
        <v>452</v>
      </c>
      <c r="F53" s="445" t="s">
        <v>607</v>
      </c>
      <c r="G53" s="444" t="s">
        <v>453</v>
      </c>
      <c r="H53" s="444" t="s">
        <v>594</v>
      </c>
      <c r="I53" s="444" t="s">
        <v>497</v>
      </c>
      <c r="J53" s="444" t="s">
        <v>595</v>
      </c>
      <c r="K53" s="444"/>
      <c r="L53" s="446">
        <v>156.04172428128558</v>
      </c>
      <c r="M53" s="446">
        <v>2</v>
      </c>
      <c r="N53" s="447">
        <v>312.08344856257116</v>
      </c>
    </row>
    <row r="54" spans="1:14" ht="14.4" customHeight="1" x14ac:dyDescent="0.3">
      <c r="A54" s="442" t="s">
        <v>442</v>
      </c>
      <c r="B54" s="443" t="s">
        <v>443</v>
      </c>
      <c r="C54" s="444" t="s">
        <v>447</v>
      </c>
      <c r="D54" s="445" t="s">
        <v>606</v>
      </c>
      <c r="E54" s="444" t="s">
        <v>452</v>
      </c>
      <c r="F54" s="445" t="s">
        <v>607</v>
      </c>
      <c r="G54" s="444" t="s">
        <v>596</v>
      </c>
      <c r="H54" s="444" t="s">
        <v>597</v>
      </c>
      <c r="I54" s="444" t="s">
        <v>598</v>
      </c>
      <c r="J54" s="444" t="s">
        <v>599</v>
      </c>
      <c r="K54" s="444" t="s">
        <v>600</v>
      </c>
      <c r="L54" s="446">
        <v>30.22</v>
      </c>
      <c r="M54" s="446">
        <v>1</v>
      </c>
      <c r="N54" s="447">
        <v>30.22</v>
      </c>
    </row>
    <row r="55" spans="1:14" ht="14.4" customHeight="1" thickBot="1" x14ac:dyDescent="0.35">
      <c r="A55" s="448" t="s">
        <v>442</v>
      </c>
      <c r="B55" s="449" t="s">
        <v>443</v>
      </c>
      <c r="C55" s="450" t="s">
        <v>447</v>
      </c>
      <c r="D55" s="451" t="s">
        <v>606</v>
      </c>
      <c r="E55" s="450" t="s">
        <v>601</v>
      </c>
      <c r="F55" s="451" t="s">
        <v>608</v>
      </c>
      <c r="G55" s="450" t="s">
        <v>596</v>
      </c>
      <c r="H55" s="450" t="s">
        <v>602</v>
      </c>
      <c r="I55" s="450" t="s">
        <v>603</v>
      </c>
      <c r="J55" s="450" t="s">
        <v>604</v>
      </c>
      <c r="K55" s="450" t="s">
        <v>605</v>
      </c>
      <c r="L55" s="452">
        <v>114.93</v>
      </c>
      <c r="M55" s="452">
        <v>4</v>
      </c>
      <c r="N55" s="453">
        <v>459.72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59" t="s">
        <v>138</v>
      </c>
      <c r="B1" s="360"/>
      <c r="C1" s="360"/>
      <c r="D1" s="360"/>
      <c r="E1" s="360"/>
      <c r="F1" s="360"/>
    </row>
    <row r="2" spans="1:6" ht="14.4" customHeight="1" thickBot="1" x14ac:dyDescent="0.35">
      <c r="A2" s="210" t="s">
        <v>268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61" t="s">
        <v>110</v>
      </c>
      <c r="C3" s="362"/>
      <c r="D3" s="363" t="s">
        <v>109</v>
      </c>
      <c r="E3" s="362"/>
      <c r="F3" s="72" t="s">
        <v>3</v>
      </c>
    </row>
    <row r="4" spans="1:6" ht="14.4" customHeight="1" thickBot="1" x14ac:dyDescent="0.35">
      <c r="A4" s="454" t="s">
        <v>123</v>
      </c>
      <c r="B4" s="455" t="s">
        <v>14</v>
      </c>
      <c r="C4" s="456" t="s">
        <v>2</v>
      </c>
      <c r="D4" s="455" t="s">
        <v>14</v>
      </c>
      <c r="E4" s="456" t="s">
        <v>2</v>
      </c>
      <c r="F4" s="457" t="s">
        <v>14</v>
      </c>
    </row>
    <row r="5" spans="1:6" ht="14.4" customHeight="1" thickBot="1" x14ac:dyDescent="0.35">
      <c r="A5" s="466" t="s">
        <v>609</v>
      </c>
      <c r="B5" s="434"/>
      <c r="C5" s="458">
        <v>0</v>
      </c>
      <c r="D5" s="434">
        <v>489.94000000000005</v>
      </c>
      <c r="E5" s="458">
        <v>1</v>
      </c>
      <c r="F5" s="435">
        <v>489.94000000000005</v>
      </c>
    </row>
    <row r="6" spans="1:6" ht="14.4" customHeight="1" thickBot="1" x14ac:dyDescent="0.35">
      <c r="A6" s="462" t="s">
        <v>3</v>
      </c>
      <c r="B6" s="463"/>
      <c r="C6" s="464">
        <v>0</v>
      </c>
      <c r="D6" s="463">
        <v>489.94000000000005</v>
      </c>
      <c r="E6" s="464">
        <v>1</v>
      </c>
      <c r="F6" s="465">
        <v>489.94000000000005</v>
      </c>
    </row>
    <row r="7" spans="1:6" ht="14.4" customHeight="1" thickBot="1" x14ac:dyDescent="0.35"/>
    <row r="8" spans="1:6" ht="14.4" customHeight="1" x14ac:dyDescent="0.3">
      <c r="A8" s="472" t="s">
        <v>610</v>
      </c>
      <c r="B8" s="440"/>
      <c r="C8" s="459">
        <v>0</v>
      </c>
      <c r="D8" s="440">
        <v>30.22</v>
      </c>
      <c r="E8" s="459">
        <v>1</v>
      </c>
      <c r="F8" s="441">
        <v>30.22</v>
      </c>
    </row>
    <row r="9" spans="1:6" ht="14.4" customHeight="1" thickBot="1" x14ac:dyDescent="0.35">
      <c r="A9" s="473" t="s">
        <v>611</v>
      </c>
      <c r="B9" s="469"/>
      <c r="C9" s="470">
        <v>0</v>
      </c>
      <c r="D9" s="469">
        <v>459.72</v>
      </c>
      <c r="E9" s="470">
        <v>1</v>
      </c>
      <c r="F9" s="471">
        <v>459.72</v>
      </c>
    </row>
    <row r="10" spans="1:6" ht="14.4" customHeight="1" thickBot="1" x14ac:dyDescent="0.35">
      <c r="A10" s="462" t="s">
        <v>3</v>
      </c>
      <c r="B10" s="463"/>
      <c r="C10" s="464">
        <v>0</v>
      </c>
      <c r="D10" s="463">
        <v>489.94000000000005</v>
      </c>
      <c r="E10" s="464">
        <v>1</v>
      </c>
      <c r="F10" s="465">
        <v>489.94000000000005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2017-03-31T13:08:54Z</dcterms:modified>
</cp:coreProperties>
</file>