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J20" i="419" l="1"/>
  <c r="I20" i="419"/>
  <c r="H20" i="419"/>
  <c r="G20" i="419"/>
  <c r="F20" i="419"/>
  <c r="E20" i="419"/>
  <c r="D20" i="419"/>
  <c r="C20" i="419"/>
  <c r="J19" i="419"/>
  <c r="I19" i="419"/>
  <c r="H19" i="419"/>
  <c r="G19" i="419"/>
  <c r="F19" i="419"/>
  <c r="E19" i="419"/>
  <c r="D19" i="419"/>
  <c r="C19" i="419"/>
  <c r="J17" i="419"/>
  <c r="I17" i="419"/>
  <c r="H17" i="419"/>
  <c r="G17" i="419"/>
  <c r="F17" i="419"/>
  <c r="E17" i="419"/>
  <c r="D17" i="419"/>
  <c r="C17" i="419"/>
  <c r="J16" i="419"/>
  <c r="I16" i="419"/>
  <c r="H16" i="419"/>
  <c r="G16" i="419"/>
  <c r="F16" i="419"/>
  <c r="E16" i="419"/>
  <c r="D16" i="419"/>
  <c r="C16" i="419"/>
  <c r="J14" i="419"/>
  <c r="I14" i="419"/>
  <c r="H14" i="419"/>
  <c r="G14" i="419"/>
  <c r="F14" i="419"/>
  <c r="E14" i="419"/>
  <c r="D14" i="419"/>
  <c r="C14" i="419"/>
  <c r="J13" i="419"/>
  <c r="I13" i="419"/>
  <c r="H13" i="419"/>
  <c r="G13" i="419"/>
  <c r="F13" i="419"/>
  <c r="E13" i="419"/>
  <c r="D13" i="419"/>
  <c r="C13" i="419"/>
  <c r="J12" i="419"/>
  <c r="I12" i="419"/>
  <c r="H12" i="419"/>
  <c r="G12" i="419"/>
  <c r="F12" i="419"/>
  <c r="E12" i="419"/>
  <c r="D12" i="419"/>
  <c r="C12" i="419"/>
  <c r="J11" i="419"/>
  <c r="I11" i="419"/>
  <c r="H11" i="419"/>
  <c r="G11" i="419"/>
  <c r="F11" i="419"/>
  <c r="E11" i="419"/>
  <c r="D11" i="419"/>
  <c r="C11" i="419"/>
  <c r="C18" i="419" l="1"/>
  <c r="G18" i="419"/>
  <c r="D18" i="419"/>
  <c r="E18" i="419"/>
  <c r="H18" i="419"/>
  <c r="F18" i="419"/>
  <c r="I18" i="419"/>
  <c r="J18" i="419"/>
  <c r="E26" i="419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AE3" i="418" l="1"/>
  <c r="I3" i="418"/>
  <c r="F28" i="419" l="1"/>
  <c r="F27" i="419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W3" i="418" l="1"/>
  <c r="AV3" i="418"/>
  <c r="AU3" i="418"/>
  <c r="AT3" i="418"/>
  <c r="AS3" i="418"/>
  <c r="AR3" i="418"/>
  <c r="B25" i="419" l="1"/>
  <c r="B27" i="419" l="1"/>
  <c r="A9" i="414"/>
  <c r="A8" i="414"/>
  <c r="A7" i="414"/>
  <c r="J21" i="419" l="1"/>
  <c r="I21" i="419"/>
  <c r="H21" i="419"/>
  <c r="G21" i="419"/>
  <c r="F21" i="419"/>
  <c r="G23" i="419" l="1"/>
  <c r="H23" i="419"/>
  <c r="F23" i="419"/>
  <c r="I23" i="419"/>
  <c r="J23" i="419"/>
  <c r="G22" i="419"/>
  <c r="H22" i="419"/>
  <c r="F22" i="419"/>
  <c r="I22" i="419"/>
  <c r="J22" i="419"/>
  <c r="N3" i="418"/>
  <c r="E21" i="419" l="1"/>
  <c r="E22" i="419" s="1"/>
  <c r="C21" i="419"/>
  <c r="C22" i="419" s="1"/>
  <c r="C23" i="419" l="1"/>
  <c r="E23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G6" i="419" l="1"/>
  <c r="C6" i="419"/>
  <c r="J6" i="419"/>
  <c r="I6" i="419"/>
  <c r="H6" i="419"/>
  <c r="E6" i="419"/>
  <c r="D6" i="419"/>
  <c r="F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7" i="414"/>
  <c r="Z3" i="344" l="1"/>
  <c r="Y3" i="344"/>
  <c r="W3" i="344"/>
  <c r="AB3" i="344" s="1"/>
  <c r="V3" i="344"/>
  <c r="T3" i="344"/>
  <c r="AA3" i="344" s="1"/>
  <c r="Q3" i="344"/>
  <c r="P3" i="344"/>
  <c r="N3" i="344"/>
  <c r="M3" i="344"/>
  <c r="K3" i="344"/>
  <c r="R3" i="344" s="1"/>
  <c r="G3" i="344"/>
  <c r="C3" i="344"/>
  <c r="B11" i="339"/>
  <c r="J11" i="339" s="1"/>
  <c r="S3" i="344" l="1"/>
  <c r="I11" i="339"/>
  <c r="F11" i="339"/>
  <c r="H11" i="339" l="1"/>
  <c r="G11" i="339"/>
  <c r="A13" i="414"/>
  <c r="A14" i="414"/>
  <c r="A4" i="414"/>
  <c r="A6" i="339" l="1"/>
  <c r="A5" i="339"/>
  <c r="C17" i="414"/>
  <c r="D4" i="414"/>
  <c r="D14" i="414"/>
  <c r="D17" i="414"/>
  <c r="C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H3" i="387"/>
  <c r="G3" i="387"/>
  <c r="F3" i="387"/>
  <c r="N3" i="220"/>
  <c r="L3" i="220" s="1"/>
  <c r="C21" i="414"/>
  <c r="D21" i="414"/>
  <c r="I12" i="339" l="1"/>
  <c r="I13" i="339" s="1"/>
  <c r="F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J13" i="339" l="1"/>
  <c r="B15" i="339"/>
  <c r="H13" i="339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1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<sst xmlns="http://schemas.openxmlformats.org/spreadsheetml/2006/main" count="8548" uniqueCount="1838">
  <si>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</si>
  <si>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</si>
  <si>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</si>
  <si>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</si>
  <si>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</si>
  <si>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</si>
  <si>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</si>
  <si>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</si>
  <si>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</si>
  <si>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</si>
  <si>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</si>
  <si>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</si>
  <si>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</si>
  <si>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</si>
  <si>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</si>
  <si>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</si>
  <si>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</si>
  <si>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</si>
  <si>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</si>
  <si>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</si>
  <si>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</si>
  <si>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</si>
  <si>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</si>
  <si>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</si>
  <si>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</si>
  <si>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</si>
  <si>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</si>
  <si>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</si>
  <si>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</si>
  <si>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</si>
  <si>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</si>
  <si>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</si>
  <si>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</si>
  <si>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</si>
  <si>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</si>
  <si>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</si>
  <si>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</si>
  <si>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</si>
  <si>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</si>
  <si>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</si>
  <si>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</si>
  <si>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</si>
  <si>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</si>
  <si>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</si>
  <si>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</si>
  <si>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</si>
  <si>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</si>
  <si>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</si>
  <si>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</si>
  <si>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</si>
  <si>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</si>
  <si>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</si>
  <si>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</si>
  <si>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</si>
  <si>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</si>
  <si>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</si>
  <si>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</si>
  <si>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</si>
  <si>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</si>
  <si>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</si>
  <si>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</si>
  <si>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</si>
  <si>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</si>
  <si>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</si>
  <si>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</si>
  <si>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</si>
  <si>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</si>
  <si>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</si>
  <si>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</si>
  <si>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</si>
  <si>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</si>
  <si>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</si>
  <si>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</si>
  <si>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</si>
  <si>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</si>
  <si>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</si>
  <si>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</si>
  <si>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</si>
  <si>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</si>
  <si>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</si>
  <si>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</si>
  <si>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</si>
  <si>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</si>
  <si>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</si>
  <si>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</si>
  <si>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</si>
  <si>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</si>
  <si>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</si>
  <si>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</si>
  <si>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</si>
  <si>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</si>
  <si>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</si>
  <si>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</si>
  <si>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</si>
  <si>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</si>
  <si>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</si>
  <si>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</si>
  <si>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</si>
  <si>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</si>
  <si>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</si>
  <si>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</si>
  <si>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</si>
  <si>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</si>
  <si>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</si>
  <si>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</si>
  <si>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</si>
  <si>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</si>
  <si>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</si>
  <si>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</si>
  <si>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</si>
  <si>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</si>
  <si>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</si>
  <si>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</si>
  <si>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</si>
  <si>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</si>
  <si>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</si>
  <si>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</si>
  <si>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</si>
  <si>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</si>
  <si>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</si>
  <si>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</si>
  <si>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</si>
  <si>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</si>
  <si>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</si>
  <si>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</si>
  <si>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</si>
  <si>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</si>
  <si>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</si>
  <si>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</si>
  <si>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</si>
  <si>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</si>
  <si>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</si>
  <si>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</si>
  <si>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</si>
  <si>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</si>
  <si>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</si>
  <si>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</si>
  <si>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</si>
  <si>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</si>
  <si>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</si>
  <si>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</si>
  <si>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</si>
  <si>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</si>
  <si>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</si>
  <si>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</si>
  <si>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</si>
  <si>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</si>
  <si>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</si>
  <si>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</si>
  <si>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</si>
  <si>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</si>
  <si>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</si>
  <si>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</si>
  <si>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</si>
  <si>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</si>
  <si>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</si>
  <si>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</si>
  <si>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</si>
  <si>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</si>
  <si>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</si>
  <si>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</si>
  <si>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</si>
  <si>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</si>
  <si>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</si>
  <si>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</si>
  <si>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</si>
  <si>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</si>
  <si>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</si>
  <si>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</si>
  <si>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</si>
  <si>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</si>
  <si>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</si>
  <si>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</si>
  <si>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</si>
  <si>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</si>
  <si>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</si>
  <si>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</si>
  <si>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</si>
  <si>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zubní technici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</si>
  <si>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</si>
  <si>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</si>
  <si>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</si>
  <si>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</si>
  <si>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</si>
  <si>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</si>
  <si>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</si>
  <si>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</si>
  <si>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</si>
  <si>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</si>
  <si>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</si>
  <si>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</si>
  <si>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</si>
  <si>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</si>
  <si>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</si>
  <si>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</si>
  <si>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zubní lékaři specialisti</t>
  </si>
  <si>
    <t>všeobecné sestry pod dohl.</t>
  </si>
  <si>
    <t>všeobecné sestry bez dohl.</t>
  </si>
  <si>
    <t>všeobecné sestry bez dohl., spec.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</si>
  <si>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</si>
  <si>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</si>
  <si>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</si>
  <si>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</si>
  <si>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</si>
  <si>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</si>
  <si>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</si>
  <si>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</si>
  <si>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</si>
  <si>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</si>
  <si>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</si>
  <si>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</si>
  <si>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</si>
  <si>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</si>
  <si>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</si>
  <si>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</si>
  <si>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</si>
  <si>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</si>
  <si>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</si>
  <si>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</si>
  <si>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</si>
  <si>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</si>
  <si>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</si>
  <si>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</si>
  <si>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</si>
  <si>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</si>
  <si>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</si>
  <si>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</si>
  <si>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</si>
  <si>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</si>
  <si>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</si>
  <si>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</si>
  <si>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</si>
  <si>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</si>
  <si>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</si>
  <si>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</si>
  <si>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</si>
  <si>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</si>
  <si>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</si>
  <si>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</si>
  <si>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</si>
  <si>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</si>
  <si>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</si>
  <si>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</si>
  <si>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</si>
  <si>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</si>
  <si>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50113190     léky - medicinální plyny (sklad SVM)</t>
  </si>
  <si>
    <t>50115     Zdravotnické prostředky</t>
  </si>
  <si>
    <t>50115040     laboratorní materiál (Z505)</t>
  </si>
  <si>
    <t>50115050     obvazový materiál (Z502)</t>
  </si>
  <si>
    <t>50115060     ZPr - ostatní (Z503)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</si>
  <si>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</si>
  <si>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</si>
  <si>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</si>
  <si>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</si>
  <si>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</si>
  <si>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</si>
  <si>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</si>
  <si>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</si>
  <si>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</si>
  <si>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</si>
  <si>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</si>
  <si>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</si>
  <si>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</si>
  <si>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</si>
  <si>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</si>
  <si>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</si>
  <si>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</si>
  <si>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</si>
  <si>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</si>
  <si>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</si>
  <si>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</si>
  <si>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</si>
  <si>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</si>
  <si>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</si>
  <si>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</si>
  <si>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</si>
  <si>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</si>
  <si>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</si>
  <si>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</si>
  <si>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</si>
  <si>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</si>
  <si>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</si>
  <si>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</si>
  <si>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</si>
  <si>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</si>
  <si>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</si>
  <si>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</si>
  <si>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</si>
  <si>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</si>
  <si>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</si>
  <si>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</si>
  <si>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</si>
  <si>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</si>
  <si>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</si>
  <si>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</si>
  <si>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</si>
  <si>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</si>
  <si>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</si>
  <si>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</si>
  <si>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</si>
  <si>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</si>
  <si>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</si>
  <si>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</si>
  <si>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</si>
  <si>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</si>
  <si>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</si>
  <si>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</si>
  <si>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</si>
  <si>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</si>
  <si>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</si>
  <si>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</si>
  <si>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</si>
  <si>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</si>
  <si>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</si>
  <si>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</si>
  <si>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</si>
  <si>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</si>
  <si>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</si>
  <si>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</si>
  <si>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</si>
  <si>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</si>
  <si>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</si>
  <si>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51874002     služby (ostraha)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</si>
  <si>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</si>
  <si>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</si>
  <si>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</si>
  <si>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</si>
  <si>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</si>
  <si>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</si>
  <si>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</si>
  <si>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</si>
  <si>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</si>
  <si>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</si>
  <si>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</si>
  <si>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</si>
  <si>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</si>
  <si>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</si>
  <si>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</si>
  <si>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</si>
  <si>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</si>
  <si>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</si>
  <si>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</si>
  <si>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</si>
  <si>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547     (nepoužívať)</t>
  </si>
  <si>
    <t>54710     Manka a škody</t>
  </si>
  <si>
    <t>54710002     zcizení a poškoz. maj.FNOL(jednání v NK)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</si>
  <si>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</si>
  <si>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</si>
  <si>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</si>
  <si>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</si>
  <si>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</si>
  <si>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</si>
  <si>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</si>
  <si>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</si>
  <si>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</si>
  <si>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</si>
  <si>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</si>
  <si>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</si>
  <si>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</si>
  <si>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</si>
  <si>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</si>
  <si>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</si>
  <si>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</si>
  <si>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</si>
  <si>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</si>
  <si>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</si>
  <si>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</si>
  <si>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</si>
  <si>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</si>
  <si>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</si>
  <si>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</si>
  <si>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</si>
  <si>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</si>
  <si>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</si>
  <si>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</si>
  <si>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</si>
  <si>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</si>
  <si>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</si>
  <si>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</si>
  <si>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</si>
  <si>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</si>
  <si>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</si>
  <si>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</si>
  <si>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</si>
  <si>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60229209     výkony stomatologie</t>
  </si>
  <si>
    <t>60241     Odmítnutí vykázané péče     OZPI</t>
  </si>
  <si>
    <t>60241101     odmítnutí vykázané péče, receptů, poukázek PZt, Tr - VZP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</si>
  <si>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</si>
  <si>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</si>
  <si>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</si>
  <si>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</si>
  <si>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</si>
  <si>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</si>
  <si>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</si>
  <si>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</si>
  <si>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64908046     náhrady od pojišť. (mimosoudní narovnání)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</si>
  <si>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</si>
  <si>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</si>
  <si>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</si>
  <si>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</si>
  <si>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</si>
  <si>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</si>
  <si>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</si>
  <si>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</si>
  <si>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</si>
  <si>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</si>
  <si>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</si>
  <si>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</si>
  <si>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</si>
  <si>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</si>
  <si>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</si>
  <si>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</si>
  <si>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</si>
  <si>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</si>
  <si>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</si>
  <si>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</si>
  <si>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</si>
  <si>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</si>
  <si>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ZUBNI: Klinika zubního lékařství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</si>
  <si>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</si>
  <si>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</si>
  <si>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</si>
  <si>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</si>
  <si>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</si>
  <si>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ZUBNI: Klinika zubního lékařství Celkem</t>
  </si>
  <si>
    <t>SumaKL</t>
  </si>
  <si>
    <t>2421</t>
  </si>
  <si>
    <t xml:space="preserve">ZUBNI: ambulance </t>
  </si>
  <si>
    <t>ZUBNI: ambulance  Celkem</t>
  </si>
  <si>
    <t>SumaNS</t>
  </si>
  <si>
    <t>mezeraNS</t>
  </si>
  <si>
    <t>léky - paušál (LEK)</t>
  </si>
  <si>
    <t>O</t>
  </si>
  <si>
    <t>0.9% W/V SODIUM CHLORIDE I.V.</t>
  </si>
  <si>
    <t>INJ 20X10ML</t>
  </si>
  <si>
    <t>ADRENALIN LECIVA</t>
  </si>
  <si>
    <t>INJ 5X1ML/1MG</t>
  </si>
  <si>
    <t>AQUA PRO INJECTIONE BRAUN</t>
  </si>
  <si>
    <t>INJ SOL 20X10ML-PLA</t>
  </si>
  <si>
    <t>ARDEANUTRISOL G 40</t>
  </si>
  <si>
    <t>INF 1X80ML</t>
  </si>
  <si>
    <t>Carbosorb tbl.20-blistr</t>
  </si>
  <si>
    <t>Curaprox Curasept ADS 350 par.gel 30ml</t>
  </si>
  <si>
    <t>DERMAZULEN</t>
  </si>
  <si>
    <t>UNG 1X30GM</t>
  </si>
  <si>
    <t>DIAZEPAM SLOVAKOFARMA</t>
  </si>
  <si>
    <t>TBL 20X5MG</t>
  </si>
  <si>
    <t>DZ TRIXO 100 ML</t>
  </si>
  <si>
    <t>DZ TRIXO 500 ML</t>
  </si>
  <si>
    <t>DZ TRIXO LIND 100 ml</t>
  </si>
  <si>
    <t>DZ TRIXO LIND 500ML</t>
  </si>
  <si>
    <t>ECOLAV Výplach očí 100ml</t>
  </si>
  <si>
    <t>100 ml</t>
  </si>
  <si>
    <t>ELMEX GELEE</t>
  </si>
  <si>
    <t>STM GEL 1X25GM</t>
  </si>
  <si>
    <t>CHLORID SODNÝ 0,9% BRAUN</t>
  </si>
  <si>
    <t>INF SOL 10X250MLPELAH</t>
  </si>
  <si>
    <t>INJ SOL 100X10ML II</t>
  </si>
  <si>
    <t>IBALGIN 400 (IBUPROFEN 400)</t>
  </si>
  <si>
    <t>TBL OBD 100X400MG</t>
  </si>
  <si>
    <t>IBALGIN 400 TBL 36</t>
  </si>
  <si>
    <t xml:space="preserve">POR TBL FLM 36X400MG </t>
  </si>
  <si>
    <t>INFADOLAN</t>
  </si>
  <si>
    <t>DRM UNG 1X30GM</t>
  </si>
  <si>
    <t>IR  AQUA STERILE OPLACH.1x1000 ml ECOTAINER</t>
  </si>
  <si>
    <t>IR OPLACH</t>
  </si>
  <si>
    <t>IR OG. OPHTHALMO-SEPTONEX</t>
  </si>
  <si>
    <t>GTT OPH 1X10ML</t>
  </si>
  <si>
    <t>KL AQUA PURIF. KUL., FAG. 1 kg</t>
  </si>
  <si>
    <t>KL ETHANOL.C.BENZINO 1 l</t>
  </si>
  <si>
    <t>KL ETHANOL.C.BENZINO 10G</t>
  </si>
  <si>
    <t>KL ETHANOL.C.BENZINO 150G v sirokohrdle lahvi</t>
  </si>
  <si>
    <t>KL ETHANOL.C.BENZINO 200G</t>
  </si>
  <si>
    <t>KL ETHANOL.C.BENZINO 75G</t>
  </si>
  <si>
    <t>KL ETHANOLUM BENZ.DENAT. 500ml /400g/</t>
  </si>
  <si>
    <t>KL ETHANOLUM BENZ.DENAT. 900 ml / 720g/</t>
  </si>
  <si>
    <t>KL CHLORHEXIDINI SOL. 0,1% 1000ml</t>
  </si>
  <si>
    <t>KL CHLORHEXIDINI SOL. 0,1% 200g</t>
  </si>
  <si>
    <t>v sirokohrdle lahvi</t>
  </si>
  <si>
    <t>KL CHLORHEXIDINI SOL. 0,1% 300 g</t>
  </si>
  <si>
    <t>KL CHLORHEXIDINI SOL. 0,2% 200 g</t>
  </si>
  <si>
    <t>KL CHLORNAN SODNÝ 1% 300g v sirokohrdle lahvi</t>
  </si>
  <si>
    <t>KL JODOVY OLEJ 10G</t>
  </si>
  <si>
    <t>KL MS HYDROG.PEROX. 3% 1000g</t>
  </si>
  <si>
    <t>KL OBAL</t>
  </si>
  <si>
    <t>lékovky, kelímky</t>
  </si>
  <si>
    <t>KL PRIPRAVEK</t>
  </si>
  <si>
    <t>KL SIGNATURY</t>
  </si>
  <si>
    <t>KL SOL.ARG.NITR.10% 10G</t>
  </si>
  <si>
    <t>KL SOL.BORGLYCEROLI 3% 10 G</t>
  </si>
  <si>
    <t>KL SOL.HYD.PEROX.3% 100G v sirokohrdle lahvi</t>
  </si>
  <si>
    <t>KL SOL.HYD.PEROX.3% 10G</t>
  </si>
  <si>
    <t>KL SOL.HYD.PEROX.3% 200G v sirokohrdle lahvi</t>
  </si>
  <si>
    <t>KL SOL.HYD.PEROX.3% 300G v sirokohrdle lahvi</t>
  </si>
  <si>
    <t>KL SOL.PHENOLI CAMPHOR. 10g</t>
  </si>
  <si>
    <t>KL SOL.ZINCI CHLOR.10% 10 g</t>
  </si>
  <si>
    <t>KL SOL.ZINCI CHLOR.10% 5G</t>
  </si>
  <si>
    <t>KL VASELINUM ALBUM, 100G</t>
  </si>
  <si>
    <t>KL VASELINUM ALBUM, 20G</t>
  </si>
  <si>
    <t>KL VASELINUM ALBUM, 30G</t>
  </si>
  <si>
    <t>KL VASELINUM ALBUM, 50G</t>
  </si>
  <si>
    <t>LIDOCAIN EGIS 10 %</t>
  </si>
  <si>
    <t>DRM SPR SOL 1X38GM</t>
  </si>
  <si>
    <t>MAGNESIUM SULFURICUM BIOTIKA</t>
  </si>
  <si>
    <t>INJ 5X10ML 10%</t>
  </si>
  <si>
    <t>INJ 5X10ML 20%</t>
  </si>
  <si>
    <t>MAGNOSOLV</t>
  </si>
  <si>
    <t>GRA 30X6.1GM(SACKY)</t>
  </si>
  <si>
    <t>MARCAINE 0.5%</t>
  </si>
  <si>
    <t>INJ SOL5X20ML/100MG</t>
  </si>
  <si>
    <t>NATRIUM CHLORATUM BIOTIKA ISOT.</t>
  </si>
  <si>
    <t>INJ 10X5ML</t>
  </si>
  <si>
    <t>PARALEN 500</t>
  </si>
  <si>
    <t>POR TBL NOB 24X500MG</t>
  </si>
  <si>
    <t>SOLCOSERYL DENTAL ADHESIVE</t>
  </si>
  <si>
    <t>STM PST 1X5GM</t>
  </si>
  <si>
    <t>SUPRACAIN 4%</t>
  </si>
  <si>
    <t>INJ 10X2ML</t>
  </si>
  <si>
    <t>SYNTOPHYLLIN</t>
  </si>
  <si>
    <t>INJ 5X10ML/240MG</t>
  </si>
  <si>
    <t>TANTUM VERDE</t>
  </si>
  <si>
    <t>LIQ 1X240ML-PET TR</t>
  </si>
  <si>
    <t>TORECAN</t>
  </si>
  <si>
    <t>DRG 50X6.5MG</t>
  </si>
  <si>
    <t>UBISTESIN</t>
  </si>
  <si>
    <t>INJ SOL 50X1.7ML</t>
  </si>
  <si>
    <t>P</t>
  </si>
  <si>
    <t>VENTOLIN INHALER N</t>
  </si>
  <si>
    <t>INHSUSPSS200X100RG</t>
  </si>
  <si>
    <t>VITAMIN B12 LECIVA 1000RG</t>
  </si>
  <si>
    <t>INJ 5X1ML/1000RG</t>
  </si>
  <si>
    <t>ZODAC</t>
  </si>
  <si>
    <t>TBL OBD 30X10MG</t>
  </si>
  <si>
    <t>léky - antibiotika (LEK)</t>
  </si>
  <si>
    <t>AMOKSIKLAV 1G</t>
  </si>
  <si>
    <t>TBL OBD 14X1GM</t>
  </si>
  <si>
    <t>DALACIN C 300 MG</t>
  </si>
  <si>
    <t>POR CPS DUR 16X300MG</t>
  </si>
  <si>
    <t>FRAMYKOIN</t>
  </si>
  <si>
    <t>UNG 1X10GM</t>
  </si>
  <si>
    <t>2421 - ZUBNI: ambulance</t>
  </si>
  <si>
    <t>J01CR02 - AMOXICILIN A ENZYMOVÝ INHIBITOR</t>
  </si>
  <si>
    <t>R03AC02 - SALBUTAMOL</t>
  </si>
  <si>
    <t>R06AE07 - CETIRIZIN</t>
  </si>
  <si>
    <t>J01CR02</t>
  </si>
  <si>
    <t>5951</t>
  </si>
  <si>
    <t>AMOKSIKLAV 1 G</t>
  </si>
  <si>
    <t>875MG/125MG TBL FLM 14</t>
  </si>
  <si>
    <t>R03AC02</t>
  </si>
  <si>
    <t>31934</t>
  </si>
  <si>
    <t>100MCG/DÁV INH SUS PSS 200DÁV</t>
  </si>
  <si>
    <t>R06AE07</t>
  </si>
  <si>
    <t>66030</t>
  </si>
  <si>
    <t>10MG TBL FLM 30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</si>
  <si>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</si>
  <si>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</si>
  <si>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</si>
  <si>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</si>
  <si>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</si>
  <si>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</si>
  <si>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</si>
  <si>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</si>
  <si>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</si>
  <si>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</si>
  <si>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50115090 - ZPr - zubolékařský materiál (Z509)</t>
  </si>
  <si>
    <t>50115040</t>
  </si>
  <si>
    <t>laboratorní materiál (Z505)</t>
  </si>
  <si>
    <t>ZF670</t>
  </si>
  <si>
    <t>Kádinka nízká s výlevkou skol 150 ml KAVA632417010150_U (č. n. 2602043344)</t>
  </si>
  <si>
    <t>ZC047</t>
  </si>
  <si>
    <t>Miska petri sklo 60 mm 713874</t>
  </si>
  <si>
    <t>ZC054</t>
  </si>
  <si>
    <t>Válec odměrný vysoký sklo 100 ml d713880</t>
  </si>
  <si>
    <t>50115050</t>
  </si>
  <si>
    <t>obvazový materiál (Z502)</t>
  </si>
  <si>
    <t>ZA616</t>
  </si>
  <si>
    <t>Drenáž zubní sterilní 1 x 6 cm 0360</t>
  </si>
  <si>
    <t>ZA603</t>
  </si>
  <si>
    <t>Kompresa gáza 7,5 x 7,5 cm/2 ks sterilní karton á 1000 ks 26005</t>
  </si>
  <si>
    <t>ZD740</t>
  </si>
  <si>
    <t>Kompresa gáza sterilkompres 7,5 x 7,5 cm/5 ks sterilní 1325019265(1230119225)</t>
  </si>
  <si>
    <t>ZN200</t>
  </si>
  <si>
    <t>Krytí hemostatické traumacel new dent kostky bal. á 50 ks 10115</t>
  </si>
  <si>
    <t>ZA798</t>
  </si>
  <si>
    <t>Krytí hemostatické traumacel P 2g ks bal. 1 ks zásyp 10120</t>
  </si>
  <si>
    <t>ZC917</t>
  </si>
  <si>
    <t>Krytí hypro-sorb F 20 x 30 mm HY 2030/2 - již se nevyrábí</t>
  </si>
  <si>
    <t>ZA554</t>
  </si>
  <si>
    <t>Krytí hypro-sorb R 10 x 10 x 10 mm bal. á 10 ks 006 - již se nevyrábí</t>
  </si>
  <si>
    <t>ZF042</t>
  </si>
  <si>
    <t>Krytí mastný tyl jelonet 10 x 10 cm á 10 ks 7404</t>
  </si>
  <si>
    <t>ZP360</t>
  </si>
  <si>
    <t>Krytí membrána collagene AT 22 x 22 mm bal. á 6 ks AT4101</t>
  </si>
  <si>
    <t>ZG299</t>
  </si>
  <si>
    <t>Náplast cosmopor steril 10 x 8 cm, á 25 ks, 900806</t>
  </si>
  <si>
    <t>ZB404</t>
  </si>
  <si>
    <t>Náplast cosmos 8 cm x 1 m 5403353</t>
  </si>
  <si>
    <t>ZC885</t>
  </si>
  <si>
    <t>Náplast omnifix E 10 cm x 10 m 900650</t>
  </si>
  <si>
    <t>ZA450</t>
  </si>
  <si>
    <t>Náplast omniplast 1,25 cm x 9,1 m 9004520</t>
  </si>
  <si>
    <t>ZD103</t>
  </si>
  <si>
    <t>Náplast omniplast 2,5 cm x 9,2 m 9004530</t>
  </si>
  <si>
    <t>ZA451</t>
  </si>
  <si>
    <t>Náplast omniplast 5,0 cm x 9,2 m 9004540 (900429)</t>
  </si>
  <si>
    <t>ZN366</t>
  </si>
  <si>
    <t>Náplast poinjekční elastická tkaná jednotl. baleno 19 mm x 72 mm P-CURE1972ELAST</t>
  </si>
  <si>
    <t>ZL995</t>
  </si>
  <si>
    <t>Obinadlo hyrofilní sterilní  6 cm x 5 m  004310190</t>
  </si>
  <si>
    <t>ZN468</t>
  </si>
  <si>
    <t>Obvaz elastický síťový pruban č. 3 chodidlo, holeň, loket 1323300230</t>
  </si>
  <si>
    <t>ZG538</t>
  </si>
  <si>
    <t>Obvaz ran po chir. zákrocích COE PACK 530315</t>
  </si>
  <si>
    <t>ZL789</t>
  </si>
  <si>
    <t>Obvaz sterilní hotový č. 2 A4091360</t>
  </si>
  <si>
    <t>ZL790</t>
  </si>
  <si>
    <t>Obvaz sterilní hotový č. 3 A4101144</t>
  </si>
  <si>
    <t>ZL999</t>
  </si>
  <si>
    <t>Rychloobvaz 8 x 4 cm 001445510</t>
  </si>
  <si>
    <t>ZA443</t>
  </si>
  <si>
    <t>Šátek trojcípý NT 136 x 96 x 96 cm 20002</t>
  </si>
  <si>
    <t>ZA582</t>
  </si>
  <si>
    <t>Tampon sterilní small bal. á 100 ks 156760</t>
  </si>
  <si>
    <t>ZA604</t>
  </si>
  <si>
    <t>Tyčinka vatová sterilní jednotlivě balalená bal. á 1000 ks 5100/SG/CS</t>
  </si>
  <si>
    <t>ZA533</t>
  </si>
  <si>
    <t>Váleček zubní Celluron č.2 á 600 ks 4301821</t>
  </si>
  <si>
    <t>ZC100</t>
  </si>
  <si>
    <t>Vata buničitá dělená 2 role / 500 ks 40 x 50 mm 1230200310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</si>
  <si>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</si>
  <si>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</si>
  <si>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</si>
  <si>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</si>
  <si>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</si>
  <si>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</si>
  <si>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ZK977</t>
  </si>
  <si>
    <t>Cévka odsávací CH14 s přerušovačem sání P01173a</t>
  </si>
  <si>
    <t>ZK978</t>
  </si>
  <si>
    <t>Cévka odsávací CH16 s přerušovačem sání P01175a</t>
  </si>
  <si>
    <t>ZD131</t>
  </si>
  <si>
    <t>Čepelka skalpelová 12 BB512</t>
  </si>
  <si>
    <t>ZC752</t>
  </si>
  <si>
    <t>Čepelka skalpelová 15 BB515</t>
  </si>
  <si>
    <t>ZN249</t>
  </si>
  <si>
    <t>Držák skalpelových čepelek č. 3 PL87-103</t>
  </si>
  <si>
    <t>ZB844</t>
  </si>
  <si>
    <t>Esmarch 60 x 1250 KVS 06125</t>
  </si>
  <si>
    <t>ZN297</t>
  </si>
  <si>
    <t>Hadička spojovací Gamaplus 1,8 x 450 LL NO DOP 606301-ND</t>
  </si>
  <si>
    <t>ZH685</t>
  </si>
  <si>
    <t>Kádinka plastová   250 ml K001805</t>
  </si>
  <si>
    <t>ZD068</t>
  </si>
  <si>
    <t>Keramika IPS InLine PoM Opaquer A-D A2 IV593161</t>
  </si>
  <si>
    <t>ZA728</t>
  </si>
  <si>
    <t>Lopatka ústní dřevěná lékařská nesterilní bal. á 100 ks 1320100655</t>
  </si>
  <si>
    <t>ZB351</t>
  </si>
  <si>
    <t>Miska petri UH pr. 60 mm á 20 ks 400927</t>
  </si>
  <si>
    <t>ZH808</t>
  </si>
  <si>
    <t>Nádoba na histologický mat. s pufrovaným formalínem HISTOFOR 20 ml bal. á 100 ks BFS-20</t>
  </si>
  <si>
    <t>ZF159</t>
  </si>
  <si>
    <t>Nádoba na kontaminovaný odpad 1 l 15-0002</t>
  </si>
  <si>
    <t>ZE159</t>
  </si>
  <si>
    <t>Nádoba na kontaminovaný odpad 2 l 15-0003</t>
  </si>
  <si>
    <t>ZF549</t>
  </si>
  <si>
    <t>Náústek s filtrem výměnný k plynu Entonox 1043178 (ref.828-0002)</t>
  </si>
  <si>
    <t>ZH274</t>
  </si>
  <si>
    <t>Nůžky zahnuté chirurgické hrotnaté 150 mm B397113920026</t>
  </si>
  <si>
    <t>ZB949</t>
  </si>
  <si>
    <t>Pinzeta UH sterilní HAR478 165 (HAR999565)</t>
  </si>
  <si>
    <t>ZM158</t>
  </si>
  <si>
    <t>Raspatorium rovné Farabeuf šířka 12 mm délka 150 mm 26.53.13</t>
  </si>
  <si>
    <t>ZP051</t>
  </si>
  <si>
    <t>Rozvěrač rtů pro děti bal. á 2 ks 605451</t>
  </si>
  <si>
    <t>ZP050</t>
  </si>
  <si>
    <t>Rozvěrač rtů pro dospělé bal. á 2 ks HA605450</t>
  </si>
  <si>
    <t>ZD178</t>
  </si>
  <si>
    <t>Sof-lex disky ES8692F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</si>
  <si>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</si>
  <si>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</si>
  <si>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</si>
  <si>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</si>
  <si>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</si>
  <si>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</si>
  <si>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ZA754</t>
  </si>
  <si>
    <t>Stříkačka injekční 3-dílná 10 ml LL Omnifix Solo se závitem 4617100V</t>
  </si>
  <si>
    <t>ZB006</t>
  </si>
  <si>
    <t>Teploměr digitální thermoval basic 9250391</t>
  </si>
  <si>
    <t>ZB316</t>
  </si>
  <si>
    <t>Vzduchovod nosní 8,0 mm bal. á 10 ks 100/210/080</t>
  </si>
  <si>
    <t>ZI179</t>
  </si>
  <si>
    <t>Zkumavka s mediem+ flovakovaný tampon eSwab růžový 490CE.A</t>
  </si>
  <si>
    <t>50115064</t>
  </si>
  <si>
    <t>ZPr - šicí materiál (Z529)</t>
  </si>
  <si>
    <t>ZB979</t>
  </si>
  <si>
    <t>Šití dafilon modrý 4/0 (1.5) bal. á 36 ks C0932205</t>
  </si>
  <si>
    <t>ZP245</t>
  </si>
  <si>
    <t>Šití GLYCOLON violet HR 12 6/0 USP 45 cm bal. á 24 ks PB40204</t>
  </si>
  <si>
    <t>ZJ018</t>
  </si>
  <si>
    <t>Šití chirlac pletený fialový 3/0 bal. á 24 ks PG0257</t>
  </si>
  <si>
    <t>ZJ017</t>
  </si>
  <si>
    <t>Šití chirlac pletený fialový 4/0 bal. á 24 ks PG0256</t>
  </si>
  <si>
    <t>ZH392</t>
  </si>
  <si>
    <t>Šití novosyn quick undy 3/0 (2) bal. á 36 ks C3046030</t>
  </si>
  <si>
    <t>ZO353</t>
  </si>
  <si>
    <t>Šití PGA-RESORBA pletené potahované syntetické vstřebatelné vlákno jehla HR 22 fialová 3/0 70cm bal.á 24 ks PA10211</t>
  </si>
  <si>
    <t>ZO354</t>
  </si>
  <si>
    <t>Šití PGA-RESORBA pletené potahované syntetické vstřebatelné vlákno jehla HR 22 fialová 4/0 70 cm bal. á 24 ks PA10210</t>
  </si>
  <si>
    <t>ZI407</t>
  </si>
  <si>
    <t>Šití premilene 6/0 (0.7) bal. á 36 ks C2090211</t>
  </si>
  <si>
    <t>ZB196</t>
  </si>
  <si>
    <t>Šití prolene bl 4-0 bal. á 36 ks EH7151H</t>
  </si>
  <si>
    <t>ZB447</t>
  </si>
  <si>
    <t>Šití silkam černý 3/0 (2) bal. á 36 ks C0760145</t>
  </si>
  <si>
    <t>ZB461</t>
  </si>
  <si>
    <t>Šití silkam černý 3/0 (2) bal. á 36 ks C0760307</t>
  </si>
  <si>
    <t>ZB443</t>
  </si>
  <si>
    <t>Šití silkam černý 4/0 (1.5) bal. á 36 ks C0760137</t>
  </si>
  <si>
    <t>ZD736</t>
  </si>
  <si>
    <t>Šití silkam černý 4/0 (1.5) bal. á 36 ks C0760293</t>
  </si>
  <si>
    <t>ZB444</t>
  </si>
  <si>
    <t>Šití silkam černý 4/0 (1.5) bal. á 36 ks C0761290</t>
  </si>
  <si>
    <t>50115065</t>
  </si>
  <si>
    <t>ZPr - vpichovací materiál (Z530)</t>
  </si>
  <si>
    <t>ZC513</t>
  </si>
  <si>
    <t>Jehla dřeňová 144512420</t>
  </si>
  <si>
    <t>ZC562</t>
  </si>
  <si>
    <t>Jehla dřeňová spir. 25/025 144512400</t>
  </si>
  <si>
    <t>ZA834</t>
  </si>
  <si>
    <t>Jehla injekční 0,7 x 40 mm černá 4660021</t>
  </si>
  <si>
    <t>ZA833</t>
  </si>
  <si>
    <t>Jehla injekční 0,8 x 40 mm zelená 4657527</t>
  </si>
  <si>
    <t>ZI405</t>
  </si>
  <si>
    <t>Jehla jednorázová septoject červená G25 0,5 x 42 mm á 100 ks 0038500</t>
  </si>
  <si>
    <t>ZD515</t>
  </si>
  <si>
    <t>Jehla jednorázová septoject modrá G30 0,3 x 25 mm á 100 ks 0038505</t>
  </si>
  <si>
    <t>ZA360</t>
  </si>
  <si>
    <t>Jehla sterican 0,5 x 25 mm oranžová 9186158</t>
  </si>
  <si>
    <t>50115067</t>
  </si>
  <si>
    <t>ZPr - rukavice (Z532)</t>
  </si>
  <si>
    <t>ZC063</t>
  </si>
  <si>
    <t>Rukavice latex bez p. M 9421615 - povoleno pouze pro ÚČOCH a KZL</t>
  </si>
  <si>
    <t>ZP363</t>
  </si>
  <si>
    <t>Rukavice latex bez p. superlife XS bal. á 100 ks 8951480 - povoleno pouze pro ÚČOCH a KZL</t>
  </si>
  <si>
    <t>ZK098</t>
  </si>
  <si>
    <t>Rukavice latex s p. superlife L bal. á 100 ks 8951473 - povoleno pouze pro ÚČOCH a KZL</t>
  </si>
  <si>
    <t>ZP181</t>
  </si>
  <si>
    <t>Rukavice latex s p. superlife M bal. á 100 ks 8951472 - povoleno pouze pro ÚČOCH a KZL</t>
  </si>
  <si>
    <t>ZP111</t>
  </si>
  <si>
    <t>Rukavice latex s p. superlife S bal. á 100 ks 8951471 - povoleno pouze pro ÚČOCH a KZL</t>
  </si>
  <si>
    <t>Rukavice latex s p. superlife XS bal. á 100 ks 8951480 - povoleno pouze pro ÚČOCH a KZL</t>
  </si>
  <si>
    <t>ZD517</t>
  </si>
  <si>
    <t>Rukavice latex s p. XS bal. á 100 ks 01010 - povoleno pouze pro ÚČOCH a KZL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</si>
  <si>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</si>
  <si>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</si>
  <si>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</si>
  <si>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</si>
  <si>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</si>
  <si>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</si>
  <si>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ZM294</t>
  </si>
  <si>
    <t>Rukavice nitril sempercare bez p. XL bal. á 180 ks 30818</t>
  </si>
  <si>
    <t>ZJ594</t>
  </si>
  <si>
    <t>Rukavice nitril sterling bez p. á 200 ks XS 13938</t>
  </si>
  <si>
    <t>ZN041</t>
  </si>
  <si>
    <t>Rukavice operační gammex latex PF bez pudru 6,5 330048065</t>
  </si>
  <si>
    <t>ZN125</t>
  </si>
  <si>
    <t>Rukavice operační gammex latex PF bez pudru 7,5 330048075</t>
  </si>
  <si>
    <t>ZK473</t>
  </si>
  <si>
    <t>Rukavice operační latexové s pudrem ansell medigrip plus vel. 6,0 6035500</t>
  </si>
  <si>
    <t>ZK474</t>
  </si>
  <si>
    <t>Rukavice operační latexové s pudrem ansell, vasco surgical powderet vel. 6,5 6035518 (303503)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</si>
  <si>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</si>
  <si>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</si>
  <si>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</si>
  <si>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</si>
  <si>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ZK437</t>
  </si>
  <si>
    <t>Rukavice operační latexové s pudrem sempermed classic vel. 6,5 31281</t>
  </si>
  <si>
    <t>ZK438</t>
  </si>
  <si>
    <t>Rukavice operační latexové s pudrem sempermed classic vel. 7,0 31282</t>
  </si>
  <si>
    <t>ZK439</t>
  </si>
  <si>
    <t>Rukavice operační latexové s pudrem sempermed classic vel. 7,5 31283</t>
  </si>
  <si>
    <t>ZI759</t>
  </si>
  <si>
    <t>Rukavice vinyl bez p. L á 100 ks EFEKTVR04</t>
  </si>
  <si>
    <t>ZI758</t>
  </si>
  <si>
    <t>Rukavice vinyl bez p. M á 100 ks EFEKTVR03</t>
  </si>
  <si>
    <t>50115079</t>
  </si>
  <si>
    <t>ZPr - internzivní péče (Z542)</t>
  </si>
  <si>
    <t>ZA861</t>
  </si>
  <si>
    <t>Maska kyslíková dětská 114600</t>
  </si>
  <si>
    <t>ZE030</t>
  </si>
  <si>
    <t>Maska kyslíková dospělá E8110-7-50</t>
  </si>
  <si>
    <t>50115090</t>
  </si>
  <si>
    <t>ZPr - zubolékařský materiál (Z509)</t>
  </si>
  <si>
    <t>ZP398</t>
  </si>
  <si>
    <t>Abutment na cementovanou práci TiDesign 3.6 20°, prům. 4.5 -  1.5 mm 25335</t>
  </si>
  <si>
    <t>ZG556</t>
  </si>
  <si>
    <t>Adhesor carbofine 80 g prášek 40 g tekutina 4111420</t>
  </si>
  <si>
    <t>ZL331</t>
  </si>
  <si>
    <t>Adhezivum dentální single bond universal  kit 9020890</t>
  </si>
  <si>
    <t>ZE370</t>
  </si>
  <si>
    <t>Alphaflex 0040</t>
  </si>
  <si>
    <t>ZD415</t>
  </si>
  <si>
    <t>Amalgám kapslový č.2 YDM-I600</t>
  </si>
  <si>
    <t>ZB722</t>
  </si>
  <si>
    <t>Amalgam Kit 0990</t>
  </si>
  <si>
    <t>ZI927</t>
  </si>
  <si>
    <t>Amalgám YDM č. 1 YDM-I/400</t>
  </si>
  <si>
    <t>ZJ700</t>
  </si>
  <si>
    <t>Apexit plus 2 x 6 g stříkačka 15 x míchací kanyly 5 x intraosální špičky 0091325</t>
  </si>
  <si>
    <t>ZL894</t>
  </si>
  <si>
    <t>Aplikátor M+W MicroTips modrý 0500507</t>
  </si>
  <si>
    <t>ZL893</t>
  </si>
  <si>
    <t>Aplikátor M+W MicroTips žluté 0500508</t>
  </si>
  <si>
    <t>ZD680</t>
  </si>
  <si>
    <t>Aqua cem, fix.materiál pro zub.náhrady 30 g 88115</t>
  </si>
  <si>
    <t>ZE583</t>
  </si>
  <si>
    <t>Aquasil soft putty/regular economy pack 8 x 450 ml 605.78.321</t>
  </si>
  <si>
    <t>ZC379</t>
  </si>
  <si>
    <t>Aquasil ultra LV Regular 4 x 50 ml DT678779</t>
  </si>
  <si>
    <t>ZC328</t>
  </si>
  <si>
    <t>Calxyd pasta 2 x 3,5 g 4142120</t>
  </si>
  <si>
    <t>Calxyd ve stříkačce 2 x 3,5 g 4142120</t>
  </si>
  <si>
    <t>ZD124</t>
  </si>
  <si>
    <t>Caries detector 6 ml 152010</t>
  </si>
  <si>
    <t>ZL411</t>
  </si>
  <si>
    <t>Cement pryskyřičný RelyX U 200 9026798</t>
  </si>
  <si>
    <t>ZO511</t>
  </si>
  <si>
    <t>Cement pryskyřičný RelyX U 200 barva A3 automix set  tuba 8,5 g 9026796</t>
  </si>
  <si>
    <t>ZI753</t>
  </si>
  <si>
    <t>Cement pryskyřičný RelyX Unicem Aplicap 9008485</t>
  </si>
  <si>
    <t>ZL574</t>
  </si>
  <si>
    <t>Cement výplňový skloionomerní 0120164</t>
  </si>
  <si>
    <t>ZD789</t>
  </si>
  <si>
    <t>Clip clip /voco/prov.výplňový materiál stříkačka 2 x 4 g 1284</t>
  </si>
  <si>
    <t>ZD396</t>
  </si>
  <si>
    <t>Cna archwires oval III 16/22 upper 101-512</t>
  </si>
  <si>
    <t>ZD397</t>
  </si>
  <si>
    <t>Cna archwires oval III 16/22 upper 101-513</t>
  </si>
  <si>
    <t>ZD394</t>
  </si>
  <si>
    <t>Cna archwires oval III 17/25 lower 101-514</t>
  </si>
  <si>
    <t>ZD395</t>
  </si>
  <si>
    <t>Cna archwires oval III 17/25 upper 101-515</t>
  </si>
  <si>
    <t>ZI895</t>
  </si>
  <si>
    <t>Čep 04 papírový 25 dentaclean 9019125</t>
  </si>
  <si>
    <t>ZI730</t>
  </si>
  <si>
    <t>Čep 04 papírový 40 dentaclean 9019128</t>
  </si>
  <si>
    <t>ZI896</t>
  </si>
  <si>
    <t>Čep 04 papírový 50 dentaclean 9019130</t>
  </si>
  <si>
    <t>ZI514</t>
  </si>
  <si>
    <t>Čep 06 papírový 15 dentaclean 9019136</t>
  </si>
  <si>
    <t>ZI516</t>
  </si>
  <si>
    <t>Čep 06 papírový 25 dentaclean á 100 ks 9019138</t>
  </si>
  <si>
    <t>ZE911</t>
  </si>
  <si>
    <t>Čep 06 papírový 30 dentaclean á 100 ks P64030 9019139</t>
  </si>
  <si>
    <t>ZH112</t>
  </si>
  <si>
    <t>Čep 06 papírový 45-80 dentaclean á 100 ks 9019135</t>
  </si>
  <si>
    <t>ZH109</t>
  </si>
  <si>
    <t>Čep gutaperčový 06 vel. 50 dentaclean 9003567</t>
  </si>
  <si>
    <t>ZC509</t>
  </si>
  <si>
    <t>Čep gutaperčový 45-80 1BT935.2</t>
  </si>
  <si>
    <t>ZI090</t>
  </si>
  <si>
    <t>Čep papírový 04% VDW558020 1569321</t>
  </si>
  <si>
    <t>ZI092</t>
  </si>
  <si>
    <t>Čep papírový 04% VDW558025 1569322</t>
  </si>
  <si>
    <t>ZC463</t>
  </si>
  <si>
    <t>Čep papírový 04% VDW558230</t>
  </si>
  <si>
    <t>ZC512</t>
  </si>
  <si>
    <t>Čep papírový 15-40 BT930.1</t>
  </si>
  <si>
    <t>ZL621</t>
  </si>
  <si>
    <t>Čep papírový ISO 80 BT930.80</t>
  </si>
  <si>
    <t>ZD440</t>
  </si>
  <si>
    <t>Čep světlovodný DT light vel.0-3 bal.á 6 ks</t>
  </si>
  <si>
    <t>ZP219</t>
  </si>
  <si>
    <t>Čep světlovodný X Core Post č. 3 červený bal. á 10 ks X Core č. 3</t>
  </si>
  <si>
    <t>ZD524</t>
  </si>
  <si>
    <t>Čep vodící střední 302</t>
  </si>
  <si>
    <t>ZM522</t>
  </si>
  <si>
    <t>Člen otiskovací pro otevřenou metodu Lasak Bioniq QR 2704.00</t>
  </si>
  <si>
    <t>ZL956</t>
  </si>
  <si>
    <t>Deep dentin A3,5 á 20 g IV593213</t>
  </si>
  <si>
    <t>ZD336</t>
  </si>
  <si>
    <t>Dentalon plus liquid 250 ml HK65041138</t>
  </si>
  <si>
    <t>ZD335</t>
  </si>
  <si>
    <t>Dentalon plus-barva HK650410L</t>
  </si>
  <si>
    <t>ZL959</t>
  </si>
  <si>
    <t>Dentin A 3 á 20 g IV593228</t>
  </si>
  <si>
    <t>ZE590</t>
  </si>
  <si>
    <t>Dentiplast 20 g SP4232110</t>
  </si>
  <si>
    <t>ZD525</t>
  </si>
  <si>
    <t>Dia disk FL 365.524.450</t>
  </si>
  <si>
    <t>ZE938</t>
  </si>
  <si>
    <t>Disk diamantový sypaný meisinger 932F H 220</t>
  </si>
  <si>
    <t>ZP244</t>
  </si>
  <si>
    <t>Disk leštící Sof-Lex XT  8692C-hrubý červený 12,7 mm, bal. á 50 ks 9009253</t>
  </si>
  <si>
    <t>ZE934</t>
  </si>
  <si>
    <t>Disk sinter 936SC 200 104</t>
  </si>
  <si>
    <t>ZH893</t>
  </si>
  <si>
    <t>Drát CNA 19 x 25 101-520</t>
  </si>
  <si>
    <t>ZI394</t>
  </si>
  <si>
    <t>Drát CNA 19 x 25 101-521</t>
  </si>
  <si>
    <t>ZC369</t>
  </si>
  <si>
    <t>Drát kulatý pr. 7 mm IN0307</t>
  </si>
  <si>
    <t>ZC383</t>
  </si>
  <si>
    <t>Drát kulatý pr. 9 mm IN0309</t>
  </si>
  <si>
    <t>ZF061</t>
  </si>
  <si>
    <t>Drát NiTi 012 101-431</t>
  </si>
  <si>
    <t>ZE060</t>
  </si>
  <si>
    <t>Drát NiTi 012 upper oval form III 101-430</t>
  </si>
  <si>
    <t>ZD392</t>
  </si>
  <si>
    <t>Drát NiTi 014 lower oval form III 101-433</t>
  </si>
  <si>
    <t>ZD391</t>
  </si>
  <si>
    <t>Drát NiTi 014 upper oval form III 101-432</t>
  </si>
  <si>
    <t>ZF690</t>
  </si>
  <si>
    <t>Drát NiTi 016 lower oval form III 101-435</t>
  </si>
  <si>
    <t>ZD393</t>
  </si>
  <si>
    <t>Drát NiTi 016 upper oval form III 101-434</t>
  </si>
  <si>
    <t>ZF496</t>
  </si>
  <si>
    <t>Drát NiTi 018 101-436</t>
  </si>
  <si>
    <t>ZF484</t>
  </si>
  <si>
    <t>Drát NiTi 018 101-437</t>
  </si>
  <si>
    <t>ZF692</t>
  </si>
  <si>
    <t>Drát NiTi 16 x 22 101-443</t>
  </si>
  <si>
    <t>ZF691</t>
  </si>
  <si>
    <t>Drát NiTi 16 x 22 upper oval form III 101-442</t>
  </si>
  <si>
    <t>ZE673</t>
  </si>
  <si>
    <t>Drát NiTi 17 x 25 101-444</t>
  </si>
  <si>
    <t>ZH889</t>
  </si>
  <si>
    <t>Drát NiTi 17 x 25 101-445</t>
  </si>
  <si>
    <t>ZF489</t>
  </si>
  <si>
    <t>Drát NiTi 18 x 25 101-448</t>
  </si>
  <si>
    <t>ZF062</t>
  </si>
  <si>
    <t>Drát NiTi 19 x 25 101-450</t>
  </si>
  <si>
    <t>ZE675</t>
  </si>
  <si>
    <t>Drát NiTi 19 x 25 101-451</t>
  </si>
  <si>
    <t>ZE062</t>
  </si>
  <si>
    <t>Drát ocelový 16 x 22 101-412</t>
  </si>
  <si>
    <t>ZF063</t>
  </si>
  <si>
    <t>Drát ocelový 16 x 22 101-413</t>
  </si>
  <si>
    <t>ZE063</t>
  </si>
  <si>
    <t>Drát ocelový 17 x 25 101-414</t>
  </si>
  <si>
    <t>ZF064</t>
  </si>
  <si>
    <t>Drát ocelový 17 x 25 101-415</t>
  </si>
  <si>
    <t>ZE064</t>
  </si>
  <si>
    <t>Drát ocelový 18 x 25 101-418</t>
  </si>
  <si>
    <t>ZJ564</t>
  </si>
  <si>
    <t>Drát ocelový 19 x 25 101-420</t>
  </si>
  <si>
    <t>ZF059</t>
  </si>
  <si>
    <t>Drát ocelový 19 x 25 101-421</t>
  </si>
  <si>
    <t>ZI659</t>
  </si>
  <si>
    <t>Drát ocelový 21 x 25 101-422</t>
  </si>
  <si>
    <t>ZI660</t>
  </si>
  <si>
    <t>Drát ocelový 21 x 25 101-423</t>
  </si>
  <si>
    <t>ZC337</t>
  </si>
  <si>
    <t>Drát shorty koby twistis 014</t>
  </si>
  <si>
    <t>ZP285</t>
  </si>
  <si>
    <t>Držák matric Nyström č. 20 pro matrice bez otvorů 1 pár (pravý, levý) 0023120</t>
  </si>
  <si>
    <t>ZI686</t>
  </si>
  <si>
    <t>Držák RTG snímků Super-Bite 0025407</t>
  </si>
  <si>
    <t>ZK182</t>
  </si>
  <si>
    <t>Dycal 4401</t>
  </si>
  <si>
    <t>ZC519</t>
  </si>
  <si>
    <t>Elastic cromo 4221305</t>
  </si>
  <si>
    <t>ZP286</t>
  </si>
  <si>
    <t>Filtek Ultimate A 3,5-B  nanokompozitní materiál tuba 4 g 9025148</t>
  </si>
  <si>
    <t>ZL469</t>
  </si>
  <si>
    <t>Filtek Ultimate A2-B nanokompozitní materiál 9025146</t>
  </si>
  <si>
    <t>ZL470</t>
  </si>
  <si>
    <t>Filtek Ultimate A3-B nanokompozitní materiál 9025147</t>
  </si>
  <si>
    <t>ZM736</t>
  </si>
  <si>
    <t>Fólie erkoflex 1,0 mm/120 mm ER581210</t>
  </si>
  <si>
    <t>ZD334</t>
  </si>
  <si>
    <t>Fólie erkoflex 2,0 mm/120 mm ER581220</t>
  </si>
  <si>
    <t>ZD288</t>
  </si>
  <si>
    <t>Fólie erkoflex 4,0 mm/120 mm ER581240</t>
  </si>
  <si>
    <t>ZE417</t>
  </si>
  <si>
    <t>Fólie termopl. Erkodur 1,5/120 mm, bal.á 50 ks,  ER524215</t>
  </si>
  <si>
    <t>ZF492</t>
  </si>
  <si>
    <t>Fréza do frézovacího přístroje ED2666F.103.015_</t>
  </si>
  <si>
    <t>ZF497</t>
  </si>
  <si>
    <t>Fréza do frézovacího přístroje ED2666F.103.023</t>
  </si>
  <si>
    <t>ZI138</t>
  </si>
  <si>
    <t>Fréza explantační D3.7 1010.3</t>
  </si>
  <si>
    <t>ZI139</t>
  </si>
  <si>
    <t>Fréza explantační D5.1 1020.3</t>
  </si>
  <si>
    <t>ZD871</t>
  </si>
  <si>
    <t>Fréza heatles bílá HFB 1 mon. 1HFB</t>
  </si>
  <si>
    <t>ZF135</t>
  </si>
  <si>
    <t>Fréza malá 999-6000</t>
  </si>
  <si>
    <t>ZP389</t>
  </si>
  <si>
    <t>Fréza zahlubovací BioniQ S2.9 2422.00</t>
  </si>
  <si>
    <t>ZG142</t>
  </si>
  <si>
    <t>Frézka velká H22ALGK.314.016</t>
  </si>
  <si>
    <t>ZC325</t>
  </si>
  <si>
    <t>Gel etching 4122505</t>
  </si>
  <si>
    <t>ZK620</t>
  </si>
  <si>
    <t>Gel ViscoStat 9012154</t>
  </si>
  <si>
    <t>ZE576</t>
  </si>
  <si>
    <t>Glaze IPS- InLine á 3g IV602384</t>
  </si>
  <si>
    <t>ZA934</t>
  </si>
  <si>
    <t>Granulát BOI-OSS 0,25-1 mm 0,5 g 500079 (30643.3)  DGD460306107E</t>
  </si>
  <si>
    <t>ZF575</t>
  </si>
  <si>
    <t>Granulát BOI-OSS spongiosa granulát 1- 2 mm á 0,5 g DGD46B307098E</t>
  </si>
  <si>
    <t>ZL521</t>
  </si>
  <si>
    <t>Granulát spongiozní ACE Nu Oss Collagen blok 6 x 7 x 8 mm 100 mg 509-9100</t>
  </si>
  <si>
    <t>ZG950</t>
  </si>
  <si>
    <t>Guma leštící stargloss pro opracování keramiky špička modrá EDR2020</t>
  </si>
  <si>
    <t>ZG952</t>
  </si>
  <si>
    <t>Guma leštící stargloss pro opracování keramiky špička růžová EDR2030</t>
  </si>
  <si>
    <t>ZA871</t>
  </si>
  <si>
    <t>Hladítko jemné na plast.výpl. DE408R</t>
  </si>
  <si>
    <t>ZD133</t>
  </si>
  <si>
    <t>Hmota otiskovací kettenbach 0137221</t>
  </si>
  <si>
    <t>ZM052</t>
  </si>
  <si>
    <t>Hmota otiskovací silikonová express XT Ligh Body A 9018671</t>
  </si>
  <si>
    <t>ZM050</t>
  </si>
  <si>
    <t>Hmota otiskovací silikonová express XT Putty soft 9018679</t>
  </si>
  <si>
    <t>ZB393</t>
  </si>
  <si>
    <t>Hmota otiskovací silikonová speedex putty 0026292</t>
  </si>
  <si>
    <t>ZK252</t>
  </si>
  <si>
    <t>Hmota otiskovací zeta plus 900 ml 003-540107</t>
  </si>
  <si>
    <t>ZL706</t>
  </si>
  <si>
    <t>Hmota zatmelovací IPS Vest Press Speed á 50/100G IV595591</t>
  </si>
  <si>
    <t>ZE330</t>
  </si>
  <si>
    <t>Implantát astra tech 24932</t>
  </si>
  <si>
    <t>ZL045</t>
  </si>
  <si>
    <t>Implantát astra tech TX 4.0 S 24942</t>
  </si>
  <si>
    <t>ZO871</t>
  </si>
  <si>
    <t>Implantát astra tech TX 5. 0S 24972</t>
  </si>
  <si>
    <t>ZM628</t>
  </si>
  <si>
    <t>Implantát BioniQ S3,5/L10 2006.10</t>
  </si>
  <si>
    <t>ZM343</t>
  </si>
  <si>
    <t>Implantát BioniQ S3,5/L12 2006.12</t>
  </si>
  <si>
    <t>ZM784</t>
  </si>
  <si>
    <t>Implantát BioniQ S3,5/L14 2006.14</t>
  </si>
  <si>
    <t>ZN095</t>
  </si>
  <si>
    <t>Implantát BioniQ S4,0/L10 2009.10</t>
  </si>
  <si>
    <t>ZM431</t>
  </si>
  <si>
    <t>Implantát BioniQ S4,0/L12 2009.12</t>
  </si>
  <si>
    <t>ZP275</t>
  </si>
  <si>
    <t>Implantát BioniQ S5,0/L10 2017.10</t>
  </si>
  <si>
    <t>ZP283</t>
  </si>
  <si>
    <t>Implantát BioniQ S5,0/L12 2017.12</t>
  </si>
  <si>
    <t>ZP384</t>
  </si>
  <si>
    <t>Implantát BioniQ S5,0/L8</t>
  </si>
  <si>
    <t>ZB405</t>
  </si>
  <si>
    <t>Implantát BioniQ T4,0/L10 2012.10</t>
  </si>
  <si>
    <t>ZE360</t>
  </si>
  <si>
    <t>Implantát BioniQ T4,0/L12 2012.12</t>
  </si>
  <si>
    <t>ZP383</t>
  </si>
  <si>
    <t>Implantát BioniQ T4,0/L14 2012.14</t>
  </si>
  <si>
    <t>ZE410</t>
  </si>
  <si>
    <t>Implantát BioniQ T5,0/L10 2020.10</t>
  </si>
  <si>
    <t>ZN319</t>
  </si>
  <si>
    <t>Implantát BioniQ T5,0/L12 2020.12</t>
  </si>
  <si>
    <t>ZC178</t>
  </si>
  <si>
    <t>Implantát D2.9 SB/L14 03101:3</t>
  </si>
  <si>
    <t>ZC232</t>
  </si>
  <si>
    <t>Implantát D3.7 BIO/L10 0251:3</t>
  </si>
  <si>
    <t>ZC234</t>
  </si>
  <si>
    <t>Implantát D3.7 BIO/L12 0351:3</t>
  </si>
  <si>
    <t>ZC233</t>
  </si>
  <si>
    <t>Implantát D3.7 BIO/L14 0451:3</t>
  </si>
  <si>
    <t>ZE730</t>
  </si>
  <si>
    <t>Implantát D4.4 BIO-ACCEL/L10 0221:3</t>
  </si>
  <si>
    <t>ZI807</t>
  </si>
  <si>
    <t>Implantát D4.4 BIO-ACCEL/L12 0321:3</t>
  </si>
  <si>
    <t>ZC827</t>
  </si>
  <si>
    <t>Implantát D4.4 BIO-ACCEL/L14 0421:3</t>
  </si>
  <si>
    <t>ZC196</t>
  </si>
  <si>
    <t>Implantát D5.1 BIO/L10 2551:3</t>
  </si>
  <si>
    <t>ZC237</t>
  </si>
  <si>
    <t>Implantát D5.1 BIO/L12 3551:3</t>
  </si>
  <si>
    <t>ZC235</t>
  </si>
  <si>
    <t>Implantát D5.1 BIO/L14 4551:3</t>
  </si>
  <si>
    <t>ZJ178</t>
  </si>
  <si>
    <t>Implantát D5.1 BIO/L8 1551:3</t>
  </si>
  <si>
    <t>ZE622</t>
  </si>
  <si>
    <t>Implantát univerzální manipulační D3.7 513.3</t>
  </si>
  <si>
    <t>Implantát zubní BioniQ S3,5/L10 2006.10</t>
  </si>
  <si>
    <t>Implantát zubní BioniQ S3,5/L12 2006.12</t>
  </si>
  <si>
    <t>Implantát zubní BioniQ T4,0/L10 2012.10</t>
  </si>
  <si>
    <t>Implantát zubní BioniQ T4,0/L12 2012.12</t>
  </si>
  <si>
    <t>Implantát zubní D3.7 BIO/L12 0351:3</t>
  </si>
  <si>
    <t>Implantát zubní D4.4 BIO-ACCEL/L12 0321:3</t>
  </si>
  <si>
    <t>Implantát zubní D5.1 BIO/L12 3551:3</t>
  </si>
  <si>
    <t>ZC299</t>
  </si>
  <si>
    <t>Impression Compound, bal. á 5 ks, 1DDCEIC</t>
  </si>
  <si>
    <t>ZC535</t>
  </si>
  <si>
    <t>Induret gel C100700</t>
  </si>
  <si>
    <t>ZL180</t>
  </si>
  <si>
    <t>Ingoty LT IPS e-max Press barva A2 bal. á 5 ks IV605274</t>
  </si>
  <si>
    <t>ZL183</t>
  </si>
  <si>
    <t>Ingoty LT IPS e-max Press barva D2 bal. á 5 ks IV626311</t>
  </si>
  <si>
    <t>ZD118</t>
  </si>
  <si>
    <t>Interim Stand pěn.vložky 0658697</t>
  </si>
  <si>
    <t>ZM869</t>
  </si>
  <si>
    <t>Jehla jednorázová septoject zelená G 30 0,3 x 16 mm bal. á 100 ks 9009059</t>
  </si>
  <si>
    <t>ZH079</t>
  </si>
  <si>
    <t>Kamínek na Zirkonoxid-nízký váleček Z623</t>
  </si>
  <si>
    <t>ZE155</t>
  </si>
  <si>
    <t>Kanyla M+W pro leptací gel 0100102</t>
  </si>
  <si>
    <t>ZK616</t>
  </si>
  <si>
    <t>Kanyla RMO FLI 16 A08734</t>
  </si>
  <si>
    <t>ZK610</t>
  </si>
  <si>
    <t>Kanyla RMO FLI 17 A08736</t>
  </si>
  <si>
    <t>ZK607</t>
  </si>
  <si>
    <t>Kanyla RMO FLI 37 A08746</t>
  </si>
  <si>
    <t>ZK605</t>
  </si>
  <si>
    <t>Kanyla RMO FLI 46 A08745</t>
  </si>
  <si>
    <t>ZD786</t>
  </si>
  <si>
    <t>Kanyla žl. mixing tips bal. á 40 ks 60578121</t>
  </si>
  <si>
    <t>ZC326</t>
  </si>
  <si>
    <t>Kartáček na kořenové nástroje 954361 (14360NI)</t>
  </si>
  <si>
    <t>ZC455</t>
  </si>
  <si>
    <t>Kartáček nylon do kolénka BT260.23N</t>
  </si>
  <si>
    <t>ZI518</t>
  </si>
  <si>
    <t>Kartáček pro předleštění a leštění okluzálních restaurací Occlubrush č. 2505 štětiny do špičky (do kolénka) sterilizovatelné do 134°C bal. á 3 ks 0125858</t>
  </si>
  <si>
    <t>ZG186</t>
  </si>
  <si>
    <t>Kartáček prophylaxe ED1256</t>
  </si>
  <si>
    <t>ZC570</t>
  </si>
  <si>
    <t>Kavitan LC A2 12 g prášku + 5 g tekutiny 4113411</t>
  </si>
  <si>
    <t>ZC529</t>
  </si>
  <si>
    <t>Kavitan LC VARNISCH 5 g 4113280</t>
  </si>
  <si>
    <t>ZC386</t>
  </si>
  <si>
    <t>Kavitan pro A3 15 g prášek 10 g LIQ 4113312</t>
  </si>
  <si>
    <t>ZG149</t>
  </si>
  <si>
    <t>Kazeta a stojánek na rotační nástroje 397139500740</t>
  </si>
  <si>
    <t>ZD338</t>
  </si>
  <si>
    <t>Keramika IPS InLine PoM Opaquer A-D A3 IV593162</t>
  </si>
  <si>
    <t>ZD444</t>
  </si>
  <si>
    <t>Keramika IPS InLine PoM Opaquer A-D A3,5 IV593163</t>
  </si>
  <si>
    <t>ZM575</t>
  </si>
  <si>
    <t>Keramika IPS InLine PoM Opaquer A-D B2 3 g IV593166</t>
  </si>
  <si>
    <t>ZD532</t>
  </si>
  <si>
    <t>Keramika IPS InLine PoM Opaquer A-D D3 IV593174</t>
  </si>
  <si>
    <t>ZM579</t>
  </si>
  <si>
    <t>Keramika IPS InLine PoM Shade2  á 3 g IV602364</t>
  </si>
  <si>
    <t>ZC423</t>
  </si>
  <si>
    <t>Klínek mezizubní bezbarvý, bal.á 100 ks</t>
  </si>
  <si>
    <t>ZD201</t>
  </si>
  <si>
    <t>Klínky dřevěné, bal.á 400 ks, PD5040</t>
  </si>
  <si>
    <t>ZF218</t>
  </si>
  <si>
    <t>Koferdam Medium 620003904</t>
  </si>
  <si>
    <t>ZF678</t>
  </si>
  <si>
    <t>Koncovka k násadce topné k přístroji Waxletric II RE2155-0103</t>
  </si>
  <si>
    <t>ZD787</t>
  </si>
  <si>
    <t>Koncovka žl.intra oral tips,na míchací kanylu 0088259</t>
  </si>
  <si>
    <t>ZF020</t>
  </si>
  <si>
    <t>Kotouč HP 22 mm bavlna BT292.1</t>
  </si>
  <si>
    <t>ZC309</t>
  </si>
  <si>
    <t>Kotouč leštící lisko-S ER223105</t>
  </si>
  <si>
    <t>ZB860</t>
  </si>
  <si>
    <t>Kotouč plátěný pr.100 mm-neprošív. IX5001</t>
  </si>
  <si>
    <t>ZC518</t>
  </si>
  <si>
    <t>Kromopan 100 450 g, 1/X2710</t>
  </si>
  <si>
    <t>ZN639</t>
  </si>
  <si>
    <t>Krytí kuželka dentální Genta-Coll resorb 1,2 x 1,6 cm bal. á 10 ks MK10</t>
  </si>
  <si>
    <t>ZL202</t>
  </si>
  <si>
    <t>Kulička HM141F027205O</t>
  </si>
  <si>
    <t>ZC389</t>
  </si>
  <si>
    <t>Kulička HM141F0351043F</t>
  </si>
  <si>
    <t>ZC390</t>
  </si>
  <si>
    <t>Kulička HM141F0401049B</t>
  </si>
  <si>
    <t>ZK532</t>
  </si>
  <si>
    <t>Lahvička na ortocryl 16210000</t>
  </si>
  <si>
    <t>ZF002</t>
  </si>
  <si>
    <t>Light bond primer 7cc LBS/7F</t>
  </si>
  <si>
    <t>ZD798</t>
  </si>
  <si>
    <t>Light bond stříkačky á 4 ks LBPPF</t>
  </si>
  <si>
    <t>ZP118</t>
  </si>
  <si>
    <t>Materiál fotokompozitní  materiál pro simulaci speciálních detailů Signum creactive mango bal. 3 g HK66020053</t>
  </si>
  <si>
    <t>ZP117</t>
  </si>
  <si>
    <t>Materiál fotokompozitní  pro simulaci speciálních detailů Signum creactive maroon bal. 3 g HK66020057</t>
  </si>
  <si>
    <t>ZN773</t>
  </si>
  <si>
    <t>Materiál fotokompozitní pro bezkovové náhrady Signum ceramis dentin A2 bal. 4g Her66022942</t>
  </si>
  <si>
    <t>ZN774</t>
  </si>
  <si>
    <t>Materiál fotokompozitní pro bezkovové náhrady Signum ceramis dentin A3 bal. 4g Her66022943</t>
  </si>
  <si>
    <t>ZN775</t>
  </si>
  <si>
    <t>Materiál fotokompozitní pro bezkovové náhrady Signum ceramis dentin A3,5 bal. 4g Her66022944</t>
  </si>
  <si>
    <t>ZP112</t>
  </si>
  <si>
    <t>Materiál fotokompozitní pro bezkovové náhrady Signum ceramis dentin B4 bal. 4g HK66022949</t>
  </si>
  <si>
    <t>ZN882</t>
  </si>
  <si>
    <t>Materiál fotokompozitní pro bezkovové náhrady Signum ceramis dentin D4 bal. 4g Her66022945</t>
  </si>
  <si>
    <t>ZP113</t>
  </si>
  <si>
    <t>Materiál fotokompozitní pro bezkovové náhrady Signum ceramis dentin D4 bal. 4g HK66022956</t>
  </si>
  <si>
    <t>ZN884</t>
  </si>
  <si>
    <t>Materiál fotokompozitní pro bezkovové náhrady Signum ceramis dentin EL bal. 4g Her66022957</t>
  </si>
  <si>
    <t>ZN885</t>
  </si>
  <si>
    <t>Materiál fotokompozitní pro bezkovové náhrady Signum ceramis dentin EM bal. 4g Her66022958</t>
  </si>
  <si>
    <t>ZN781</t>
  </si>
  <si>
    <t>Materiál fotokompozitní pro kovové i bezkovové náhrady Signum Matrix Opal Schneide OS1 bal. 4 g Her66019694</t>
  </si>
  <si>
    <t>ZN782</t>
  </si>
  <si>
    <t>Materiál fotokompozitní pro kovové i bezkovové náhrady Signum Matrix Opal Schneide OS2 bal. 4 g Her66019695</t>
  </si>
  <si>
    <t>ZN783</t>
  </si>
  <si>
    <t>Materiál fotokompozitní pro kovové i bezkovové náhrady Signum Matrix Opal Schneide OS3 bal. 4 g Her66019696</t>
  </si>
  <si>
    <t>ZN784</t>
  </si>
  <si>
    <t>Materiál fotokompozitní pro kovové i bezkovové náhrady Signum Matrix Opal Schneide OS4 bal. 4 g Her66019697</t>
  </si>
  <si>
    <t>ZN785</t>
  </si>
  <si>
    <t>Materiál fotokompozitní pro kovové i bezkovové náhrady Signum Matrix Opal Transparent OT1 bal. 4 g Her66019677</t>
  </si>
  <si>
    <t>ZN787</t>
  </si>
  <si>
    <t>Materiál fotokompozitní pro kovové i bezkovové náhrady Signum Matrix Opal Transparent OTA bal. 4 g Her66019698</t>
  </si>
  <si>
    <t>ZN786</t>
  </si>
  <si>
    <t>Materiál fotokompozitní pro kovové i bezkovové náhrady Signum Matrix Opal Transparent OTY bal. 4 g Her66019701</t>
  </si>
  <si>
    <t>ZN790</t>
  </si>
  <si>
    <t>Materiál fotokompozitní pro kovové i bezkovové náhrady Signum Matrix Sekundär Dentin SD1 bal. 4 g Her66019693</t>
  </si>
  <si>
    <t>ZN791</t>
  </si>
  <si>
    <t>Materiál fotokompozitní pro kovové i bezkovové náhrady Signum Matrix Sekundär Dentin SD2 bal. 4 g HER66030669( Her660196692)</t>
  </si>
  <si>
    <t>ZP114</t>
  </si>
  <si>
    <t>Materiál fotokompozitní pro ušlechtilé i náhradní slitiny náhrad Signum enamel ED bal. 4 g HK66020036</t>
  </si>
  <si>
    <t>ZP115</t>
  </si>
  <si>
    <t>Materiál fotokompozitní pro ušlechtilé i náhradní slitiny náhrad Signum Matrix Opal Transparent OTB bal. 4 g HK66019699</t>
  </si>
  <si>
    <t>ZP116</t>
  </si>
  <si>
    <t>Materiál fotokompozitní Signum Matrix Value VL1 bal. 4 g HK66019703</t>
  </si>
  <si>
    <t>ZP109</t>
  </si>
  <si>
    <t>Materiál kostní výplňový membrána Cytoplast Ti-250 14 x 24 mm výztužná neresorbovatelná TI250AS-1</t>
  </si>
  <si>
    <t>ZP110</t>
  </si>
  <si>
    <t>Materiál kostní výplňový membrána Cytoplast Ti-250 25 x 30 mm výztužná neresorbovatelná TI250PL-1</t>
  </si>
  <si>
    <t>ZO981</t>
  </si>
  <si>
    <t>Materiál pro regeneraci kostní tkáně OssaBase-HA, velikost zrn 0,6–1,0 mm, balení 1,0 ml/0,5 g 23:6</t>
  </si>
  <si>
    <t>ZE506</t>
  </si>
  <si>
    <t>Materiál pro rekonstrukci kořen. kanálku 4x0,5g (0088330) 9031876</t>
  </si>
  <si>
    <t>ZH722</t>
  </si>
  <si>
    <t>Matrice Fender Wedge 58122XS</t>
  </si>
  <si>
    <t>ZL447</t>
  </si>
  <si>
    <t>Matrice Hawe adapt 0,038 mm bal. á 30 ks 581207</t>
  </si>
  <si>
    <t>ZL444</t>
  </si>
  <si>
    <t>Matrice Hawe adapt 1202581202</t>
  </si>
  <si>
    <t>ZL445</t>
  </si>
  <si>
    <t>Matrice Hawe adapt 1204581204</t>
  </si>
  <si>
    <t>ZL448</t>
  </si>
  <si>
    <t>Matrice Hawe adapt 1205581205</t>
  </si>
  <si>
    <t>ZL446</t>
  </si>
  <si>
    <t>Matrice Hawe adapt 1208581208</t>
  </si>
  <si>
    <t>ZD541</t>
  </si>
  <si>
    <t>Matrice Hawe KE378</t>
  </si>
  <si>
    <t>ZC332</t>
  </si>
  <si>
    <t>Matrice Hawe Kerr 399A</t>
  </si>
  <si>
    <t>ZH223</t>
  </si>
  <si>
    <t>Membrána combi-pack 16 x 22 mm DGD460309016</t>
  </si>
  <si>
    <t>ZB800</t>
  </si>
  <si>
    <t>Membrána combi-pack 16 x 22 mm DGD460309023</t>
  </si>
  <si>
    <t>ZC330</t>
  </si>
  <si>
    <t>Míra-2 Tone 60 ml DD605655</t>
  </si>
  <si>
    <t>ZE965</t>
  </si>
  <si>
    <t>Nástroj ProTaper A0411-31/F4 gold F4, 31mm (9024831) 9035312</t>
  </si>
  <si>
    <t>ZG518</t>
  </si>
  <si>
    <t>Návlek na senzor RVG  bal. á 500 ks 582024</t>
  </si>
  <si>
    <t>ZC517</t>
  </si>
  <si>
    <t>Nit dentální BT485</t>
  </si>
  <si>
    <t>ZI810</t>
  </si>
  <si>
    <t>Nit elastická kulatá hrubá J0388</t>
  </si>
  <si>
    <t>ZE411</t>
  </si>
  <si>
    <t>Nůž modelovací 130 mm ME155520212</t>
  </si>
  <si>
    <t>ZH673</t>
  </si>
  <si>
    <t>Nůž vykrajovací Colténe 0026281</t>
  </si>
  <si>
    <t>ZC821</t>
  </si>
  <si>
    <t>Occlu spray zelený 75 ml 00093</t>
  </si>
  <si>
    <t>ZD039</t>
  </si>
  <si>
    <t>Opaquer B3 á 3g IV593167</t>
  </si>
  <si>
    <t>ZL704</t>
  </si>
  <si>
    <t>Opaquer D2 á 3g IV593173</t>
  </si>
  <si>
    <t>ZE575</t>
  </si>
  <si>
    <t>Opaquer IPS-InLine C2 á 3g IV593170</t>
  </si>
  <si>
    <t>ZG296</t>
  </si>
  <si>
    <t>OptiBond FL 0036191</t>
  </si>
  <si>
    <t>ZC400</t>
  </si>
  <si>
    <t>Opticor flow 2 G A2</t>
  </si>
  <si>
    <t>ZC382</t>
  </si>
  <si>
    <t>Opticor flow barva A2 1008A2</t>
  </si>
  <si>
    <t>ZF313</t>
  </si>
  <si>
    <t>Opticor flow barva A3 4000009</t>
  </si>
  <si>
    <t>ZC564</t>
  </si>
  <si>
    <t>Oralium 1 g  1700/O</t>
  </si>
  <si>
    <t>ZD313</t>
  </si>
  <si>
    <t>Oranwash L 140 ml IX2877</t>
  </si>
  <si>
    <t>ZC451</t>
  </si>
  <si>
    <t>Orthocryl E Q prášek transparent 1kg 160-300</t>
  </si>
  <si>
    <t>ZD386</t>
  </si>
  <si>
    <t>Orthocryl lig.čiré 500 161-100</t>
  </si>
  <si>
    <t>ZF198</t>
  </si>
  <si>
    <t>Orthocryl Neon Lila 160-004</t>
  </si>
  <si>
    <t>ZG402</t>
  </si>
  <si>
    <t>Orthocryl Neon modrý á 1 kg 160-003-00</t>
  </si>
  <si>
    <t>ZD140</t>
  </si>
  <si>
    <t>Pájka univerzální stříbrná - 700°C 380-604-50</t>
  </si>
  <si>
    <t>ZG985</t>
  </si>
  <si>
    <t>Páka extrakční Bein 123500010</t>
  </si>
  <si>
    <t>ZG986</t>
  </si>
  <si>
    <t>Páka extrakční Bein rovná 4 mm 145 mm 397123500020</t>
  </si>
  <si>
    <t>ZC319</t>
  </si>
  <si>
    <t>Papír artikulační modročerv. l 12x10lis 102</t>
  </si>
  <si>
    <t>ZD357</t>
  </si>
  <si>
    <t>Papír artikulační modročerv. U 6 x 10 lis. 103</t>
  </si>
  <si>
    <t>ZG867</t>
  </si>
  <si>
    <t>Pásek strippingový ,á 10 ks, 106-221D</t>
  </si>
  <si>
    <t>ZC317</t>
  </si>
  <si>
    <t>Pásky dentapreg bridge PFU, bal.á 3 pásky, IXD-503</t>
  </si>
  <si>
    <t>ZH899</t>
  </si>
  <si>
    <t>Pásky stripovací jednostranné 106-220</t>
  </si>
  <si>
    <t>ZC300</t>
  </si>
  <si>
    <t>Pasta Depural Neo 75 g 4816210</t>
  </si>
  <si>
    <t>ZJ765</t>
  </si>
  <si>
    <t>Pasta pro vypalování v keramické peci á 12 g VIEFP12</t>
  </si>
  <si>
    <t>ZC522</t>
  </si>
  <si>
    <t>Pasta Superpolish 1719</t>
  </si>
  <si>
    <t>ZC477</t>
  </si>
  <si>
    <t>Pemza leštící  5kg 260000013</t>
  </si>
  <si>
    <t>ZC405</t>
  </si>
  <si>
    <t>Pilíř attachment kulový classic D3.7/d3.7/L2 22432:3</t>
  </si>
  <si>
    <t>ZI144</t>
  </si>
  <si>
    <t>Pilíř attachment kulový classic D3.7/d3.7/L3 23432:3</t>
  </si>
  <si>
    <t>ZK604</t>
  </si>
  <si>
    <t>Pilíř attachment kulový classic D3.7/d3.7/L4 24432:3</t>
  </si>
  <si>
    <t>ZG717</t>
  </si>
  <si>
    <t>Pilíř locator attachmenty D3.7/L2 01209</t>
  </si>
  <si>
    <t>ZI612</t>
  </si>
  <si>
    <t>Pilíř locator attachmenty D3.7/L4 01211</t>
  </si>
  <si>
    <t>ZK543</t>
  </si>
  <si>
    <t>Pilník K - File 397144518662</t>
  </si>
  <si>
    <t>ZD465</t>
  </si>
  <si>
    <t>Pilník K - File 397144518762</t>
  </si>
  <si>
    <t>ZI685</t>
  </si>
  <si>
    <t>Pilník K - File 397144518772</t>
  </si>
  <si>
    <t>ZD417</t>
  </si>
  <si>
    <t>Pilník K - File 397144518782</t>
  </si>
  <si>
    <t>ZL713</t>
  </si>
  <si>
    <t>Pilník K - File pr. 0,30 mm délka 31 mm bal. á 6 ks  397144519082</t>
  </si>
  <si>
    <t>ZF010</t>
  </si>
  <si>
    <t>Pilník L=31 397144519032</t>
  </si>
  <si>
    <t>Pilník L31 397144519032</t>
  </si>
  <si>
    <t>ZC462</t>
  </si>
  <si>
    <t>Písek Interalox 250 620000122</t>
  </si>
  <si>
    <t>ZG937</t>
  </si>
  <si>
    <t>Pistole amalgámová 0025170</t>
  </si>
  <si>
    <t>ZH186</t>
  </si>
  <si>
    <t>Pistole na amalgám mini-I-gun 594023</t>
  </si>
  <si>
    <t>ZE945</t>
  </si>
  <si>
    <t>Polírka elastická meisinger 9573S</t>
  </si>
  <si>
    <t>ZH672</t>
  </si>
  <si>
    <t>Pomůcka k odtažení rtů Optragate 0091610</t>
  </si>
  <si>
    <t>ZO907</t>
  </si>
  <si>
    <t>Pomůcka k odtažení rtů Optragate Regular bezlatexová bal. á 80 ks 0091611</t>
  </si>
  <si>
    <t>ZG153</t>
  </si>
  <si>
    <t>Poresorb-TCP 1.0 g/1.0 ml 0,6-1,0 mm materiál pro regeneraci kosti 21:2</t>
  </si>
  <si>
    <t>ZC193</t>
  </si>
  <si>
    <t>Poresorb-TCP 1.0 g/1.2 ml 1,0-2,0 mm 41:2</t>
  </si>
  <si>
    <t>ZG236</t>
  </si>
  <si>
    <t>Preci Ball patrice AD1205C</t>
  </si>
  <si>
    <t>ZG235</t>
  </si>
  <si>
    <t>Preci Ball+ Clix AD1201D</t>
  </si>
  <si>
    <t>ZG405</t>
  </si>
  <si>
    <t>Preci-clix Duplicating dummy á 6 ks 1236</t>
  </si>
  <si>
    <t>ZG406</t>
  </si>
  <si>
    <t>Preci-clix Female yellow á 6 ks 1231</t>
  </si>
  <si>
    <t>ZG404</t>
  </si>
  <si>
    <t>Preci-clix Housing á 6 ks 1235</t>
  </si>
  <si>
    <t>ZC360</t>
  </si>
  <si>
    <t>Premacryl liq.bezbarvý 250 ml 4342921</t>
  </si>
  <si>
    <t>ZC565</t>
  </si>
  <si>
    <t>Premacryl prášek růžový 500 g 4342405</t>
  </si>
  <si>
    <t>ZC453</t>
  </si>
  <si>
    <t>Prime-bond 60667240</t>
  </si>
  <si>
    <t>ZF935</t>
  </si>
  <si>
    <t>Pronikač 053025015</t>
  </si>
  <si>
    <t>ZP246</t>
  </si>
  <si>
    <t>Pronikač délka 25 mm ISO 015 bal. á 60 ks</t>
  </si>
  <si>
    <t>ZB277</t>
  </si>
  <si>
    <t>Pronikač K - File 063025015</t>
  </si>
  <si>
    <t>ZB278</t>
  </si>
  <si>
    <t>Pronikač K - File 063025020</t>
  </si>
  <si>
    <t>ZB636</t>
  </si>
  <si>
    <t>Pronikač K - File 063025025</t>
  </si>
  <si>
    <t>ZH124</t>
  </si>
  <si>
    <t>Pronikač K - File VDW063025010</t>
  </si>
  <si>
    <t>ZP134</t>
  </si>
  <si>
    <t>Pronikač K-Reamer L 25 průměr 0,80 mm délka 25 mm sada=6 kusů 397144517502</t>
  </si>
  <si>
    <t>Pronikač K-Reamer L25 průměr 0,80 mm délka 25 mm sada=6 kusů 397144517502</t>
  </si>
  <si>
    <t>ZI095</t>
  </si>
  <si>
    <t>Pronikač k-reamers 053025010</t>
  </si>
  <si>
    <t>ZB638</t>
  </si>
  <si>
    <t>Protahováček Hedstrém 073025010</t>
  </si>
  <si>
    <t>ZO132</t>
  </si>
  <si>
    <t>Protahováček h-file 0,08 397144515832</t>
  </si>
  <si>
    <t>ZO133</t>
  </si>
  <si>
    <t>Protahováček h-file 0,10 397144515842</t>
  </si>
  <si>
    <t>ZP364</t>
  </si>
  <si>
    <t>Protahováček H-File 025 délka 31 mm červený bal. á 6 ks 397144515432</t>
  </si>
  <si>
    <t>ZP365</t>
  </si>
  <si>
    <t>Protahováček H-File 030 délka 31 mm modrý bal. á 6 ks 397144515442</t>
  </si>
  <si>
    <t>ZK539</t>
  </si>
  <si>
    <t>Protahováček h-file 144515812</t>
  </si>
  <si>
    <t>ZF026</t>
  </si>
  <si>
    <t>Protahováček L=31 397144515892</t>
  </si>
  <si>
    <t>ZC921</t>
  </si>
  <si>
    <t>Pružina open v cívce 100-751</t>
  </si>
  <si>
    <t>ZM851</t>
  </si>
  <si>
    <t>Ráčna na implantáty 2409.0</t>
  </si>
  <si>
    <t>ZJ369</t>
  </si>
  <si>
    <t>Remanium 2000+ kovová slitina á 1000g DM10260010</t>
  </si>
  <si>
    <t>ZC312</t>
  </si>
  <si>
    <t>Remanium CS 1 kg, 102-403</t>
  </si>
  <si>
    <t>ZG423</t>
  </si>
  <si>
    <t>Remanium g-weich á 1000g 100-001</t>
  </si>
  <si>
    <t>ZC313</t>
  </si>
  <si>
    <t>Repin 800 g orig. 4241110</t>
  </si>
  <si>
    <t>ZL507</t>
  </si>
  <si>
    <t>Roztok na leptání porcelain etch 9007952</t>
  </si>
  <si>
    <t>ZM729</t>
  </si>
  <si>
    <t>Roztok na otiskovací hmotu VPS Tray Adhezivum ES7307</t>
  </si>
  <si>
    <t>ZE739</t>
  </si>
  <si>
    <t>Řetízek elast. čirý-light 400-316LF</t>
  </si>
  <si>
    <t>ZO980</t>
  </si>
  <si>
    <t>Sada 3 vrtáků (314.3 - průměr 2 mm, délka 23 mm, 02214.3 - průměr 2,5 mm, délka 23 mm, 01414.3 - průměr 3 mm, délka 23 mm) 1403.00</t>
  </si>
  <si>
    <t>ZC561</t>
  </si>
  <si>
    <t>Sada na leštění amalgam. výplní (2 ks Amalgam reducerů, 5 ks Alphaflex hnědé, 5 ks Alphaflex zelené) 9000288</t>
  </si>
  <si>
    <t>ZG719</t>
  </si>
  <si>
    <t>Sada protetická locator á 2 ks 08519-2</t>
  </si>
  <si>
    <t>ZC484</t>
  </si>
  <si>
    <t>Sada vestogum ES86020</t>
  </si>
  <si>
    <t>ZC527</t>
  </si>
  <si>
    <t>Sádra alabastr. 0301/25 á 25 kg</t>
  </si>
  <si>
    <t>ZC450</t>
  </si>
  <si>
    <t>Sádra efektor otisk 25 kg 4251135</t>
  </si>
  <si>
    <t>ZA277</t>
  </si>
  <si>
    <t>Sádra Hinristone zelený 25 kg 0612/25</t>
  </si>
  <si>
    <t>ZD469</t>
  </si>
  <si>
    <t>Sádra Hinristone zlatoh. 25 kg 0613/25</t>
  </si>
  <si>
    <t>ZC441</t>
  </si>
  <si>
    <t>Sádra marmodent 0208/25 á 25 kg</t>
  </si>
  <si>
    <t>ZL468</t>
  </si>
  <si>
    <t>Savka s odním.koncovkou - transp. MSF6007</t>
  </si>
  <si>
    <t>ZB986</t>
  </si>
  <si>
    <t>Seal Protect  606.04.700</t>
  </si>
  <si>
    <t>ZD005</t>
  </si>
  <si>
    <t>Separating fluid 500 ml 1/V3651</t>
  </si>
  <si>
    <t>ZD576</t>
  </si>
  <si>
    <t>Signum c+b opaque lig.4 ml HK64714198</t>
  </si>
  <si>
    <t>ZC481</t>
  </si>
  <si>
    <t>Siloflex plus catal. 60 g 4213310</t>
  </si>
  <si>
    <t>ZC480</t>
  </si>
  <si>
    <t>Siloflex plus light 200 g 4213210</t>
  </si>
  <si>
    <t>ZC479</t>
  </si>
  <si>
    <t>Siloflex plus putty 1350 g 4213110</t>
  </si>
  <si>
    <t>ZF338</t>
  </si>
  <si>
    <t>Sof-lex disky ES8692M</t>
  </si>
  <si>
    <t>ZC552</t>
  </si>
  <si>
    <t>Sof-lex disky ES8692SF</t>
  </si>
  <si>
    <t>ZC416</t>
  </si>
  <si>
    <t>Sof-lex mandrel 2 ks 8695CA</t>
  </si>
  <si>
    <t>ZC457</t>
  </si>
  <si>
    <t>Solitine (Kerr) 60084</t>
  </si>
  <si>
    <t>ZD543</t>
  </si>
  <si>
    <t>Speedex Light Body IX4980</t>
  </si>
  <si>
    <t>ZD351</t>
  </si>
  <si>
    <t>Speedex Universal Aktivator 1 x 60 ml - 60 g IX4990</t>
  </si>
  <si>
    <t>ZC471</t>
  </si>
  <si>
    <t>Spofacryl orig. 100g O 4318200</t>
  </si>
  <si>
    <t>ZC373</t>
  </si>
  <si>
    <t>Sprej cognoscin orig. 120 g 1IX1140</t>
  </si>
  <si>
    <t>ZL577</t>
  </si>
  <si>
    <t>Sprej Kavo 4119640KA</t>
  </si>
  <si>
    <t>ZC476</t>
  </si>
  <si>
    <t>Sprej Kavo 500 ml 4620402A</t>
  </si>
  <si>
    <t>ZH467</t>
  </si>
  <si>
    <t>Sprej Kavo QUATTROCARE á 6 ks (6 lahví) KaVo QUATTROcare spreje a 500 ml 1.011.5720</t>
  </si>
  <si>
    <t>ZM898</t>
  </si>
  <si>
    <t>Sprej pro skenování 3D bal. á 400 ml Laserscanning Anti-clare-spray 119990001</t>
  </si>
  <si>
    <t>ZC388</t>
  </si>
  <si>
    <t>Steribox DD355139</t>
  </si>
  <si>
    <t>ZC304</t>
  </si>
  <si>
    <t>Stomaflex varnish (lak) 140 g 4817330</t>
  </si>
  <si>
    <t>ZC358</t>
  </si>
  <si>
    <t>Superacryl plus liq. 250 ml 4328902</t>
  </si>
  <si>
    <t>ZD531</t>
  </si>
  <si>
    <t>Superacryl plus PLV. 500 g 4328417</t>
  </si>
  <si>
    <t>ZJ301</t>
  </si>
  <si>
    <t>Systém adhezivní F-Splint-Aid (1x lahvička s páskou a bondem šířka 4 mm, délka 12 cm + 5x aplikační svorka)</t>
  </si>
  <si>
    <t>ZF622</t>
  </si>
  <si>
    <t>Šroub krycí 24329</t>
  </si>
  <si>
    <t>ZL835</t>
  </si>
  <si>
    <t>Šroub krycí 24448</t>
  </si>
  <si>
    <t>ZB044</t>
  </si>
  <si>
    <t>Šroub ortodontický Bertoni 602-606-1</t>
  </si>
  <si>
    <t>ZG393</t>
  </si>
  <si>
    <t>Šroub ortodontický Hyrax á 10 ks 602-801-30</t>
  </si>
  <si>
    <t>ZI271</t>
  </si>
  <si>
    <t>Šroub pro fixaci konstrukce M1.6/hex 1.0 1641.3</t>
  </si>
  <si>
    <t>ZP388</t>
  </si>
  <si>
    <t>Šroubovák dlouhý Bioniq hex I.25/32 2406.00</t>
  </si>
  <si>
    <t>ZJ679</t>
  </si>
  <si>
    <t>Šroubovák do ráčny dlouhý hex 1.4/L21 4024.3</t>
  </si>
  <si>
    <t>ZG770</t>
  </si>
  <si>
    <t>Šroubovák do ráčny krátký hex 1.4/L11 4224.3</t>
  </si>
  <si>
    <t>ZM662</t>
  </si>
  <si>
    <t>Šroubovák hex krátký I.25/L23 2405.00</t>
  </si>
  <si>
    <t>ZI564</t>
  </si>
  <si>
    <t>Šroubovák inbus ruční extra orální hex 1.4 2924.3</t>
  </si>
  <si>
    <t>ZB933</t>
  </si>
  <si>
    <t>Štětečky aplikační, á 400 ks, SD8100123</t>
  </si>
  <si>
    <t>ZL622</t>
  </si>
  <si>
    <t>Štětečky jednorázové bílé měkké, á 50 ks, DC702008</t>
  </si>
  <si>
    <t>ZF689</t>
  </si>
  <si>
    <t>Tahy gumové intraor.-medium 1/8" 407-021S</t>
  </si>
  <si>
    <t>ZD390</t>
  </si>
  <si>
    <t>Tahy gumové intraor.-medium 3/16" 407-031S</t>
  </si>
  <si>
    <t>ZL705</t>
  </si>
  <si>
    <t>Tekutina Build-UP liquid IV593352</t>
  </si>
  <si>
    <t>ZD902</t>
  </si>
  <si>
    <t>Tekutina superpont 250 ml 4321903</t>
  </si>
  <si>
    <t>ZD290</t>
  </si>
  <si>
    <t>Tetric Evo 2g Flow A2</t>
  </si>
  <si>
    <t>ZC563</t>
  </si>
  <si>
    <t>Tokuso rebase 1/X7045</t>
  </si>
  <si>
    <t>ZL965</t>
  </si>
  <si>
    <t>Transpa incizal TI 1 á 20 g IV593262</t>
  </si>
  <si>
    <t>ZL966</t>
  </si>
  <si>
    <t>Transpa incizal TI 2 á 20 g IV593263</t>
  </si>
  <si>
    <t>ZL967</t>
  </si>
  <si>
    <t>Transpa incizal TI 3 á 20 g IV593264</t>
  </si>
  <si>
    <t>ZI924</t>
  </si>
  <si>
    <t>Tryska rozprašovací na Orthocryl 162-751-00</t>
  </si>
  <si>
    <t>ZB842</t>
  </si>
  <si>
    <t>Upravovač voskových valů (9102607) 69600010</t>
  </si>
  <si>
    <t>ZE328</t>
  </si>
  <si>
    <t>Váleček vhojovací 24575</t>
  </si>
  <si>
    <t>ZL709</t>
  </si>
  <si>
    <t>Váleček vhojovací 24584</t>
  </si>
  <si>
    <t>ZP224</t>
  </si>
  <si>
    <t>Váleček vhojovací 4.5/5.0 pr. 5.5, 4 mm 24583</t>
  </si>
  <si>
    <t>ZP186</t>
  </si>
  <si>
    <t>Váleček vhojovací 4.5/5.0 pr. 6.5, 4 mm 24586</t>
  </si>
  <si>
    <t>ZF788</t>
  </si>
  <si>
    <t>Váleček vhojovací astra 24579</t>
  </si>
  <si>
    <t>ZD497</t>
  </si>
  <si>
    <t>Váleček vhojovací D3.7/d5.2/L4 822.3</t>
  </si>
  <si>
    <t>ZF445</t>
  </si>
  <si>
    <t>Váleček vhojovací D3.7/d5.2/L6 3722.3</t>
  </si>
  <si>
    <t>ZM531</t>
  </si>
  <si>
    <t>Váleček vhojovací QR/d5.2/L4 široký 2110.04</t>
  </si>
  <si>
    <t>ZM532</t>
  </si>
  <si>
    <t>Váleček vhojovací QR/d5.2/L6 široký 2110.06</t>
  </si>
  <si>
    <t>ZC783</t>
  </si>
  <si>
    <t>Vana dezinfekční 3 l 9800600</t>
  </si>
  <si>
    <t>ZH210</t>
  </si>
  <si>
    <t>Vidlice skusová-Foxova deska (69600025) 662451</t>
  </si>
  <si>
    <t>ZC577</t>
  </si>
  <si>
    <t>Vlákno retrační Ultrapak č.000 UD9331</t>
  </si>
  <si>
    <t>ZI732</t>
  </si>
  <si>
    <t>Vlákno retrakční Ultrapak č.00 délka vlákna v lahvičce 244 cm žluté UD9332</t>
  </si>
  <si>
    <t>ZG158</t>
  </si>
  <si>
    <t>Vlákno wedjets na kofferdam 2,1 m barva žlutá 0035117</t>
  </si>
  <si>
    <t>ZN018</t>
  </si>
  <si>
    <t>Vlákno zubní Mira floss zásobník Big 605735</t>
  </si>
  <si>
    <t>ZL943</t>
  </si>
  <si>
    <t>Vlákno zubní super floss 0098890</t>
  </si>
  <si>
    <t>ZD399</t>
  </si>
  <si>
    <t>Vosk korunkový-modrý 50 g 232</t>
  </si>
  <si>
    <t>ZC555</t>
  </si>
  <si>
    <t>Vosk měkký modelovací ceradent 1000 g vosku v destičkách 155 x 75 mm s tloušťkou 1,2 - 1,4 mm 4411115</t>
  </si>
  <si>
    <t>ZG695</t>
  </si>
  <si>
    <t>Vosk modelovací - speciál letní 1,5 mm 2500 g 9001516</t>
  </si>
  <si>
    <t>ZD434</t>
  </si>
  <si>
    <t>Vrták d 2,0 314.3</t>
  </si>
  <si>
    <t>ZO979</t>
  </si>
  <si>
    <t>Vrták pro implantáty krátký průměr 2 mm délka 17 mm 4314.3</t>
  </si>
  <si>
    <t>ZC301</t>
  </si>
  <si>
    <t>Ypeen 800 g dóza 100066</t>
  </si>
  <si>
    <t>ZC920</t>
  </si>
  <si>
    <t>Zámky elite medium twin set. 022 707-398</t>
  </si>
  <si>
    <t>ZP390</t>
  </si>
  <si>
    <t>Závitník BioniQ S2.9 2421.00</t>
  </si>
  <si>
    <t>ZE025</t>
  </si>
  <si>
    <t>Zuby primodent přední PO609</t>
  </si>
  <si>
    <t>ZD528</t>
  </si>
  <si>
    <t>Zuby primodent zadní PO610</t>
  </si>
  <si>
    <t>Spotřeba zdravotnického materiálu - orientační přehled</t>
  </si>
  <si>
    <t>ON Data</t>
  </si>
  <si>
    <t>Specializovaná ambulantní péče</t>
  </si>
  <si>
    <t>014 - Pracoviště praktického zubního lékaře</t>
  </si>
  <si>
    <t>015 - Pracoviště čelistní ortopedie</t>
  </si>
  <si>
    <t>Zdravotní výkony vykázané na pracovišti v rámci ambulantní péče *</t>
  </si>
  <si>
    <t>beze jména</t>
  </si>
  <si>
    <t>2422</t>
  </si>
  <si>
    <t>2423</t>
  </si>
  <si>
    <t>2424</t>
  </si>
  <si>
    <t>2425</t>
  </si>
  <si>
    <t xml:space="preserve"> 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</si>
  <si>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</si>
  <si>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</si>
  <si>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</si>
  <si>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</si>
  <si>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014</t>
  </si>
  <si>
    <t>4</t>
  </si>
  <si>
    <t>0060300</t>
  </si>
  <si>
    <t>0071601</t>
  </si>
  <si>
    <t>0080001</t>
  </si>
  <si>
    <t>0080002</t>
  </si>
  <si>
    <t>0080004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</si>
  <si>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</si>
  <si>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</si>
  <si>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</si>
  <si>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</si>
  <si>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</si>
  <si>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</si>
  <si>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</si>
  <si>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</si>
  <si>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</si>
  <si>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</si>
  <si>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</si>
  <si>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</si>
  <si>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</si>
  <si>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</si>
  <si>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</si>
  <si>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</si>
  <si>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</si>
  <si>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</si>
  <si>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</si>
  <si>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</si>
  <si>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</si>
  <si>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</si>
  <si>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</si>
  <si>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</si>
  <si>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</si>
  <si>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</si>
  <si>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</si>
  <si>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</si>
  <si>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</si>
  <si>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</si>
  <si>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</si>
  <si>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</si>
  <si>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</si>
  <si>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</si>
  <si>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</si>
  <si>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</si>
  <si>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</si>
  <si>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</si>
  <si>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</si>
  <si>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0083003</t>
  </si>
  <si>
    <t>0084021</t>
  </si>
  <si>
    <t>0181115</t>
  </si>
  <si>
    <t>0181132</t>
  </si>
  <si>
    <t>0082354</t>
  </si>
  <si>
    <t>0081202</t>
  </si>
  <si>
    <t>0081222</t>
  </si>
  <si>
    <t>0082105</t>
  </si>
  <si>
    <t>0181231</t>
  </si>
  <si>
    <t>0082204</t>
  </si>
  <si>
    <t>0081033</t>
  </si>
  <si>
    <t>0082353</t>
  </si>
  <si>
    <t>0081203</t>
  </si>
  <si>
    <t>0082104</t>
  </si>
  <si>
    <t>0084001</t>
  </si>
  <si>
    <t>0081253</t>
  </si>
  <si>
    <t>0081521</t>
  </si>
  <si>
    <t>0082351</t>
  </si>
  <si>
    <t>0071114</t>
  </si>
  <si>
    <t>0081032</t>
  </si>
  <si>
    <t>0071132</t>
  </si>
  <si>
    <t>0082205</t>
  </si>
  <si>
    <t>0082352</t>
  </si>
  <si>
    <t>0082031</t>
  </si>
  <si>
    <t>0082032</t>
  </si>
  <si>
    <t>V</t>
  </si>
  <si>
    <t>00900</t>
  </si>
  <si>
    <t>KOMPLEXNÍ VYŠETŘENÍ STOMATOLOGEM PŘI REGISTRACI PO</t>
  </si>
  <si>
    <t xml:space="preserve">KOMPLEXNÍ VYŠETŘENÍ ZUBNÍM LÉKAŘEM PŘI REGISTRACI 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</si>
  <si>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</si>
  <si>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</si>
  <si>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</si>
  <si>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</si>
  <si>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</si>
  <si>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</si>
  <si>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</si>
  <si>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</si>
  <si>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</si>
  <si>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</si>
  <si>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00921</t>
  </si>
  <si>
    <t>OŠETŘENÍ ZUBNÍHO KAZU - STÁLÝ ZUB</t>
  </si>
  <si>
    <t>00925</t>
  </si>
  <si>
    <t>KONZERVATIVNÍ LÉČBA KOMPLIKACÍ ZUBNÍHO KAZU II - S</t>
  </si>
  <si>
    <t>00945</t>
  </si>
  <si>
    <t>CÍLENÉ VYŠETŘENÍ</t>
  </si>
  <si>
    <t>00946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</si>
  <si>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</si>
  <si>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</si>
  <si>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</si>
  <si>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</si>
  <si>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</si>
  <si>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</si>
  <si>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</si>
  <si>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</si>
  <si>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</si>
  <si>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</si>
  <si>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</si>
  <si>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</si>
  <si>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</si>
  <si>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</si>
  <si>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</si>
  <si>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</si>
  <si>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</si>
  <si>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</si>
  <si>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</si>
  <si>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</si>
  <si>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00914</t>
  </si>
  <si>
    <t>VYHODNOCENÍ ORTOPANTOMOGRAMU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</si>
  <si>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</si>
  <si>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</si>
  <si>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</si>
  <si>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</si>
  <si>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</si>
  <si>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</si>
  <si>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</si>
  <si>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</si>
  <si>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</si>
  <si>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</si>
  <si>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00923</t>
  </si>
  <si>
    <t>KONZERVATIVNÍ LÉČBA KOMPLIKACÍ ZUBNÍHO KAZU - STÁL</t>
  </si>
  <si>
    <t>00922</t>
  </si>
  <si>
    <t>OŠETŘENÍ ZUBNÍHO KAZU - DOČASNÝ ZUB</t>
  </si>
  <si>
    <t>00959</t>
  </si>
  <si>
    <t>INTRAORÁLNÍ INCIZE</t>
  </si>
  <si>
    <t>00938</t>
  </si>
  <si>
    <t>PŘECHODNÉ DLAHY KE STABILIZACI ZUBŮ S OSLABENÝM PA</t>
  </si>
  <si>
    <t>00908</t>
  </si>
  <si>
    <t>AKUTNÍ OŠETŘENÍ A VYŠETŘENÍ NEREGISTROVANÉHO POJIŠ</t>
  </si>
  <si>
    <t>00947</t>
  </si>
  <si>
    <t>PÉČE O REGISTROVANÉHO POJIŠTĚNCE NAD 18 LET VĚKU I</t>
  </si>
  <si>
    <t>00903</t>
  </si>
  <si>
    <t>VYŽÁDANÉ VYŠETŘENí ODBORNÍKEM NEBO SPECIALISTOU</t>
  </si>
  <si>
    <t>00904</t>
  </si>
  <si>
    <t>STOMATOLOGICKÉ VYŠETŘENÍ REGISTROVANÉHO POJIŠTĚNCE</t>
  </si>
  <si>
    <t>00902</t>
  </si>
  <si>
    <t>PÉČE O REGISTROVANÉHO POJIŠTĚNCE NAD 18 LET VĚKU</t>
  </si>
  <si>
    <t>00906</t>
  </si>
  <si>
    <t>STOMATOLOGICKÉ OŠETŘENÍ POJIŠTĚNCE DO 6 LET NEBO H</t>
  </si>
  <si>
    <t>00920</t>
  </si>
  <si>
    <t>OŠETŘENÍ ZUBNÍHO KAZU - STÁLÝ ZUB - FOTOKOMPOZITNÍ</t>
  </si>
  <si>
    <t>09545</t>
  </si>
  <si>
    <t>REGULAČNÍ POPLATEK ZA POHOTOVOSTNÍ SLUŽBU -- POPLA</t>
  </si>
  <si>
    <t>00963</t>
  </si>
  <si>
    <t>INJEKCE I.M., I.V., I.D., S.C.</t>
  </si>
  <si>
    <t>00907</t>
  </si>
  <si>
    <t>STOMATOLOGICKÉ OŠETŘENÍ  POJIŠTĚNCE OD 6 DO 15 LET</t>
  </si>
  <si>
    <t>0072001</t>
  </si>
  <si>
    <t>0072041</t>
  </si>
  <si>
    <t>0072301</t>
  </si>
  <si>
    <t>0074001</t>
  </si>
  <si>
    <t>0074021</t>
  </si>
  <si>
    <t>0072311</t>
  </si>
  <si>
    <t>0072201</t>
  </si>
  <si>
    <t>00935</t>
  </si>
  <si>
    <t>SUBGINGIVÁLNÍ OŠETŘENÍ</t>
  </si>
  <si>
    <t>00956</t>
  </si>
  <si>
    <t>09547</t>
  </si>
  <si>
    <t>REGULAČNÍ POPLATEK -- POJIŠTĚNEC OD ÚHRADY POPLATK</t>
  </si>
  <si>
    <t>00953</t>
  </si>
  <si>
    <t>CHIRURGICKÉ OŠETŘOVÁNÍ RETENCE ZUBŮ</t>
  </si>
  <si>
    <t>00952</t>
  </si>
  <si>
    <t>CHIRURGIE TVRDÝCH TKÁNÍ DUTINY ÚSTNÍ VELKÉHO ROZSA</t>
  </si>
  <si>
    <t>00957</t>
  </si>
  <si>
    <t>TRAUMATOLOGIE TVRDÝCH TKÁNÍ DUTINY ÚSTNÍ MALÉHO RO</t>
  </si>
  <si>
    <t>00954</t>
  </si>
  <si>
    <t>KONZERVAČNĚ - CHIRURGICKÁ LÉČBA KOMPLIKACÍ ZUBNÍHO</t>
  </si>
  <si>
    <t>00933</t>
  </si>
  <si>
    <t>CHIRURGICKÁ LÉČBA ONEMOCNĚNÍ PARODONTU MALÉHO ROZS</t>
  </si>
  <si>
    <t>00924</t>
  </si>
  <si>
    <t>KONZERVATIVNÍ LÉČBA KOMPLIKACÍ ZUBNÍHO KAZU - DOČA</t>
  </si>
  <si>
    <t>00931</t>
  </si>
  <si>
    <t>KOMPLEXNÍ LÉČBA CHRONICKÝCH ONEMOCNĚNÍ PARODONTU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</si>
  <si>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</si>
  <si>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</si>
  <si>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</si>
  <si>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</si>
  <si>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</si>
  <si>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</si>
  <si>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00934</t>
  </si>
  <si>
    <t>CHIRURGICKÁ LÉČBA ONEMOCNĚNÍ PARODONTU VELKÉHO ROZ</t>
  </si>
  <si>
    <t>00943</t>
  </si>
  <si>
    <t>MĚŘENÍ GALVANICKÝCH PROUDŮ</t>
  </si>
  <si>
    <t>00937</t>
  </si>
  <si>
    <t>ARTIKULACE CHRUPU</t>
  </si>
  <si>
    <t>015</t>
  </si>
  <si>
    <t>0070001</t>
  </si>
  <si>
    <t>0076001</t>
  </si>
  <si>
    <t>0076011</t>
  </si>
  <si>
    <t>0076014</t>
  </si>
  <si>
    <t>0076017</t>
  </si>
  <si>
    <t>0076030</t>
  </si>
  <si>
    <t>0076031</t>
  </si>
  <si>
    <t>0076033</t>
  </si>
  <si>
    <t>0076034</t>
  </si>
  <si>
    <t>0076040</t>
  </si>
  <si>
    <t>0076041</t>
  </si>
  <si>
    <t>0076070</t>
  </si>
  <si>
    <t>0076071</t>
  </si>
  <si>
    <t>0076080</t>
  </si>
  <si>
    <t>0076081</t>
  </si>
  <si>
    <t>0086001</t>
  </si>
  <si>
    <t>0086031</t>
  </si>
  <si>
    <t>0086034</t>
  </si>
  <si>
    <t>0086071</t>
  </si>
  <si>
    <t>0086080</t>
  </si>
  <si>
    <t>0086081</t>
  </si>
  <si>
    <t>9999999</t>
  </si>
  <si>
    <t>0086070</t>
  </si>
  <si>
    <t>0086030</t>
  </si>
  <si>
    <t>0086040</t>
  </si>
  <si>
    <t>0070002</t>
  </si>
  <si>
    <t>0070004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</si>
  <si>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</si>
  <si>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</si>
  <si>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</si>
  <si>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</si>
  <si>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</si>
  <si>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</si>
  <si>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</si>
  <si>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</si>
  <si>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</si>
  <si>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</si>
  <si>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</si>
  <si>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</si>
  <si>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</si>
  <si>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</si>
  <si>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</si>
  <si>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</si>
  <si>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</si>
  <si>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</si>
  <si>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</si>
  <si>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</si>
  <si>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</si>
  <si>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</si>
  <si>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</si>
  <si>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</si>
  <si>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00912</t>
  </si>
  <si>
    <t>NÁPLŇ SLINNÉ ŽLÁZY KONTRASTNÍ LÁTKOU</t>
  </si>
  <si>
    <t>00992</t>
  </si>
  <si>
    <t>NASAZENÍ EXTRAORÁLNÍHO TAHU NEBO OBLIČEJOVÉ MASKY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</si>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</sst>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5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5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4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3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4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51" xfId="1" applyFont="1" applyFill="1" applyBorder="1" applyAlignment="1">
      <alignment horizontal="left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3" fontId="0" fillId="7" borderId="64" xfId="0" applyNumberFormat="1" applyFont="1" applyFill="1" applyBorder="1"/>
    <xf numFmtId="3" fontId="53" fillId="8" borderId="65" xfId="0" applyNumberFormat="1" applyFont="1" applyFill="1" applyBorder="1"/>
    <xf numFmtId="3" fontId="53" fillId="8" borderId="6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39" fillId="2" borderId="69" xfId="0" applyFont="1" applyFill="1" applyBorder="1" applyAlignment="1">
      <alignment horizontal="center" vertical="center"/>
    </xf>
    <xf numFmtId="0" fontId="55" fillId="2" borderId="72" xfId="0" applyFont="1" applyFill="1" applyBorder="1" applyAlignment="1">
      <alignment horizontal="center" vertical="center" wrapText="1"/>
    </xf>
    <xf numFmtId="0" fontId="39" fillId="2" borderId="74" xfId="0" applyFont="1" applyFill="1" applyBorder="1" applyAlignment="1"/>
    <xf numFmtId="0" fontId="39" fillId="2" borderId="76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4" xfId="0" applyFont="1" applyFill="1" applyBorder="1" applyAlignment="1"/>
    <xf numFmtId="0" fontId="39" fillId="4" borderId="76" xfId="0" applyFont="1" applyFill="1" applyBorder="1" applyAlignment="1">
      <alignment horizontal="left" indent="1"/>
    </xf>
    <xf numFmtId="0" fontId="39" fillId="4" borderId="87" xfId="0" applyFont="1" applyFill="1" applyBorder="1" applyAlignment="1">
      <alignment horizontal="left" indent="1"/>
    </xf>
    <xf numFmtId="0" fontId="32" fillId="2" borderId="76" xfId="0" quotePrefix="1" applyFont="1" applyFill="1" applyBorder="1" applyAlignment="1">
      <alignment horizontal="left" indent="2"/>
    </xf>
    <xf numFmtId="0" fontId="32" fillId="2" borderId="82" xfId="0" quotePrefix="1" applyFont="1" applyFill="1" applyBorder="1" applyAlignment="1">
      <alignment horizontal="left" indent="2"/>
    </xf>
    <xf numFmtId="0" fontId="39" fillId="2" borderId="74" xfId="0" applyFont="1" applyFill="1" applyBorder="1" applyAlignment="1">
      <alignment horizontal="left" indent="1"/>
    </xf>
    <xf numFmtId="0" fontId="39" fillId="2" borderId="87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0" borderId="92" xfId="0" applyFont="1" applyBorder="1"/>
    <xf numFmtId="3" fontId="32" fillId="0" borderId="92" xfId="0" applyNumberFormat="1" applyFont="1" applyBorder="1"/>
    <xf numFmtId="0" fontId="39" fillId="4" borderId="66" xfId="0" applyFont="1" applyFill="1" applyBorder="1" applyAlignment="1">
      <alignment horizontal="center" vertical="center"/>
    </xf>
    <xf numFmtId="0" fontId="39" fillId="4" borderId="55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91" xfId="0" applyNumberFormat="1" applyFont="1" applyFill="1" applyBorder="1" applyAlignment="1">
      <alignment horizontal="center" vertical="center"/>
    </xf>
    <xf numFmtId="3" fontId="55" fillId="2" borderId="89" xfId="0" applyNumberFormat="1" applyFont="1" applyFill="1" applyBorder="1" applyAlignment="1">
      <alignment horizontal="center" vertical="center" wrapText="1"/>
    </xf>
    <xf numFmtId="173" fontId="39" fillId="4" borderId="75" xfId="0" applyNumberFormat="1" applyFont="1" applyFill="1" applyBorder="1" applyAlignment="1"/>
    <xf numFmtId="173" fontId="39" fillId="4" borderId="69" xfId="0" applyNumberFormat="1" applyFont="1" applyFill="1" applyBorder="1" applyAlignment="1"/>
    <xf numFmtId="173" fontId="39" fillId="0" borderId="77" xfId="0" applyNumberFormat="1" applyFont="1" applyBorder="1"/>
    <xf numFmtId="173" fontId="32" fillId="0" borderId="79" xfId="0" applyNumberFormat="1" applyFont="1" applyBorder="1"/>
    <xf numFmtId="173" fontId="39" fillId="0" borderId="88" xfId="0" applyNumberFormat="1" applyFont="1" applyBorder="1"/>
    <xf numFmtId="173" fontId="32" fillId="0" borderId="72" xfId="0" applyNumberFormat="1" applyFont="1" applyBorder="1"/>
    <xf numFmtId="173" fontId="39" fillId="2" borderId="90" xfId="0" applyNumberFormat="1" applyFont="1" applyFill="1" applyBorder="1" applyAlignment="1"/>
    <xf numFmtId="173" fontId="39" fillId="2" borderId="69" xfId="0" applyNumberFormat="1" applyFont="1" applyFill="1" applyBorder="1" applyAlignment="1"/>
    <xf numFmtId="173" fontId="39" fillId="0" borderId="83" xfId="0" applyNumberFormat="1" applyFont="1" applyBorder="1"/>
    <xf numFmtId="173" fontId="32" fillId="0" borderId="85" xfId="0" applyNumberFormat="1" applyFont="1" applyBorder="1"/>
    <xf numFmtId="174" fontId="39" fillId="2" borderId="75" xfId="0" applyNumberFormat="1" applyFont="1" applyFill="1" applyBorder="1" applyAlignment="1"/>
    <xf numFmtId="174" fontId="32" fillId="2" borderId="69" xfId="0" applyNumberFormat="1" applyFont="1" applyFill="1" applyBorder="1" applyAlignment="1"/>
    <xf numFmtId="174" fontId="39" fillId="0" borderId="77" xfId="0" applyNumberFormat="1" applyFont="1" applyBorder="1"/>
    <xf numFmtId="174" fontId="32" fillId="0" borderId="79" xfId="0" applyNumberFormat="1" applyFont="1" applyBorder="1"/>
    <xf numFmtId="174" fontId="39" fillId="0" borderId="83" xfId="0" applyNumberFormat="1" applyFont="1" applyBorder="1"/>
    <xf numFmtId="174" fontId="32" fillId="0" borderId="85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5" xfId="0" applyNumberFormat="1" applyFont="1" applyFill="1" applyBorder="1" applyAlignment="1">
      <alignment horizontal="center"/>
    </xf>
    <xf numFmtId="175" fontId="39" fillId="0" borderId="83" xfId="0" applyNumberFormat="1" applyFont="1" applyBorder="1"/>
    <xf numFmtId="0" fontId="31" fillId="2" borderId="95" xfId="74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80" xfId="0" applyFont="1" applyFill="1" applyBorder="1"/>
    <xf numFmtId="0" fontId="32" fillId="0" borderId="81" xfId="0" applyFont="1" applyBorder="1" applyAlignment="1"/>
    <xf numFmtId="9" fontId="32" fillId="0" borderId="79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2" fillId="0" borderId="79" xfId="0" applyNumberFormat="1" applyFont="1" applyBorder="1"/>
    <xf numFmtId="49" fontId="37" fillId="2" borderId="79" xfId="0" quotePrefix="1" applyNumberFormat="1" applyFont="1" applyFill="1" applyBorder="1" applyAlignment="1">
      <alignment horizontal="center" vertical="center"/>
    </xf>
    <xf numFmtId="0" fontId="25" fillId="4" borderId="76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8" xfId="0" applyFont="1" applyBorder="1"/>
    <xf numFmtId="0" fontId="31" fillId="2" borderId="66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3" fontId="39" fillId="2" borderId="69" xfId="0" applyNumberFormat="1" applyFont="1" applyFill="1" applyBorder="1" applyAlignment="1">
      <alignment horizontal="center" vertical="center"/>
    </xf>
    <xf numFmtId="3" fontId="55" fillId="2" borderId="72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1" fillId="2" borderId="24" xfId="74" applyFont="1" applyFill="1" applyBorder="1" applyAlignment="1">
      <alignment horizontal="center"/>
    </xf>
    <xf numFmtId="0" fontId="6" fillId="0" borderId="2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173" fontId="32" fillId="0" borderId="101" xfId="0" applyNumberFormat="1" applyFont="1" applyBorder="1"/>
    <xf numFmtId="3" fontId="32" fillId="0" borderId="0" xfId="0" applyNumberFormat="1" applyFont="1" applyBorder="1"/>
    <xf numFmtId="173" fontId="32" fillId="0" borderId="78" xfId="0" applyNumberFormat="1" applyFont="1" applyBorder="1" applyAlignment="1"/>
    <xf numFmtId="173" fontId="32" fillId="0" borderId="79" xfId="0" applyNumberFormat="1" applyFont="1" applyBorder="1" applyAlignment="1"/>
    <xf numFmtId="173" fontId="32" fillId="0" borderId="80" xfId="0" applyNumberFormat="1" applyFont="1" applyBorder="1" applyAlignment="1"/>
    <xf numFmtId="175" fontId="32" fillId="0" borderId="78" xfId="0" applyNumberFormat="1" applyFont="1" applyBorder="1" applyAlignment="1"/>
    <xf numFmtId="175" fontId="32" fillId="0" borderId="79" xfId="0" applyNumberFormat="1" applyFont="1" applyBorder="1" applyAlignment="1"/>
    <xf numFmtId="175" fontId="32" fillId="0" borderId="80" xfId="0" applyNumberFormat="1" applyFont="1" applyBorder="1" applyAlignment="1"/>
    <xf numFmtId="173" fontId="32" fillId="0" borderId="71" xfId="0" applyNumberFormat="1" applyFont="1" applyBorder="1" applyAlignment="1"/>
    <xf numFmtId="173" fontId="32" fillId="0" borderId="72" xfId="0" applyNumberFormat="1" applyFont="1" applyBorder="1" applyAlignment="1"/>
    <xf numFmtId="173" fontId="32" fillId="0" borderId="73" xfId="0" applyNumberFormat="1" applyFont="1" applyBorder="1" applyAlignment="1"/>
    <xf numFmtId="173" fontId="39" fillId="4" borderId="24" xfId="0" applyNumberFormat="1" applyFont="1" applyFill="1" applyBorder="1" applyAlignment="1">
      <alignment horizontal="center"/>
    </xf>
    <xf numFmtId="173" fontId="39" fillId="4" borderId="29" xfId="0" applyNumberFormat="1" applyFont="1" applyFill="1" applyBorder="1" applyAlignment="1">
      <alignment horizontal="center"/>
    </xf>
    <xf numFmtId="173" fontId="39" fillId="4" borderId="25" xfId="0" applyNumberFormat="1" applyFont="1" applyFill="1" applyBorder="1" applyAlignment="1">
      <alignment horizontal="center"/>
    </xf>
    <xf numFmtId="173" fontId="32" fillId="0" borderId="102" xfId="0" applyNumberFormat="1" applyFont="1" applyBorder="1"/>
    <xf numFmtId="9" fontId="32" fillId="0" borderId="76" xfId="0" applyNumberFormat="1" applyFont="1" applyBorder="1"/>
    <xf numFmtId="173" fontId="32" fillId="0" borderId="87" xfId="0" applyNumberFormat="1" applyFont="1" applyBorder="1"/>
    <xf numFmtId="0" fontId="0" fillId="0" borderId="1" xfId="0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173" fontId="39" fillId="0" borderId="18" xfId="0" applyNumberFormat="1" applyFont="1" applyBorder="1"/>
    <xf numFmtId="173" fontId="39" fillId="0" borderId="2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2" xfId="81" applyFont="1" applyFill="1" applyBorder="1" applyAlignment="1">
      <alignment horizontal="center"/>
    </xf>
    <xf numFmtId="0" fontId="31" fillId="2" borderId="43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8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4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5" xfId="0" applyNumberFormat="1" applyFont="1" applyFill="1" applyBorder="1" applyAlignment="1">
      <alignment horizontal="left"/>
    </xf>
    <xf numFmtId="9" fontId="3" fillId="2" borderId="9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7" xfId="80" applyNumberFormat="1" applyFont="1" applyFill="1" applyBorder="1" applyAlignment="1">
      <alignment horizontal="left"/>
    </xf>
    <xf numFmtId="3" fontId="3" fillId="2" borderId="90" xfId="80" applyNumberFormat="1" applyFont="1" applyFill="1" applyBorder="1" applyAlignment="1">
      <alignment horizontal="left"/>
    </xf>
    <xf numFmtId="166" fontId="39" fillId="2" borderId="67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92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96" xfId="26" applyNumberFormat="1" applyFont="1" applyFill="1" applyBorder="1" applyAlignment="1">
      <alignment horizontal="center"/>
    </xf>
    <xf numFmtId="3" fontId="31" fillId="2" borderId="67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6" xfId="0" applyNumberFormat="1" applyFont="1" applyFill="1" applyBorder="1" applyAlignment="1">
      <alignment horizontal="center" vertical="top"/>
    </xf>
    <xf numFmtId="0" fontId="31" fillId="2" borderId="66" xfId="0" applyFont="1" applyFill="1" applyBorder="1" applyAlignment="1">
      <alignment horizontal="center" vertical="top" wrapText="1"/>
    </xf>
    <xf numFmtId="3" fontId="33" fillId="9" borderId="104" xfId="0" applyNumberFormat="1" applyFont="1" applyFill="1" applyBorder="1" applyAlignment="1">
      <alignment horizontal="right" vertical="top"/>
    </xf>
    <xf numFmtId="3" fontId="33" fillId="9" borderId="105" xfId="0" applyNumberFormat="1" applyFont="1" applyFill="1" applyBorder="1" applyAlignment="1">
      <alignment horizontal="right" vertical="top"/>
    </xf>
    <xf numFmtId="176" fontId="33" fillId="9" borderId="106" xfId="0" applyNumberFormat="1" applyFont="1" applyFill="1" applyBorder="1" applyAlignment="1">
      <alignment horizontal="right" vertical="top"/>
    </xf>
    <xf numFmtId="3" fontId="33" fillId="0" borderId="104" xfId="0" applyNumberFormat="1" applyFont="1" applyBorder="1" applyAlignment="1">
      <alignment horizontal="right" vertical="top"/>
    </xf>
    <xf numFmtId="176" fontId="33" fillId="9" borderId="107" xfId="0" applyNumberFormat="1" applyFont="1" applyFill="1" applyBorder="1" applyAlignment="1">
      <alignment horizontal="right" vertical="top"/>
    </xf>
    <xf numFmtId="3" fontId="35" fillId="9" borderId="109" xfId="0" applyNumberFormat="1" applyFont="1" applyFill="1" applyBorder="1" applyAlignment="1">
      <alignment horizontal="right" vertical="top"/>
    </xf>
    <xf numFmtId="3" fontId="35" fillId="9" borderId="110" xfId="0" applyNumberFormat="1" applyFont="1" applyFill="1" applyBorder="1" applyAlignment="1">
      <alignment horizontal="right" vertical="top"/>
    </xf>
    <xf numFmtId="0" fontId="35" fillId="9" borderId="111" xfId="0" applyFont="1" applyFill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0" fontId="35" fillId="9" borderId="112" xfId="0" applyFont="1" applyFill="1" applyBorder="1" applyAlignment="1">
      <alignment horizontal="right" vertical="top"/>
    </xf>
    <xf numFmtId="0" fontId="33" fillId="9" borderId="106" xfId="0" applyFont="1" applyFill="1" applyBorder="1" applyAlignment="1">
      <alignment horizontal="right" vertical="top"/>
    </xf>
    <xf numFmtId="0" fontId="33" fillId="9" borderId="107" xfId="0" applyFont="1" applyFill="1" applyBorder="1" applyAlignment="1">
      <alignment horizontal="right" vertical="top"/>
    </xf>
    <xf numFmtId="176" fontId="35" fillId="9" borderId="111" xfId="0" applyNumberFormat="1" applyFont="1" applyFill="1" applyBorder="1" applyAlignment="1">
      <alignment horizontal="right" vertical="top"/>
    </xf>
    <xf numFmtId="176" fontId="35" fillId="9" borderId="112" xfId="0" applyNumberFormat="1" applyFont="1" applyFill="1" applyBorder="1" applyAlignment="1">
      <alignment horizontal="right" vertical="top"/>
    </xf>
    <xf numFmtId="3" fontId="35" fillId="0" borderId="113" xfId="0" applyNumberFormat="1" applyFont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176" fontId="35" fillId="9" borderId="116" xfId="0" applyNumberFormat="1" applyFont="1" applyFill="1" applyBorder="1" applyAlignment="1">
      <alignment horizontal="right" vertical="top"/>
    </xf>
    <xf numFmtId="0" fontId="37" fillId="10" borderId="103" xfId="0" applyFont="1" applyFill="1" applyBorder="1" applyAlignment="1">
      <alignment vertical="top"/>
    </xf>
    <xf numFmtId="0" fontId="37" fillId="10" borderId="103" xfId="0" applyFont="1" applyFill="1" applyBorder="1" applyAlignment="1">
      <alignment vertical="top" indent="2"/>
    </xf>
    <xf numFmtId="0" fontId="37" fillId="10" borderId="103" xfId="0" applyFont="1" applyFill="1" applyBorder="1" applyAlignment="1">
      <alignment vertical="top" indent="4"/>
    </xf>
    <xf numFmtId="0" fontId="38" fillId="10" borderId="108" xfId="0" applyFont="1" applyFill="1" applyBorder="1" applyAlignment="1">
      <alignment vertical="top" indent="6"/>
    </xf>
    <xf numFmtId="0" fontId="37" fillId="10" borderId="103" xfId="0" applyFont="1" applyFill="1" applyBorder="1" applyAlignment="1">
      <alignment vertical="top" indent="8"/>
    </xf>
    <xf numFmtId="0" fontId="38" fillId="10" borderId="108" xfId="0" applyFont="1" applyFill="1" applyBorder="1" applyAlignment="1">
      <alignment vertical="top" indent="2"/>
    </xf>
    <xf numFmtId="0" fontId="37" fillId="10" borderId="103" xfId="0" applyFont="1" applyFill="1" applyBorder="1" applyAlignment="1">
      <alignment vertical="top" indent="6"/>
    </xf>
    <xf numFmtId="0" fontId="38" fillId="10" borderId="108" xfId="0" applyFont="1" applyFill="1" applyBorder="1" applyAlignment="1">
      <alignment vertical="top" indent="4"/>
    </xf>
    <xf numFmtId="0" fontId="32" fillId="10" borderId="103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7" xfId="53" applyNumberFormat="1" applyFont="1" applyFill="1" applyBorder="1" applyAlignment="1">
      <alignment horizontal="left"/>
    </xf>
    <xf numFmtId="164" fontId="31" fillId="2" borderId="118" xfId="53" applyNumberFormat="1" applyFont="1" applyFill="1" applyBorder="1" applyAlignment="1">
      <alignment horizontal="left"/>
    </xf>
    <xf numFmtId="0" fontId="31" fillId="2" borderId="118" xfId="53" applyNumberFormat="1" applyFont="1" applyFill="1" applyBorder="1" applyAlignment="1">
      <alignment horizontal="left"/>
    </xf>
    <xf numFmtId="164" fontId="31" fillId="2" borderId="52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18" xfId="0" applyNumberFormat="1" applyFont="1" applyFill="1" applyBorder="1"/>
    <xf numFmtId="3" fontId="32" fillId="0" borderId="119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2" fillId="0" borderId="78" xfId="0" applyFont="1" applyFill="1" applyBorder="1"/>
    <xf numFmtId="0" fontId="32" fillId="0" borderId="79" xfId="0" applyFont="1" applyFill="1" applyBorder="1"/>
    <xf numFmtId="164" fontId="32" fillId="0" borderId="79" xfId="0" applyNumberFormat="1" applyFont="1" applyFill="1" applyBorder="1"/>
    <xf numFmtId="164" fontId="32" fillId="0" borderId="79" xfId="0" applyNumberFormat="1" applyFont="1" applyFill="1" applyBorder="1" applyAlignment="1">
      <alignment horizontal="right"/>
    </xf>
    <xf numFmtId="0" fontId="32" fillId="0" borderId="79" xfId="0" applyNumberFormat="1" applyFont="1" applyFill="1" applyBorder="1"/>
    <xf numFmtId="3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0" fontId="32" fillId="0" borderId="72" xfId="0" applyNumberFormat="1" applyFont="1" applyFill="1" applyBorder="1"/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9" fillId="2" borderId="117" xfId="0" applyFont="1" applyFill="1" applyBorder="1"/>
    <xf numFmtId="3" fontId="39" fillId="2" borderId="99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18" xfId="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7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9" xfId="0" applyNumberFormat="1" applyFont="1" applyFill="1" applyBorder="1"/>
    <xf numFmtId="3" fontId="32" fillId="0" borderId="85" xfId="0" applyNumberFormat="1" applyFont="1" applyFill="1" applyBorder="1"/>
    <xf numFmtId="9" fontId="32" fillId="0" borderId="85" xfId="0" applyNumberFormat="1" applyFont="1" applyFill="1" applyBorder="1"/>
    <xf numFmtId="3" fontId="32" fillId="0" borderId="86" xfId="0" applyNumberFormat="1" applyFont="1" applyFill="1" applyBorder="1"/>
    <xf numFmtId="0" fontId="39" fillId="0" borderId="68" xfId="0" applyFont="1" applyFill="1" applyBorder="1"/>
    <xf numFmtId="0" fontId="39" fillId="0" borderId="78" xfId="0" applyFont="1" applyFill="1" applyBorder="1"/>
    <xf numFmtId="0" fontId="39" fillId="0" borderId="100" xfId="0" applyFont="1" applyFill="1" applyBorder="1"/>
    <xf numFmtId="0" fontId="39" fillId="2" borderId="118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7" xfId="79" applyFont="1" applyFill="1" applyBorder="1" applyAlignment="1">
      <alignment horizontal="left"/>
    </xf>
    <xf numFmtId="3" fontId="3" fillId="2" borderId="85" xfId="80" applyNumberFormat="1" applyFont="1" applyFill="1" applyBorder="1"/>
    <xf numFmtId="3" fontId="3" fillId="2" borderId="86" xfId="80" applyNumberFormat="1" applyFont="1" applyFill="1" applyBorder="1"/>
    <xf numFmtId="9" fontId="3" fillId="2" borderId="84" xfId="80" applyNumberFormat="1" applyFont="1" applyFill="1" applyBorder="1"/>
    <xf numFmtId="9" fontId="3" fillId="2" borderId="85" xfId="80" applyNumberFormat="1" applyFont="1" applyFill="1" applyBorder="1"/>
    <xf numFmtId="9" fontId="3" fillId="2" borderId="86" xfId="80" applyNumberFormat="1" applyFont="1" applyFill="1" applyBorder="1"/>
    <xf numFmtId="9" fontId="32" fillId="0" borderId="70" xfId="0" applyNumberFormat="1" applyFont="1" applyFill="1" applyBorder="1"/>
    <xf numFmtId="9" fontId="32" fillId="0" borderId="73" xfId="0" applyNumberFormat="1" applyFont="1" applyFill="1" applyBorder="1"/>
    <xf numFmtId="0" fontId="39" fillId="0" borderId="95" xfId="0" applyFont="1" applyFill="1" applyBorder="1"/>
    <xf numFmtId="0" fontId="39" fillId="0" borderId="94" xfId="0" applyFont="1" applyFill="1" applyBorder="1" applyAlignment="1">
      <alignment horizontal="left" indent="1"/>
    </xf>
    <xf numFmtId="9" fontId="32" fillId="0" borderId="91" xfId="0" applyNumberFormat="1" applyFont="1" applyFill="1" applyBorder="1"/>
    <xf numFmtId="9" fontId="32" fillId="0" borderId="89" xfId="0" applyNumberFormat="1" applyFont="1" applyFill="1" applyBorder="1"/>
    <xf numFmtId="3" fontId="32" fillId="0" borderId="68" xfId="0" applyNumberFormat="1" applyFont="1" applyFill="1" applyBorder="1"/>
    <xf numFmtId="3" fontId="32" fillId="0" borderId="71" xfId="0" applyNumberFormat="1" applyFont="1" applyFill="1" applyBorder="1"/>
    <xf numFmtId="9" fontId="32" fillId="0" borderId="120" xfId="0" applyNumberFormat="1" applyFont="1" applyFill="1" applyBorder="1"/>
    <xf numFmtId="9" fontId="32" fillId="0" borderId="121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8" xfId="0" applyFont="1" applyFill="1" applyBorder="1" applyAlignment="1">
      <alignment horizontal="left"/>
    </xf>
    <xf numFmtId="169" fontId="59" fillId="4" borderId="69" xfId="0" applyNumberFormat="1" applyFont="1" applyFill="1" applyBorder="1"/>
    <xf numFmtId="9" fontId="59" fillId="4" borderId="69" xfId="0" applyNumberFormat="1" applyFont="1" applyFill="1" applyBorder="1"/>
    <xf numFmtId="9" fontId="59" fillId="4" borderId="70" xfId="0" applyNumberFormat="1" applyFont="1" applyFill="1" applyBorder="1"/>
    <xf numFmtId="169" fontId="0" fillId="0" borderId="79" xfId="0" applyNumberFormat="1" applyBorder="1"/>
    <xf numFmtId="9" fontId="0" fillId="0" borderId="79" xfId="0" applyNumberFormat="1" applyBorder="1"/>
    <xf numFmtId="9" fontId="0" fillId="0" borderId="80" xfId="0" applyNumberFormat="1" applyBorder="1"/>
    <xf numFmtId="169" fontId="0" fillId="0" borderId="72" xfId="0" applyNumberFormat="1" applyBorder="1"/>
    <xf numFmtId="9" fontId="0" fillId="0" borderId="72" xfId="0" applyNumberFormat="1" applyBorder="1"/>
    <xf numFmtId="9" fontId="0" fillId="0" borderId="73" xfId="0" applyNumberFormat="1" applyBorder="1"/>
    <xf numFmtId="0" fontId="59" fillId="0" borderId="78" xfId="0" applyFont="1" applyBorder="1" applyAlignment="1">
      <alignment horizontal="left" indent="1"/>
    </xf>
    <xf numFmtId="0" fontId="59" fillId="0" borderId="71" xfId="0" applyFont="1" applyBorder="1" applyAlignment="1">
      <alignment horizontal="left" indent="1"/>
    </xf>
    <xf numFmtId="0" fontId="59" fillId="4" borderId="78" xfId="0" applyFont="1" applyFill="1" applyBorder="1" applyAlignment="1">
      <alignment horizontal="left"/>
    </xf>
    <xf numFmtId="169" fontId="59" fillId="4" borderId="79" xfId="0" applyNumberFormat="1" applyFont="1" applyFill="1" applyBorder="1"/>
    <xf numFmtId="9" fontId="59" fillId="4" borderId="79" xfId="0" applyNumberFormat="1" applyFont="1" applyFill="1" applyBorder="1"/>
    <xf numFmtId="9" fontId="59" fillId="4" borderId="8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31" fillId="2" borderId="16" xfId="26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 wrapText="1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67"/>
      <tableStyleElement type="headerRow" dxfId="66"/>
      <tableStyleElement type="totalRow" dxfId="65"/>
      <tableStyleElement type="firstColumn" dxfId="64"/>
      <tableStyleElement type="lastColumn" dxfId="63"/>
      <tableStyleElement type="firstRowStripe" dxfId="62"/>
      <tableStyleElement type="firstColumnStripe" dxfId="6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0.57682746191550582</c:v>
                </c:pt>
                <c:pt idx="1">
                  <c:v>0.52308078754766041</c:v>
                </c:pt>
                <c:pt idx="2">
                  <c:v>0.53649541517770638</c:v>
                </c:pt>
                <c:pt idx="3">
                  <c:v>0.55907977653441587</c:v>
                </c:pt>
                <c:pt idx="4">
                  <c:v>0.55165677900600452</c:v>
                </c:pt>
                <c:pt idx="5">
                  <c:v>0.52260284323191242</c:v>
                </c:pt>
                <c:pt idx="6">
                  <c:v>0.46823441767372198</c:v>
                </c:pt>
                <c:pt idx="7">
                  <c:v>0.44192439020538721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273088"/>
        <c:axId val="133426384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0.45958038947093133</c:v>
                </c:pt>
                <c:pt idx="1">
                  <c:v>0.45958038947093133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4273632"/>
        <c:axId val="1334265472"/>
      </c:scatterChart>
      <c:catAx>
        <c:axId val="1334273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34263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42638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34273088"/>
        <c:crosses val="autoZero"/>
        <c:crossBetween val="between"/>
      </c:valAx>
      <c:valAx>
        <c:axId val="13342736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34265472"/>
        <c:crosses val="max"/>
        <c:crossBetween val="midCat"/>
      </c:valAx>
      <c:valAx>
        <c:axId val="13342654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3427363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4" bestFit="1" customWidth="1"/>
    <col min="2" max="2" width="102.21875" style="114" bestFit="1" customWidth="1"/>
    <col min="3" max="3" width="16.109375" style="47" hidden="1" customWidth="1"/>
    <col min="4" max="16384" width="8.88671875" style="114"/>
  </cols>
  <sheetData>
    <row r="1" spans="1:3" ht="18.600000000000001" customHeight="1" thickBot="1" x14ac:dyDescent="0.4">
      <c r="A1" s="320" t="s">
        <v>93</v>
      </c>
      <c r="B1" s="320"/>
    </row>
    <row r="2" spans="1:3" ht="14.4" customHeight="1" thickBot="1" x14ac:dyDescent="0.35">
      <c r="A2" s="210" t="s">
        <v>233</v>
      </c>
      <c r="B2" s="46"/>
    </row>
    <row r="3" spans="1:3" ht="14.4" customHeight="1" thickBot="1" x14ac:dyDescent="0.35">
      <c r="A3" s="316" t="s">
        <v>120</v>
      </c>
      <c r="B3" s="317"/>
    </row>
    <row r="4" spans="1:3" ht="14.4" customHeight="1" x14ac:dyDescent="0.3">
      <c r="A4" s="127" t="str">
        <f t="shared" ref="A4:A8" si="0">HYPERLINK("#'"&amp;C4&amp;"'!A1",C4)</f>
        <v>Motivace</v>
      </c>
      <c r="B4" s="74" t="s">
        <v>104</v>
      </c>
      <c r="C4" s="47" t="s">
        <v>105</v>
      </c>
    </row>
    <row r="5" spans="1:3" ht="14.4" customHeight="1" x14ac:dyDescent="0.3">
      <c r="A5" s="128" t="str">
        <f t="shared" si="0"/>
        <v>HI</v>
      </c>
      <c r="B5" s="75" t="s">
        <v>117</v>
      </c>
      <c r="C5" s="47" t="s">
        <v>96</v>
      </c>
    </row>
    <row r="6" spans="1:3" ht="14.4" customHeight="1" x14ac:dyDescent="0.3">
      <c r="A6" s="129" t="str">
        <f t="shared" si="0"/>
        <v>HI Graf</v>
      </c>
      <c r="B6" s="76" t="s">
        <v>90</v>
      </c>
      <c r="C6" s="47" t="s">
        <v>97</v>
      </c>
    </row>
    <row r="7" spans="1:3" ht="14.4" customHeight="1" x14ac:dyDescent="0.3">
      <c r="A7" s="129" t="str">
        <f t="shared" si="0"/>
        <v>Man Tab</v>
      </c>
      <c r="B7" s="76" t="s">
        <v>235</v>
      </c>
      <c r="C7" s="47" t="s">
        <v>98</v>
      </c>
    </row>
    <row r="8" spans="1:3" ht="14.4" customHeight="1" thickBot="1" x14ac:dyDescent="0.35">
      <c r="A8" s="130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18" t="s">
        <v>94</v>
      </c>
      <c r="B10" s="317"/>
    </row>
    <row r="11" spans="1:3" ht="14.4" customHeight="1" x14ac:dyDescent="0.3">
      <c r="A11" s="131" t="str">
        <f t="shared" ref="A11" si="1">HYPERLINK("#'"&amp;C11&amp;"'!A1",C11)</f>
        <v>Léky Žádanky</v>
      </c>
      <c r="B11" s="75" t="s">
        <v>118</v>
      </c>
      <c r="C11" s="47" t="s">
        <v>99</v>
      </c>
    </row>
    <row r="12" spans="1:3" ht="14.4" customHeight="1" x14ac:dyDescent="0.3">
      <c r="A12" s="129" t="str">
        <f t="shared" ref="A12:A18" si="2">HYPERLINK("#'"&amp;C12&amp;"'!A1",C12)</f>
        <v>LŽ Detail</v>
      </c>
      <c r="B12" s="76" t="s">
        <v>137</v>
      </c>
      <c r="C12" s="47" t="s">
        <v>100</v>
      </c>
    </row>
    <row r="13" spans="1:3" ht="28.8" customHeight="1" x14ac:dyDescent="0.3">
      <c r="A13" s="129" t="str">
        <f t="shared" si="2"/>
        <v>LŽ PL</v>
      </c>
      <c r="B13" s="470" t="s">
        <v>138</v>
      </c>
      <c r="C13" s="47" t="s">
        <v>124</v>
      </c>
    </row>
    <row r="14" spans="1:3" ht="14.4" customHeight="1" x14ac:dyDescent="0.3">
      <c r="A14" s="129" t="str">
        <f t="shared" si="2"/>
        <v>LŽ PL Detail</v>
      </c>
      <c r="B14" s="76" t="s">
        <v>554</v>
      </c>
      <c r="C14" s="47" t="s">
        <v>125</v>
      </c>
    </row>
    <row r="15" spans="1:3" ht="14.4" customHeight="1" x14ac:dyDescent="0.3">
      <c r="A15" s="129" t="str">
        <f t="shared" si="2"/>
        <v>LŽ Statim</v>
      </c>
      <c r="B15" s="270" t="s">
        <v>180</v>
      </c>
      <c r="C15" s="47" t="s">
        <v>190</v>
      </c>
    </row>
    <row r="16" spans="1:3" ht="14.4" customHeight="1" x14ac:dyDescent="0.3">
      <c r="A16" s="131" t="str">
        <f t="shared" ref="A16" si="3">HYPERLINK("#'"&amp;C16&amp;"'!A1",C16)</f>
        <v>Materiál Žádanky</v>
      </c>
      <c r="B16" s="76" t="s">
        <v>119</v>
      </c>
      <c r="C16" s="47" t="s">
        <v>101</v>
      </c>
    </row>
    <row r="17" spans="1:3" ht="14.4" customHeight="1" x14ac:dyDescent="0.3">
      <c r="A17" s="129" t="str">
        <f t="shared" si="2"/>
        <v>MŽ Detail</v>
      </c>
      <c r="B17" s="76" t="s">
        <v>1574</v>
      </c>
      <c r="C17" s="47" t="s">
        <v>102</v>
      </c>
    </row>
    <row r="18" spans="1:3" ht="14.4" customHeight="1" thickBot="1" x14ac:dyDescent="0.35">
      <c r="A18" s="131" t="str">
        <f t="shared" si="2"/>
        <v>Osobní náklady</v>
      </c>
      <c r="B18" s="76" t="s">
        <v>91</v>
      </c>
      <c r="C18" s="47" t="s">
        <v>103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19" t="s">
        <v>95</v>
      </c>
      <c r="B20" s="317"/>
    </row>
    <row r="21" spans="1:3" ht="14.4" customHeight="1" x14ac:dyDescent="0.3">
      <c r="A21" s="132" t="str">
        <f t="shared" ref="A21:A23" si="4">HYPERLINK("#'"&amp;C21&amp;"'!A1",C21)</f>
        <v>ZV Vykáz.-A</v>
      </c>
      <c r="B21" s="75" t="s">
        <v>1579</v>
      </c>
      <c r="C21" s="47" t="s">
        <v>106</v>
      </c>
    </row>
    <row r="22" spans="1:3" ht="14.4" customHeight="1" x14ac:dyDescent="0.3">
      <c r="A22" s="129" t="str">
        <f t="shared" ref="A22" si="5">HYPERLINK("#'"&amp;C22&amp;"'!A1",C22)</f>
        <v>ZV Vykáz.-A Lékaři</v>
      </c>
      <c r="B22" s="76" t="s">
        <v>1589</v>
      </c>
      <c r="C22" s="47" t="s">
        <v>193</v>
      </c>
    </row>
    <row r="23" spans="1:3" ht="14.4" customHeight="1" x14ac:dyDescent="0.3">
      <c r="A23" s="129" t="str">
        <f t="shared" si="4"/>
        <v>ZV Vykáz.-A Detail</v>
      </c>
      <c r="B23" s="76" t="s">
        <v>1836</v>
      </c>
      <c r="C23" s="47" t="s">
        <v>107</v>
      </c>
    </row>
    <row r="24" spans="1:3" ht="14.4" customHeight="1" x14ac:dyDescent="0.3">
      <c r="A24" s="284" t="str">
        <f>HYPERLINK("#'"&amp;C24&amp;"'!A1",C24)</f>
        <v>ZV Vykáz.-A Det.Lék.</v>
      </c>
      <c r="B24" s="76" t="s">
        <v>1837</v>
      </c>
      <c r="C24" s="47" t="s">
        <v>222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4" bestFit="1" customWidth="1"/>
    <col min="2" max="2" width="8.88671875" style="114" bestFit="1" customWidth="1"/>
    <col min="3" max="3" width="7" style="114" bestFit="1" customWidth="1"/>
    <col min="4" max="4" width="53.44140625" style="114" bestFit="1" customWidth="1"/>
    <col min="5" max="5" width="28.44140625" style="114" bestFit="1" customWidth="1"/>
    <col min="6" max="6" width="6.6640625" style="189" customWidth="1"/>
    <col min="7" max="7" width="10" style="189" customWidth="1"/>
    <col min="8" max="8" width="6.77734375" style="192" bestFit="1" customWidth="1"/>
    <col min="9" max="9" width="6.6640625" style="189" customWidth="1"/>
    <col min="10" max="10" width="10" style="189" customWidth="1"/>
    <col min="11" max="11" width="6.77734375" style="192" bestFit="1" customWidth="1"/>
    <col min="12" max="12" width="6.6640625" style="189" customWidth="1"/>
    <col min="13" max="13" width="10" style="189" customWidth="1"/>
    <col min="14" max="16384" width="8.88671875" style="114"/>
  </cols>
  <sheetData>
    <row r="1" spans="1:13" ht="18.600000000000001" customHeight="1" thickBot="1" x14ac:dyDescent="0.4">
      <c r="A1" s="359" t="s">
        <v>554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20"/>
      <c r="M1" s="320"/>
    </row>
    <row r="2" spans="1:13" ht="14.4" customHeight="1" thickBot="1" x14ac:dyDescent="0.35">
      <c r="A2" s="210" t="s">
        <v>233</v>
      </c>
      <c r="B2" s="188"/>
      <c r="C2" s="188"/>
      <c r="D2" s="188"/>
      <c r="E2" s="188"/>
      <c r="F2" s="196"/>
      <c r="G2" s="196"/>
      <c r="H2" s="197"/>
      <c r="I2" s="196"/>
      <c r="J2" s="196"/>
      <c r="K2" s="197"/>
      <c r="L2" s="196"/>
    </row>
    <row r="3" spans="1:13" ht="14.4" customHeight="1" thickBot="1" x14ac:dyDescent="0.35">
      <c r="E3" s="71" t="s">
        <v>108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13</v>
      </c>
      <c r="J3" s="43">
        <f>SUBTOTAL(9,J6:J1048576)</f>
        <v>1173.3300000000002</v>
      </c>
      <c r="K3" s="44">
        <f>IF(M3=0,0,J3/M3)</f>
        <v>1</v>
      </c>
      <c r="L3" s="43">
        <f>SUBTOTAL(9,L6:L1048576)</f>
        <v>13</v>
      </c>
      <c r="M3" s="45">
        <f>SUBTOTAL(9,M6:M1048576)</f>
        <v>1173.3300000000002</v>
      </c>
    </row>
    <row r="4" spans="1:13" ht="14.4" customHeight="1" thickBot="1" x14ac:dyDescent="0.35">
      <c r="A4" s="41"/>
      <c r="B4" s="41"/>
      <c r="C4" s="41"/>
      <c r="D4" s="41"/>
      <c r="E4" s="42"/>
      <c r="F4" s="363" t="s">
        <v>110</v>
      </c>
      <c r="G4" s="364"/>
      <c r="H4" s="365"/>
      <c r="I4" s="366" t="s">
        <v>109</v>
      </c>
      <c r="J4" s="364"/>
      <c r="K4" s="365"/>
      <c r="L4" s="367" t="s">
        <v>3</v>
      </c>
      <c r="M4" s="368"/>
    </row>
    <row r="5" spans="1:13" ht="14.4" customHeight="1" thickBot="1" x14ac:dyDescent="0.35">
      <c r="A5" s="457" t="s">
        <v>111</v>
      </c>
      <c r="B5" s="478" t="s">
        <v>112</v>
      </c>
      <c r="C5" s="478" t="s">
        <v>58</v>
      </c>
      <c r="D5" s="478" t="s">
        <v>113</v>
      </c>
      <c r="E5" s="478" t="s">
        <v>114</v>
      </c>
      <c r="F5" s="479" t="s">
        <v>15</v>
      </c>
      <c r="G5" s="479" t="s">
        <v>14</v>
      </c>
      <c r="H5" s="459" t="s">
        <v>115</v>
      </c>
      <c r="I5" s="458" t="s">
        <v>15</v>
      </c>
      <c r="J5" s="479" t="s">
        <v>14</v>
      </c>
      <c r="K5" s="459" t="s">
        <v>115</v>
      </c>
      <c r="L5" s="458" t="s">
        <v>15</v>
      </c>
      <c r="M5" s="480" t="s">
        <v>14</v>
      </c>
    </row>
    <row r="6" spans="1:13" ht="14.4" customHeight="1" x14ac:dyDescent="0.3">
      <c r="A6" s="436" t="s">
        <v>426</v>
      </c>
      <c r="B6" s="437" t="s">
        <v>544</v>
      </c>
      <c r="C6" s="437" t="s">
        <v>545</v>
      </c>
      <c r="D6" s="437" t="s">
        <v>546</v>
      </c>
      <c r="E6" s="437" t="s">
        <v>547</v>
      </c>
      <c r="F6" s="441"/>
      <c r="G6" s="441"/>
      <c r="H6" s="462">
        <v>0</v>
      </c>
      <c r="I6" s="441">
        <v>9</v>
      </c>
      <c r="J6" s="441">
        <v>1033.2400000000002</v>
      </c>
      <c r="K6" s="462">
        <v>1</v>
      </c>
      <c r="L6" s="441">
        <v>9</v>
      </c>
      <c r="M6" s="442">
        <v>1033.2400000000002</v>
      </c>
    </row>
    <row r="7" spans="1:13" ht="14.4" customHeight="1" x14ac:dyDescent="0.3">
      <c r="A7" s="443" t="s">
        <v>426</v>
      </c>
      <c r="B7" s="444" t="s">
        <v>548</v>
      </c>
      <c r="C7" s="444" t="s">
        <v>549</v>
      </c>
      <c r="D7" s="444" t="s">
        <v>527</v>
      </c>
      <c r="E7" s="444" t="s">
        <v>550</v>
      </c>
      <c r="F7" s="448"/>
      <c r="G7" s="448"/>
      <c r="H7" s="471">
        <v>0</v>
      </c>
      <c r="I7" s="448">
        <v>1</v>
      </c>
      <c r="J7" s="448">
        <v>49.830000000000013</v>
      </c>
      <c r="K7" s="471">
        <v>1</v>
      </c>
      <c r="L7" s="448">
        <v>1</v>
      </c>
      <c r="M7" s="449">
        <v>49.830000000000013</v>
      </c>
    </row>
    <row r="8" spans="1:13" ht="14.4" customHeight="1" thickBot="1" x14ac:dyDescent="0.35">
      <c r="A8" s="450" t="s">
        <v>426</v>
      </c>
      <c r="B8" s="451" t="s">
        <v>551</v>
      </c>
      <c r="C8" s="451" t="s">
        <v>552</v>
      </c>
      <c r="D8" s="451" t="s">
        <v>531</v>
      </c>
      <c r="E8" s="451" t="s">
        <v>553</v>
      </c>
      <c r="F8" s="455"/>
      <c r="G8" s="455"/>
      <c r="H8" s="463">
        <v>0</v>
      </c>
      <c r="I8" s="455">
        <v>3</v>
      </c>
      <c r="J8" s="455">
        <v>90.259999999999991</v>
      </c>
      <c r="K8" s="463">
        <v>1</v>
      </c>
      <c r="L8" s="455">
        <v>3</v>
      </c>
      <c r="M8" s="456">
        <v>90.259999999999991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74" customWidth="1"/>
    <col min="2" max="2" width="5.44140625" style="189" bestFit="1" customWidth="1"/>
    <col min="3" max="3" width="6.109375" style="189" bestFit="1" customWidth="1"/>
    <col min="4" max="4" width="7.44140625" style="189" bestFit="1" customWidth="1"/>
    <col min="5" max="5" width="6.21875" style="189" bestFit="1" customWidth="1"/>
    <col min="6" max="6" width="6.33203125" style="192" bestFit="1" customWidth="1"/>
    <col min="7" max="7" width="6.109375" style="192" bestFit="1" customWidth="1"/>
    <col min="8" max="8" width="7.44140625" style="192" bestFit="1" customWidth="1"/>
    <col min="9" max="9" width="6.21875" style="192" bestFit="1" customWidth="1"/>
    <col min="10" max="10" width="5.44140625" style="189" bestFit="1" customWidth="1"/>
    <col min="11" max="11" width="6.109375" style="189" bestFit="1" customWidth="1"/>
    <col min="12" max="12" width="7.44140625" style="189" bestFit="1" customWidth="1"/>
    <col min="13" max="13" width="6.21875" style="189" bestFit="1" customWidth="1"/>
    <col min="14" max="14" width="5.33203125" style="192" bestFit="1" customWidth="1"/>
    <col min="15" max="15" width="6.109375" style="192" bestFit="1" customWidth="1"/>
    <col min="16" max="16" width="7.44140625" style="192" bestFit="1" customWidth="1"/>
    <col min="17" max="17" width="6.21875" style="192" bestFit="1" customWidth="1"/>
    <col min="18" max="16384" width="8.88671875" style="114"/>
  </cols>
  <sheetData>
    <row r="1" spans="1:17" ht="18.600000000000001" customHeight="1" thickBot="1" x14ac:dyDescent="0.4">
      <c r="A1" s="359" t="s">
        <v>180</v>
      </c>
      <c r="B1" s="359"/>
      <c r="C1" s="359"/>
      <c r="D1" s="359"/>
      <c r="E1" s="359"/>
      <c r="F1" s="321"/>
      <c r="G1" s="321"/>
      <c r="H1" s="321"/>
      <c r="I1" s="321"/>
      <c r="J1" s="352"/>
      <c r="K1" s="352"/>
      <c r="L1" s="352"/>
      <c r="M1" s="352"/>
      <c r="N1" s="352"/>
      <c r="O1" s="352"/>
      <c r="P1" s="352"/>
      <c r="Q1" s="352"/>
    </row>
    <row r="2" spans="1:17" ht="14.4" customHeight="1" thickBot="1" x14ac:dyDescent="0.35">
      <c r="A2" s="210" t="s">
        <v>233</v>
      </c>
      <c r="B2" s="196"/>
      <c r="C2" s="196"/>
      <c r="D2" s="196"/>
      <c r="E2" s="196"/>
    </row>
    <row r="3" spans="1:17" ht="14.4" customHeight="1" thickBot="1" x14ac:dyDescent="0.35">
      <c r="A3" s="263" t="s">
        <v>3</v>
      </c>
      <c r="B3" s="267">
        <f>SUM(B6:B1048576)</f>
        <v>625</v>
      </c>
      <c r="C3" s="268">
        <f>SUM(C6:C1048576)</f>
        <v>0</v>
      </c>
      <c r="D3" s="268">
        <f>SUM(D6:D1048576)</f>
        <v>0</v>
      </c>
      <c r="E3" s="269">
        <f>SUM(E6:E1048576)</f>
        <v>0</v>
      </c>
      <c r="F3" s="266">
        <f>IF(SUM($B3:$E3)=0,"",B3/SUM($B3:$E3))</f>
        <v>1</v>
      </c>
      <c r="G3" s="264">
        <f t="shared" ref="G3:I3" si="0">IF(SUM($B3:$E3)=0,"",C3/SUM($B3:$E3))</f>
        <v>0</v>
      </c>
      <c r="H3" s="264">
        <f t="shared" si="0"/>
        <v>0</v>
      </c>
      <c r="I3" s="265">
        <f t="shared" si="0"/>
        <v>0</v>
      </c>
      <c r="J3" s="268">
        <f>SUM(J6:J1048576)</f>
        <v>106</v>
      </c>
      <c r="K3" s="268">
        <f>SUM(K6:K1048576)</f>
        <v>0</v>
      </c>
      <c r="L3" s="268">
        <f>SUM(L6:L1048576)</f>
        <v>0</v>
      </c>
      <c r="M3" s="269">
        <f>SUM(M6:M1048576)</f>
        <v>0</v>
      </c>
      <c r="N3" s="266">
        <f>IF(SUM($J3:$M3)=0,"",J3/SUM($J3:$M3))</f>
        <v>1</v>
      </c>
      <c r="O3" s="264">
        <f t="shared" ref="O3:Q3" si="1">IF(SUM($J3:$M3)=0,"",K3/SUM($J3:$M3))</f>
        <v>0</v>
      </c>
      <c r="P3" s="264">
        <f t="shared" si="1"/>
        <v>0</v>
      </c>
      <c r="Q3" s="265">
        <f t="shared" si="1"/>
        <v>0</v>
      </c>
    </row>
    <row r="4" spans="1:17" ht="14.4" customHeight="1" thickBot="1" x14ac:dyDescent="0.35">
      <c r="A4" s="262"/>
      <c r="B4" s="372" t="s">
        <v>182</v>
      </c>
      <c r="C4" s="373"/>
      <c r="D4" s="373"/>
      <c r="E4" s="374"/>
      <c r="F4" s="369" t="s">
        <v>187</v>
      </c>
      <c r="G4" s="370"/>
      <c r="H4" s="370"/>
      <c r="I4" s="371"/>
      <c r="J4" s="372" t="s">
        <v>188</v>
      </c>
      <c r="K4" s="373"/>
      <c r="L4" s="373"/>
      <c r="M4" s="374"/>
      <c r="N4" s="369" t="s">
        <v>189</v>
      </c>
      <c r="O4" s="370"/>
      <c r="P4" s="370"/>
      <c r="Q4" s="371"/>
    </row>
    <row r="5" spans="1:17" ht="14.4" customHeight="1" thickBot="1" x14ac:dyDescent="0.35">
      <c r="A5" s="481" t="s">
        <v>181</v>
      </c>
      <c r="B5" s="482" t="s">
        <v>183</v>
      </c>
      <c r="C5" s="482" t="s">
        <v>184</v>
      </c>
      <c r="D5" s="482" t="s">
        <v>185</v>
      </c>
      <c r="E5" s="483" t="s">
        <v>186</v>
      </c>
      <c r="F5" s="484" t="s">
        <v>183</v>
      </c>
      <c r="G5" s="485" t="s">
        <v>184</v>
      </c>
      <c r="H5" s="485" t="s">
        <v>185</v>
      </c>
      <c r="I5" s="486" t="s">
        <v>186</v>
      </c>
      <c r="J5" s="482" t="s">
        <v>183</v>
      </c>
      <c r="K5" s="482" t="s">
        <v>184</v>
      </c>
      <c r="L5" s="482" t="s">
        <v>185</v>
      </c>
      <c r="M5" s="483" t="s">
        <v>186</v>
      </c>
      <c r="N5" s="484" t="s">
        <v>183</v>
      </c>
      <c r="O5" s="485" t="s">
        <v>184</v>
      </c>
      <c r="P5" s="485" t="s">
        <v>185</v>
      </c>
      <c r="Q5" s="486" t="s">
        <v>186</v>
      </c>
    </row>
    <row r="6" spans="1:17" ht="14.4" customHeight="1" x14ac:dyDescent="0.3">
      <c r="A6" s="489" t="s">
        <v>555</v>
      </c>
      <c r="B6" s="493"/>
      <c r="C6" s="441"/>
      <c r="D6" s="441"/>
      <c r="E6" s="442"/>
      <c r="F6" s="491"/>
      <c r="G6" s="462"/>
      <c r="H6" s="462"/>
      <c r="I6" s="495"/>
      <c r="J6" s="493"/>
      <c r="K6" s="441"/>
      <c r="L6" s="441"/>
      <c r="M6" s="442"/>
      <c r="N6" s="491"/>
      <c r="O6" s="462"/>
      <c r="P6" s="462"/>
      <c r="Q6" s="487"/>
    </row>
    <row r="7" spans="1:17" ht="14.4" customHeight="1" thickBot="1" x14ac:dyDescent="0.35">
      <c r="A7" s="490" t="s">
        <v>556</v>
      </c>
      <c r="B7" s="494">
        <v>625</v>
      </c>
      <c r="C7" s="455"/>
      <c r="D7" s="455"/>
      <c r="E7" s="456"/>
      <c r="F7" s="492">
        <v>1</v>
      </c>
      <c r="G7" s="463">
        <v>0</v>
      </c>
      <c r="H7" s="463">
        <v>0</v>
      </c>
      <c r="I7" s="496">
        <v>0</v>
      </c>
      <c r="J7" s="494">
        <v>106</v>
      </c>
      <c r="K7" s="455"/>
      <c r="L7" s="455"/>
      <c r="M7" s="456"/>
      <c r="N7" s="492">
        <v>1</v>
      </c>
      <c r="O7" s="463">
        <v>0</v>
      </c>
      <c r="P7" s="463">
        <v>0</v>
      </c>
      <c r="Q7" s="48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0" customWidth="1"/>
    <col min="2" max="2" width="61.109375" style="190" customWidth="1"/>
    <col min="3" max="3" width="9.5546875" style="114" hidden="1" customWidth="1" outlineLevel="1"/>
    <col min="4" max="4" width="9.5546875" style="191" customWidth="1" collapsed="1"/>
    <col min="5" max="5" width="2.21875" style="191" customWidth="1"/>
    <col min="6" max="6" width="9.5546875" style="192" customWidth="1"/>
    <col min="7" max="7" width="9.5546875" style="189" customWidth="1"/>
    <col min="8" max="9" width="9.5546875" style="114" customWidth="1"/>
    <col min="10" max="10" width="0" style="114" hidden="1" customWidth="1"/>
    <col min="11" max="16384" width="8.88671875" style="114"/>
  </cols>
  <sheetData>
    <row r="1" spans="1:10" ht="18.600000000000001" customHeight="1" thickBot="1" x14ac:dyDescent="0.4">
      <c r="A1" s="350" t="s">
        <v>119</v>
      </c>
      <c r="B1" s="351"/>
      <c r="C1" s="351"/>
      <c r="D1" s="351"/>
      <c r="E1" s="351"/>
      <c r="F1" s="351"/>
      <c r="G1" s="321"/>
      <c r="H1" s="352"/>
      <c r="I1" s="352"/>
    </row>
    <row r="2" spans="1:10" ht="14.4" customHeight="1" thickBot="1" x14ac:dyDescent="0.35">
      <c r="A2" s="210" t="s">
        <v>233</v>
      </c>
      <c r="B2" s="188"/>
      <c r="C2" s="188"/>
      <c r="D2" s="188"/>
      <c r="E2" s="188"/>
      <c r="F2" s="188"/>
    </row>
    <row r="3" spans="1:10" ht="14.4" customHeight="1" thickBot="1" x14ac:dyDescent="0.35">
      <c r="A3" s="210"/>
      <c r="B3" s="291"/>
      <c r="C3" s="254">
        <v>2015</v>
      </c>
      <c r="D3" s="255">
        <v>2016</v>
      </c>
      <c r="E3" s="7"/>
      <c r="F3" s="329">
        <v>2017</v>
      </c>
      <c r="G3" s="347"/>
      <c r="H3" s="347"/>
      <c r="I3" s="330"/>
    </row>
    <row r="4" spans="1:10" ht="14.4" customHeight="1" thickBot="1" x14ac:dyDescent="0.35">
      <c r="A4" s="259" t="s">
        <v>0</v>
      </c>
      <c r="B4" s="260" t="s">
        <v>179</v>
      </c>
      <c r="C4" s="348" t="s">
        <v>60</v>
      </c>
      <c r="D4" s="349"/>
      <c r="E4" s="261"/>
      <c r="F4" s="256" t="s">
        <v>60</v>
      </c>
      <c r="G4" s="257" t="s">
        <v>61</v>
      </c>
      <c r="H4" s="257" t="s">
        <v>55</v>
      </c>
      <c r="I4" s="258" t="s">
        <v>62</v>
      </c>
    </row>
    <row r="5" spans="1:10" ht="14.4" customHeight="1" x14ac:dyDescent="0.3">
      <c r="A5" s="423" t="s">
        <v>417</v>
      </c>
      <c r="B5" s="424" t="s">
        <v>418</v>
      </c>
      <c r="C5" s="425" t="s">
        <v>419</v>
      </c>
      <c r="D5" s="425" t="s">
        <v>419</v>
      </c>
      <c r="E5" s="425"/>
      <c r="F5" s="425" t="s">
        <v>419</v>
      </c>
      <c r="G5" s="425" t="s">
        <v>419</v>
      </c>
      <c r="H5" s="425" t="s">
        <v>419</v>
      </c>
      <c r="I5" s="426" t="s">
        <v>419</v>
      </c>
      <c r="J5" s="427" t="s">
        <v>56</v>
      </c>
    </row>
    <row r="6" spans="1:10" ht="14.4" customHeight="1" x14ac:dyDescent="0.3">
      <c r="A6" s="423" t="s">
        <v>417</v>
      </c>
      <c r="B6" s="424" t="s">
        <v>557</v>
      </c>
      <c r="C6" s="425">
        <v>0</v>
      </c>
      <c r="D6" s="425">
        <v>0.86099999999999999</v>
      </c>
      <c r="E6" s="425"/>
      <c r="F6" s="425">
        <v>0.47286</v>
      </c>
      <c r="G6" s="425">
        <v>0.66666668701171872</v>
      </c>
      <c r="H6" s="425">
        <v>-0.19380668701171871</v>
      </c>
      <c r="I6" s="426">
        <v>0.70928997835418772</v>
      </c>
      <c r="J6" s="427" t="s">
        <v>1</v>
      </c>
    </row>
    <row r="7" spans="1:10" ht="14.4" customHeight="1" x14ac:dyDescent="0.3">
      <c r="A7" s="423" t="s">
        <v>417</v>
      </c>
      <c r="B7" s="424" t="s">
        <v>558</v>
      </c>
      <c r="C7" s="425">
        <v>42.03511000000001</v>
      </c>
      <c r="D7" s="425">
        <v>35.93021000000001</v>
      </c>
      <c r="E7" s="425"/>
      <c r="F7" s="425">
        <v>41.529139999999998</v>
      </c>
      <c r="G7" s="425">
        <v>41.333332031250002</v>
      </c>
      <c r="H7" s="425">
        <v>0.19580796874999606</v>
      </c>
      <c r="I7" s="426">
        <v>1.0047372897157663</v>
      </c>
      <c r="J7" s="427" t="s">
        <v>1</v>
      </c>
    </row>
    <row r="8" spans="1:10" ht="14.4" customHeight="1" x14ac:dyDescent="0.3">
      <c r="A8" s="423" t="s">
        <v>417</v>
      </c>
      <c r="B8" s="424" t="s">
        <v>559</v>
      </c>
      <c r="C8" s="425">
        <v>46.132619999999996</v>
      </c>
      <c r="D8" s="425">
        <v>61.777569999999997</v>
      </c>
      <c r="E8" s="425"/>
      <c r="F8" s="425">
        <v>43.056229999999985</v>
      </c>
      <c r="G8" s="425">
        <v>60</v>
      </c>
      <c r="H8" s="425">
        <v>-16.943770000000015</v>
      </c>
      <c r="I8" s="426">
        <v>0.71760383333333311</v>
      </c>
      <c r="J8" s="427" t="s">
        <v>1</v>
      </c>
    </row>
    <row r="9" spans="1:10" ht="14.4" customHeight="1" x14ac:dyDescent="0.3">
      <c r="A9" s="423" t="s">
        <v>417</v>
      </c>
      <c r="B9" s="424" t="s">
        <v>560</v>
      </c>
      <c r="C9" s="425">
        <v>43.906639999999996</v>
      </c>
      <c r="D9" s="425">
        <v>44.587420000000009</v>
      </c>
      <c r="E9" s="425"/>
      <c r="F9" s="425">
        <v>55.887720000000002</v>
      </c>
      <c r="G9" s="425">
        <v>50</v>
      </c>
      <c r="H9" s="425">
        <v>5.8877200000000016</v>
      </c>
      <c r="I9" s="426">
        <v>1.1177543999999999</v>
      </c>
      <c r="J9" s="427" t="s">
        <v>1</v>
      </c>
    </row>
    <row r="10" spans="1:10" ht="14.4" customHeight="1" x14ac:dyDescent="0.3">
      <c r="A10" s="423" t="s">
        <v>417</v>
      </c>
      <c r="B10" s="424" t="s">
        <v>561</v>
      </c>
      <c r="C10" s="425">
        <v>4.2087999999999992</v>
      </c>
      <c r="D10" s="425">
        <v>4.431</v>
      </c>
      <c r="E10" s="425"/>
      <c r="F10" s="425">
        <v>5.5312000000000001</v>
      </c>
      <c r="G10" s="425">
        <v>4</v>
      </c>
      <c r="H10" s="425">
        <v>1.5312000000000001</v>
      </c>
      <c r="I10" s="426">
        <v>1.3828</v>
      </c>
      <c r="J10" s="427" t="s">
        <v>1</v>
      </c>
    </row>
    <row r="11" spans="1:10" ht="14.4" customHeight="1" x14ac:dyDescent="0.3">
      <c r="A11" s="423" t="s">
        <v>417</v>
      </c>
      <c r="B11" s="424" t="s">
        <v>562</v>
      </c>
      <c r="C11" s="425">
        <v>122.70574999999998</v>
      </c>
      <c r="D11" s="425">
        <v>111.78520000000003</v>
      </c>
      <c r="E11" s="425"/>
      <c r="F11" s="425">
        <v>108.20406999999999</v>
      </c>
      <c r="G11" s="425">
        <v>120</v>
      </c>
      <c r="H11" s="425">
        <v>-11.795930000000013</v>
      </c>
      <c r="I11" s="426">
        <v>0.90170058333333325</v>
      </c>
      <c r="J11" s="427" t="s">
        <v>1</v>
      </c>
    </row>
    <row r="12" spans="1:10" ht="14.4" customHeight="1" x14ac:dyDescent="0.3">
      <c r="A12" s="423" t="s">
        <v>417</v>
      </c>
      <c r="B12" s="424" t="s">
        <v>563</v>
      </c>
      <c r="C12" s="425">
        <v>7.4749999999999997E-2</v>
      </c>
      <c r="D12" s="425">
        <v>1.5469499999999998</v>
      </c>
      <c r="E12" s="425"/>
      <c r="F12" s="425">
        <v>0.17189000000000002</v>
      </c>
      <c r="G12" s="425">
        <v>3.3333332519531251</v>
      </c>
      <c r="H12" s="425">
        <v>-3.1614432519531253</v>
      </c>
      <c r="I12" s="426">
        <v>5.1567001258959994E-2</v>
      </c>
      <c r="J12" s="427" t="s">
        <v>1</v>
      </c>
    </row>
    <row r="13" spans="1:10" ht="14.4" customHeight="1" x14ac:dyDescent="0.3">
      <c r="A13" s="423" t="s">
        <v>417</v>
      </c>
      <c r="B13" s="424" t="s">
        <v>564</v>
      </c>
      <c r="C13" s="425">
        <v>2042.8698200000001</v>
      </c>
      <c r="D13" s="425">
        <v>2029.5277999999996</v>
      </c>
      <c r="E13" s="425"/>
      <c r="F13" s="425">
        <v>2007.6954000000005</v>
      </c>
      <c r="G13" s="425">
        <v>2266.53325</v>
      </c>
      <c r="H13" s="425">
        <v>-258.83784999999943</v>
      </c>
      <c r="I13" s="426">
        <v>0.88580010904318329</v>
      </c>
      <c r="J13" s="427" t="s">
        <v>1</v>
      </c>
    </row>
    <row r="14" spans="1:10" ht="14.4" customHeight="1" x14ac:dyDescent="0.3">
      <c r="A14" s="423" t="s">
        <v>417</v>
      </c>
      <c r="B14" s="424" t="s">
        <v>424</v>
      </c>
      <c r="C14" s="425">
        <v>2301.9334899999999</v>
      </c>
      <c r="D14" s="425">
        <v>2290.4471499999995</v>
      </c>
      <c r="E14" s="425"/>
      <c r="F14" s="425">
        <v>2262.5485100000005</v>
      </c>
      <c r="G14" s="425">
        <v>2545.8665819702146</v>
      </c>
      <c r="H14" s="425">
        <v>-283.31807197021408</v>
      </c>
      <c r="I14" s="426">
        <v>0.88871448567781675</v>
      </c>
      <c r="J14" s="427" t="s">
        <v>425</v>
      </c>
    </row>
    <row r="16" spans="1:10" ht="14.4" customHeight="1" x14ac:dyDescent="0.3">
      <c r="A16" s="423" t="s">
        <v>417</v>
      </c>
      <c r="B16" s="424" t="s">
        <v>418</v>
      </c>
      <c r="C16" s="425" t="s">
        <v>419</v>
      </c>
      <c r="D16" s="425" t="s">
        <v>419</v>
      </c>
      <c r="E16" s="425"/>
      <c r="F16" s="425" t="s">
        <v>419</v>
      </c>
      <c r="G16" s="425" t="s">
        <v>419</v>
      </c>
      <c r="H16" s="425" t="s">
        <v>419</v>
      </c>
      <c r="I16" s="426" t="s">
        <v>419</v>
      </c>
      <c r="J16" s="427" t="s">
        <v>56</v>
      </c>
    </row>
    <row r="17" spans="1:10" ht="14.4" customHeight="1" x14ac:dyDescent="0.3">
      <c r="A17" s="423" t="s">
        <v>426</v>
      </c>
      <c r="B17" s="424" t="s">
        <v>427</v>
      </c>
      <c r="C17" s="425" t="s">
        <v>419</v>
      </c>
      <c r="D17" s="425" t="s">
        <v>419</v>
      </c>
      <c r="E17" s="425"/>
      <c r="F17" s="425" t="s">
        <v>419</v>
      </c>
      <c r="G17" s="425" t="s">
        <v>419</v>
      </c>
      <c r="H17" s="425" t="s">
        <v>419</v>
      </c>
      <c r="I17" s="426" t="s">
        <v>419</v>
      </c>
      <c r="J17" s="427" t="s">
        <v>0</v>
      </c>
    </row>
    <row r="18" spans="1:10" ht="14.4" customHeight="1" x14ac:dyDescent="0.3">
      <c r="A18" s="423" t="s">
        <v>426</v>
      </c>
      <c r="B18" s="424" t="s">
        <v>557</v>
      </c>
      <c r="C18" s="425">
        <v>0</v>
      </c>
      <c r="D18" s="425">
        <v>0.86099999999999999</v>
      </c>
      <c r="E18" s="425"/>
      <c r="F18" s="425">
        <v>0.47286</v>
      </c>
      <c r="G18" s="425">
        <v>1</v>
      </c>
      <c r="H18" s="425">
        <v>-0.52713999999999994</v>
      </c>
      <c r="I18" s="426">
        <v>0.47286</v>
      </c>
      <c r="J18" s="427" t="s">
        <v>1</v>
      </c>
    </row>
    <row r="19" spans="1:10" ht="14.4" customHeight="1" x14ac:dyDescent="0.3">
      <c r="A19" s="423" t="s">
        <v>426</v>
      </c>
      <c r="B19" s="424" t="s">
        <v>558</v>
      </c>
      <c r="C19" s="425">
        <v>42.03511000000001</v>
      </c>
      <c r="D19" s="425">
        <v>35.93021000000001</v>
      </c>
      <c r="E19" s="425"/>
      <c r="F19" s="425">
        <v>41.529139999999998</v>
      </c>
      <c r="G19" s="425">
        <v>41</v>
      </c>
      <c r="H19" s="425">
        <v>0.52913999999999817</v>
      </c>
      <c r="I19" s="426">
        <v>1.0129058536585365</v>
      </c>
      <c r="J19" s="427" t="s">
        <v>1</v>
      </c>
    </row>
    <row r="20" spans="1:10" ht="14.4" customHeight="1" x14ac:dyDescent="0.3">
      <c r="A20" s="423" t="s">
        <v>426</v>
      </c>
      <c r="B20" s="424" t="s">
        <v>559</v>
      </c>
      <c r="C20" s="425">
        <v>46.132619999999996</v>
      </c>
      <c r="D20" s="425">
        <v>61.777569999999997</v>
      </c>
      <c r="E20" s="425"/>
      <c r="F20" s="425">
        <v>43.056229999999985</v>
      </c>
      <c r="G20" s="425">
        <v>60</v>
      </c>
      <c r="H20" s="425">
        <v>-16.943770000000015</v>
      </c>
      <c r="I20" s="426">
        <v>0.71760383333333311</v>
      </c>
      <c r="J20" s="427" t="s">
        <v>1</v>
      </c>
    </row>
    <row r="21" spans="1:10" ht="14.4" customHeight="1" x14ac:dyDescent="0.3">
      <c r="A21" s="423" t="s">
        <v>426</v>
      </c>
      <c r="B21" s="424" t="s">
        <v>560</v>
      </c>
      <c r="C21" s="425">
        <v>43.906639999999996</v>
      </c>
      <c r="D21" s="425">
        <v>44.587420000000009</v>
      </c>
      <c r="E21" s="425"/>
      <c r="F21" s="425">
        <v>55.887720000000002</v>
      </c>
      <c r="G21" s="425">
        <v>50</v>
      </c>
      <c r="H21" s="425">
        <v>5.8877200000000016</v>
      </c>
      <c r="I21" s="426">
        <v>1.1177543999999999</v>
      </c>
      <c r="J21" s="427" t="s">
        <v>1</v>
      </c>
    </row>
    <row r="22" spans="1:10" ht="14.4" customHeight="1" x14ac:dyDescent="0.3">
      <c r="A22" s="423" t="s">
        <v>426</v>
      </c>
      <c r="B22" s="424" t="s">
        <v>561</v>
      </c>
      <c r="C22" s="425">
        <v>4.2087999999999992</v>
      </c>
      <c r="D22" s="425">
        <v>4.431</v>
      </c>
      <c r="E22" s="425"/>
      <c r="F22" s="425">
        <v>5.5312000000000001</v>
      </c>
      <c r="G22" s="425">
        <v>4</v>
      </c>
      <c r="H22" s="425">
        <v>1.5312000000000001</v>
      </c>
      <c r="I22" s="426">
        <v>1.3828</v>
      </c>
      <c r="J22" s="427" t="s">
        <v>1</v>
      </c>
    </row>
    <row r="23" spans="1:10" ht="14.4" customHeight="1" x14ac:dyDescent="0.3">
      <c r="A23" s="423" t="s">
        <v>426</v>
      </c>
      <c r="B23" s="424" t="s">
        <v>562</v>
      </c>
      <c r="C23" s="425">
        <v>122.70574999999998</v>
      </c>
      <c r="D23" s="425">
        <v>111.78520000000003</v>
      </c>
      <c r="E23" s="425"/>
      <c r="F23" s="425">
        <v>108.20406999999999</v>
      </c>
      <c r="G23" s="425">
        <v>120</v>
      </c>
      <c r="H23" s="425">
        <v>-11.795930000000013</v>
      </c>
      <c r="I23" s="426">
        <v>0.90170058333333325</v>
      </c>
      <c r="J23" s="427" t="s">
        <v>1</v>
      </c>
    </row>
    <row r="24" spans="1:10" ht="14.4" customHeight="1" x14ac:dyDescent="0.3">
      <c r="A24" s="423" t="s">
        <v>426</v>
      </c>
      <c r="B24" s="424" t="s">
        <v>563</v>
      </c>
      <c r="C24" s="425">
        <v>7.4749999999999997E-2</v>
      </c>
      <c r="D24" s="425">
        <v>1.5469499999999998</v>
      </c>
      <c r="E24" s="425"/>
      <c r="F24" s="425">
        <v>0.17189000000000002</v>
      </c>
      <c r="G24" s="425">
        <v>3</v>
      </c>
      <c r="H24" s="425">
        <v>-2.8281100000000001</v>
      </c>
      <c r="I24" s="426">
        <v>5.7296666666666669E-2</v>
      </c>
      <c r="J24" s="427" t="s">
        <v>1</v>
      </c>
    </row>
    <row r="25" spans="1:10" ht="14.4" customHeight="1" x14ac:dyDescent="0.3">
      <c r="A25" s="423" t="s">
        <v>426</v>
      </c>
      <c r="B25" s="424" t="s">
        <v>564</v>
      </c>
      <c r="C25" s="425">
        <v>2042.8698200000001</v>
      </c>
      <c r="D25" s="425">
        <v>2029.5277999999996</v>
      </c>
      <c r="E25" s="425"/>
      <c r="F25" s="425">
        <v>2007.6954000000005</v>
      </c>
      <c r="G25" s="425">
        <v>2267</v>
      </c>
      <c r="H25" s="425">
        <v>-259.30459999999948</v>
      </c>
      <c r="I25" s="426">
        <v>0.8856177326863699</v>
      </c>
      <c r="J25" s="427" t="s">
        <v>1</v>
      </c>
    </row>
    <row r="26" spans="1:10" ht="14.4" customHeight="1" x14ac:dyDescent="0.3">
      <c r="A26" s="423" t="s">
        <v>426</v>
      </c>
      <c r="B26" s="424" t="s">
        <v>428</v>
      </c>
      <c r="C26" s="425">
        <v>2301.9334899999999</v>
      </c>
      <c r="D26" s="425">
        <v>2290.4471499999995</v>
      </c>
      <c r="E26" s="425"/>
      <c r="F26" s="425">
        <v>2262.5485100000005</v>
      </c>
      <c r="G26" s="425">
        <v>2546</v>
      </c>
      <c r="H26" s="425">
        <v>-283.45148999999947</v>
      </c>
      <c r="I26" s="426">
        <v>0.8886679143754912</v>
      </c>
      <c r="J26" s="427" t="s">
        <v>429</v>
      </c>
    </row>
    <row r="27" spans="1:10" ht="14.4" customHeight="1" x14ac:dyDescent="0.3">
      <c r="A27" s="423" t="s">
        <v>419</v>
      </c>
      <c r="B27" s="424" t="s">
        <v>419</v>
      </c>
      <c r="C27" s="425" t="s">
        <v>419</v>
      </c>
      <c r="D27" s="425" t="s">
        <v>419</v>
      </c>
      <c r="E27" s="425"/>
      <c r="F27" s="425" t="s">
        <v>419</v>
      </c>
      <c r="G27" s="425" t="s">
        <v>419</v>
      </c>
      <c r="H27" s="425" t="s">
        <v>419</v>
      </c>
      <c r="I27" s="426" t="s">
        <v>419</v>
      </c>
      <c r="J27" s="427" t="s">
        <v>430</v>
      </c>
    </row>
    <row r="28" spans="1:10" ht="14.4" customHeight="1" x14ac:dyDescent="0.3">
      <c r="A28" s="423" t="s">
        <v>417</v>
      </c>
      <c r="B28" s="424" t="s">
        <v>424</v>
      </c>
      <c r="C28" s="425">
        <v>2301.9334899999999</v>
      </c>
      <c r="D28" s="425">
        <v>2290.4471499999995</v>
      </c>
      <c r="E28" s="425"/>
      <c r="F28" s="425">
        <v>2262.5485100000005</v>
      </c>
      <c r="G28" s="425">
        <v>2546</v>
      </c>
      <c r="H28" s="425">
        <v>-283.45148999999947</v>
      </c>
      <c r="I28" s="426">
        <v>0.8886679143754912</v>
      </c>
      <c r="J28" s="427" t="s">
        <v>425</v>
      </c>
    </row>
  </sheetData>
  <mergeCells count="3">
    <mergeCell ref="A1:I1"/>
    <mergeCell ref="F3:I3"/>
    <mergeCell ref="C4:D4"/>
  </mergeCells>
  <conditionalFormatting sqref="F15 F29:F65537">
    <cfRule type="cellIs" dxfId="26" priority="18" stopIfTrue="1" operator="greaterThan">
      <formula>1</formula>
    </cfRule>
  </conditionalFormatting>
  <conditionalFormatting sqref="H5:H14">
    <cfRule type="expression" dxfId="25" priority="14">
      <formula>$H5&gt;0</formula>
    </cfRule>
  </conditionalFormatting>
  <conditionalFormatting sqref="I5:I14">
    <cfRule type="expression" dxfId="24" priority="15">
      <formula>$I5&gt;1</formula>
    </cfRule>
  </conditionalFormatting>
  <conditionalFormatting sqref="B5:B14">
    <cfRule type="expression" dxfId="23" priority="11">
      <formula>OR($J5="NS",$J5="SumaNS",$J5="Účet")</formula>
    </cfRule>
  </conditionalFormatting>
  <conditionalFormatting sqref="F5:I14 B5:D14">
    <cfRule type="expression" dxfId="22" priority="17">
      <formula>AND($J5&lt;&gt;"",$J5&lt;&gt;"mezeraKL")</formula>
    </cfRule>
  </conditionalFormatting>
  <conditionalFormatting sqref="B5:D14 F5:I14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20" priority="13">
      <formula>OR($J5="SumaNS",$J5="NS")</formula>
    </cfRule>
  </conditionalFormatting>
  <conditionalFormatting sqref="A5:A14">
    <cfRule type="expression" dxfId="19" priority="9">
      <formula>AND($J5&lt;&gt;"mezeraKL",$J5&lt;&gt;"")</formula>
    </cfRule>
  </conditionalFormatting>
  <conditionalFormatting sqref="A5:A14">
    <cfRule type="expression" dxfId="18" priority="10">
      <formula>AND($J5&lt;&gt;"",$J5&lt;&gt;"mezeraKL")</formula>
    </cfRule>
  </conditionalFormatting>
  <conditionalFormatting sqref="H16:H28">
    <cfRule type="expression" dxfId="17" priority="6">
      <formula>$H16&gt;0</formula>
    </cfRule>
  </conditionalFormatting>
  <conditionalFormatting sqref="A16:A28">
    <cfRule type="expression" dxfId="16" priority="5">
      <formula>AND($J16&lt;&gt;"mezeraKL",$J16&lt;&gt;"")</formula>
    </cfRule>
  </conditionalFormatting>
  <conditionalFormatting sqref="I16:I28">
    <cfRule type="expression" dxfId="15" priority="7">
      <formula>$I16&gt;1</formula>
    </cfRule>
  </conditionalFormatting>
  <conditionalFormatting sqref="B16:B28">
    <cfRule type="expression" dxfId="14" priority="4">
      <formula>OR($J16="NS",$J16="SumaNS",$J16="Účet")</formula>
    </cfRule>
  </conditionalFormatting>
  <conditionalFormatting sqref="A16:D28 F16:I28">
    <cfRule type="expression" dxfId="13" priority="8">
      <formula>AND($J16&lt;&gt;"",$J16&lt;&gt;"mezeraKL")</formula>
    </cfRule>
  </conditionalFormatting>
  <conditionalFormatting sqref="B16:D28 F16:I28">
    <cfRule type="expression" dxfId="12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28 F16:I28">
    <cfRule type="expression" dxfId="11" priority="2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0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4" hidden="1" customWidth="1" outlineLevel="1"/>
    <col min="2" max="2" width="28.33203125" style="114" hidden="1" customWidth="1" outlineLevel="1"/>
    <col min="3" max="3" width="5.33203125" style="191" bestFit="1" customWidth="1" collapsed="1"/>
    <col min="4" max="4" width="18.77734375" style="195" customWidth="1"/>
    <col min="5" max="5" width="9" style="191" bestFit="1" customWidth="1"/>
    <col min="6" max="6" width="18.77734375" style="195" customWidth="1"/>
    <col min="7" max="7" width="12.44140625" style="191" hidden="1" customWidth="1" outlineLevel="1"/>
    <col min="8" max="8" width="25.77734375" style="191" customWidth="1" collapsed="1"/>
    <col min="9" max="9" width="7.77734375" style="189" customWidth="1"/>
    <col min="10" max="10" width="10" style="189" customWidth="1"/>
    <col min="11" max="11" width="11.109375" style="189" customWidth="1"/>
    <col min="12" max="16384" width="8.88671875" style="114"/>
  </cols>
  <sheetData>
    <row r="1" spans="1:11" ht="18.600000000000001" customHeight="1" thickBot="1" x14ac:dyDescent="0.4">
      <c r="A1" s="357" t="s">
        <v>1574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1" ht="14.4" customHeight="1" thickBot="1" x14ac:dyDescent="0.35">
      <c r="A2" s="210" t="s">
        <v>233</v>
      </c>
      <c r="B2" s="62"/>
      <c r="C2" s="193"/>
      <c r="D2" s="193"/>
      <c r="E2" s="193"/>
      <c r="F2" s="193"/>
      <c r="G2" s="193"/>
      <c r="H2" s="193"/>
      <c r="I2" s="194"/>
      <c r="J2" s="194"/>
      <c r="K2" s="194"/>
    </row>
    <row r="3" spans="1:11" ht="14.4" customHeight="1" thickBot="1" x14ac:dyDescent="0.35">
      <c r="A3" s="62"/>
      <c r="B3" s="62"/>
      <c r="C3" s="353"/>
      <c r="D3" s="354"/>
      <c r="E3" s="354"/>
      <c r="F3" s="354"/>
      <c r="G3" s="354"/>
      <c r="H3" s="126" t="s">
        <v>108</v>
      </c>
      <c r="I3" s="84">
        <f>IF(J3&lt;&gt;0,K3/J3,0)</f>
        <v>10.978539057189327</v>
      </c>
      <c r="J3" s="84">
        <f>SUBTOTAL(9,J5:J1048576)</f>
        <v>181484.99559998512</v>
      </c>
      <c r="K3" s="85">
        <f>SUBTOTAL(9,K5:K1048576)</f>
        <v>1992440.1124882698</v>
      </c>
    </row>
    <row r="4" spans="1:11" s="190" customFormat="1" ht="14.4" customHeight="1" thickBot="1" x14ac:dyDescent="0.35">
      <c r="A4" s="428" t="s">
        <v>4</v>
      </c>
      <c r="B4" s="429" t="s">
        <v>5</v>
      </c>
      <c r="C4" s="429" t="s">
        <v>0</v>
      </c>
      <c r="D4" s="429" t="s">
        <v>6</v>
      </c>
      <c r="E4" s="429" t="s">
        <v>7</v>
      </c>
      <c r="F4" s="429" t="s">
        <v>1</v>
      </c>
      <c r="G4" s="429" t="s">
        <v>58</v>
      </c>
      <c r="H4" s="431" t="s">
        <v>11</v>
      </c>
      <c r="I4" s="432" t="s">
        <v>122</v>
      </c>
      <c r="J4" s="432" t="s">
        <v>13</v>
      </c>
      <c r="K4" s="433" t="s">
        <v>133</v>
      </c>
    </row>
    <row r="5" spans="1:11" ht="14.4" customHeight="1" x14ac:dyDescent="0.3">
      <c r="A5" s="436" t="s">
        <v>417</v>
      </c>
      <c r="B5" s="437" t="s">
        <v>418</v>
      </c>
      <c r="C5" s="438" t="s">
        <v>426</v>
      </c>
      <c r="D5" s="439" t="s">
        <v>427</v>
      </c>
      <c r="E5" s="438" t="s">
        <v>565</v>
      </c>
      <c r="F5" s="439" t="s">
        <v>566</v>
      </c>
      <c r="G5" s="438" t="s">
        <v>567</v>
      </c>
      <c r="H5" s="438" t="s">
        <v>568</v>
      </c>
      <c r="I5" s="441">
        <v>30.25</v>
      </c>
      <c r="J5" s="441">
        <v>3</v>
      </c>
      <c r="K5" s="442">
        <v>90.75</v>
      </c>
    </row>
    <row r="6" spans="1:11" ht="14.4" customHeight="1" x14ac:dyDescent="0.3">
      <c r="A6" s="443" t="s">
        <v>417</v>
      </c>
      <c r="B6" s="444" t="s">
        <v>418</v>
      </c>
      <c r="C6" s="445" t="s">
        <v>426</v>
      </c>
      <c r="D6" s="446" t="s">
        <v>427</v>
      </c>
      <c r="E6" s="445" t="s">
        <v>565</v>
      </c>
      <c r="F6" s="446" t="s">
        <v>566</v>
      </c>
      <c r="G6" s="445" t="s">
        <v>569</v>
      </c>
      <c r="H6" s="445" t="s">
        <v>570</v>
      </c>
      <c r="I6" s="448">
        <v>13.310000419616699</v>
      </c>
      <c r="J6" s="448">
        <v>10</v>
      </c>
      <c r="K6" s="449">
        <v>133.11000061035156</v>
      </c>
    </row>
    <row r="7" spans="1:11" ht="14.4" customHeight="1" x14ac:dyDescent="0.3">
      <c r="A7" s="443" t="s">
        <v>417</v>
      </c>
      <c r="B7" s="444" t="s">
        <v>418</v>
      </c>
      <c r="C7" s="445" t="s">
        <v>426</v>
      </c>
      <c r="D7" s="446" t="s">
        <v>427</v>
      </c>
      <c r="E7" s="445" t="s">
        <v>565</v>
      </c>
      <c r="F7" s="446" t="s">
        <v>566</v>
      </c>
      <c r="G7" s="445" t="s">
        <v>571</v>
      </c>
      <c r="H7" s="445" t="s">
        <v>572</v>
      </c>
      <c r="I7" s="448">
        <v>83</v>
      </c>
      <c r="J7" s="448">
        <v>3</v>
      </c>
      <c r="K7" s="449">
        <v>249</v>
      </c>
    </row>
    <row r="8" spans="1:11" ht="14.4" customHeight="1" x14ac:dyDescent="0.3">
      <c r="A8" s="443" t="s">
        <v>417</v>
      </c>
      <c r="B8" s="444" t="s">
        <v>418</v>
      </c>
      <c r="C8" s="445" t="s">
        <v>426</v>
      </c>
      <c r="D8" s="446" t="s">
        <v>427</v>
      </c>
      <c r="E8" s="445" t="s">
        <v>573</v>
      </c>
      <c r="F8" s="446" t="s">
        <v>574</v>
      </c>
      <c r="G8" s="445" t="s">
        <v>575</v>
      </c>
      <c r="H8" s="445" t="s">
        <v>576</v>
      </c>
      <c r="I8" s="448">
        <v>5.2750000953674316</v>
      </c>
      <c r="J8" s="448">
        <v>90</v>
      </c>
      <c r="K8" s="449">
        <v>474.77000427246094</v>
      </c>
    </row>
    <row r="9" spans="1:11" ht="14.4" customHeight="1" x14ac:dyDescent="0.3">
      <c r="A9" s="443" t="s">
        <v>417</v>
      </c>
      <c r="B9" s="444" t="s">
        <v>418</v>
      </c>
      <c r="C9" s="445" t="s">
        <v>426</v>
      </c>
      <c r="D9" s="446" t="s">
        <v>427</v>
      </c>
      <c r="E9" s="445" t="s">
        <v>573</v>
      </c>
      <c r="F9" s="446" t="s">
        <v>574</v>
      </c>
      <c r="G9" s="445" t="s">
        <v>577</v>
      </c>
      <c r="H9" s="445" t="s">
        <v>578</v>
      </c>
      <c r="I9" s="448">
        <v>0.63999998569488525</v>
      </c>
      <c r="J9" s="448">
        <v>4000</v>
      </c>
      <c r="K9" s="449">
        <v>2553.0499877929687</v>
      </c>
    </row>
    <row r="10" spans="1:11" ht="14.4" customHeight="1" x14ac:dyDescent="0.3">
      <c r="A10" s="443" t="s">
        <v>417</v>
      </c>
      <c r="B10" s="444" t="s">
        <v>418</v>
      </c>
      <c r="C10" s="445" t="s">
        <v>426</v>
      </c>
      <c r="D10" s="446" t="s">
        <v>427</v>
      </c>
      <c r="E10" s="445" t="s">
        <v>573</v>
      </c>
      <c r="F10" s="446" t="s">
        <v>574</v>
      </c>
      <c r="G10" s="445" t="s">
        <v>579</v>
      </c>
      <c r="H10" s="445" t="s">
        <v>580</v>
      </c>
      <c r="I10" s="448">
        <v>0.58799997568130491</v>
      </c>
      <c r="J10" s="448">
        <v>17500</v>
      </c>
      <c r="K10" s="449">
        <v>10300</v>
      </c>
    </row>
    <row r="11" spans="1:11" ht="14.4" customHeight="1" x14ac:dyDescent="0.3">
      <c r="A11" s="443" t="s">
        <v>417</v>
      </c>
      <c r="B11" s="444" t="s">
        <v>418</v>
      </c>
      <c r="C11" s="445" t="s">
        <v>426</v>
      </c>
      <c r="D11" s="446" t="s">
        <v>427</v>
      </c>
      <c r="E11" s="445" t="s">
        <v>573</v>
      </c>
      <c r="F11" s="446" t="s">
        <v>574</v>
      </c>
      <c r="G11" s="445" t="s">
        <v>581</v>
      </c>
      <c r="H11" s="445" t="s">
        <v>582</v>
      </c>
      <c r="I11" s="448">
        <v>19.170000076293945</v>
      </c>
      <c r="J11" s="448">
        <v>150</v>
      </c>
      <c r="K11" s="449">
        <v>2875.9200439453125</v>
      </c>
    </row>
    <row r="12" spans="1:11" ht="14.4" customHeight="1" x14ac:dyDescent="0.3">
      <c r="A12" s="443" t="s">
        <v>417</v>
      </c>
      <c r="B12" s="444" t="s">
        <v>418</v>
      </c>
      <c r="C12" s="445" t="s">
        <v>426</v>
      </c>
      <c r="D12" s="446" t="s">
        <v>427</v>
      </c>
      <c r="E12" s="445" t="s">
        <v>573</v>
      </c>
      <c r="F12" s="446" t="s">
        <v>574</v>
      </c>
      <c r="G12" s="445" t="s">
        <v>583</v>
      </c>
      <c r="H12" s="445" t="s">
        <v>584</v>
      </c>
      <c r="I12" s="448">
        <v>98.284999847412109</v>
      </c>
      <c r="J12" s="448">
        <v>2</v>
      </c>
      <c r="K12" s="449">
        <v>196.56999969482422</v>
      </c>
    </row>
    <row r="13" spans="1:11" ht="14.4" customHeight="1" x14ac:dyDescent="0.3">
      <c r="A13" s="443" t="s">
        <v>417</v>
      </c>
      <c r="B13" s="444" t="s">
        <v>418</v>
      </c>
      <c r="C13" s="445" t="s">
        <v>426</v>
      </c>
      <c r="D13" s="446" t="s">
        <v>427</v>
      </c>
      <c r="E13" s="445" t="s">
        <v>573</v>
      </c>
      <c r="F13" s="446" t="s">
        <v>574</v>
      </c>
      <c r="G13" s="445" t="s">
        <v>585</v>
      </c>
      <c r="H13" s="445" t="s">
        <v>586</v>
      </c>
      <c r="I13" s="448">
        <v>1380</v>
      </c>
      <c r="J13" s="448">
        <v>1</v>
      </c>
      <c r="K13" s="449">
        <v>1380</v>
      </c>
    </row>
    <row r="14" spans="1:11" ht="14.4" customHeight="1" x14ac:dyDescent="0.3">
      <c r="A14" s="443" t="s">
        <v>417</v>
      </c>
      <c r="B14" s="444" t="s">
        <v>418</v>
      </c>
      <c r="C14" s="445" t="s">
        <v>426</v>
      </c>
      <c r="D14" s="446" t="s">
        <v>427</v>
      </c>
      <c r="E14" s="445" t="s">
        <v>573</v>
      </c>
      <c r="F14" s="446" t="s">
        <v>574</v>
      </c>
      <c r="G14" s="445" t="s">
        <v>587</v>
      </c>
      <c r="H14" s="445" t="s">
        <v>588</v>
      </c>
      <c r="I14" s="448">
        <v>16.780000686645508</v>
      </c>
      <c r="J14" s="448">
        <v>40</v>
      </c>
      <c r="K14" s="449">
        <v>671.03997802734375</v>
      </c>
    </row>
    <row r="15" spans="1:11" ht="14.4" customHeight="1" x14ac:dyDescent="0.3">
      <c r="A15" s="443" t="s">
        <v>417</v>
      </c>
      <c r="B15" s="444" t="s">
        <v>418</v>
      </c>
      <c r="C15" s="445" t="s">
        <v>426</v>
      </c>
      <c r="D15" s="446" t="s">
        <v>427</v>
      </c>
      <c r="E15" s="445" t="s">
        <v>573</v>
      </c>
      <c r="F15" s="446" t="s">
        <v>574</v>
      </c>
      <c r="G15" s="445" t="s">
        <v>589</v>
      </c>
      <c r="H15" s="445" t="s">
        <v>590</v>
      </c>
      <c r="I15" s="448">
        <v>5.2800002098083496</v>
      </c>
      <c r="J15" s="448">
        <v>10</v>
      </c>
      <c r="K15" s="449">
        <v>52.799999237060547</v>
      </c>
    </row>
    <row r="16" spans="1:11" ht="14.4" customHeight="1" x14ac:dyDescent="0.3">
      <c r="A16" s="443" t="s">
        <v>417</v>
      </c>
      <c r="B16" s="444" t="s">
        <v>418</v>
      </c>
      <c r="C16" s="445" t="s">
        <v>426</v>
      </c>
      <c r="D16" s="446" t="s">
        <v>427</v>
      </c>
      <c r="E16" s="445" t="s">
        <v>573</v>
      </c>
      <c r="F16" s="446" t="s">
        <v>574</v>
      </c>
      <c r="G16" s="445" t="s">
        <v>591</v>
      </c>
      <c r="H16" s="445" t="s">
        <v>592</v>
      </c>
      <c r="I16" s="448">
        <v>1265</v>
      </c>
      <c r="J16" s="448">
        <v>6</v>
      </c>
      <c r="K16" s="449">
        <v>7590</v>
      </c>
    </row>
    <row r="17" spans="1:11" ht="14.4" customHeight="1" x14ac:dyDescent="0.3">
      <c r="A17" s="443" t="s">
        <v>417</v>
      </c>
      <c r="B17" s="444" t="s">
        <v>418</v>
      </c>
      <c r="C17" s="445" t="s">
        <v>426</v>
      </c>
      <c r="D17" s="446" t="s">
        <v>427</v>
      </c>
      <c r="E17" s="445" t="s">
        <v>573</v>
      </c>
      <c r="F17" s="446" t="s">
        <v>574</v>
      </c>
      <c r="G17" s="445" t="s">
        <v>593</v>
      </c>
      <c r="H17" s="445" t="s">
        <v>594</v>
      </c>
      <c r="I17" s="448">
        <v>11.939999580383301</v>
      </c>
      <c r="J17" s="448">
        <v>25</v>
      </c>
      <c r="K17" s="449">
        <v>298.5</v>
      </c>
    </row>
    <row r="18" spans="1:11" ht="14.4" customHeight="1" x14ac:dyDescent="0.3">
      <c r="A18" s="443" t="s">
        <v>417</v>
      </c>
      <c r="B18" s="444" t="s">
        <v>418</v>
      </c>
      <c r="C18" s="445" t="s">
        <v>426</v>
      </c>
      <c r="D18" s="446" t="s">
        <v>427</v>
      </c>
      <c r="E18" s="445" t="s">
        <v>573</v>
      </c>
      <c r="F18" s="446" t="s">
        <v>574</v>
      </c>
      <c r="G18" s="445" t="s">
        <v>595</v>
      </c>
      <c r="H18" s="445" t="s">
        <v>596</v>
      </c>
      <c r="I18" s="448">
        <v>13.020000457763672</v>
      </c>
      <c r="J18" s="448">
        <v>10</v>
      </c>
      <c r="K18" s="449">
        <v>130.20000076293945</v>
      </c>
    </row>
    <row r="19" spans="1:11" ht="14.4" customHeight="1" x14ac:dyDescent="0.3">
      <c r="A19" s="443" t="s">
        <v>417</v>
      </c>
      <c r="B19" s="444" t="s">
        <v>418</v>
      </c>
      <c r="C19" s="445" t="s">
        <v>426</v>
      </c>
      <c r="D19" s="446" t="s">
        <v>427</v>
      </c>
      <c r="E19" s="445" t="s">
        <v>573</v>
      </c>
      <c r="F19" s="446" t="s">
        <v>574</v>
      </c>
      <c r="G19" s="445" t="s">
        <v>597</v>
      </c>
      <c r="H19" s="445" t="s">
        <v>598</v>
      </c>
      <c r="I19" s="448">
        <v>46</v>
      </c>
      <c r="J19" s="448">
        <v>1</v>
      </c>
      <c r="K19" s="449">
        <v>46</v>
      </c>
    </row>
    <row r="20" spans="1:11" ht="14.4" customHeight="1" x14ac:dyDescent="0.3">
      <c r="A20" s="443" t="s">
        <v>417</v>
      </c>
      <c r="B20" s="444" t="s">
        <v>418</v>
      </c>
      <c r="C20" s="445" t="s">
        <v>426</v>
      </c>
      <c r="D20" s="446" t="s">
        <v>427</v>
      </c>
      <c r="E20" s="445" t="s">
        <v>573</v>
      </c>
      <c r="F20" s="446" t="s">
        <v>574</v>
      </c>
      <c r="G20" s="445" t="s">
        <v>599</v>
      </c>
      <c r="H20" s="445" t="s">
        <v>600</v>
      </c>
      <c r="I20" s="448">
        <v>15.020000457763672</v>
      </c>
      <c r="J20" s="448">
        <v>24</v>
      </c>
      <c r="K20" s="449">
        <v>360.48001098632812</v>
      </c>
    </row>
    <row r="21" spans="1:11" ht="14.4" customHeight="1" x14ac:dyDescent="0.3">
      <c r="A21" s="443" t="s">
        <v>417</v>
      </c>
      <c r="B21" s="444" t="s">
        <v>418</v>
      </c>
      <c r="C21" s="445" t="s">
        <v>426</v>
      </c>
      <c r="D21" s="446" t="s">
        <v>427</v>
      </c>
      <c r="E21" s="445" t="s">
        <v>573</v>
      </c>
      <c r="F21" s="446" t="s">
        <v>574</v>
      </c>
      <c r="G21" s="445" t="s">
        <v>601</v>
      </c>
      <c r="H21" s="445" t="s">
        <v>602</v>
      </c>
      <c r="I21" s="448">
        <v>23.909999847412109</v>
      </c>
      <c r="J21" s="448">
        <v>2</v>
      </c>
      <c r="K21" s="449">
        <v>47.819999694824219</v>
      </c>
    </row>
    <row r="22" spans="1:11" ht="14.4" customHeight="1" x14ac:dyDescent="0.3">
      <c r="A22" s="443" t="s">
        <v>417</v>
      </c>
      <c r="B22" s="444" t="s">
        <v>418</v>
      </c>
      <c r="C22" s="445" t="s">
        <v>426</v>
      </c>
      <c r="D22" s="446" t="s">
        <v>427</v>
      </c>
      <c r="E22" s="445" t="s">
        <v>573</v>
      </c>
      <c r="F22" s="446" t="s">
        <v>574</v>
      </c>
      <c r="G22" s="445" t="s">
        <v>603</v>
      </c>
      <c r="H22" s="445" t="s">
        <v>604</v>
      </c>
      <c r="I22" s="448">
        <v>46.319999694824219</v>
      </c>
      <c r="J22" s="448">
        <v>6</v>
      </c>
      <c r="K22" s="449">
        <v>277.92001342773437</v>
      </c>
    </row>
    <row r="23" spans="1:11" ht="14.4" customHeight="1" x14ac:dyDescent="0.3">
      <c r="A23" s="443" t="s">
        <v>417</v>
      </c>
      <c r="B23" s="444" t="s">
        <v>418</v>
      </c>
      <c r="C23" s="445" t="s">
        <v>426</v>
      </c>
      <c r="D23" s="446" t="s">
        <v>427</v>
      </c>
      <c r="E23" s="445" t="s">
        <v>573</v>
      </c>
      <c r="F23" s="446" t="s">
        <v>574</v>
      </c>
      <c r="G23" s="445" t="s">
        <v>605</v>
      </c>
      <c r="H23" s="445" t="s">
        <v>606</v>
      </c>
      <c r="I23" s="448">
        <v>0.37999999523162842</v>
      </c>
      <c r="J23" s="448">
        <v>25</v>
      </c>
      <c r="K23" s="449">
        <v>9.5</v>
      </c>
    </row>
    <row r="24" spans="1:11" ht="14.4" customHeight="1" x14ac:dyDescent="0.3">
      <c r="A24" s="443" t="s">
        <v>417</v>
      </c>
      <c r="B24" s="444" t="s">
        <v>418</v>
      </c>
      <c r="C24" s="445" t="s">
        <v>426</v>
      </c>
      <c r="D24" s="446" t="s">
        <v>427</v>
      </c>
      <c r="E24" s="445" t="s">
        <v>573</v>
      </c>
      <c r="F24" s="446" t="s">
        <v>574</v>
      </c>
      <c r="G24" s="445" t="s">
        <v>607</v>
      </c>
      <c r="H24" s="445" t="s">
        <v>608</v>
      </c>
      <c r="I24" s="448">
        <v>6.929999828338623</v>
      </c>
      <c r="J24" s="448">
        <v>2</v>
      </c>
      <c r="K24" s="449">
        <v>13.859999656677246</v>
      </c>
    </row>
    <row r="25" spans="1:11" ht="14.4" customHeight="1" x14ac:dyDescent="0.3">
      <c r="A25" s="443" t="s">
        <v>417</v>
      </c>
      <c r="B25" s="444" t="s">
        <v>418</v>
      </c>
      <c r="C25" s="445" t="s">
        <v>426</v>
      </c>
      <c r="D25" s="446" t="s">
        <v>427</v>
      </c>
      <c r="E25" s="445" t="s">
        <v>573</v>
      </c>
      <c r="F25" s="446" t="s">
        <v>574</v>
      </c>
      <c r="G25" s="445" t="s">
        <v>609</v>
      </c>
      <c r="H25" s="445" t="s">
        <v>610</v>
      </c>
      <c r="I25" s="448">
        <v>52.330001831054688</v>
      </c>
      <c r="J25" s="448">
        <v>1</v>
      </c>
      <c r="K25" s="449">
        <v>52.330001831054688</v>
      </c>
    </row>
    <row r="26" spans="1:11" ht="14.4" customHeight="1" x14ac:dyDescent="0.3">
      <c r="A26" s="443" t="s">
        <v>417</v>
      </c>
      <c r="B26" s="444" t="s">
        <v>418</v>
      </c>
      <c r="C26" s="445" t="s">
        <v>426</v>
      </c>
      <c r="D26" s="446" t="s">
        <v>427</v>
      </c>
      <c r="E26" s="445" t="s">
        <v>573</v>
      </c>
      <c r="F26" s="446" t="s">
        <v>574</v>
      </c>
      <c r="G26" s="445" t="s">
        <v>611</v>
      </c>
      <c r="H26" s="445" t="s">
        <v>612</v>
      </c>
      <c r="I26" s="448">
        <v>1367.9974975585937</v>
      </c>
      <c r="J26" s="448">
        <v>4</v>
      </c>
      <c r="K26" s="449">
        <v>5471.989990234375</v>
      </c>
    </row>
    <row r="27" spans="1:11" ht="14.4" customHeight="1" x14ac:dyDescent="0.3">
      <c r="A27" s="443" t="s">
        <v>417</v>
      </c>
      <c r="B27" s="444" t="s">
        <v>418</v>
      </c>
      <c r="C27" s="445" t="s">
        <v>426</v>
      </c>
      <c r="D27" s="446" t="s">
        <v>427</v>
      </c>
      <c r="E27" s="445" t="s">
        <v>573</v>
      </c>
      <c r="F27" s="446" t="s">
        <v>574</v>
      </c>
      <c r="G27" s="445" t="s">
        <v>613</v>
      </c>
      <c r="H27" s="445" t="s">
        <v>614</v>
      </c>
      <c r="I27" s="448">
        <v>17.620000839233398</v>
      </c>
      <c r="J27" s="448">
        <v>3</v>
      </c>
      <c r="K27" s="449">
        <v>52.860002517700195</v>
      </c>
    </row>
    <row r="28" spans="1:11" ht="14.4" customHeight="1" x14ac:dyDescent="0.3">
      <c r="A28" s="443" t="s">
        <v>417</v>
      </c>
      <c r="B28" s="444" t="s">
        <v>418</v>
      </c>
      <c r="C28" s="445" t="s">
        <v>426</v>
      </c>
      <c r="D28" s="446" t="s">
        <v>427</v>
      </c>
      <c r="E28" s="445" t="s">
        <v>573</v>
      </c>
      <c r="F28" s="446" t="s">
        <v>574</v>
      </c>
      <c r="G28" s="445" t="s">
        <v>615</v>
      </c>
      <c r="H28" s="445" t="s">
        <v>616</v>
      </c>
      <c r="I28" s="448">
        <v>22.309999465942383</v>
      </c>
      <c r="J28" s="448">
        <v>4</v>
      </c>
      <c r="K28" s="449">
        <v>89.239997863769531</v>
      </c>
    </row>
    <row r="29" spans="1:11" ht="14.4" customHeight="1" x14ac:dyDescent="0.3">
      <c r="A29" s="443" t="s">
        <v>417</v>
      </c>
      <c r="B29" s="444" t="s">
        <v>418</v>
      </c>
      <c r="C29" s="445" t="s">
        <v>426</v>
      </c>
      <c r="D29" s="446" t="s">
        <v>427</v>
      </c>
      <c r="E29" s="445" t="s">
        <v>573</v>
      </c>
      <c r="F29" s="446" t="s">
        <v>574</v>
      </c>
      <c r="G29" s="445" t="s">
        <v>617</v>
      </c>
      <c r="H29" s="445" t="s">
        <v>618</v>
      </c>
      <c r="I29" s="448">
        <v>2.6800000667572021</v>
      </c>
      <c r="J29" s="448">
        <v>6</v>
      </c>
      <c r="K29" s="449">
        <v>16.079999923706055</v>
      </c>
    </row>
    <row r="30" spans="1:11" ht="14.4" customHeight="1" x14ac:dyDescent="0.3">
      <c r="A30" s="443" t="s">
        <v>417</v>
      </c>
      <c r="B30" s="444" t="s">
        <v>418</v>
      </c>
      <c r="C30" s="445" t="s">
        <v>426</v>
      </c>
      <c r="D30" s="446" t="s">
        <v>427</v>
      </c>
      <c r="E30" s="445" t="s">
        <v>573</v>
      </c>
      <c r="F30" s="446" t="s">
        <v>574</v>
      </c>
      <c r="G30" s="445" t="s">
        <v>619</v>
      </c>
      <c r="H30" s="445" t="s">
        <v>620</v>
      </c>
      <c r="I30" s="448">
        <v>10.119999885559082</v>
      </c>
      <c r="J30" s="448">
        <v>4</v>
      </c>
      <c r="K30" s="449">
        <v>40.479999542236328</v>
      </c>
    </row>
    <row r="31" spans="1:11" ht="14.4" customHeight="1" x14ac:dyDescent="0.3">
      <c r="A31" s="443" t="s">
        <v>417</v>
      </c>
      <c r="B31" s="444" t="s">
        <v>418</v>
      </c>
      <c r="C31" s="445" t="s">
        <v>426</v>
      </c>
      <c r="D31" s="446" t="s">
        <v>427</v>
      </c>
      <c r="E31" s="445" t="s">
        <v>573</v>
      </c>
      <c r="F31" s="446" t="s">
        <v>574</v>
      </c>
      <c r="G31" s="445" t="s">
        <v>621</v>
      </c>
      <c r="H31" s="445" t="s">
        <v>622</v>
      </c>
      <c r="I31" s="448">
        <v>1.9299999475479126</v>
      </c>
      <c r="J31" s="448">
        <v>300</v>
      </c>
      <c r="K31" s="449">
        <v>579.59999084472656</v>
      </c>
    </row>
    <row r="32" spans="1:11" ht="14.4" customHeight="1" x14ac:dyDescent="0.3">
      <c r="A32" s="443" t="s">
        <v>417</v>
      </c>
      <c r="B32" s="444" t="s">
        <v>418</v>
      </c>
      <c r="C32" s="445" t="s">
        <v>426</v>
      </c>
      <c r="D32" s="446" t="s">
        <v>427</v>
      </c>
      <c r="E32" s="445" t="s">
        <v>573</v>
      </c>
      <c r="F32" s="446" t="s">
        <v>574</v>
      </c>
      <c r="G32" s="445" t="s">
        <v>623</v>
      </c>
      <c r="H32" s="445" t="s">
        <v>624</v>
      </c>
      <c r="I32" s="448">
        <v>1.2100000381469727</v>
      </c>
      <c r="J32" s="448">
        <v>1000</v>
      </c>
      <c r="K32" s="449">
        <v>1210</v>
      </c>
    </row>
    <row r="33" spans="1:11" ht="14.4" customHeight="1" x14ac:dyDescent="0.3">
      <c r="A33" s="443" t="s">
        <v>417</v>
      </c>
      <c r="B33" s="444" t="s">
        <v>418</v>
      </c>
      <c r="C33" s="445" t="s">
        <v>426</v>
      </c>
      <c r="D33" s="446" t="s">
        <v>427</v>
      </c>
      <c r="E33" s="445" t="s">
        <v>573</v>
      </c>
      <c r="F33" s="446" t="s">
        <v>574</v>
      </c>
      <c r="G33" s="445" t="s">
        <v>625</v>
      </c>
      <c r="H33" s="445" t="s">
        <v>626</v>
      </c>
      <c r="I33" s="448">
        <v>0.18999999761581421</v>
      </c>
      <c r="J33" s="448">
        <v>6600</v>
      </c>
      <c r="K33" s="449">
        <v>1230.0499877929687</v>
      </c>
    </row>
    <row r="34" spans="1:11" ht="14.4" customHeight="1" x14ac:dyDescent="0.3">
      <c r="A34" s="443" t="s">
        <v>417</v>
      </c>
      <c r="B34" s="444" t="s">
        <v>418</v>
      </c>
      <c r="C34" s="445" t="s">
        <v>426</v>
      </c>
      <c r="D34" s="446" t="s">
        <v>427</v>
      </c>
      <c r="E34" s="445" t="s">
        <v>573</v>
      </c>
      <c r="F34" s="446" t="s">
        <v>574</v>
      </c>
      <c r="G34" s="445" t="s">
        <v>627</v>
      </c>
      <c r="H34" s="445" t="s">
        <v>628</v>
      </c>
      <c r="I34" s="448">
        <v>27.879999160766602</v>
      </c>
      <c r="J34" s="448">
        <v>60</v>
      </c>
      <c r="K34" s="449">
        <v>1672.7999877929687</v>
      </c>
    </row>
    <row r="35" spans="1:11" ht="14.4" customHeight="1" x14ac:dyDescent="0.3">
      <c r="A35" s="443" t="s">
        <v>417</v>
      </c>
      <c r="B35" s="444" t="s">
        <v>418</v>
      </c>
      <c r="C35" s="445" t="s">
        <v>426</v>
      </c>
      <c r="D35" s="446" t="s">
        <v>427</v>
      </c>
      <c r="E35" s="445" t="s">
        <v>573</v>
      </c>
      <c r="F35" s="446" t="s">
        <v>574</v>
      </c>
      <c r="G35" s="445" t="s">
        <v>629</v>
      </c>
      <c r="H35" s="445" t="s">
        <v>630</v>
      </c>
      <c r="I35" s="448">
        <v>28.739999771118164</v>
      </c>
      <c r="J35" s="448">
        <v>5</v>
      </c>
      <c r="K35" s="449">
        <v>143.69999694824219</v>
      </c>
    </row>
    <row r="36" spans="1:11" ht="14.4" customHeight="1" x14ac:dyDescent="0.3">
      <c r="A36" s="443" t="s">
        <v>417</v>
      </c>
      <c r="B36" s="444" t="s">
        <v>418</v>
      </c>
      <c r="C36" s="445" t="s">
        <v>426</v>
      </c>
      <c r="D36" s="446" t="s">
        <v>427</v>
      </c>
      <c r="E36" s="445" t="s">
        <v>573</v>
      </c>
      <c r="F36" s="446" t="s">
        <v>574</v>
      </c>
      <c r="G36" s="445" t="s">
        <v>631</v>
      </c>
      <c r="H36" s="445" t="s">
        <v>632</v>
      </c>
      <c r="I36" s="448">
        <v>9.7433331807454433</v>
      </c>
      <c r="J36" s="448">
        <v>6</v>
      </c>
      <c r="K36" s="449">
        <v>58.459999084472656</v>
      </c>
    </row>
    <row r="37" spans="1:11" ht="14.4" customHeight="1" x14ac:dyDescent="0.3">
      <c r="A37" s="443" t="s">
        <v>417</v>
      </c>
      <c r="B37" s="444" t="s">
        <v>418</v>
      </c>
      <c r="C37" s="445" t="s">
        <v>426</v>
      </c>
      <c r="D37" s="446" t="s">
        <v>427</v>
      </c>
      <c r="E37" s="445" t="s">
        <v>633</v>
      </c>
      <c r="F37" s="446" t="s">
        <v>634</v>
      </c>
      <c r="G37" s="445" t="s">
        <v>635</v>
      </c>
      <c r="H37" s="445" t="s">
        <v>636</v>
      </c>
      <c r="I37" s="448">
        <v>2.9000000953674316</v>
      </c>
      <c r="J37" s="448">
        <v>10</v>
      </c>
      <c r="K37" s="449">
        <v>29</v>
      </c>
    </row>
    <row r="38" spans="1:11" ht="14.4" customHeight="1" x14ac:dyDescent="0.3">
      <c r="A38" s="443" t="s">
        <v>417</v>
      </c>
      <c r="B38" s="444" t="s">
        <v>418</v>
      </c>
      <c r="C38" s="445" t="s">
        <v>426</v>
      </c>
      <c r="D38" s="446" t="s">
        <v>427</v>
      </c>
      <c r="E38" s="445" t="s">
        <v>633</v>
      </c>
      <c r="F38" s="446" t="s">
        <v>634</v>
      </c>
      <c r="G38" s="445" t="s">
        <v>637</v>
      </c>
      <c r="H38" s="445" t="s">
        <v>638</v>
      </c>
      <c r="I38" s="448">
        <v>2.9100000858306885</v>
      </c>
      <c r="J38" s="448">
        <v>10</v>
      </c>
      <c r="K38" s="449">
        <v>29.100000381469727</v>
      </c>
    </row>
    <row r="39" spans="1:11" ht="14.4" customHeight="1" x14ac:dyDescent="0.3">
      <c r="A39" s="443" t="s">
        <v>417</v>
      </c>
      <c r="B39" s="444" t="s">
        <v>418</v>
      </c>
      <c r="C39" s="445" t="s">
        <v>426</v>
      </c>
      <c r="D39" s="446" t="s">
        <v>427</v>
      </c>
      <c r="E39" s="445" t="s">
        <v>633</v>
      </c>
      <c r="F39" s="446" t="s">
        <v>634</v>
      </c>
      <c r="G39" s="445" t="s">
        <v>639</v>
      </c>
      <c r="H39" s="445" t="s">
        <v>640</v>
      </c>
      <c r="I39" s="448">
        <v>2.9000000953674316</v>
      </c>
      <c r="J39" s="448">
        <v>100</v>
      </c>
      <c r="K39" s="449">
        <v>290.39999389648437</v>
      </c>
    </row>
    <row r="40" spans="1:11" ht="14.4" customHeight="1" x14ac:dyDescent="0.3">
      <c r="A40" s="443" t="s">
        <v>417</v>
      </c>
      <c r="B40" s="444" t="s">
        <v>418</v>
      </c>
      <c r="C40" s="445" t="s">
        <v>426</v>
      </c>
      <c r="D40" s="446" t="s">
        <v>427</v>
      </c>
      <c r="E40" s="445" t="s">
        <v>633</v>
      </c>
      <c r="F40" s="446" t="s">
        <v>634</v>
      </c>
      <c r="G40" s="445" t="s">
        <v>641</v>
      </c>
      <c r="H40" s="445" t="s">
        <v>642</v>
      </c>
      <c r="I40" s="448">
        <v>2.9040000915527342</v>
      </c>
      <c r="J40" s="448">
        <v>900</v>
      </c>
      <c r="K40" s="449">
        <v>2613</v>
      </c>
    </row>
    <row r="41" spans="1:11" ht="14.4" customHeight="1" x14ac:dyDescent="0.3">
      <c r="A41" s="443" t="s">
        <v>417</v>
      </c>
      <c r="B41" s="444" t="s">
        <v>418</v>
      </c>
      <c r="C41" s="445" t="s">
        <v>426</v>
      </c>
      <c r="D41" s="446" t="s">
        <v>427</v>
      </c>
      <c r="E41" s="445" t="s">
        <v>633</v>
      </c>
      <c r="F41" s="446" t="s">
        <v>634</v>
      </c>
      <c r="G41" s="445" t="s">
        <v>643</v>
      </c>
      <c r="H41" s="445" t="s">
        <v>644</v>
      </c>
      <c r="I41" s="448">
        <v>96.800003051757813</v>
      </c>
      <c r="J41" s="448">
        <v>5</v>
      </c>
      <c r="K41" s="449">
        <v>484</v>
      </c>
    </row>
    <row r="42" spans="1:11" ht="14.4" customHeight="1" x14ac:dyDescent="0.3">
      <c r="A42" s="443" t="s">
        <v>417</v>
      </c>
      <c r="B42" s="444" t="s">
        <v>418</v>
      </c>
      <c r="C42" s="445" t="s">
        <v>426</v>
      </c>
      <c r="D42" s="446" t="s">
        <v>427</v>
      </c>
      <c r="E42" s="445" t="s">
        <v>633</v>
      </c>
      <c r="F42" s="446" t="s">
        <v>634</v>
      </c>
      <c r="G42" s="445" t="s">
        <v>645</v>
      </c>
      <c r="H42" s="445" t="s">
        <v>646</v>
      </c>
      <c r="I42" s="448">
        <v>33.880001068115234</v>
      </c>
      <c r="J42" s="448">
        <v>4</v>
      </c>
      <c r="K42" s="449">
        <v>135.52000427246094</v>
      </c>
    </row>
    <row r="43" spans="1:11" ht="14.4" customHeight="1" x14ac:dyDescent="0.3">
      <c r="A43" s="443" t="s">
        <v>417</v>
      </c>
      <c r="B43" s="444" t="s">
        <v>418</v>
      </c>
      <c r="C43" s="445" t="s">
        <v>426</v>
      </c>
      <c r="D43" s="446" t="s">
        <v>427</v>
      </c>
      <c r="E43" s="445" t="s">
        <v>633</v>
      </c>
      <c r="F43" s="446" t="s">
        <v>634</v>
      </c>
      <c r="G43" s="445" t="s">
        <v>647</v>
      </c>
      <c r="H43" s="445" t="s">
        <v>648</v>
      </c>
      <c r="I43" s="448">
        <v>3.4500000476837158</v>
      </c>
      <c r="J43" s="448">
        <v>40</v>
      </c>
      <c r="K43" s="449">
        <v>138</v>
      </c>
    </row>
    <row r="44" spans="1:11" ht="14.4" customHeight="1" x14ac:dyDescent="0.3">
      <c r="A44" s="443" t="s">
        <v>417</v>
      </c>
      <c r="B44" s="444" t="s">
        <v>418</v>
      </c>
      <c r="C44" s="445" t="s">
        <v>426</v>
      </c>
      <c r="D44" s="446" t="s">
        <v>427</v>
      </c>
      <c r="E44" s="445" t="s">
        <v>633</v>
      </c>
      <c r="F44" s="446" t="s">
        <v>634</v>
      </c>
      <c r="G44" s="445" t="s">
        <v>649</v>
      </c>
      <c r="H44" s="445" t="s">
        <v>650</v>
      </c>
      <c r="I44" s="448">
        <v>38.720001220703125</v>
      </c>
      <c r="J44" s="448">
        <v>2</v>
      </c>
      <c r="K44" s="449">
        <v>77.44000244140625</v>
      </c>
    </row>
    <row r="45" spans="1:11" ht="14.4" customHeight="1" x14ac:dyDescent="0.3">
      <c r="A45" s="443" t="s">
        <v>417</v>
      </c>
      <c r="B45" s="444" t="s">
        <v>418</v>
      </c>
      <c r="C45" s="445" t="s">
        <v>426</v>
      </c>
      <c r="D45" s="446" t="s">
        <v>427</v>
      </c>
      <c r="E45" s="445" t="s">
        <v>633</v>
      </c>
      <c r="F45" s="446" t="s">
        <v>634</v>
      </c>
      <c r="G45" s="445" t="s">
        <v>651</v>
      </c>
      <c r="H45" s="445" t="s">
        <v>652</v>
      </c>
      <c r="I45" s="448">
        <v>922.02001953125</v>
      </c>
      <c r="J45" s="448">
        <v>1</v>
      </c>
      <c r="K45" s="449">
        <v>922.02001953125</v>
      </c>
    </row>
    <row r="46" spans="1:11" ht="14.4" customHeight="1" x14ac:dyDescent="0.3">
      <c r="A46" s="443" t="s">
        <v>417</v>
      </c>
      <c r="B46" s="444" t="s">
        <v>418</v>
      </c>
      <c r="C46" s="445" t="s">
        <v>426</v>
      </c>
      <c r="D46" s="446" t="s">
        <v>427</v>
      </c>
      <c r="E46" s="445" t="s">
        <v>633</v>
      </c>
      <c r="F46" s="446" t="s">
        <v>634</v>
      </c>
      <c r="G46" s="445" t="s">
        <v>653</v>
      </c>
      <c r="H46" s="445" t="s">
        <v>654</v>
      </c>
      <c r="I46" s="448">
        <v>0.25</v>
      </c>
      <c r="J46" s="448">
        <v>200</v>
      </c>
      <c r="K46" s="449">
        <v>50</v>
      </c>
    </row>
    <row r="47" spans="1:11" ht="14.4" customHeight="1" x14ac:dyDescent="0.3">
      <c r="A47" s="443" t="s">
        <v>417</v>
      </c>
      <c r="B47" s="444" t="s">
        <v>418</v>
      </c>
      <c r="C47" s="445" t="s">
        <v>426</v>
      </c>
      <c r="D47" s="446" t="s">
        <v>427</v>
      </c>
      <c r="E47" s="445" t="s">
        <v>633</v>
      </c>
      <c r="F47" s="446" t="s">
        <v>634</v>
      </c>
      <c r="G47" s="445" t="s">
        <v>655</v>
      </c>
      <c r="H47" s="445" t="s">
        <v>656</v>
      </c>
      <c r="I47" s="448">
        <v>1.8400000333786011</v>
      </c>
      <c r="J47" s="448">
        <v>20</v>
      </c>
      <c r="K47" s="449">
        <v>36.799999237060547</v>
      </c>
    </row>
    <row r="48" spans="1:11" ht="14.4" customHeight="1" x14ac:dyDescent="0.3">
      <c r="A48" s="443" t="s">
        <v>417</v>
      </c>
      <c r="B48" s="444" t="s">
        <v>418</v>
      </c>
      <c r="C48" s="445" t="s">
        <v>426</v>
      </c>
      <c r="D48" s="446" t="s">
        <v>427</v>
      </c>
      <c r="E48" s="445" t="s">
        <v>633</v>
      </c>
      <c r="F48" s="446" t="s">
        <v>634</v>
      </c>
      <c r="G48" s="445" t="s">
        <v>657</v>
      </c>
      <c r="H48" s="445" t="s">
        <v>658</v>
      </c>
      <c r="I48" s="448">
        <v>5.380000114440918</v>
      </c>
      <c r="J48" s="448">
        <v>100</v>
      </c>
      <c r="K48" s="449">
        <v>538.45001220703125</v>
      </c>
    </row>
    <row r="49" spans="1:11" ht="14.4" customHeight="1" x14ac:dyDescent="0.3">
      <c r="A49" s="443" t="s">
        <v>417</v>
      </c>
      <c r="B49" s="444" t="s">
        <v>418</v>
      </c>
      <c r="C49" s="445" t="s">
        <v>426</v>
      </c>
      <c r="D49" s="446" t="s">
        <v>427</v>
      </c>
      <c r="E49" s="445" t="s">
        <v>633</v>
      </c>
      <c r="F49" s="446" t="s">
        <v>634</v>
      </c>
      <c r="G49" s="445" t="s">
        <v>659</v>
      </c>
      <c r="H49" s="445" t="s">
        <v>660</v>
      </c>
      <c r="I49" s="448">
        <v>11.739999771118164</v>
      </c>
      <c r="J49" s="448">
        <v>48</v>
      </c>
      <c r="K49" s="449">
        <v>563.52000427246094</v>
      </c>
    </row>
    <row r="50" spans="1:11" ht="14.4" customHeight="1" x14ac:dyDescent="0.3">
      <c r="A50" s="443" t="s">
        <v>417</v>
      </c>
      <c r="B50" s="444" t="s">
        <v>418</v>
      </c>
      <c r="C50" s="445" t="s">
        <v>426</v>
      </c>
      <c r="D50" s="446" t="s">
        <v>427</v>
      </c>
      <c r="E50" s="445" t="s">
        <v>633</v>
      </c>
      <c r="F50" s="446" t="s">
        <v>634</v>
      </c>
      <c r="G50" s="445" t="s">
        <v>661</v>
      </c>
      <c r="H50" s="445" t="s">
        <v>662</v>
      </c>
      <c r="I50" s="448">
        <v>13.310000419616699</v>
      </c>
      <c r="J50" s="448">
        <v>5</v>
      </c>
      <c r="K50" s="449">
        <v>66.550003051757812</v>
      </c>
    </row>
    <row r="51" spans="1:11" ht="14.4" customHeight="1" x14ac:dyDescent="0.3">
      <c r="A51" s="443" t="s">
        <v>417</v>
      </c>
      <c r="B51" s="444" t="s">
        <v>418</v>
      </c>
      <c r="C51" s="445" t="s">
        <v>426</v>
      </c>
      <c r="D51" s="446" t="s">
        <v>427</v>
      </c>
      <c r="E51" s="445" t="s">
        <v>633</v>
      </c>
      <c r="F51" s="446" t="s">
        <v>634</v>
      </c>
      <c r="G51" s="445" t="s">
        <v>663</v>
      </c>
      <c r="H51" s="445" t="s">
        <v>664</v>
      </c>
      <c r="I51" s="448">
        <v>66.550003051757812</v>
      </c>
      <c r="J51" s="448">
        <v>220</v>
      </c>
      <c r="K51" s="449">
        <v>14641</v>
      </c>
    </row>
    <row r="52" spans="1:11" ht="14.4" customHeight="1" x14ac:dyDescent="0.3">
      <c r="A52" s="443" t="s">
        <v>417</v>
      </c>
      <c r="B52" s="444" t="s">
        <v>418</v>
      </c>
      <c r="C52" s="445" t="s">
        <v>426</v>
      </c>
      <c r="D52" s="446" t="s">
        <v>427</v>
      </c>
      <c r="E52" s="445" t="s">
        <v>633</v>
      </c>
      <c r="F52" s="446" t="s">
        <v>634</v>
      </c>
      <c r="G52" s="445" t="s">
        <v>665</v>
      </c>
      <c r="H52" s="445" t="s">
        <v>666</v>
      </c>
      <c r="I52" s="448">
        <v>140.94999694824219</v>
      </c>
      <c r="J52" s="448">
        <v>1</v>
      </c>
      <c r="K52" s="449">
        <v>140.94999694824219</v>
      </c>
    </row>
    <row r="53" spans="1:11" ht="14.4" customHeight="1" x14ac:dyDescent="0.3">
      <c r="A53" s="443" t="s">
        <v>417</v>
      </c>
      <c r="B53" s="444" t="s">
        <v>418</v>
      </c>
      <c r="C53" s="445" t="s">
        <v>426</v>
      </c>
      <c r="D53" s="446" t="s">
        <v>427</v>
      </c>
      <c r="E53" s="445" t="s">
        <v>633</v>
      </c>
      <c r="F53" s="446" t="s">
        <v>634</v>
      </c>
      <c r="G53" s="445" t="s">
        <v>667</v>
      </c>
      <c r="H53" s="445" t="s">
        <v>668</v>
      </c>
      <c r="I53" s="448">
        <v>2.8599998950958252</v>
      </c>
      <c r="J53" s="448">
        <v>10</v>
      </c>
      <c r="K53" s="449">
        <v>28.600000381469727</v>
      </c>
    </row>
    <row r="54" spans="1:11" ht="14.4" customHeight="1" x14ac:dyDescent="0.3">
      <c r="A54" s="443" t="s">
        <v>417</v>
      </c>
      <c r="B54" s="444" t="s">
        <v>418</v>
      </c>
      <c r="C54" s="445" t="s">
        <v>426</v>
      </c>
      <c r="D54" s="446" t="s">
        <v>427</v>
      </c>
      <c r="E54" s="445" t="s">
        <v>633</v>
      </c>
      <c r="F54" s="446" t="s">
        <v>634</v>
      </c>
      <c r="G54" s="445" t="s">
        <v>669</v>
      </c>
      <c r="H54" s="445" t="s">
        <v>670</v>
      </c>
      <c r="I54" s="448">
        <v>1266.8699951171875</v>
      </c>
      <c r="J54" s="448">
        <v>2</v>
      </c>
      <c r="K54" s="449">
        <v>2533.739990234375</v>
      </c>
    </row>
    <row r="55" spans="1:11" ht="14.4" customHeight="1" x14ac:dyDescent="0.3">
      <c r="A55" s="443" t="s">
        <v>417</v>
      </c>
      <c r="B55" s="444" t="s">
        <v>418</v>
      </c>
      <c r="C55" s="445" t="s">
        <v>426</v>
      </c>
      <c r="D55" s="446" t="s">
        <v>427</v>
      </c>
      <c r="E55" s="445" t="s">
        <v>633</v>
      </c>
      <c r="F55" s="446" t="s">
        <v>634</v>
      </c>
      <c r="G55" s="445" t="s">
        <v>671</v>
      </c>
      <c r="H55" s="445" t="s">
        <v>672</v>
      </c>
      <c r="I55" s="448">
        <v>164.5</v>
      </c>
      <c r="J55" s="448">
        <v>2</v>
      </c>
      <c r="K55" s="449">
        <v>329</v>
      </c>
    </row>
    <row r="56" spans="1:11" ht="14.4" customHeight="1" x14ac:dyDescent="0.3">
      <c r="A56" s="443" t="s">
        <v>417</v>
      </c>
      <c r="B56" s="444" t="s">
        <v>418</v>
      </c>
      <c r="C56" s="445" t="s">
        <v>426</v>
      </c>
      <c r="D56" s="446" t="s">
        <v>427</v>
      </c>
      <c r="E56" s="445" t="s">
        <v>633</v>
      </c>
      <c r="F56" s="446" t="s">
        <v>634</v>
      </c>
      <c r="G56" s="445" t="s">
        <v>673</v>
      </c>
      <c r="H56" s="445" t="s">
        <v>674</v>
      </c>
      <c r="I56" s="448">
        <v>184.52999877929687</v>
      </c>
      <c r="J56" s="448">
        <v>2</v>
      </c>
      <c r="K56" s="449">
        <v>369.04998779296875</v>
      </c>
    </row>
    <row r="57" spans="1:11" ht="14.4" customHeight="1" x14ac:dyDescent="0.3">
      <c r="A57" s="443" t="s">
        <v>417</v>
      </c>
      <c r="B57" s="444" t="s">
        <v>418</v>
      </c>
      <c r="C57" s="445" t="s">
        <v>426</v>
      </c>
      <c r="D57" s="446" t="s">
        <v>427</v>
      </c>
      <c r="E57" s="445" t="s">
        <v>633</v>
      </c>
      <c r="F57" s="446" t="s">
        <v>634</v>
      </c>
      <c r="G57" s="445" t="s">
        <v>675</v>
      </c>
      <c r="H57" s="445" t="s">
        <v>676</v>
      </c>
      <c r="I57" s="448">
        <v>827.6400146484375</v>
      </c>
      <c r="J57" s="448">
        <v>2</v>
      </c>
      <c r="K57" s="449">
        <v>1655.280029296875</v>
      </c>
    </row>
    <row r="58" spans="1:11" ht="14.4" customHeight="1" x14ac:dyDescent="0.3">
      <c r="A58" s="443" t="s">
        <v>417</v>
      </c>
      <c r="B58" s="444" t="s">
        <v>418</v>
      </c>
      <c r="C58" s="445" t="s">
        <v>426</v>
      </c>
      <c r="D58" s="446" t="s">
        <v>427</v>
      </c>
      <c r="E58" s="445" t="s">
        <v>633</v>
      </c>
      <c r="F58" s="446" t="s">
        <v>634</v>
      </c>
      <c r="G58" s="445" t="s">
        <v>677</v>
      </c>
      <c r="H58" s="445" t="s">
        <v>678</v>
      </c>
      <c r="I58" s="448">
        <v>1.0900000333786011</v>
      </c>
      <c r="J58" s="448">
        <v>100</v>
      </c>
      <c r="K58" s="449">
        <v>109</v>
      </c>
    </row>
    <row r="59" spans="1:11" ht="14.4" customHeight="1" x14ac:dyDescent="0.3">
      <c r="A59" s="443" t="s">
        <v>417</v>
      </c>
      <c r="B59" s="444" t="s">
        <v>418</v>
      </c>
      <c r="C59" s="445" t="s">
        <v>426</v>
      </c>
      <c r="D59" s="446" t="s">
        <v>427</v>
      </c>
      <c r="E59" s="445" t="s">
        <v>633</v>
      </c>
      <c r="F59" s="446" t="s">
        <v>634</v>
      </c>
      <c r="G59" s="445" t="s">
        <v>679</v>
      </c>
      <c r="H59" s="445" t="s">
        <v>680</v>
      </c>
      <c r="I59" s="448">
        <v>0.47999998927116394</v>
      </c>
      <c r="J59" s="448">
        <v>3300</v>
      </c>
      <c r="K59" s="449">
        <v>1584</v>
      </c>
    </row>
    <row r="60" spans="1:11" ht="14.4" customHeight="1" x14ac:dyDescent="0.3">
      <c r="A60" s="443" t="s">
        <v>417</v>
      </c>
      <c r="B60" s="444" t="s">
        <v>418</v>
      </c>
      <c r="C60" s="445" t="s">
        <v>426</v>
      </c>
      <c r="D60" s="446" t="s">
        <v>427</v>
      </c>
      <c r="E60" s="445" t="s">
        <v>633</v>
      </c>
      <c r="F60" s="446" t="s">
        <v>634</v>
      </c>
      <c r="G60" s="445" t="s">
        <v>681</v>
      </c>
      <c r="H60" s="445" t="s">
        <v>682</v>
      </c>
      <c r="I60" s="448">
        <v>0.67000001668930054</v>
      </c>
      <c r="J60" s="448">
        <v>6400</v>
      </c>
      <c r="K60" s="449">
        <v>4288</v>
      </c>
    </row>
    <row r="61" spans="1:11" ht="14.4" customHeight="1" x14ac:dyDescent="0.3">
      <c r="A61" s="443" t="s">
        <v>417</v>
      </c>
      <c r="B61" s="444" t="s">
        <v>418</v>
      </c>
      <c r="C61" s="445" t="s">
        <v>426</v>
      </c>
      <c r="D61" s="446" t="s">
        <v>427</v>
      </c>
      <c r="E61" s="445" t="s">
        <v>633</v>
      </c>
      <c r="F61" s="446" t="s">
        <v>634</v>
      </c>
      <c r="G61" s="445" t="s">
        <v>683</v>
      </c>
      <c r="H61" s="445" t="s">
        <v>684</v>
      </c>
      <c r="I61" s="448">
        <v>6.309999942779541</v>
      </c>
      <c r="J61" s="448">
        <v>400</v>
      </c>
      <c r="K61" s="449">
        <v>2524.679931640625</v>
      </c>
    </row>
    <row r="62" spans="1:11" ht="14.4" customHeight="1" x14ac:dyDescent="0.3">
      <c r="A62" s="443" t="s">
        <v>417</v>
      </c>
      <c r="B62" s="444" t="s">
        <v>418</v>
      </c>
      <c r="C62" s="445" t="s">
        <v>426</v>
      </c>
      <c r="D62" s="446" t="s">
        <v>427</v>
      </c>
      <c r="E62" s="445" t="s">
        <v>633</v>
      </c>
      <c r="F62" s="446" t="s">
        <v>634</v>
      </c>
      <c r="G62" s="445" t="s">
        <v>685</v>
      </c>
      <c r="H62" s="445" t="s">
        <v>686</v>
      </c>
      <c r="I62" s="448">
        <v>42.349998474121094</v>
      </c>
      <c r="J62" s="448">
        <v>1</v>
      </c>
      <c r="K62" s="449">
        <v>42.349998474121094</v>
      </c>
    </row>
    <row r="63" spans="1:11" ht="14.4" customHeight="1" x14ac:dyDescent="0.3">
      <c r="A63" s="443" t="s">
        <v>417</v>
      </c>
      <c r="B63" s="444" t="s">
        <v>418</v>
      </c>
      <c r="C63" s="445" t="s">
        <v>426</v>
      </c>
      <c r="D63" s="446" t="s">
        <v>427</v>
      </c>
      <c r="E63" s="445" t="s">
        <v>633</v>
      </c>
      <c r="F63" s="446" t="s">
        <v>634</v>
      </c>
      <c r="G63" s="445" t="s">
        <v>687</v>
      </c>
      <c r="H63" s="445" t="s">
        <v>688</v>
      </c>
      <c r="I63" s="448">
        <v>173.63999938964844</v>
      </c>
      <c r="J63" s="448">
        <v>10</v>
      </c>
      <c r="K63" s="449">
        <v>1736.3499755859375</v>
      </c>
    </row>
    <row r="64" spans="1:11" ht="14.4" customHeight="1" x14ac:dyDescent="0.3">
      <c r="A64" s="443" t="s">
        <v>417</v>
      </c>
      <c r="B64" s="444" t="s">
        <v>418</v>
      </c>
      <c r="C64" s="445" t="s">
        <v>426</v>
      </c>
      <c r="D64" s="446" t="s">
        <v>427</v>
      </c>
      <c r="E64" s="445" t="s">
        <v>633</v>
      </c>
      <c r="F64" s="446" t="s">
        <v>634</v>
      </c>
      <c r="G64" s="445" t="s">
        <v>689</v>
      </c>
      <c r="H64" s="445" t="s">
        <v>690</v>
      </c>
      <c r="I64" s="448">
        <v>21.234999656677246</v>
      </c>
      <c r="J64" s="448">
        <v>100</v>
      </c>
      <c r="K64" s="449">
        <v>2123.5</v>
      </c>
    </row>
    <row r="65" spans="1:11" ht="14.4" customHeight="1" x14ac:dyDescent="0.3">
      <c r="A65" s="443" t="s">
        <v>417</v>
      </c>
      <c r="B65" s="444" t="s">
        <v>418</v>
      </c>
      <c r="C65" s="445" t="s">
        <v>426</v>
      </c>
      <c r="D65" s="446" t="s">
        <v>427</v>
      </c>
      <c r="E65" s="445" t="s">
        <v>691</v>
      </c>
      <c r="F65" s="446" t="s">
        <v>692</v>
      </c>
      <c r="G65" s="445" t="s">
        <v>693</v>
      </c>
      <c r="H65" s="445" t="s">
        <v>694</v>
      </c>
      <c r="I65" s="448">
        <v>26.569999694824219</v>
      </c>
      <c r="J65" s="448">
        <v>36</v>
      </c>
      <c r="K65" s="449">
        <v>956.34002685546875</v>
      </c>
    </row>
    <row r="66" spans="1:11" ht="14.4" customHeight="1" x14ac:dyDescent="0.3">
      <c r="A66" s="443" t="s">
        <v>417</v>
      </c>
      <c r="B66" s="444" t="s">
        <v>418</v>
      </c>
      <c r="C66" s="445" t="s">
        <v>426</v>
      </c>
      <c r="D66" s="446" t="s">
        <v>427</v>
      </c>
      <c r="E66" s="445" t="s">
        <v>691</v>
      </c>
      <c r="F66" s="446" t="s">
        <v>692</v>
      </c>
      <c r="G66" s="445" t="s">
        <v>695</v>
      </c>
      <c r="H66" s="445" t="s">
        <v>696</v>
      </c>
      <c r="I66" s="448">
        <v>86.669998168945313</v>
      </c>
      <c r="J66" s="448">
        <v>24</v>
      </c>
      <c r="K66" s="449">
        <v>2080</v>
      </c>
    </row>
    <row r="67" spans="1:11" ht="14.4" customHeight="1" x14ac:dyDescent="0.3">
      <c r="A67" s="443" t="s">
        <v>417</v>
      </c>
      <c r="B67" s="444" t="s">
        <v>418</v>
      </c>
      <c r="C67" s="445" t="s">
        <v>426</v>
      </c>
      <c r="D67" s="446" t="s">
        <v>427</v>
      </c>
      <c r="E67" s="445" t="s">
        <v>691</v>
      </c>
      <c r="F67" s="446" t="s">
        <v>692</v>
      </c>
      <c r="G67" s="445" t="s">
        <v>697</v>
      </c>
      <c r="H67" s="445" t="s">
        <v>698</v>
      </c>
      <c r="I67" s="448">
        <v>67.419998168945313</v>
      </c>
      <c r="J67" s="448">
        <v>72</v>
      </c>
      <c r="K67" s="449">
        <v>4854.3299560546875</v>
      </c>
    </row>
    <row r="68" spans="1:11" ht="14.4" customHeight="1" x14ac:dyDescent="0.3">
      <c r="A68" s="443" t="s">
        <v>417</v>
      </c>
      <c r="B68" s="444" t="s">
        <v>418</v>
      </c>
      <c r="C68" s="445" t="s">
        <v>426</v>
      </c>
      <c r="D68" s="446" t="s">
        <v>427</v>
      </c>
      <c r="E68" s="445" t="s">
        <v>691</v>
      </c>
      <c r="F68" s="446" t="s">
        <v>692</v>
      </c>
      <c r="G68" s="445" t="s">
        <v>699</v>
      </c>
      <c r="H68" s="445" t="s">
        <v>700</v>
      </c>
      <c r="I68" s="448">
        <v>65.400001525878906</v>
      </c>
      <c r="J68" s="448">
        <v>24</v>
      </c>
      <c r="K68" s="449">
        <v>1569.550048828125</v>
      </c>
    </row>
    <row r="69" spans="1:11" ht="14.4" customHeight="1" x14ac:dyDescent="0.3">
      <c r="A69" s="443" t="s">
        <v>417</v>
      </c>
      <c r="B69" s="444" t="s">
        <v>418</v>
      </c>
      <c r="C69" s="445" t="s">
        <v>426</v>
      </c>
      <c r="D69" s="446" t="s">
        <v>427</v>
      </c>
      <c r="E69" s="445" t="s">
        <v>691</v>
      </c>
      <c r="F69" s="446" t="s">
        <v>692</v>
      </c>
      <c r="G69" s="445" t="s">
        <v>701</v>
      </c>
      <c r="H69" s="445" t="s">
        <v>702</v>
      </c>
      <c r="I69" s="448">
        <v>72.69000244140625</v>
      </c>
      <c r="J69" s="448">
        <v>72</v>
      </c>
      <c r="K69" s="449">
        <v>5233.670166015625</v>
      </c>
    </row>
    <row r="70" spans="1:11" ht="14.4" customHeight="1" x14ac:dyDescent="0.3">
      <c r="A70" s="443" t="s">
        <v>417</v>
      </c>
      <c r="B70" s="444" t="s">
        <v>418</v>
      </c>
      <c r="C70" s="445" t="s">
        <v>426</v>
      </c>
      <c r="D70" s="446" t="s">
        <v>427</v>
      </c>
      <c r="E70" s="445" t="s">
        <v>691</v>
      </c>
      <c r="F70" s="446" t="s">
        <v>692</v>
      </c>
      <c r="G70" s="445" t="s">
        <v>703</v>
      </c>
      <c r="H70" s="445" t="s">
        <v>704</v>
      </c>
      <c r="I70" s="448">
        <v>60.380001068115234</v>
      </c>
      <c r="J70" s="448">
        <v>24</v>
      </c>
      <c r="K70" s="449">
        <v>1449</v>
      </c>
    </row>
    <row r="71" spans="1:11" ht="14.4" customHeight="1" x14ac:dyDescent="0.3">
      <c r="A71" s="443" t="s">
        <v>417</v>
      </c>
      <c r="B71" s="444" t="s">
        <v>418</v>
      </c>
      <c r="C71" s="445" t="s">
        <v>426</v>
      </c>
      <c r="D71" s="446" t="s">
        <v>427</v>
      </c>
      <c r="E71" s="445" t="s">
        <v>691</v>
      </c>
      <c r="F71" s="446" t="s">
        <v>692</v>
      </c>
      <c r="G71" s="445" t="s">
        <v>705</v>
      </c>
      <c r="H71" s="445" t="s">
        <v>706</v>
      </c>
      <c r="I71" s="448">
        <v>60.380001068115234</v>
      </c>
      <c r="J71" s="448">
        <v>24</v>
      </c>
      <c r="K71" s="449">
        <v>1449</v>
      </c>
    </row>
    <row r="72" spans="1:11" ht="14.4" customHeight="1" x14ac:dyDescent="0.3">
      <c r="A72" s="443" t="s">
        <v>417</v>
      </c>
      <c r="B72" s="444" t="s">
        <v>418</v>
      </c>
      <c r="C72" s="445" t="s">
        <v>426</v>
      </c>
      <c r="D72" s="446" t="s">
        <v>427</v>
      </c>
      <c r="E72" s="445" t="s">
        <v>691</v>
      </c>
      <c r="F72" s="446" t="s">
        <v>692</v>
      </c>
      <c r="G72" s="445" t="s">
        <v>707</v>
      </c>
      <c r="H72" s="445" t="s">
        <v>708</v>
      </c>
      <c r="I72" s="448">
        <v>60.930000305175781</v>
      </c>
      <c r="J72" s="448">
        <v>72</v>
      </c>
      <c r="K72" s="449">
        <v>4386.7998046875</v>
      </c>
    </row>
    <row r="73" spans="1:11" ht="14.4" customHeight="1" x14ac:dyDescent="0.3">
      <c r="A73" s="443" t="s">
        <v>417</v>
      </c>
      <c r="B73" s="444" t="s">
        <v>418</v>
      </c>
      <c r="C73" s="445" t="s">
        <v>426</v>
      </c>
      <c r="D73" s="446" t="s">
        <v>427</v>
      </c>
      <c r="E73" s="445" t="s">
        <v>691</v>
      </c>
      <c r="F73" s="446" t="s">
        <v>692</v>
      </c>
      <c r="G73" s="445" t="s">
        <v>709</v>
      </c>
      <c r="H73" s="445" t="s">
        <v>710</v>
      </c>
      <c r="I73" s="448">
        <v>91.889999389648438</v>
      </c>
      <c r="J73" s="448">
        <v>180</v>
      </c>
      <c r="K73" s="449">
        <v>16539.300537109375</v>
      </c>
    </row>
    <row r="74" spans="1:11" ht="14.4" customHeight="1" x14ac:dyDescent="0.3">
      <c r="A74" s="443" t="s">
        <v>417</v>
      </c>
      <c r="B74" s="444" t="s">
        <v>418</v>
      </c>
      <c r="C74" s="445" t="s">
        <v>426</v>
      </c>
      <c r="D74" s="446" t="s">
        <v>427</v>
      </c>
      <c r="E74" s="445" t="s">
        <v>691</v>
      </c>
      <c r="F74" s="446" t="s">
        <v>692</v>
      </c>
      <c r="G74" s="445" t="s">
        <v>711</v>
      </c>
      <c r="H74" s="445" t="s">
        <v>712</v>
      </c>
      <c r="I74" s="448">
        <v>44.439998626708984</v>
      </c>
      <c r="J74" s="448">
        <v>72</v>
      </c>
      <c r="K74" s="449">
        <v>3199.989990234375</v>
      </c>
    </row>
    <row r="75" spans="1:11" ht="14.4" customHeight="1" x14ac:dyDescent="0.3">
      <c r="A75" s="443" t="s">
        <v>417</v>
      </c>
      <c r="B75" s="444" t="s">
        <v>418</v>
      </c>
      <c r="C75" s="445" t="s">
        <v>426</v>
      </c>
      <c r="D75" s="446" t="s">
        <v>427</v>
      </c>
      <c r="E75" s="445" t="s">
        <v>691</v>
      </c>
      <c r="F75" s="446" t="s">
        <v>692</v>
      </c>
      <c r="G75" s="445" t="s">
        <v>713</v>
      </c>
      <c r="H75" s="445" t="s">
        <v>714</v>
      </c>
      <c r="I75" s="448">
        <v>42.099998474121094</v>
      </c>
      <c r="J75" s="448">
        <v>108</v>
      </c>
      <c r="K75" s="449">
        <v>4547.099853515625</v>
      </c>
    </row>
    <row r="76" spans="1:11" ht="14.4" customHeight="1" x14ac:dyDescent="0.3">
      <c r="A76" s="443" t="s">
        <v>417</v>
      </c>
      <c r="B76" s="444" t="s">
        <v>418</v>
      </c>
      <c r="C76" s="445" t="s">
        <v>426</v>
      </c>
      <c r="D76" s="446" t="s">
        <v>427</v>
      </c>
      <c r="E76" s="445" t="s">
        <v>691</v>
      </c>
      <c r="F76" s="446" t="s">
        <v>692</v>
      </c>
      <c r="G76" s="445" t="s">
        <v>715</v>
      </c>
      <c r="H76" s="445" t="s">
        <v>716</v>
      </c>
      <c r="I76" s="448">
        <v>41.290000915527344</v>
      </c>
      <c r="J76" s="448">
        <v>36</v>
      </c>
      <c r="K76" s="449">
        <v>1486.3800048828125</v>
      </c>
    </row>
    <row r="77" spans="1:11" ht="14.4" customHeight="1" x14ac:dyDescent="0.3">
      <c r="A77" s="443" t="s">
        <v>417</v>
      </c>
      <c r="B77" s="444" t="s">
        <v>418</v>
      </c>
      <c r="C77" s="445" t="s">
        <v>426</v>
      </c>
      <c r="D77" s="446" t="s">
        <v>427</v>
      </c>
      <c r="E77" s="445" t="s">
        <v>691</v>
      </c>
      <c r="F77" s="446" t="s">
        <v>692</v>
      </c>
      <c r="G77" s="445" t="s">
        <v>717</v>
      </c>
      <c r="H77" s="445" t="s">
        <v>718</v>
      </c>
      <c r="I77" s="448">
        <v>40.200000762939453</v>
      </c>
      <c r="J77" s="448">
        <v>144</v>
      </c>
      <c r="K77" s="449">
        <v>5788.64013671875</v>
      </c>
    </row>
    <row r="78" spans="1:11" ht="14.4" customHeight="1" x14ac:dyDescent="0.3">
      <c r="A78" s="443" t="s">
        <v>417</v>
      </c>
      <c r="B78" s="444" t="s">
        <v>418</v>
      </c>
      <c r="C78" s="445" t="s">
        <v>426</v>
      </c>
      <c r="D78" s="446" t="s">
        <v>427</v>
      </c>
      <c r="E78" s="445" t="s">
        <v>691</v>
      </c>
      <c r="F78" s="446" t="s">
        <v>692</v>
      </c>
      <c r="G78" s="445" t="s">
        <v>719</v>
      </c>
      <c r="H78" s="445" t="s">
        <v>720</v>
      </c>
      <c r="I78" s="448">
        <v>32.610000610351562</v>
      </c>
      <c r="J78" s="448">
        <v>72</v>
      </c>
      <c r="K78" s="449">
        <v>2347.6201171875</v>
      </c>
    </row>
    <row r="79" spans="1:11" ht="14.4" customHeight="1" x14ac:dyDescent="0.3">
      <c r="A79" s="443" t="s">
        <v>417</v>
      </c>
      <c r="B79" s="444" t="s">
        <v>418</v>
      </c>
      <c r="C79" s="445" t="s">
        <v>426</v>
      </c>
      <c r="D79" s="446" t="s">
        <v>427</v>
      </c>
      <c r="E79" s="445" t="s">
        <v>721</v>
      </c>
      <c r="F79" s="446" t="s">
        <v>722</v>
      </c>
      <c r="G79" s="445" t="s">
        <v>723</v>
      </c>
      <c r="H79" s="445" t="s">
        <v>724</v>
      </c>
      <c r="I79" s="448">
        <v>17.100000381469727</v>
      </c>
      <c r="J79" s="448">
        <v>20</v>
      </c>
      <c r="K79" s="449">
        <v>342</v>
      </c>
    </row>
    <row r="80" spans="1:11" ht="14.4" customHeight="1" x14ac:dyDescent="0.3">
      <c r="A80" s="443" t="s">
        <v>417</v>
      </c>
      <c r="B80" s="444" t="s">
        <v>418</v>
      </c>
      <c r="C80" s="445" t="s">
        <v>426</v>
      </c>
      <c r="D80" s="446" t="s">
        <v>427</v>
      </c>
      <c r="E80" s="445" t="s">
        <v>721</v>
      </c>
      <c r="F80" s="446" t="s">
        <v>722</v>
      </c>
      <c r="G80" s="445" t="s">
        <v>725</v>
      </c>
      <c r="H80" s="445" t="s">
        <v>726</v>
      </c>
      <c r="I80" s="448">
        <v>17.100000381469727</v>
      </c>
      <c r="J80" s="448">
        <v>20</v>
      </c>
      <c r="K80" s="449">
        <v>342</v>
      </c>
    </row>
    <row r="81" spans="1:11" ht="14.4" customHeight="1" x14ac:dyDescent="0.3">
      <c r="A81" s="443" t="s">
        <v>417</v>
      </c>
      <c r="B81" s="444" t="s">
        <v>418</v>
      </c>
      <c r="C81" s="445" t="s">
        <v>426</v>
      </c>
      <c r="D81" s="446" t="s">
        <v>427</v>
      </c>
      <c r="E81" s="445" t="s">
        <v>721</v>
      </c>
      <c r="F81" s="446" t="s">
        <v>722</v>
      </c>
      <c r="G81" s="445" t="s">
        <v>727</v>
      </c>
      <c r="H81" s="445" t="s">
        <v>728</v>
      </c>
      <c r="I81" s="448">
        <v>0.30000001192092896</v>
      </c>
      <c r="J81" s="448">
        <v>1000</v>
      </c>
      <c r="K81" s="449">
        <v>300</v>
      </c>
    </row>
    <row r="82" spans="1:11" ht="14.4" customHeight="1" x14ac:dyDescent="0.3">
      <c r="A82" s="443" t="s">
        <v>417</v>
      </c>
      <c r="B82" s="444" t="s">
        <v>418</v>
      </c>
      <c r="C82" s="445" t="s">
        <v>426</v>
      </c>
      <c r="D82" s="446" t="s">
        <v>427</v>
      </c>
      <c r="E82" s="445" t="s">
        <v>721</v>
      </c>
      <c r="F82" s="446" t="s">
        <v>722</v>
      </c>
      <c r="G82" s="445" t="s">
        <v>729</v>
      </c>
      <c r="H82" s="445" t="s">
        <v>730</v>
      </c>
      <c r="I82" s="448">
        <v>0.3033333420753479</v>
      </c>
      <c r="J82" s="448">
        <v>3000</v>
      </c>
      <c r="K82" s="449">
        <v>910</v>
      </c>
    </row>
    <row r="83" spans="1:11" ht="14.4" customHeight="1" x14ac:dyDescent="0.3">
      <c r="A83" s="443" t="s">
        <v>417</v>
      </c>
      <c r="B83" s="444" t="s">
        <v>418</v>
      </c>
      <c r="C83" s="445" t="s">
        <v>426</v>
      </c>
      <c r="D83" s="446" t="s">
        <v>427</v>
      </c>
      <c r="E83" s="445" t="s">
        <v>721</v>
      </c>
      <c r="F83" s="446" t="s">
        <v>722</v>
      </c>
      <c r="G83" s="445" t="s">
        <v>731</v>
      </c>
      <c r="H83" s="445" t="s">
        <v>732</v>
      </c>
      <c r="I83" s="448">
        <v>3.1700000762939453</v>
      </c>
      <c r="J83" s="448">
        <v>100</v>
      </c>
      <c r="K83" s="449">
        <v>316.79998779296875</v>
      </c>
    </row>
    <row r="84" spans="1:11" ht="14.4" customHeight="1" x14ac:dyDescent="0.3">
      <c r="A84" s="443" t="s">
        <v>417</v>
      </c>
      <c r="B84" s="444" t="s">
        <v>418</v>
      </c>
      <c r="C84" s="445" t="s">
        <v>426</v>
      </c>
      <c r="D84" s="446" t="s">
        <v>427</v>
      </c>
      <c r="E84" s="445" t="s">
        <v>721</v>
      </c>
      <c r="F84" s="446" t="s">
        <v>722</v>
      </c>
      <c r="G84" s="445" t="s">
        <v>733</v>
      </c>
      <c r="H84" s="445" t="s">
        <v>734</v>
      </c>
      <c r="I84" s="448">
        <v>3.1700000762939453</v>
      </c>
      <c r="J84" s="448">
        <v>200</v>
      </c>
      <c r="K84" s="449">
        <v>633.4000244140625</v>
      </c>
    </row>
    <row r="85" spans="1:11" ht="14.4" customHeight="1" x14ac:dyDescent="0.3">
      <c r="A85" s="443" t="s">
        <v>417</v>
      </c>
      <c r="B85" s="444" t="s">
        <v>418</v>
      </c>
      <c r="C85" s="445" t="s">
        <v>426</v>
      </c>
      <c r="D85" s="446" t="s">
        <v>427</v>
      </c>
      <c r="E85" s="445" t="s">
        <v>721</v>
      </c>
      <c r="F85" s="446" t="s">
        <v>722</v>
      </c>
      <c r="G85" s="445" t="s">
        <v>735</v>
      </c>
      <c r="H85" s="445" t="s">
        <v>736</v>
      </c>
      <c r="I85" s="448">
        <v>0.55166667699813843</v>
      </c>
      <c r="J85" s="448">
        <v>3600</v>
      </c>
      <c r="K85" s="449">
        <v>2075</v>
      </c>
    </row>
    <row r="86" spans="1:11" ht="14.4" customHeight="1" x14ac:dyDescent="0.3">
      <c r="A86" s="443" t="s">
        <v>417</v>
      </c>
      <c r="B86" s="444" t="s">
        <v>418</v>
      </c>
      <c r="C86" s="445" t="s">
        <v>426</v>
      </c>
      <c r="D86" s="446" t="s">
        <v>427</v>
      </c>
      <c r="E86" s="445" t="s">
        <v>737</v>
      </c>
      <c r="F86" s="446" t="s">
        <v>738</v>
      </c>
      <c r="G86" s="445" t="s">
        <v>739</v>
      </c>
      <c r="H86" s="445" t="s">
        <v>740</v>
      </c>
      <c r="I86" s="448">
        <v>1.2200000286102295</v>
      </c>
      <c r="J86" s="448">
        <v>3000</v>
      </c>
      <c r="K86" s="449">
        <v>3657.199951171875</v>
      </c>
    </row>
    <row r="87" spans="1:11" ht="14.4" customHeight="1" x14ac:dyDescent="0.3">
      <c r="A87" s="443" t="s">
        <v>417</v>
      </c>
      <c r="B87" s="444" t="s">
        <v>418</v>
      </c>
      <c r="C87" s="445" t="s">
        <v>426</v>
      </c>
      <c r="D87" s="446" t="s">
        <v>427</v>
      </c>
      <c r="E87" s="445" t="s">
        <v>737</v>
      </c>
      <c r="F87" s="446" t="s">
        <v>738</v>
      </c>
      <c r="G87" s="445" t="s">
        <v>741</v>
      </c>
      <c r="H87" s="445" t="s">
        <v>742</v>
      </c>
      <c r="I87" s="448">
        <v>0.93999999761581421</v>
      </c>
      <c r="J87" s="448">
        <v>2000</v>
      </c>
      <c r="K87" s="449">
        <v>1875.5</v>
      </c>
    </row>
    <row r="88" spans="1:11" ht="14.4" customHeight="1" x14ac:dyDescent="0.3">
      <c r="A88" s="443" t="s">
        <v>417</v>
      </c>
      <c r="B88" s="444" t="s">
        <v>418</v>
      </c>
      <c r="C88" s="445" t="s">
        <v>426</v>
      </c>
      <c r="D88" s="446" t="s">
        <v>427</v>
      </c>
      <c r="E88" s="445" t="s">
        <v>737</v>
      </c>
      <c r="F88" s="446" t="s">
        <v>738</v>
      </c>
      <c r="G88" s="445" t="s">
        <v>743</v>
      </c>
      <c r="H88" s="445" t="s">
        <v>744</v>
      </c>
      <c r="I88" s="448">
        <v>0.81000000238418579</v>
      </c>
      <c r="J88" s="448">
        <v>2000</v>
      </c>
      <c r="K88" s="449">
        <v>1614.0400390625</v>
      </c>
    </row>
    <row r="89" spans="1:11" ht="14.4" customHeight="1" x14ac:dyDescent="0.3">
      <c r="A89" s="443" t="s">
        <v>417</v>
      </c>
      <c r="B89" s="444" t="s">
        <v>418</v>
      </c>
      <c r="C89" s="445" t="s">
        <v>426</v>
      </c>
      <c r="D89" s="446" t="s">
        <v>427</v>
      </c>
      <c r="E89" s="445" t="s">
        <v>737</v>
      </c>
      <c r="F89" s="446" t="s">
        <v>738</v>
      </c>
      <c r="G89" s="445" t="s">
        <v>745</v>
      </c>
      <c r="H89" s="445" t="s">
        <v>746</v>
      </c>
      <c r="I89" s="448">
        <v>0.81999999284744263</v>
      </c>
      <c r="J89" s="448">
        <v>1000</v>
      </c>
      <c r="K89" s="449">
        <v>822.79998779296875</v>
      </c>
    </row>
    <row r="90" spans="1:11" ht="14.4" customHeight="1" x14ac:dyDescent="0.3">
      <c r="A90" s="443" t="s">
        <v>417</v>
      </c>
      <c r="B90" s="444" t="s">
        <v>418</v>
      </c>
      <c r="C90" s="445" t="s">
        <v>426</v>
      </c>
      <c r="D90" s="446" t="s">
        <v>427</v>
      </c>
      <c r="E90" s="445" t="s">
        <v>737</v>
      </c>
      <c r="F90" s="446" t="s">
        <v>738</v>
      </c>
      <c r="G90" s="445" t="s">
        <v>747</v>
      </c>
      <c r="H90" s="445" t="s">
        <v>748</v>
      </c>
      <c r="I90" s="448">
        <v>0.81999999284744263</v>
      </c>
      <c r="J90" s="448">
        <v>4000</v>
      </c>
      <c r="K90" s="449">
        <v>3291.010009765625</v>
      </c>
    </row>
    <row r="91" spans="1:11" ht="14.4" customHeight="1" x14ac:dyDescent="0.3">
      <c r="A91" s="443" t="s">
        <v>417</v>
      </c>
      <c r="B91" s="444" t="s">
        <v>418</v>
      </c>
      <c r="C91" s="445" t="s">
        <v>426</v>
      </c>
      <c r="D91" s="446" t="s">
        <v>427</v>
      </c>
      <c r="E91" s="445" t="s">
        <v>737</v>
      </c>
      <c r="F91" s="446" t="s">
        <v>738</v>
      </c>
      <c r="G91" s="445" t="s">
        <v>741</v>
      </c>
      <c r="H91" s="445" t="s">
        <v>749</v>
      </c>
      <c r="I91" s="448">
        <v>0.93999999761581421</v>
      </c>
      <c r="J91" s="448">
        <v>1000</v>
      </c>
      <c r="K91" s="449">
        <v>937.8499755859375</v>
      </c>
    </row>
    <row r="92" spans="1:11" ht="14.4" customHeight="1" x14ac:dyDescent="0.3">
      <c r="A92" s="443" t="s">
        <v>417</v>
      </c>
      <c r="B92" s="444" t="s">
        <v>418</v>
      </c>
      <c r="C92" s="445" t="s">
        <v>426</v>
      </c>
      <c r="D92" s="446" t="s">
        <v>427</v>
      </c>
      <c r="E92" s="445" t="s">
        <v>737</v>
      </c>
      <c r="F92" s="446" t="s">
        <v>738</v>
      </c>
      <c r="G92" s="445" t="s">
        <v>750</v>
      </c>
      <c r="H92" s="445" t="s">
        <v>751</v>
      </c>
      <c r="I92" s="448">
        <v>1.3300000429153442</v>
      </c>
      <c r="J92" s="448">
        <v>1000</v>
      </c>
      <c r="K92" s="449">
        <v>1331</v>
      </c>
    </row>
    <row r="93" spans="1:11" ht="14.4" customHeight="1" x14ac:dyDescent="0.3">
      <c r="A93" s="443" t="s">
        <v>417</v>
      </c>
      <c r="B93" s="444" t="s">
        <v>418</v>
      </c>
      <c r="C93" s="445" t="s">
        <v>426</v>
      </c>
      <c r="D93" s="446" t="s">
        <v>427</v>
      </c>
      <c r="E93" s="445" t="s">
        <v>737</v>
      </c>
      <c r="F93" s="446" t="s">
        <v>738</v>
      </c>
      <c r="G93" s="445" t="s">
        <v>752</v>
      </c>
      <c r="H93" s="445" t="s">
        <v>753</v>
      </c>
      <c r="I93" s="448">
        <v>0.68999999761581421</v>
      </c>
      <c r="J93" s="448">
        <v>18000</v>
      </c>
      <c r="K93" s="449">
        <v>12420</v>
      </c>
    </row>
    <row r="94" spans="1:11" ht="14.4" customHeight="1" x14ac:dyDescent="0.3">
      <c r="A94" s="443" t="s">
        <v>417</v>
      </c>
      <c r="B94" s="444" t="s">
        <v>418</v>
      </c>
      <c r="C94" s="445" t="s">
        <v>426</v>
      </c>
      <c r="D94" s="446" t="s">
        <v>427</v>
      </c>
      <c r="E94" s="445" t="s">
        <v>737</v>
      </c>
      <c r="F94" s="446" t="s">
        <v>738</v>
      </c>
      <c r="G94" s="445" t="s">
        <v>754</v>
      </c>
      <c r="H94" s="445" t="s">
        <v>755</v>
      </c>
      <c r="I94" s="448">
        <v>0.68999999761581421</v>
      </c>
      <c r="J94" s="448">
        <v>39000</v>
      </c>
      <c r="K94" s="449">
        <v>26910</v>
      </c>
    </row>
    <row r="95" spans="1:11" ht="14.4" customHeight="1" x14ac:dyDescent="0.3">
      <c r="A95" s="443" t="s">
        <v>417</v>
      </c>
      <c r="B95" s="444" t="s">
        <v>418</v>
      </c>
      <c r="C95" s="445" t="s">
        <v>426</v>
      </c>
      <c r="D95" s="446" t="s">
        <v>427</v>
      </c>
      <c r="E95" s="445" t="s">
        <v>737</v>
      </c>
      <c r="F95" s="446" t="s">
        <v>738</v>
      </c>
      <c r="G95" s="445" t="s">
        <v>756</v>
      </c>
      <c r="H95" s="445" t="s">
        <v>757</v>
      </c>
      <c r="I95" s="448">
        <v>0.68999999761581421</v>
      </c>
      <c r="J95" s="448">
        <v>38000</v>
      </c>
      <c r="K95" s="449">
        <v>26220</v>
      </c>
    </row>
    <row r="96" spans="1:11" ht="14.4" customHeight="1" x14ac:dyDescent="0.3">
      <c r="A96" s="443" t="s">
        <v>417</v>
      </c>
      <c r="B96" s="444" t="s">
        <v>418</v>
      </c>
      <c r="C96" s="445" t="s">
        <v>426</v>
      </c>
      <c r="D96" s="446" t="s">
        <v>427</v>
      </c>
      <c r="E96" s="445" t="s">
        <v>737</v>
      </c>
      <c r="F96" s="446" t="s">
        <v>738</v>
      </c>
      <c r="G96" s="445" t="s">
        <v>758</v>
      </c>
      <c r="H96" s="445" t="s">
        <v>759</v>
      </c>
      <c r="I96" s="448">
        <v>0.68999999761581421</v>
      </c>
      <c r="J96" s="448">
        <v>1080</v>
      </c>
      <c r="K96" s="449">
        <v>745.19998168945312</v>
      </c>
    </row>
    <row r="97" spans="1:11" ht="14.4" customHeight="1" x14ac:dyDescent="0.3">
      <c r="A97" s="443" t="s">
        <v>417</v>
      </c>
      <c r="B97" s="444" t="s">
        <v>418</v>
      </c>
      <c r="C97" s="445" t="s">
        <v>426</v>
      </c>
      <c r="D97" s="446" t="s">
        <v>427</v>
      </c>
      <c r="E97" s="445" t="s">
        <v>737</v>
      </c>
      <c r="F97" s="446" t="s">
        <v>738</v>
      </c>
      <c r="G97" s="445" t="s">
        <v>760</v>
      </c>
      <c r="H97" s="445" t="s">
        <v>761</v>
      </c>
      <c r="I97" s="448">
        <v>1.8999999761581421</v>
      </c>
      <c r="J97" s="448">
        <v>2400</v>
      </c>
      <c r="K97" s="449">
        <v>4559.2799072265625</v>
      </c>
    </row>
    <row r="98" spans="1:11" ht="14.4" customHeight="1" x14ac:dyDescent="0.3">
      <c r="A98" s="443" t="s">
        <v>417</v>
      </c>
      <c r="B98" s="444" t="s">
        <v>418</v>
      </c>
      <c r="C98" s="445" t="s">
        <v>426</v>
      </c>
      <c r="D98" s="446" t="s">
        <v>427</v>
      </c>
      <c r="E98" s="445" t="s">
        <v>737</v>
      </c>
      <c r="F98" s="446" t="s">
        <v>738</v>
      </c>
      <c r="G98" s="445" t="s">
        <v>762</v>
      </c>
      <c r="H98" s="445" t="s">
        <v>763</v>
      </c>
      <c r="I98" s="448">
        <v>11.149999618530273</v>
      </c>
      <c r="J98" s="448">
        <v>50</v>
      </c>
      <c r="K98" s="449">
        <v>557.5</v>
      </c>
    </row>
    <row r="99" spans="1:11" ht="14.4" customHeight="1" x14ac:dyDescent="0.3">
      <c r="A99" s="443" t="s">
        <v>417</v>
      </c>
      <c r="B99" s="444" t="s">
        <v>418</v>
      </c>
      <c r="C99" s="445" t="s">
        <v>426</v>
      </c>
      <c r="D99" s="446" t="s">
        <v>427</v>
      </c>
      <c r="E99" s="445" t="s">
        <v>737</v>
      </c>
      <c r="F99" s="446" t="s">
        <v>738</v>
      </c>
      <c r="G99" s="445" t="s">
        <v>764</v>
      </c>
      <c r="H99" s="445" t="s">
        <v>765</v>
      </c>
      <c r="I99" s="448">
        <v>9.4399995803833008</v>
      </c>
      <c r="J99" s="448">
        <v>50</v>
      </c>
      <c r="K99" s="449">
        <v>472</v>
      </c>
    </row>
    <row r="100" spans="1:11" ht="14.4" customHeight="1" x14ac:dyDescent="0.3">
      <c r="A100" s="443" t="s">
        <v>417</v>
      </c>
      <c r="B100" s="444" t="s">
        <v>418</v>
      </c>
      <c r="C100" s="445" t="s">
        <v>426</v>
      </c>
      <c r="D100" s="446" t="s">
        <v>427</v>
      </c>
      <c r="E100" s="445" t="s">
        <v>737</v>
      </c>
      <c r="F100" s="446" t="s">
        <v>738</v>
      </c>
      <c r="G100" s="445" t="s">
        <v>766</v>
      </c>
      <c r="H100" s="445" t="s">
        <v>767</v>
      </c>
      <c r="I100" s="448">
        <v>7.5</v>
      </c>
      <c r="J100" s="448">
        <v>100</v>
      </c>
      <c r="K100" s="449">
        <v>750</v>
      </c>
    </row>
    <row r="101" spans="1:11" ht="14.4" customHeight="1" x14ac:dyDescent="0.3">
      <c r="A101" s="443" t="s">
        <v>417</v>
      </c>
      <c r="B101" s="444" t="s">
        <v>418</v>
      </c>
      <c r="C101" s="445" t="s">
        <v>426</v>
      </c>
      <c r="D101" s="446" t="s">
        <v>427</v>
      </c>
      <c r="E101" s="445" t="s">
        <v>737</v>
      </c>
      <c r="F101" s="446" t="s">
        <v>738</v>
      </c>
      <c r="G101" s="445" t="s">
        <v>768</v>
      </c>
      <c r="H101" s="445" t="s">
        <v>769</v>
      </c>
      <c r="I101" s="448">
        <v>7.5</v>
      </c>
      <c r="J101" s="448">
        <v>100</v>
      </c>
      <c r="K101" s="449">
        <v>750</v>
      </c>
    </row>
    <row r="102" spans="1:11" ht="14.4" customHeight="1" x14ac:dyDescent="0.3">
      <c r="A102" s="443" t="s">
        <v>417</v>
      </c>
      <c r="B102" s="444" t="s">
        <v>418</v>
      </c>
      <c r="C102" s="445" t="s">
        <v>426</v>
      </c>
      <c r="D102" s="446" t="s">
        <v>427</v>
      </c>
      <c r="E102" s="445" t="s">
        <v>737</v>
      </c>
      <c r="F102" s="446" t="s">
        <v>738</v>
      </c>
      <c r="G102" s="445" t="s">
        <v>770</v>
      </c>
      <c r="H102" s="445" t="s">
        <v>771</v>
      </c>
      <c r="I102" s="448">
        <v>7.5100002288818359</v>
      </c>
      <c r="J102" s="448">
        <v>50</v>
      </c>
      <c r="K102" s="449">
        <v>375.5</v>
      </c>
    </row>
    <row r="103" spans="1:11" ht="14.4" customHeight="1" x14ac:dyDescent="0.3">
      <c r="A103" s="443" t="s">
        <v>417</v>
      </c>
      <c r="B103" s="444" t="s">
        <v>418</v>
      </c>
      <c r="C103" s="445" t="s">
        <v>426</v>
      </c>
      <c r="D103" s="446" t="s">
        <v>427</v>
      </c>
      <c r="E103" s="445" t="s">
        <v>737</v>
      </c>
      <c r="F103" s="446" t="s">
        <v>738</v>
      </c>
      <c r="G103" s="445" t="s">
        <v>772</v>
      </c>
      <c r="H103" s="445" t="s">
        <v>773</v>
      </c>
      <c r="I103" s="448">
        <v>7.5</v>
      </c>
      <c r="J103" s="448">
        <v>200</v>
      </c>
      <c r="K103" s="449">
        <v>1500</v>
      </c>
    </row>
    <row r="104" spans="1:11" ht="14.4" customHeight="1" x14ac:dyDescent="0.3">
      <c r="A104" s="443" t="s">
        <v>417</v>
      </c>
      <c r="B104" s="444" t="s">
        <v>418</v>
      </c>
      <c r="C104" s="445" t="s">
        <v>426</v>
      </c>
      <c r="D104" s="446" t="s">
        <v>427</v>
      </c>
      <c r="E104" s="445" t="s">
        <v>737</v>
      </c>
      <c r="F104" s="446" t="s">
        <v>738</v>
      </c>
      <c r="G104" s="445" t="s">
        <v>774</v>
      </c>
      <c r="H104" s="445" t="s">
        <v>775</v>
      </c>
      <c r="I104" s="448">
        <v>6.2399997711181641</v>
      </c>
      <c r="J104" s="448">
        <v>140</v>
      </c>
      <c r="K104" s="449">
        <v>873.5999755859375</v>
      </c>
    </row>
    <row r="105" spans="1:11" ht="14.4" customHeight="1" x14ac:dyDescent="0.3">
      <c r="A105" s="443" t="s">
        <v>417</v>
      </c>
      <c r="B105" s="444" t="s">
        <v>418</v>
      </c>
      <c r="C105" s="445" t="s">
        <v>426</v>
      </c>
      <c r="D105" s="446" t="s">
        <v>427</v>
      </c>
      <c r="E105" s="445" t="s">
        <v>737</v>
      </c>
      <c r="F105" s="446" t="s">
        <v>738</v>
      </c>
      <c r="G105" s="445" t="s">
        <v>776</v>
      </c>
      <c r="H105" s="445" t="s">
        <v>777</v>
      </c>
      <c r="I105" s="448">
        <v>6.2399997711181641</v>
      </c>
      <c r="J105" s="448">
        <v>140</v>
      </c>
      <c r="K105" s="449">
        <v>873.5999755859375</v>
      </c>
    </row>
    <row r="106" spans="1:11" ht="14.4" customHeight="1" x14ac:dyDescent="0.3">
      <c r="A106" s="443" t="s">
        <v>417</v>
      </c>
      <c r="B106" s="444" t="s">
        <v>418</v>
      </c>
      <c r="C106" s="445" t="s">
        <v>426</v>
      </c>
      <c r="D106" s="446" t="s">
        <v>427</v>
      </c>
      <c r="E106" s="445" t="s">
        <v>737</v>
      </c>
      <c r="F106" s="446" t="s">
        <v>738</v>
      </c>
      <c r="G106" s="445" t="s">
        <v>778</v>
      </c>
      <c r="H106" s="445" t="s">
        <v>779</v>
      </c>
      <c r="I106" s="448">
        <v>6.2399997711181641</v>
      </c>
      <c r="J106" s="448">
        <v>140</v>
      </c>
      <c r="K106" s="449">
        <v>873.5999755859375</v>
      </c>
    </row>
    <row r="107" spans="1:11" ht="14.4" customHeight="1" x14ac:dyDescent="0.3">
      <c r="A107" s="443" t="s">
        <v>417</v>
      </c>
      <c r="B107" s="444" t="s">
        <v>418</v>
      </c>
      <c r="C107" s="445" t="s">
        <v>426</v>
      </c>
      <c r="D107" s="446" t="s">
        <v>427</v>
      </c>
      <c r="E107" s="445" t="s">
        <v>737</v>
      </c>
      <c r="F107" s="446" t="s">
        <v>738</v>
      </c>
      <c r="G107" s="445" t="s">
        <v>780</v>
      </c>
      <c r="H107" s="445" t="s">
        <v>781</v>
      </c>
      <c r="I107" s="448">
        <v>0.74000000953674316</v>
      </c>
      <c r="J107" s="448">
        <v>300</v>
      </c>
      <c r="K107" s="449">
        <v>221.42999267578125</v>
      </c>
    </row>
    <row r="108" spans="1:11" ht="14.4" customHeight="1" x14ac:dyDescent="0.3">
      <c r="A108" s="443" t="s">
        <v>417</v>
      </c>
      <c r="B108" s="444" t="s">
        <v>418</v>
      </c>
      <c r="C108" s="445" t="s">
        <v>426</v>
      </c>
      <c r="D108" s="446" t="s">
        <v>427</v>
      </c>
      <c r="E108" s="445" t="s">
        <v>737</v>
      </c>
      <c r="F108" s="446" t="s">
        <v>738</v>
      </c>
      <c r="G108" s="445" t="s">
        <v>782</v>
      </c>
      <c r="H108" s="445" t="s">
        <v>783</v>
      </c>
      <c r="I108" s="448">
        <v>0.74000000953674316</v>
      </c>
      <c r="J108" s="448">
        <v>1000</v>
      </c>
      <c r="K108" s="449">
        <v>740</v>
      </c>
    </row>
    <row r="109" spans="1:11" ht="14.4" customHeight="1" x14ac:dyDescent="0.3">
      <c r="A109" s="443" t="s">
        <v>417</v>
      </c>
      <c r="B109" s="444" t="s">
        <v>418</v>
      </c>
      <c r="C109" s="445" t="s">
        <v>426</v>
      </c>
      <c r="D109" s="446" t="s">
        <v>427</v>
      </c>
      <c r="E109" s="445" t="s">
        <v>784</v>
      </c>
      <c r="F109" s="446" t="s">
        <v>785</v>
      </c>
      <c r="G109" s="445" t="s">
        <v>786</v>
      </c>
      <c r="H109" s="445" t="s">
        <v>787</v>
      </c>
      <c r="I109" s="448">
        <v>36.369998931884766</v>
      </c>
      <c r="J109" s="448">
        <v>1</v>
      </c>
      <c r="K109" s="449">
        <v>36.369998931884766</v>
      </c>
    </row>
    <row r="110" spans="1:11" ht="14.4" customHeight="1" x14ac:dyDescent="0.3">
      <c r="A110" s="443" t="s">
        <v>417</v>
      </c>
      <c r="B110" s="444" t="s">
        <v>418</v>
      </c>
      <c r="C110" s="445" t="s">
        <v>426</v>
      </c>
      <c r="D110" s="446" t="s">
        <v>427</v>
      </c>
      <c r="E110" s="445" t="s">
        <v>784</v>
      </c>
      <c r="F110" s="446" t="s">
        <v>785</v>
      </c>
      <c r="G110" s="445" t="s">
        <v>788</v>
      </c>
      <c r="H110" s="445" t="s">
        <v>789</v>
      </c>
      <c r="I110" s="448">
        <v>33.880001068115234</v>
      </c>
      <c r="J110" s="448">
        <v>4</v>
      </c>
      <c r="K110" s="449">
        <v>135.52000427246094</v>
      </c>
    </row>
    <row r="111" spans="1:11" ht="14.4" customHeight="1" x14ac:dyDescent="0.3">
      <c r="A111" s="443" t="s">
        <v>417</v>
      </c>
      <c r="B111" s="444" t="s">
        <v>418</v>
      </c>
      <c r="C111" s="445" t="s">
        <v>426</v>
      </c>
      <c r="D111" s="446" t="s">
        <v>427</v>
      </c>
      <c r="E111" s="445" t="s">
        <v>790</v>
      </c>
      <c r="F111" s="446" t="s">
        <v>791</v>
      </c>
      <c r="G111" s="445" t="s">
        <v>792</v>
      </c>
      <c r="H111" s="445" t="s">
        <v>793</v>
      </c>
      <c r="I111" s="448">
        <v>4259</v>
      </c>
      <c r="J111" s="448">
        <v>2</v>
      </c>
      <c r="K111" s="449">
        <v>8518</v>
      </c>
    </row>
    <row r="112" spans="1:11" ht="14.4" customHeight="1" x14ac:dyDescent="0.3">
      <c r="A112" s="443" t="s">
        <v>417</v>
      </c>
      <c r="B112" s="444" t="s">
        <v>418</v>
      </c>
      <c r="C112" s="445" t="s">
        <v>426</v>
      </c>
      <c r="D112" s="446" t="s">
        <v>427</v>
      </c>
      <c r="E112" s="445" t="s">
        <v>790</v>
      </c>
      <c r="F112" s="446" t="s">
        <v>791</v>
      </c>
      <c r="G112" s="445" t="s">
        <v>794</v>
      </c>
      <c r="H112" s="445" t="s">
        <v>795</v>
      </c>
      <c r="I112" s="448">
        <v>335.39999389648437</v>
      </c>
      <c r="J112" s="448">
        <v>2</v>
      </c>
      <c r="K112" s="449">
        <v>670.79998779296875</v>
      </c>
    </row>
    <row r="113" spans="1:11" ht="14.4" customHeight="1" x14ac:dyDescent="0.3">
      <c r="A113" s="443" t="s">
        <v>417</v>
      </c>
      <c r="B113" s="444" t="s">
        <v>418</v>
      </c>
      <c r="C113" s="445" t="s">
        <v>426</v>
      </c>
      <c r="D113" s="446" t="s">
        <v>427</v>
      </c>
      <c r="E113" s="445" t="s">
        <v>790</v>
      </c>
      <c r="F113" s="446" t="s">
        <v>791</v>
      </c>
      <c r="G113" s="445" t="s">
        <v>796</v>
      </c>
      <c r="H113" s="445" t="s">
        <v>797</v>
      </c>
      <c r="I113" s="448">
        <v>2617.3050537109375</v>
      </c>
      <c r="J113" s="448">
        <v>4</v>
      </c>
      <c r="K113" s="449">
        <v>10469.22021484375</v>
      </c>
    </row>
    <row r="114" spans="1:11" ht="14.4" customHeight="1" x14ac:dyDescent="0.3">
      <c r="A114" s="443" t="s">
        <v>417</v>
      </c>
      <c r="B114" s="444" t="s">
        <v>418</v>
      </c>
      <c r="C114" s="445" t="s">
        <v>426</v>
      </c>
      <c r="D114" s="446" t="s">
        <v>427</v>
      </c>
      <c r="E114" s="445" t="s">
        <v>790</v>
      </c>
      <c r="F114" s="446" t="s">
        <v>791</v>
      </c>
      <c r="G114" s="445" t="s">
        <v>798</v>
      </c>
      <c r="H114" s="445" t="s">
        <v>799</v>
      </c>
      <c r="I114" s="448">
        <v>41.369998931884766</v>
      </c>
      <c r="J114" s="448">
        <v>100</v>
      </c>
      <c r="K114" s="449">
        <v>4136.8701171875</v>
      </c>
    </row>
    <row r="115" spans="1:11" ht="14.4" customHeight="1" x14ac:dyDescent="0.3">
      <c r="A115" s="443" t="s">
        <v>417</v>
      </c>
      <c r="B115" s="444" t="s">
        <v>418</v>
      </c>
      <c r="C115" s="445" t="s">
        <v>426</v>
      </c>
      <c r="D115" s="446" t="s">
        <v>427</v>
      </c>
      <c r="E115" s="445" t="s">
        <v>790</v>
      </c>
      <c r="F115" s="446" t="s">
        <v>791</v>
      </c>
      <c r="G115" s="445" t="s">
        <v>800</v>
      </c>
      <c r="H115" s="445" t="s">
        <v>801</v>
      </c>
      <c r="I115" s="448">
        <v>1128.8199462890625</v>
      </c>
      <c r="J115" s="448">
        <v>2</v>
      </c>
      <c r="K115" s="449">
        <v>2257.6298828125</v>
      </c>
    </row>
    <row r="116" spans="1:11" ht="14.4" customHeight="1" x14ac:dyDescent="0.3">
      <c r="A116" s="443" t="s">
        <v>417</v>
      </c>
      <c r="B116" s="444" t="s">
        <v>418</v>
      </c>
      <c r="C116" s="445" t="s">
        <v>426</v>
      </c>
      <c r="D116" s="446" t="s">
        <v>427</v>
      </c>
      <c r="E116" s="445" t="s">
        <v>790</v>
      </c>
      <c r="F116" s="446" t="s">
        <v>791</v>
      </c>
      <c r="G116" s="445" t="s">
        <v>802</v>
      </c>
      <c r="H116" s="445" t="s">
        <v>803</v>
      </c>
      <c r="I116" s="448">
        <v>590.47998046875</v>
      </c>
      <c r="J116" s="448">
        <v>1</v>
      </c>
      <c r="K116" s="449">
        <v>590.47998046875</v>
      </c>
    </row>
    <row r="117" spans="1:11" ht="14.4" customHeight="1" x14ac:dyDescent="0.3">
      <c r="A117" s="443" t="s">
        <v>417</v>
      </c>
      <c r="B117" s="444" t="s">
        <v>418</v>
      </c>
      <c r="C117" s="445" t="s">
        <v>426</v>
      </c>
      <c r="D117" s="446" t="s">
        <v>427</v>
      </c>
      <c r="E117" s="445" t="s">
        <v>790</v>
      </c>
      <c r="F117" s="446" t="s">
        <v>791</v>
      </c>
      <c r="G117" s="445" t="s">
        <v>804</v>
      </c>
      <c r="H117" s="445" t="s">
        <v>805</v>
      </c>
      <c r="I117" s="448">
        <v>826.18499755859375</v>
      </c>
      <c r="J117" s="448">
        <v>4</v>
      </c>
      <c r="K117" s="449">
        <v>3304.72998046875</v>
      </c>
    </row>
    <row r="118" spans="1:11" ht="14.4" customHeight="1" x14ac:dyDescent="0.3">
      <c r="A118" s="443" t="s">
        <v>417</v>
      </c>
      <c r="B118" s="444" t="s">
        <v>418</v>
      </c>
      <c r="C118" s="445" t="s">
        <v>426</v>
      </c>
      <c r="D118" s="446" t="s">
        <v>427</v>
      </c>
      <c r="E118" s="445" t="s">
        <v>790</v>
      </c>
      <c r="F118" s="446" t="s">
        <v>791</v>
      </c>
      <c r="G118" s="445" t="s">
        <v>806</v>
      </c>
      <c r="H118" s="445" t="s">
        <v>807</v>
      </c>
      <c r="I118" s="448">
        <v>2172.469970703125</v>
      </c>
      <c r="J118" s="448">
        <v>1</v>
      </c>
      <c r="K118" s="449">
        <v>2172.469970703125</v>
      </c>
    </row>
    <row r="119" spans="1:11" ht="14.4" customHeight="1" x14ac:dyDescent="0.3">
      <c r="A119" s="443" t="s">
        <v>417</v>
      </c>
      <c r="B119" s="444" t="s">
        <v>418</v>
      </c>
      <c r="C119" s="445" t="s">
        <v>426</v>
      </c>
      <c r="D119" s="446" t="s">
        <v>427</v>
      </c>
      <c r="E119" s="445" t="s">
        <v>790</v>
      </c>
      <c r="F119" s="446" t="s">
        <v>791</v>
      </c>
      <c r="G119" s="445" t="s">
        <v>808</v>
      </c>
      <c r="H119" s="445" t="s">
        <v>809</v>
      </c>
      <c r="I119" s="448">
        <v>264.9899963378906</v>
      </c>
      <c r="J119" s="448">
        <v>20</v>
      </c>
      <c r="K119" s="449">
        <v>5299.7999267578125</v>
      </c>
    </row>
    <row r="120" spans="1:11" ht="14.4" customHeight="1" x14ac:dyDescent="0.3">
      <c r="A120" s="443" t="s">
        <v>417</v>
      </c>
      <c r="B120" s="444" t="s">
        <v>418</v>
      </c>
      <c r="C120" s="445" t="s">
        <v>426</v>
      </c>
      <c r="D120" s="446" t="s">
        <v>427</v>
      </c>
      <c r="E120" s="445" t="s">
        <v>790</v>
      </c>
      <c r="F120" s="446" t="s">
        <v>791</v>
      </c>
      <c r="G120" s="445" t="s">
        <v>810</v>
      </c>
      <c r="H120" s="445" t="s">
        <v>811</v>
      </c>
      <c r="I120" s="448">
        <v>265.83000183105469</v>
      </c>
      <c r="J120" s="448">
        <v>12</v>
      </c>
      <c r="K120" s="449">
        <v>3200.9600219726562</v>
      </c>
    </row>
    <row r="121" spans="1:11" ht="14.4" customHeight="1" x14ac:dyDescent="0.3">
      <c r="A121" s="443" t="s">
        <v>417</v>
      </c>
      <c r="B121" s="444" t="s">
        <v>418</v>
      </c>
      <c r="C121" s="445" t="s">
        <v>426</v>
      </c>
      <c r="D121" s="446" t="s">
        <v>427</v>
      </c>
      <c r="E121" s="445" t="s">
        <v>790</v>
      </c>
      <c r="F121" s="446" t="s">
        <v>791</v>
      </c>
      <c r="G121" s="445" t="s">
        <v>812</v>
      </c>
      <c r="H121" s="445" t="s">
        <v>813</v>
      </c>
      <c r="I121" s="448">
        <v>2288.5</v>
      </c>
      <c r="J121" s="448">
        <v>7</v>
      </c>
      <c r="K121" s="449">
        <v>16019.5</v>
      </c>
    </row>
    <row r="122" spans="1:11" ht="14.4" customHeight="1" x14ac:dyDescent="0.3">
      <c r="A122" s="443" t="s">
        <v>417</v>
      </c>
      <c r="B122" s="444" t="s">
        <v>418</v>
      </c>
      <c r="C122" s="445" t="s">
        <v>426</v>
      </c>
      <c r="D122" s="446" t="s">
        <v>427</v>
      </c>
      <c r="E122" s="445" t="s">
        <v>790</v>
      </c>
      <c r="F122" s="446" t="s">
        <v>791</v>
      </c>
      <c r="G122" s="445" t="s">
        <v>814</v>
      </c>
      <c r="H122" s="445" t="s">
        <v>815</v>
      </c>
      <c r="I122" s="448">
        <v>13918.6298828125</v>
      </c>
      <c r="J122" s="448">
        <v>1</v>
      </c>
      <c r="K122" s="449">
        <v>13918.6298828125</v>
      </c>
    </row>
    <row r="123" spans="1:11" ht="14.4" customHeight="1" x14ac:dyDescent="0.3">
      <c r="A123" s="443" t="s">
        <v>417</v>
      </c>
      <c r="B123" s="444" t="s">
        <v>418</v>
      </c>
      <c r="C123" s="445" t="s">
        <v>426</v>
      </c>
      <c r="D123" s="446" t="s">
        <v>427</v>
      </c>
      <c r="E123" s="445" t="s">
        <v>790</v>
      </c>
      <c r="F123" s="446" t="s">
        <v>791</v>
      </c>
      <c r="G123" s="445" t="s">
        <v>816</v>
      </c>
      <c r="H123" s="445" t="s">
        <v>817</v>
      </c>
      <c r="I123" s="448">
        <v>3974.85009765625</v>
      </c>
      <c r="J123" s="448">
        <v>5</v>
      </c>
      <c r="K123" s="449">
        <v>19874.25048828125</v>
      </c>
    </row>
    <row r="124" spans="1:11" ht="14.4" customHeight="1" x14ac:dyDescent="0.3">
      <c r="A124" s="443" t="s">
        <v>417</v>
      </c>
      <c r="B124" s="444" t="s">
        <v>418</v>
      </c>
      <c r="C124" s="445" t="s">
        <v>426</v>
      </c>
      <c r="D124" s="446" t="s">
        <v>427</v>
      </c>
      <c r="E124" s="445" t="s">
        <v>790</v>
      </c>
      <c r="F124" s="446" t="s">
        <v>791</v>
      </c>
      <c r="G124" s="445" t="s">
        <v>818</v>
      </c>
      <c r="H124" s="445" t="s">
        <v>819</v>
      </c>
      <c r="I124" s="448">
        <v>166.05999755859375</v>
      </c>
      <c r="J124" s="448">
        <v>1</v>
      </c>
      <c r="K124" s="449">
        <v>166.05999755859375</v>
      </c>
    </row>
    <row r="125" spans="1:11" ht="14.4" customHeight="1" x14ac:dyDescent="0.3">
      <c r="A125" s="443" t="s">
        <v>417</v>
      </c>
      <c r="B125" s="444" t="s">
        <v>418</v>
      </c>
      <c r="C125" s="445" t="s">
        <v>426</v>
      </c>
      <c r="D125" s="446" t="s">
        <v>427</v>
      </c>
      <c r="E125" s="445" t="s">
        <v>790</v>
      </c>
      <c r="F125" s="446" t="s">
        <v>791</v>
      </c>
      <c r="G125" s="445" t="s">
        <v>818</v>
      </c>
      <c r="H125" s="445" t="s">
        <v>820</v>
      </c>
      <c r="I125" s="448">
        <v>166.05999755859375</v>
      </c>
      <c r="J125" s="448">
        <v>4</v>
      </c>
      <c r="K125" s="449">
        <v>664.239990234375</v>
      </c>
    </row>
    <row r="126" spans="1:11" ht="14.4" customHeight="1" x14ac:dyDescent="0.3">
      <c r="A126" s="443" t="s">
        <v>417</v>
      </c>
      <c r="B126" s="444" t="s">
        <v>418</v>
      </c>
      <c r="C126" s="445" t="s">
        <v>426</v>
      </c>
      <c r="D126" s="446" t="s">
        <v>427</v>
      </c>
      <c r="E126" s="445" t="s">
        <v>790</v>
      </c>
      <c r="F126" s="446" t="s">
        <v>791</v>
      </c>
      <c r="G126" s="445" t="s">
        <v>821</v>
      </c>
      <c r="H126" s="445" t="s">
        <v>822</v>
      </c>
      <c r="I126" s="448">
        <v>1427.800048828125</v>
      </c>
      <c r="J126" s="448">
        <v>3</v>
      </c>
      <c r="K126" s="449">
        <v>4283.39990234375</v>
      </c>
    </row>
    <row r="127" spans="1:11" ht="14.4" customHeight="1" x14ac:dyDescent="0.3">
      <c r="A127" s="443" t="s">
        <v>417</v>
      </c>
      <c r="B127" s="444" t="s">
        <v>418</v>
      </c>
      <c r="C127" s="445" t="s">
        <v>426</v>
      </c>
      <c r="D127" s="446" t="s">
        <v>427</v>
      </c>
      <c r="E127" s="445" t="s">
        <v>790</v>
      </c>
      <c r="F127" s="446" t="s">
        <v>791</v>
      </c>
      <c r="G127" s="445" t="s">
        <v>823</v>
      </c>
      <c r="H127" s="445" t="s">
        <v>824</v>
      </c>
      <c r="I127" s="448">
        <v>3961.909912109375</v>
      </c>
      <c r="J127" s="448">
        <v>1</v>
      </c>
      <c r="K127" s="449">
        <v>3961.909912109375</v>
      </c>
    </row>
    <row r="128" spans="1:11" ht="14.4" customHeight="1" x14ac:dyDescent="0.3">
      <c r="A128" s="443" t="s">
        <v>417</v>
      </c>
      <c r="B128" s="444" t="s">
        <v>418</v>
      </c>
      <c r="C128" s="445" t="s">
        <v>426</v>
      </c>
      <c r="D128" s="446" t="s">
        <v>427</v>
      </c>
      <c r="E128" s="445" t="s">
        <v>790</v>
      </c>
      <c r="F128" s="446" t="s">
        <v>791</v>
      </c>
      <c r="G128" s="445" t="s">
        <v>825</v>
      </c>
      <c r="H128" s="445" t="s">
        <v>826</v>
      </c>
      <c r="I128" s="448">
        <v>3962.159912109375</v>
      </c>
      <c r="J128" s="448">
        <v>1</v>
      </c>
      <c r="K128" s="449">
        <v>3962.159912109375</v>
      </c>
    </row>
    <row r="129" spans="1:11" ht="14.4" customHeight="1" x14ac:dyDescent="0.3">
      <c r="A129" s="443" t="s">
        <v>417</v>
      </c>
      <c r="B129" s="444" t="s">
        <v>418</v>
      </c>
      <c r="C129" s="445" t="s">
        <v>426</v>
      </c>
      <c r="D129" s="446" t="s">
        <v>427</v>
      </c>
      <c r="E129" s="445" t="s">
        <v>790</v>
      </c>
      <c r="F129" s="446" t="s">
        <v>791</v>
      </c>
      <c r="G129" s="445" t="s">
        <v>827</v>
      </c>
      <c r="H129" s="445" t="s">
        <v>828</v>
      </c>
      <c r="I129" s="448">
        <v>9840</v>
      </c>
      <c r="J129" s="448">
        <v>1</v>
      </c>
      <c r="K129" s="449">
        <v>9840</v>
      </c>
    </row>
    <row r="130" spans="1:11" ht="14.4" customHeight="1" x14ac:dyDescent="0.3">
      <c r="A130" s="443" t="s">
        <v>417</v>
      </c>
      <c r="B130" s="444" t="s">
        <v>418</v>
      </c>
      <c r="C130" s="445" t="s">
        <v>426</v>
      </c>
      <c r="D130" s="446" t="s">
        <v>427</v>
      </c>
      <c r="E130" s="445" t="s">
        <v>790</v>
      </c>
      <c r="F130" s="446" t="s">
        <v>791</v>
      </c>
      <c r="G130" s="445" t="s">
        <v>829</v>
      </c>
      <c r="H130" s="445" t="s">
        <v>830</v>
      </c>
      <c r="I130" s="448">
        <v>4009.909912109375</v>
      </c>
      <c r="J130" s="448">
        <v>1</v>
      </c>
      <c r="K130" s="449">
        <v>4009.909912109375</v>
      </c>
    </row>
    <row r="131" spans="1:11" ht="14.4" customHeight="1" x14ac:dyDescent="0.3">
      <c r="A131" s="443" t="s">
        <v>417</v>
      </c>
      <c r="B131" s="444" t="s">
        <v>418</v>
      </c>
      <c r="C131" s="445" t="s">
        <v>426</v>
      </c>
      <c r="D131" s="446" t="s">
        <v>427</v>
      </c>
      <c r="E131" s="445" t="s">
        <v>790</v>
      </c>
      <c r="F131" s="446" t="s">
        <v>791</v>
      </c>
      <c r="G131" s="445" t="s">
        <v>831</v>
      </c>
      <c r="H131" s="445" t="s">
        <v>832</v>
      </c>
      <c r="I131" s="448">
        <v>1301.022021484375</v>
      </c>
      <c r="J131" s="448">
        <v>6</v>
      </c>
      <c r="K131" s="449">
        <v>7841.610107421875</v>
      </c>
    </row>
    <row r="132" spans="1:11" ht="14.4" customHeight="1" x14ac:dyDescent="0.3">
      <c r="A132" s="443" t="s">
        <v>417</v>
      </c>
      <c r="B132" s="444" t="s">
        <v>418</v>
      </c>
      <c r="C132" s="445" t="s">
        <v>426</v>
      </c>
      <c r="D132" s="446" t="s">
        <v>427</v>
      </c>
      <c r="E132" s="445" t="s">
        <v>790</v>
      </c>
      <c r="F132" s="446" t="s">
        <v>791</v>
      </c>
      <c r="G132" s="445" t="s">
        <v>833</v>
      </c>
      <c r="H132" s="445" t="s">
        <v>834</v>
      </c>
      <c r="I132" s="448">
        <v>135.75</v>
      </c>
      <c r="J132" s="448">
        <v>60</v>
      </c>
      <c r="K132" s="449">
        <v>7920</v>
      </c>
    </row>
    <row r="133" spans="1:11" ht="14.4" customHeight="1" x14ac:dyDescent="0.3">
      <c r="A133" s="443" t="s">
        <v>417</v>
      </c>
      <c r="B133" s="444" t="s">
        <v>418</v>
      </c>
      <c r="C133" s="445" t="s">
        <v>426</v>
      </c>
      <c r="D133" s="446" t="s">
        <v>427</v>
      </c>
      <c r="E133" s="445" t="s">
        <v>790</v>
      </c>
      <c r="F133" s="446" t="s">
        <v>791</v>
      </c>
      <c r="G133" s="445" t="s">
        <v>835</v>
      </c>
      <c r="H133" s="445" t="s">
        <v>836</v>
      </c>
      <c r="I133" s="448">
        <v>139.49500274658203</v>
      </c>
      <c r="J133" s="448">
        <v>30</v>
      </c>
      <c r="K133" s="449">
        <v>4107.4000244140625</v>
      </c>
    </row>
    <row r="134" spans="1:11" ht="14.4" customHeight="1" x14ac:dyDescent="0.3">
      <c r="A134" s="443" t="s">
        <v>417</v>
      </c>
      <c r="B134" s="444" t="s">
        <v>418</v>
      </c>
      <c r="C134" s="445" t="s">
        <v>426</v>
      </c>
      <c r="D134" s="446" t="s">
        <v>427</v>
      </c>
      <c r="E134" s="445" t="s">
        <v>790</v>
      </c>
      <c r="F134" s="446" t="s">
        <v>791</v>
      </c>
      <c r="G134" s="445" t="s">
        <v>837</v>
      </c>
      <c r="H134" s="445" t="s">
        <v>838</v>
      </c>
      <c r="I134" s="448">
        <v>135.75</v>
      </c>
      <c r="J134" s="448">
        <v>60</v>
      </c>
      <c r="K134" s="449">
        <v>7954.8798828125</v>
      </c>
    </row>
    <row r="135" spans="1:11" ht="14.4" customHeight="1" x14ac:dyDescent="0.3">
      <c r="A135" s="443" t="s">
        <v>417</v>
      </c>
      <c r="B135" s="444" t="s">
        <v>418</v>
      </c>
      <c r="C135" s="445" t="s">
        <v>426</v>
      </c>
      <c r="D135" s="446" t="s">
        <v>427</v>
      </c>
      <c r="E135" s="445" t="s">
        <v>790</v>
      </c>
      <c r="F135" s="446" t="s">
        <v>791</v>
      </c>
      <c r="G135" s="445" t="s">
        <v>839</v>
      </c>
      <c r="H135" s="445" t="s">
        <v>840</v>
      </c>
      <c r="I135" s="448">
        <v>128.25</v>
      </c>
      <c r="J135" s="448">
        <v>20</v>
      </c>
      <c r="K135" s="449">
        <v>2565</v>
      </c>
    </row>
    <row r="136" spans="1:11" ht="14.4" customHeight="1" x14ac:dyDescent="0.3">
      <c r="A136" s="443" t="s">
        <v>417</v>
      </c>
      <c r="B136" s="444" t="s">
        <v>418</v>
      </c>
      <c r="C136" s="445" t="s">
        <v>426</v>
      </c>
      <c r="D136" s="446" t="s">
        <v>427</v>
      </c>
      <c r="E136" s="445" t="s">
        <v>790</v>
      </c>
      <c r="F136" s="446" t="s">
        <v>791</v>
      </c>
      <c r="G136" s="445" t="s">
        <v>841</v>
      </c>
      <c r="H136" s="445" t="s">
        <v>842</v>
      </c>
      <c r="I136" s="448">
        <v>1.7000000476837158</v>
      </c>
      <c r="J136" s="448">
        <v>500</v>
      </c>
      <c r="K136" s="449">
        <v>850</v>
      </c>
    </row>
    <row r="137" spans="1:11" ht="14.4" customHeight="1" x14ac:dyDescent="0.3">
      <c r="A137" s="443" t="s">
        <v>417</v>
      </c>
      <c r="B137" s="444" t="s">
        <v>418</v>
      </c>
      <c r="C137" s="445" t="s">
        <v>426</v>
      </c>
      <c r="D137" s="446" t="s">
        <v>427</v>
      </c>
      <c r="E137" s="445" t="s">
        <v>790</v>
      </c>
      <c r="F137" s="446" t="s">
        <v>791</v>
      </c>
      <c r="G137" s="445" t="s">
        <v>843</v>
      </c>
      <c r="H137" s="445" t="s">
        <v>844</v>
      </c>
      <c r="I137" s="448">
        <v>1.7000000476837158</v>
      </c>
      <c r="J137" s="448">
        <v>200</v>
      </c>
      <c r="K137" s="449">
        <v>340</v>
      </c>
    </row>
    <row r="138" spans="1:11" ht="14.4" customHeight="1" x14ac:dyDescent="0.3">
      <c r="A138" s="443" t="s">
        <v>417</v>
      </c>
      <c r="B138" s="444" t="s">
        <v>418</v>
      </c>
      <c r="C138" s="445" t="s">
        <v>426</v>
      </c>
      <c r="D138" s="446" t="s">
        <v>427</v>
      </c>
      <c r="E138" s="445" t="s">
        <v>790</v>
      </c>
      <c r="F138" s="446" t="s">
        <v>791</v>
      </c>
      <c r="G138" s="445" t="s">
        <v>845</v>
      </c>
      <c r="H138" s="445" t="s">
        <v>846</v>
      </c>
      <c r="I138" s="448">
        <v>1.7000000476837158</v>
      </c>
      <c r="J138" s="448">
        <v>300</v>
      </c>
      <c r="K138" s="449">
        <v>510</v>
      </c>
    </row>
    <row r="139" spans="1:11" ht="14.4" customHeight="1" x14ac:dyDescent="0.3">
      <c r="A139" s="443" t="s">
        <v>417</v>
      </c>
      <c r="B139" s="444" t="s">
        <v>418</v>
      </c>
      <c r="C139" s="445" t="s">
        <v>426</v>
      </c>
      <c r="D139" s="446" t="s">
        <v>427</v>
      </c>
      <c r="E139" s="445" t="s">
        <v>790</v>
      </c>
      <c r="F139" s="446" t="s">
        <v>791</v>
      </c>
      <c r="G139" s="445" t="s">
        <v>847</v>
      </c>
      <c r="H139" s="445" t="s">
        <v>848</v>
      </c>
      <c r="I139" s="448">
        <v>1.7000000476837158</v>
      </c>
      <c r="J139" s="448">
        <v>200</v>
      </c>
      <c r="K139" s="449">
        <v>340</v>
      </c>
    </row>
    <row r="140" spans="1:11" ht="14.4" customHeight="1" x14ac:dyDescent="0.3">
      <c r="A140" s="443" t="s">
        <v>417</v>
      </c>
      <c r="B140" s="444" t="s">
        <v>418</v>
      </c>
      <c r="C140" s="445" t="s">
        <v>426</v>
      </c>
      <c r="D140" s="446" t="s">
        <v>427</v>
      </c>
      <c r="E140" s="445" t="s">
        <v>790</v>
      </c>
      <c r="F140" s="446" t="s">
        <v>791</v>
      </c>
      <c r="G140" s="445" t="s">
        <v>849</v>
      </c>
      <c r="H140" s="445" t="s">
        <v>850</v>
      </c>
      <c r="I140" s="448">
        <v>1.7000000476837158</v>
      </c>
      <c r="J140" s="448">
        <v>500</v>
      </c>
      <c r="K140" s="449">
        <v>849.99999380111694</v>
      </c>
    </row>
    <row r="141" spans="1:11" ht="14.4" customHeight="1" x14ac:dyDescent="0.3">
      <c r="A141" s="443" t="s">
        <v>417</v>
      </c>
      <c r="B141" s="444" t="s">
        <v>418</v>
      </c>
      <c r="C141" s="445" t="s">
        <v>426</v>
      </c>
      <c r="D141" s="446" t="s">
        <v>427</v>
      </c>
      <c r="E141" s="445" t="s">
        <v>790</v>
      </c>
      <c r="F141" s="446" t="s">
        <v>791</v>
      </c>
      <c r="G141" s="445" t="s">
        <v>851</v>
      </c>
      <c r="H141" s="445" t="s">
        <v>852</v>
      </c>
      <c r="I141" s="448">
        <v>1.746666709582011</v>
      </c>
      <c r="J141" s="448">
        <v>700</v>
      </c>
      <c r="K141" s="449">
        <v>1218.739990234375</v>
      </c>
    </row>
    <row r="142" spans="1:11" ht="14.4" customHeight="1" x14ac:dyDescent="0.3">
      <c r="A142" s="443" t="s">
        <v>417</v>
      </c>
      <c r="B142" s="444" t="s">
        <v>418</v>
      </c>
      <c r="C142" s="445" t="s">
        <v>426</v>
      </c>
      <c r="D142" s="446" t="s">
        <v>427</v>
      </c>
      <c r="E142" s="445" t="s">
        <v>790</v>
      </c>
      <c r="F142" s="446" t="s">
        <v>791</v>
      </c>
      <c r="G142" s="445" t="s">
        <v>853</v>
      </c>
      <c r="H142" s="445" t="s">
        <v>854</v>
      </c>
      <c r="I142" s="448">
        <v>1.7000000476837158</v>
      </c>
      <c r="J142" s="448">
        <v>300</v>
      </c>
      <c r="K142" s="449">
        <v>510</v>
      </c>
    </row>
    <row r="143" spans="1:11" ht="14.4" customHeight="1" x14ac:dyDescent="0.3">
      <c r="A143" s="443" t="s">
        <v>417</v>
      </c>
      <c r="B143" s="444" t="s">
        <v>418</v>
      </c>
      <c r="C143" s="445" t="s">
        <v>426</v>
      </c>
      <c r="D143" s="446" t="s">
        <v>427</v>
      </c>
      <c r="E143" s="445" t="s">
        <v>790</v>
      </c>
      <c r="F143" s="446" t="s">
        <v>791</v>
      </c>
      <c r="G143" s="445" t="s">
        <v>855</v>
      </c>
      <c r="H143" s="445" t="s">
        <v>856</v>
      </c>
      <c r="I143" s="448">
        <v>3.3199999332427979</v>
      </c>
      <c r="J143" s="448">
        <v>60</v>
      </c>
      <c r="K143" s="449">
        <v>199</v>
      </c>
    </row>
    <row r="144" spans="1:11" ht="14.4" customHeight="1" x14ac:dyDescent="0.3">
      <c r="A144" s="443" t="s">
        <v>417</v>
      </c>
      <c r="B144" s="444" t="s">
        <v>418</v>
      </c>
      <c r="C144" s="445" t="s">
        <v>426</v>
      </c>
      <c r="D144" s="446" t="s">
        <v>427</v>
      </c>
      <c r="E144" s="445" t="s">
        <v>790</v>
      </c>
      <c r="F144" s="446" t="s">
        <v>791</v>
      </c>
      <c r="G144" s="445" t="s">
        <v>857</v>
      </c>
      <c r="H144" s="445" t="s">
        <v>858</v>
      </c>
      <c r="I144" s="448">
        <v>250.67999267578125</v>
      </c>
      <c r="J144" s="448">
        <v>1</v>
      </c>
      <c r="K144" s="449">
        <v>250.67999267578125</v>
      </c>
    </row>
    <row r="145" spans="1:11" ht="14.4" customHeight="1" x14ac:dyDescent="0.3">
      <c r="A145" s="443" t="s">
        <v>417</v>
      </c>
      <c r="B145" s="444" t="s">
        <v>418</v>
      </c>
      <c r="C145" s="445" t="s">
        <v>426</v>
      </c>
      <c r="D145" s="446" t="s">
        <v>427</v>
      </c>
      <c r="E145" s="445" t="s">
        <v>790</v>
      </c>
      <c r="F145" s="446" t="s">
        <v>791</v>
      </c>
      <c r="G145" s="445" t="s">
        <v>859</v>
      </c>
      <c r="H145" s="445" t="s">
        <v>860</v>
      </c>
      <c r="I145" s="448">
        <v>381.14999389648437</v>
      </c>
      <c r="J145" s="448">
        <v>4</v>
      </c>
      <c r="K145" s="449">
        <v>1524.5999755859375</v>
      </c>
    </row>
    <row r="146" spans="1:11" ht="14.4" customHeight="1" x14ac:dyDescent="0.3">
      <c r="A146" s="443" t="s">
        <v>417</v>
      </c>
      <c r="B146" s="444" t="s">
        <v>418</v>
      </c>
      <c r="C146" s="445" t="s">
        <v>426</v>
      </c>
      <c r="D146" s="446" t="s">
        <v>427</v>
      </c>
      <c r="E146" s="445" t="s">
        <v>790</v>
      </c>
      <c r="F146" s="446" t="s">
        <v>791</v>
      </c>
      <c r="G146" s="445" t="s">
        <v>861</v>
      </c>
      <c r="H146" s="445" t="s">
        <v>862</v>
      </c>
      <c r="I146" s="448">
        <v>381.14999389648437</v>
      </c>
      <c r="J146" s="448">
        <v>2</v>
      </c>
      <c r="K146" s="449">
        <v>762.29998779296875</v>
      </c>
    </row>
    <row r="147" spans="1:11" ht="14.4" customHeight="1" x14ac:dyDescent="0.3">
      <c r="A147" s="443" t="s">
        <v>417</v>
      </c>
      <c r="B147" s="444" t="s">
        <v>418</v>
      </c>
      <c r="C147" s="445" t="s">
        <v>426</v>
      </c>
      <c r="D147" s="446" t="s">
        <v>427</v>
      </c>
      <c r="E147" s="445" t="s">
        <v>790</v>
      </c>
      <c r="F147" s="446" t="s">
        <v>791</v>
      </c>
      <c r="G147" s="445" t="s">
        <v>863</v>
      </c>
      <c r="H147" s="445" t="s">
        <v>864</v>
      </c>
      <c r="I147" s="448">
        <v>381.14999389648437</v>
      </c>
      <c r="J147" s="448">
        <v>2</v>
      </c>
      <c r="K147" s="449">
        <v>762.29998779296875</v>
      </c>
    </row>
    <row r="148" spans="1:11" ht="14.4" customHeight="1" x14ac:dyDescent="0.3">
      <c r="A148" s="443" t="s">
        <v>417</v>
      </c>
      <c r="B148" s="444" t="s">
        <v>418</v>
      </c>
      <c r="C148" s="445" t="s">
        <v>426</v>
      </c>
      <c r="D148" s="446" t="s">
        <v>427</v>
      </c>
      <c r="E148" s="445" t="s">
        <v>790</v>
      </c>
      <c r="F148" s="446" t="s">
        <v>791</v>
      </c>
      <c r="G148" s="445" t="s">
        <v>865</v>
      </c>
      <c r="H148" s="445" t="s">
        <v>866</v>
      </c>
      <c r="I148" s="448">
        <v>159.71000671386719</v>
      </c>
      <c r="J148" s="448">
        <v>1</v>
      </c>
      <c r="K148" s="449">
        <v>159.71000671386719</v>
      </c>
    </row>
    <row r="149" spans="1:11" ht="14.4" customHeight="1" x14ac:dyDescent="0.3">
      <c r="A149" s="443" t="s">
        <v>417</v>
      </c>
      <c r="B149" s="444" t="s">
        <v>418</v>
      </c>
      <c r="C149" s="445" t="s">
        <v>426</v>
      </c>
      <c r="D149" s="446" t="s">
        <v>427</v>
      </c>
      <c r="E149" s="445" t="s">
        <v>790</v>
      </c>
      <c r="F149" s="446" t="s">
        <v>791</v>
      </c>
      <c r="G149" s="445" t="s">
        <v>867</v>
      </c>
      <c r="H149" s="445" t="s">
        <v>868</v>
      </c>
      <c r="I149" s="448">
        <v>159.72000122070312</v>
      </c>
      <c r="J149" s="448">
        <v>1</v>
      </c>
      <c r="K149" s="449">
        <v>159.72000122070312</v>
      </c>
    </row>
    <row r="150" spans="1:11" ht="14.4" customHeight="1" x14ac:dyDescent="0.3">
      <c r="A150" s="443" t="s">
        <v>417</v>
      </c>
      <c r="B150" s="444" t="s">
        <v>418</v>
      </c>
      <c r="C150" s="445" t="s">
        <v>426</v>
      </c>
      <c r="D150" s="446" t="s">
        <v>427</v>
      </c>
      <c r="E150" s="445" t="s">
        <v>790</v>
      </c>
      <c r="F150" s="446" t="s">
        <v>791</v>
      </c>
      <c r="G150" s="445" t="s">
        <v>869</v>
      </c>
      <c r="H150" s="445" t="s">
        <v>870</v>
      </c>
      <c r="I150" s="448">
        <v>217.35000610351562</v>
      </c>
      <c r="J150" s="448">
        <v>10</v>
      </c>
      <c r="K150" s="449">
        <v>2173.5</v>
      </c>
    </row>
    <row r="151" spans="1:11" ht="14.4" customHeight="1" x14ac:dyDescent="0.3">
      <c r="A151" s="443" t="s">
        <v>417</v>
      </c>
      <c r="B151" s="444" t="s">
        <v>418</v>
      </c>
      <c r="C151" s="445" t="s">
        <v>426</v>
      </c>
      <c r="D151" s="446" t="s">
        <v>427</v>
      </c>
      <c r="E151" s="445" t="s">
        <v>790</v>
      </c>
      <c r="F151" s="446" t="s">
        <v>791</v>
      </c>
      <c r="G151" s="445" t="s">
        <v>871</v>
      </c>
      <c r="H151" s="445" t="s">
        <v>872</v>
      </c>
      <c r="I151" s="448">
        <v>194.35000610351562</v>
      </c>
      <c r="J151" s="448">
        <v>20</v>
      </c>
      <c r="K151" s="449">
        <v>3887</v>
      </c>
    </row>
    <row r="152" spans="1:11" ht="14.4" customHeight="1" x14ac:dyDescent="0.3">
      <c r="A152" s="443" t="s">
        <v>417</v>
      </c>
      <c r="B152" s="444" t="s">
        <v>418</v>
      </c>
      <c r="C152" s="445" t="s">
        <v>426</v>
      </c>
      <c r="D152" s="446" t="s">
        <v>427</v>
      </c>
      <c r="E152" s="445" t="s">
        <v>790</v>
      </c>
      <c r="F152" s="446" t="s">
        <v>791</v>
      </c>
      <c r="G152" s="445" t="s">
        <v>873</v>
      </c>
      <c r="H152" s="445" t="s">
        <v>874</v>
      </c>
      <c r="I152" s="448">
        <v>2.380000114440918</v>
      </c>
      <c r="J152" s="448">
        <v>100</v>
      </c>
      <c r="K152" s="449">
        <v>238.3699951171875</v>
      </c>
    </row>
    <row r="153" spans="1:11" ht="14.4" customHeight="1" x14ac:dyDescent="0.3">
      <c r="A153" s="443" t="s">
        <v>417</v>
      </c>
      <c r="B153" s="444" t="s">
        <v>418</v>
      </c>
      <c r="C153" s="445" t="s">
        <v>426</v>
      </c>
      <c r="D153" s="446" t="s">
        <v>427</v>
      </c>
      <c r="E153" s="445" t="s">
        <v>790</v>
      </c>
      <c r="F153" s="446" t="s">
        <v>791</v>
      </c>
      <c r="G153" s="445" t="s">
        <v>875</v>
      </c>
      <c r="H153" s="445" t="s">
        <v>876</v>
      </c>
      <c r="I153" s="448">
        <v>847</v>
      </c>
      <c r="J153" s="448">
        <v>5</v>
      </c>
      <c r="K153" s="449">
        <v>4235</v>
      </c>
    </row>
    <row r="154" spans="1:11" ht="14.4" customHeight="1" x14ac:dyDescent="0.3">
      <c r="A154" s="443" t="s">
        <v>417</v>
      </c>
      <c r="B154" s="444" t="s">
        <v>418</v>
      </c>
      <c r="C154" s="445" t="s">
        <v>426</v>
      </c>
      <c r="D154" s="446" t="s">
        <v>427</v>
      </c>
      <c r="E154" s="445" t="s">
        <v>790</v>
      </c>
      <c r="F154" s="446" t="s">
        <v>791</v>
      </c>
      <c r="G154" s="445" t="s">
        <v>877</v>
      </c>
      <c r="H154" s="445" t="s">
        <v>878</v>
      </c>
      <c r="I154" s="448">
        <v>890.55999755859375</v>
      </c>
      <c r="J154" s="448">
        <v>1</v>
      </c>
      <c r="K154" s="449">
        <v>890.55999755859375</v>
      </c>
    </row>
    <row r="155" spans="1:11" ht="14.4" customHeight="1" x14ac:dyDescent="0.3">
      <c r="A155" s="443" t="s">
        <v>417</v>
      </c>
      <c r="B155" s="444" t="s">
        <v>418</v>
      </c>
      <c r="C155" s="445" t="s">
        <v>426</v>
      </c>
      <c r="D155" s="446" t="s">
        <v>427</v>
      </c>
      <c r="E155" s="445" t="s">
        <v>790</v>
      </c>
      <c r="F155" s="446" t="s">
        <v>791</v>
      </c>
      <c r="G155" s="445" t="s">
        <v>879</v>
      </c>
      <c r="H155" s="445" t="s">
        <v>880</v>
      </c>
      <c r="I155" s="448">
        <v>1840</v>
      </c>
      <c r="J155" s="448">
        <v>1</v>
      </c>
      <c r="K155" s="449">
        <v>1840</v>
      </c>
    </row>
    <row r="156" spans="1:11" ht="14.4" customHeight="1" x14ac:dyDescent="0.3">
      <c r="A156" s="443" t="s">
        <v>417</v>
      </c>
      <c r="B156" s="444" t="s">
        <v>418</v>
      </c>
      <c r="C156" s="445" t="s">
        <v>426</v>
      </c>
      <c r="D156" s="446" t="s">
        <v>427</v>
      </c>
      <c r="E156" s="445" t="s">
        <v>790</v>
      </c>
      <c r="F156" s="446" t="s">
        <v>791</v>
      </c>
      <c r="G156" s="445" t="s">
        <v>881</v>
      </c>
      <c r="H156" s="445" t="s">
        <v>882</v>
      </c>
      <c r="I156" s="448">
        <v>1633</v>
      </c>
      <c r="J156" s="448">
        <v>1</v>
      </c>
      <c r="K156" s="449">
        <v>1633</v>
      </c>
    </row>
    <row r="157" spans="1:11" ht="14.4" customHeight="1" x14ac:dyDescent="0.3">
      <c r="A157" s="443" t="s">
        <v>417</v>
      </c>
      <c r="B157" s="444" t="s">
        <v>418</v>
      </c>
      <c r="C157" s="445" t="s">
        <v>426</v>
      </c>
      <c r="D157" s="446" t="s">
        <v>427</v>
      </c>
      <c r="E157" s="445" t="s">
        <v>790</v>
      </c>
      <c r="F157" s="446" t="s">
        <v>791</v>
      </c>
      <c r="G157" s="445" t="s">
        <v>883</v>
      </c>
      <c r="H157" s="445" t="s">
        <v>884</v>
      </c>
      <c r="I157" s="448">
        <v>865.1500244140625</v>
      </c>
      <c r="J157" s="448">
        <v>1</v>
      </c>
      <c r="K157" s="449">
        <v>865.1500244140625</v>
      </c>
    </row>
    <row r="158" spans="1:11" ht="14.4" customHeight="1" x14ac:dyDescent="0.3">
      <c r="A158" s="443" t="s">
        <v>417</v>
      </c>
      <c r="B158" s="444" t="s">
        <v>418</v>
      </c>
      <c r="C158" s="445" t="s">
        <v>426</v>
      </c>
      <c r="D158" s="446" t="s">
        <v>427</v>
      </c>
      <c r="E158" s="445" t="s">
        <v>790</v>
      </c>
      <c r="F158" s="446" t="s">
        <v>791</v>
      </c>
      <c r="G158" s="445" t="s">
        <v>885</v>
      </c>
      <c r="H158" s="445" t="s">
        <v>886</v>
      </c>
      <c r="I158" s="448">
        <v>88.510002136230469</v>
      </c>
      <c r="J158" s="448">
        <v>30</v>
      </c>
      <c r="K158" s="449">
        <v>2655.3499755859375</v>
      </c>
    </row>
    <row r="159" spans="1:11" ht="14.4" customHeight="1" x14ac:dyDescent="0.3">
      <c r="A159" s="443" t="s">
        <v>417</v>
      </c>
      <c r="B159" s="444" t="s">
        <v>418</v>
      </c>
      <c r="C159" s="445" t="s">
        <v>426</v>
      </c>
      <c r="D159" s="446" t="s">
        <v>427</v>
      </c>
      <c r="E159" s="445" t="s">
        <v>790</v>
      </c>
      <c r="F159" s="446" t="s">
        <v>791</v>
      </c>
      <c r="G159" s="445" t="s">
        <v>887</v>
      </c>
      <c r="H159" s="445" t="s">
        <v>888</v>
      </c>
      <c r="I159" s="448">
        <v>1311.47998046875</v>
      </c>
      <c r="J159" s="448">
        <v>1</v>
      </c>
      <c r="K159" s="449">
        <v>1311.47998046875</v>
      </c>
    </row>
    <row r="160" spans="1:11" ht="14.4" customHeight="1" x14ac:dyDescent="0.3">
      <c r="A160" s="443" t="s">
        <v>417</v>
      </c>
      <c r="B160" s="444" t="s">
        <v>418</v>
      </c>
      <c r="C160" s="445" t="s">
        <v>426</v>
      </c>
      <c r="D160" s="446" t="s">
        <v>427</v>
      </c>
      <c r="E160" s="445" t="s">
        <v>790</v>
      </c>
      <c r="F160" s="446" t="s">
        <v>791</v>
      </c>
      <c r="G160" s="445" t="s">
        <v>889</v>
      </c>
      <c r="H160" s="445" t="s">
        <v>890</v>
      </c>
      <c r="I160" s="448">
        <v>676.3900146484375</v>
      </c>
      <c r="J160" s="448">
        <v>2</v>
      </c>
      <c r="K160" s="449">
        <v>1352.780029296875</v>
      </c>
    </row>
    <row r="161" spans="1:11" ht="14.4" customHeight="1" x14ac:dyDescent="0.3">
      <c r="A161" s="443" t="s">
        <v>417</v>
      </c>
      <c r="B161" s="444" t="s">
        <v>418</v>
      </c>
      <c r="C161" s="445" t="s">
        <v>426</v>
      </c>
      <c r="D161" s="446" t="s">
        <v>427</v>
      </c>
      <c r="E161" s="445" t="s">
        <v>790</v>
      </c>
      <c r="F161" s="446" t="s">
        <v>791</v>
      </c>
      <c r="G161" s="445" t="s">
        <v>891</v>
      </c>
      <c r="H161" s="445" t="s">
        <v>892</v>
      </c>
      <c r="I161" s="448">
        <v>12.439999580383301</v>
      </c>
      <c r="J161" s="448">
        <v>50</v>
      </c>
      <c r="K161" s="449">
        <v>622</v>
      </c>
    </row>
    <row r="162" spans="1:11" ht="14.4" customHeight="1" x14ac:dyDescent="0.3">
      <c r="A162" s="443" t="s">
        <v>417</v>
      </c>
      <c r="B162" s="444" t="s">
        <v>418</v>
      </c>
      <c r="C162" s="445" t="s">
        <v>426</v>
      </c>
      <c r="D162" s="446" t="s">
        <v>427</v>
      </c>
      <c r="E162" s="445" t="s">
        <v>790</v>
      </c>
      <c r="F162" s="446" t="s">
        <v>791</v>
      </c>
      <c r="G162" s="445" t="s">
        <v>893</v>
      </c>
      <c r="H162" s="445" t="s">
        <v>894</v>
      </c>
      <c r="I162" s="448">
        <v>2770.89990234375</v>
      </c>
      <c r="J162" s="448">
        <v>3</v>
      </c>
      <c r="K162" s="449">
        <v>8312.7001953125</v>
      </c>
    </row>
    <row r="163" spans="1:11" ht="14.4" customHeight="1" x14ac:dyDescent="0.3">
      <c r="A163" s="443" t="s">
        <v>417</v>
      </c>
      <c r="B163" s="444" t="s">
        <v>418</v>
      </c>
      <c r="C163" s="445" t="s">
        <v>426</v>
      </c>
      <c r="D163" s="446" t="s">
        <v>427</v>
      </c>
      <c r="E163" s="445" t="s">
        <v>790</v>
      </c>
      <c r="F163" s="446" t="s">
        <v>791</v>
      </c>
      <c r="G163" s="445" t="s">
        <v>895</v>
      </c>
      <c r="H163" s="445" t="s">
        <v>896</v>
      </c>
      <c r="I163" s="448">
        <v>147.25</v>
      </c>
      <c r="J163" s="448">
        <v>10</v>
      </c>
      <c r="K163" s="449">
        <v>1472.5</v>
      </c>
    </row>
    <row r="164" spans="1:11" ht="14.4" customHeight="1" x14ac:dyDescent="0.3">
      <c r="A164" s="443" t="s">
        <v>417</v>
      </c>
      <c r="B164" s="444" t="s">
        <v>418</v>
      </c>
      <c r="C164" s="445" t="s">
        <v>426</v>
      </c>
      <c r="D164" s="446" t="s">
        <v>427</v>
      </c>
      <c r="E164" s="445" t="s">
        <v>790</v>
      </c>
      <c r="F164" s="446" t="s">
        <v>791</v>
      </c>
      <c r="G164" s="445" t="s">
        <v>897</v>
      </c>
      <c r="H164" s="445" t="s">
        <v>898</v>
      </c>
      <c r="I164" s="448">
        <v>147.25</v>
      </c>
      <c r="J164" s="448">
        <v>10</v>
      </c>
      <c r="K164" s="449">
        <v>1472.5</v>
      </c>
    </row>
    <row r="165" spans="1:11" ht="14.4" customHeight="1" x14ac:dyDescent="0.3">
      <c r="A165" s="443" t="s">
        <v>417</v>
      </c>
      <c r="B165" s="444" t="s">
        <v>418</v>
      </c>
      <c r="C165" s="445" t="s">
        <v>426</v>
      </c>
      <c r="D165" s="446" t="s">
        <v>427</v>
      </c>
      <c r="E165" s="445" t="s">
        <v>790</v>
      </c>
      <c r="F165" s="446" t="s">
        <v>791</v>
      </c>
      <c r="G165" s="445" t="s">
        <v>899</v>
      </c>
      <c r="H165" s="445" t="s">
        <v>900</v>
      </c>
      <c r="I165" s="448">
        <v>141.55000305175781</v>
      </c>
      <c r="J165" s="448">
        <v>40</v>
      </c>
      <c r="K165" s="449">
        <v>5662.16015625</v>
      </c>
    </row>
    <row r="166" spans="1:11" ht="14.4" customHeight="1" x14ac:dyDescent="0.3">
      <c r="A166" s="443" t="s">
        <v>417</v>
      </c>
      <c r="B166" s="444" t="s">
        <v>418</v>
      </c>
      <c r="C166" s="445" t="s">
        <v>426</v>
      </c>
      <c r="D166" s="446" t="s">
        <v>427</v>
      </c>
      <c r="E166" s="445" t="s">
        <v>790</v>
      </c>
      <c r="F166" s="446" t="s">
        <v>791</v>
      </c>
      <c r="G166" s="445" t="s">
        <v>901</v>
      </c>
      <c r="H166" s="445" t="s">
        <v>902</v>
      </c>
      <c r="I166" s="448">
        <v>141.57000732421875</v>
      </c>
      <c r="J166" s="448">
        <v>10</v>
      </c>
      <c r="K166" s="449">
        <v>1415.699951171875</v>
      </c>
    </row>
    <row r="167" spans="1:11" ht="14.4" customHeight="1" x14ac:dyDescent="0.3">
      <c r="A167" s="443" t="s">
        <v>417</v>
      </c>
      <c r="B167" s="444" t="s">
        <v>418</v>
      </c>
      <c r="C167" s="445" t="s">
        <v>426</v>
      </c>
      <c r="D167" s="446" t="s">
        <v>427</v>
      </c>
      <c r="E167" s="445" t="s">
        <v>790</v>
      </c>
      <c r="F167" s="446" t="s">
        <v>791</v>
      </c>
      <c r="G167" s="445" t="s">
        <v>903</v>
      </c>
      <c r="H167" s="445" t="s">
        <v>904</v>
      </c>
      <c r="I167" s="448">
        <v>49.299999237060547</v>
      </c>
      <c r="J167" s="448">
        <v>40</v>
      </c>
      <c r="K167" s="449">
        <v>1972</v>
      </c>
    </row>
    <row r="168" spans="1:11" ht="14.4" customHeight="1" x14ac:dyDescent="0.3">
      <c r="A168" s="443" t="s">
        <v>417</v>
      </c>
      <c r="B168" s="444" t="s">
        <v>418</v>
      </c>
      <c r="C168" s="445" t="s">
        <v>426</v>
      </c>
      <c r="D168" s="446" t="s">
        <v>427</v>
      </c>
      <c r="E168" s="445" t="s">
        <v>790</v>
      </c>
      <c r="F168" s="446" t="s">
        <v>791</v>
      </c>
      <c r="G168" s="445" t="s">
        <v>905</v>
      </c>
      <c r="H168" s="445" t="s">
        <v>906</v>
      </c>
      <c r="I168" s="448">
        <v>49.299999237060547</v>
      </c>
      <c r="J168" s="448">
        <v>80</v>
      </c>
      <c r="K168" s="449">
        <v>3944</v>
      </c>
    </row>
    <row r="169" spans="1:11" ht="14.4" customHeight="1" x14ac:dyDescent="0.3">
      <c r="A169" s="443" t="s">
        <v>417</v>
      </c>
      <c r="B169" s="444" t="s">
        <v>418</v>
      </c>
      <c r="C169" s="445" t="s">
        <v>426</v>
      </c>
      <c r="D169" s="446" t="s">
        <v>427</v>
      </c>
      <c r="E169" s="445" t="s">
        <v>790</v>
      </c>
      <c r="F169" s="446" t="s">
        <v>791</v>
      </c>
      <c r="G169" s="445" t="s">
        <v>907</v>
      </c>
      <c r="H169" s="445" t="s">
        <v>908</v>
      </c>
      <c r="I169" s="448">
        <v>49.299999237060547</v>
      </c>
      <c r="J169" s="448">
        <v>120</v>
      </c>
      <c r="K169" s="449">
        <v>5916</v>
      </c>
    </row>
    <row r="170" spans="1:11" ht="14.4" customHeight="1" x14ac:dyDescent="0.3">
      <c r="A170" s="443" t="s">
        <v>417</v>
      </c>
      <c r="B170" s="444" t="s">
        <v>418</v>
      </c>
      <c r="C170" s="445" t="s">
        <v>426</v>
      </c>
      <c r="D170" s="446" t="s">
        <v>427</v>
      </c>
      <c r="E170" s="445" t="s">
        <v>790</v>
      </c>
      <c r="F170" s="446" t="s">
        <v>791</v>
      </c>
      <c r="G170" s="445" t="s">
        <v>909</v>
      </c>
      <c r="H170" s="445" t="s">
        <v>910</v>
      </c>
      <c r="I170" s="448">
        <v>50.26666577657064</v>
      </c>
      <c r="J170" s="448">
        <v>110</v>
      </c>
      <c r="K170" s="449">
        <v>5539</v>
      </c>
    </row>
    <row r="171" spans="1:11" ht="14.4" customHeight="1" x14ac:dyDescent="0.3">
      <c r="A171" s="443" t="s">
        <v>417</v>
      </c>
      <c r="B171" s="444" t="s">
        <v>418</v>
      </c>
      <c r="C171" s="445" t="s">
        <v>426</v>
      </c>
      <c r="D171" s="446" t="s">
        <v>427</v>
      </c>
      <c r="E171" s="445" t="s">
        <v>790</v>
      </c>
      <c r="F171" s="446" t="s">
        <v>791</v>
      </c>
      <c r="G171" s="445" t="s">
        <v>911</v>
      </c>
      <c r="H171" s="445" t="s">
        <v>912</v>
      </c>
      <c r="I171" s="448">
        <v>49.299999237060547</v>
      </c>
      <c r="J171" s="448">
        <v>70</v>
      </c>
      <c r="K171" s="449">
        <v>3451</v>
      </c>
    </row>
    <row r="172" spans="1:11" ht="14.4" customHeight="1" x14ac:dyDescent="0.3">
      <c r="A172" s="443" t="s">
        <v>417</v>
      </c>
      <c r="B172" s="444" t="s">
        <v>418</v>
      </c>
      <c r="C172" s="445" t="s">
        <v>426</v>
      </c>
      <c r="D172" s="446" t="s">
        <v>427</v>
      </c>
      <c r="E172" s="445" t="s">
        <v>790</v>
      </c>
      <c r="F172" s="446" t="s">
        <v>791</v>
      </c>
      <c r="G172" s="445" t="s">
        <v>913</v>
      </c>
      <c r="H172" s="445" t="s">
        <v>914</v>
      </c>
      <c r="I172" s="448">
        <v>50.459999084472656</v>
      </c>
      <c r="J172" s="448">
        <v>90</v>
      </c>
      <c r="K172" s="449">
        <v>4553</v>
      </c>
    </row>
    <row r="173" spans="1:11" ht="14.4" customHeight="1" x14ac:dyDescent="0.3">
      <c r="A173" s="443" t="s">
        <v>417</v>
      </c>
      <c r="B173" s="444" t="s">
        <v>418</v>
      </c>
      <c r="C173" s="445" t="s">
        <v>426</v>
      </c>
      <c r="D173" s="446" t="s">
        <v>427</v>
      </c>
      <c r="E173" s="445" t="s">
        <v>790</v>
      </c>
      <c r="F173" s="446" t="s">
        <v>791</v>
      </c>
      <c r="G173" s="445" t="s">
        <v>915</v>
      </c>
      <c r="H173" s="445" t="s">
        <v>916</v>
      </c>
      <c r="I173" s="448">
        <v>51.233332316080727</v>
      </c>
      <c r="J173" s="448">
        <v>100</v>
      </c>
      <c r="K173" s="449">
        <v>5162</v>
      </c>
    </row>
    <row r="174" spans="1:11" ht="14.4" customHeight="1" x14ac:dyDescent="0.3">
      <c r="A174" s="443" t="s">
        <v>417</v>
      </c>
      <c r="B174" s="444" t="s">
        <v>418</v>
      </c>
      <c r="C174" s="445" t="s">
        <v>426</v>
      </c>
      <c r="D174" s="446" t="s">
        <v>427</v>
      </c>
      <c r="E174" s="445" t="s">
        <v>790</v>
      </c>
      <c r="F174" s="446" t="s">
        <v>791</v>
      </c>
      <c r="G174" s="445" t="s">
        <v>917</v>
      </c>
      <c r="H174" s="445" t="s">
        <v>918</v>
      </c>
      <c r="I174" s="448">
        <v>49.299999237060547</v>
      </c>
      <c r="J174" s="448">
        <v>110</v>
      </c>
      <c r="K174" s="449">
        <v>5422.9599609375</v>
      </c>
    </row>
    <row r="175" spans="1:11" ht="14.4" customHeight="1" x14ac:dyDescent="0.3">
      <c r="A175" s="443" t="s">
        <v>417</v>
      </c>
      <c r="B175" s="444" t="s">
        <v>418</v>
      </c>
      <c r="C175" s="445" t="s">
        <v>426</v>
      </c>
      <c r="D175" s="446" t="s">
        <v>427</v>
      </c>
      <c r="E175" s="445" t="s">
        <v>790</v>
      </c>
      <c r="F175" s="446" t="s">
        <v>791</v>
      </c>
      <c r="G175" s="445" t="s">
        <v>919</v>
      </c>
      <c r="H175" s="445" t="s">
        <v>920</v>
      </c>
      <c r="I175" s="448">
        <v>76.5</v>
      </c>
      <c r="J175" s="448">
        <v>40</v>
      </c>
      <c r="K175" s="449">
        <v>3060</v>
      </c>
    </row>
    <row r="176" spans="1:11" ht="14.4" customHeight="1" x14ac:dyDescent="0.3">
      <c r="A176" s="443" t="s">
        <v>417</v>
      </c>
      <c r="B176" s="444" t="s">
        <v>418</v>
      </c>
      <c r="C176" s="445" t="s">
        <v>426</v>
      </c>
      <c r="D176" s="446" t="s">
        <v>427</v>
      </c>
      <c r="E176" s="445" t="s">
        <v>790</v>
      </c>
      <c r="F176" s="446" t="s">
        <v>791</v>
      </c>
      <c r="G176" s="445" t="s">
        <v>921</v>
      </c>
      <c r="H176" s="445" t="s">
        <v>922</v>
      </c>
      <c r="I176" s="448">
        <v>78.75</v>
      </c>
      <c r="J176" s="448">
        <v>80</v>
      </c>
      <c r="K176" s="449">
        <v>6210</v>
      </c>
    </row>
    <row r="177" spans="1:11" ht="14.4" customHeight="1" x14ac:dyDescent="0.3">
      <c r="A177" s="443" t="s">
        <v>417</v>
      </c>
      <c r="B177" s="444" t="s">
        <v>418</v>
      </c>
      <c r="C177" s="445" t="s">
        <v>426</v>
      </c>
      <c r="D177" s="446" t="s">
        <v>427</v>
      </c>
      <c r="E177" s="445" t="s">
        <v>790</v>
      </c>
      <c r="F177" s="446" t="s">
        <v>791</v>
      </c>
      <c r="G177" s="445" t="s">
        <v>923</v>
      </c>
      <c r="H177" s="445" t="s">
        <v>924</v>
      </c>
      <c r="I177" s="448">
        <v>78.3</v>
      </c>
      <c r="J177" s="448">
        <v>70</v>
      </c>
      <c r="K177" s="449">
        <v>5445</v>
      </c>
    </row>
    <row r="178" spans="1:11" ht="14.4" customHeight="1" x14ac:dyDescent="0.3">
      <c r="A178" s="443" t="s">
        <v>417</v>
      </c>
      <c r="B178" s="444" t="s">
        <v>418</v>
      </c>
      <c r="C178" s="445" t="s">
        <v>426</v>
      </c>
      <c r="D178" s="446" t="s">
        <v>427</v>
      </c>
      <c r="E178" s="445" t="s">
        <v>790</v>
      </c>
      <c r="F178" s="446" t="s">
        <v>791</v>
      </c>
      <c r="G178" s="445" t="s">
        <v>925</v>
      </c>
      <c r="H178" s="445" t="s">
        <v>926</v>
      </c>
      <c r="I178" s="448">
        <v>78.3</v>
      </c>
      <c r="J178" s="448">
        <v>90</v>
      </c>
      <c r="K178" s="449">
        <v>7065</v>
      </c>
    </row>
    <row r="179" spans="1:11" ht="14.4" customHeight="1" x14ac:dyDescent="0.3">
      <c r="A179" s="443" t="s">
        <v>417</v>
      </c>
      <c r="B179" s="444" t="s">
        <v>418</v>
      </c>
      <c r="C179" s="445" t="s">
        <v>426</v>
      </c>
      <c r="D179" s="446" t="s">
        <v>427</v>
      </c>
      <c r="E179" s="445" t="s">
        <v>790</v>
      </c>
      <c r="F179" s="446" t="s">
        <v>791</v>
      </c>
      <c r="G179" s="445" t="s">
        <v>927</v>
      </c>
      <c r="H179" s="445" t="s">
        <v>928</v>
      </c>
      <c r="I179" s="448">
        <v>76.5</v>
      </c>
      <c r="J179" s="448">
        <v>10</v>
      </c>
      <c r="K179" s="449">
        <v>765</v>
      </c>
    </row>
    <row r="180" spans="1:11" ht="14.4" customHeight="1" x14ac:dyDescent="0.3">
      <c r="A180" s="443" t="s">
        <v>417</v>
      </c>
      <c r="B180" s="444" t="s">
        <v>418</v>
      </c>
      <c r="C180" s="445" t="s">
        <v>426</v>
      </c>
      <c r="D180" s="446" t="s">
        <v>427</v>
      </c>
      <c r="E180" s="445" t="s">
        <v>790</v>
      </c>
      <c r="F180" s="446" t="s">
        <v>791</v>
      </c>
      <c r="G180" s="445" t="s">
        <v>929</v>
      </c>
      <c r="H180" s="445" t="s">
        <v>930</v>
      </c>
      <c r="I180" s="448">
        <v>76.5</v>
      </c>
      <c r="J180" s="448">
        <v>30</v>
      </c>
      <c r="K180" s="449">
        <v>2295</v>
      </c>
    </row>
    <row r="181" spans="1:11" ht="14.4" customHeight="1" x14ac:dyDescent="0.3">
      <c r="A181" s="443" t="s">
        <v>417</v>
      </c>
      <c r="B181" s="444" t="s">
        <v>418</v>
      </c>
      <c r="C181" s="445" t="s">
        <v>426</v>
      </c>
      <c r="D181" s="446" t="s">
        <v>427</v>
      </c>
      <c r="E181" s="445" t="s">
        <v>790</v>
      </c>
      <c r="F181" s="446" t="s">
        <v>791</v>
      </c>
      <c r="G181" s="445" t="s">
        <v>931</v>
      </c>
      <c r="H181" s="445" t="s">
        <v>932</v>
      </c>
      <c r="I181" s="448">
        <v>76.5</v>
      </c>
      <c r="J181" s="448">
        <v>30</v>
      </c>
      <c r="K181" s="449">
        <v>2295</v>
      </c>
    </row>
    <row r="182" spans="1:11" ht="14.4" customHeight="1" x14ac:dyDescent="0.3">
      <c r="A182" s="443" t="s">
        <v>417</v>
      </c>
      <c r="B182" s="444" t="s">
        <v>418</v>
      </c>
      <c r="C182" s="445" t="s">
        <v>426</v>
      </c>
      <c r="D182" s="446" t="s">
        <v>427</v>
      </c>
      <c r="E182" s="445" t="s">
        <v>790</v>
      </c>
      <c r="F182" s="446" t="s">
        <v>791</v>
      </c>
      <c r="G182" s="445" t="s">
        <v>933</v>
      </c>
      <c r="H182" s="445" t="s">
        <v>934</v>
      </c>
      <c r="I182" s="448">
        <v>19</v>
      </c>
      <c r="J182" s="448">
        <v>70</v>
      </c>
      <c r="K182" s="449">
        <v>1330</v>
      </c>
    </row>
    <row r="183" spans="1:11" ht="14.4" customHeight="1" x14ac:dyDescent="0.3">
      <c r="A183" s="443" t="s">
        <v>417</v>
      </c>
      <c r="B183" s="444" t="s">
        <v>418</v>
      </c>
      <c r="C183" s="445" t="s">
        <v>426</v>
      </c>
      <c r="D183" s="446" t="s">
        <v>427</v>
      </c>
      <c r="E183" s="445" t="s">
        <v>790</v>
      </c>
      <c r="F183" s="446" t="s">
        <v>791</v>
      </c>
      <c r="G183" s="445" t="s">
        <v>935</v>
      </c>
      <c r="H183" s="445" t="s">
        <v>936</v>
      </c>
      <c r="I183" s="448">
        <v>18.920000076293945</v>
      </c>
      <c r="J183" s="448">
        <v>60</v>
      </c>
      <c r="K183" s="449">
        <v>1136</v>
      </c>
    </row>
    <row r="184" spans="1:11" ht="14.4" customHeight="1" x14ac:dyDescent="0.3">
      <c r="A184" s="443" t="s">
        <v>417</v>
      </c>
      <c r="B184" s="444" t="s">
        <v>418</v>
      </c>
      <c r="C184" s="445" t="s">
        <v>426</v>
      </c>
      <c r="D184" s="446" t="s">
        <v>427</v>
      </c>
      <c r="E184" s="445" t="s">
        <v>790</v>
      </c>
      <c r="F184" s="446" t="s">
        <v>791</v>
      </c>
      <c r="G184" s="445" t="s">
        <v>937</v>
      </c>
      <c r="H184" s="445" t="s">
        <v>938</v>
      </c>
      <c r="I184" s="448">
        <v>19</v>
      </c>
      <c r="J184" s="448">
        <v>120</v>
      </c>
      <c r="K184" s="449">
        <v>2280</v>
      </c>
    </row>
    <row r="185" spans="1:11" ht="14.4" customHeight="1" x14ac:dyDescent="0.3">
      <c r="A185" s="443" t="s">
        <v>417</v>
      </c>
      <c r="B185" s="444" t="s">
        <v>418</v>
      </c>
      <c r="C185" s="445" t="s">
        <v>426</v>
      </c>
      <c r="D185" s="446" t="s">
        <v>427</v>
      </c>
      <c r="E185" s="445" t="s">
        <v>790</v>
      </c>
      <c r="F185" s="446" t="s">
        <v>791</v>
      </c>
      <c r="G185" s="445" t="s">
        <v>939</v>
      </c>
      <c r="H185" s="445" t="s">
        <v>940</v>
      </c>
      <c r="I185" s="448">
        <v>18.920000076293945</v>
      </c>
      <c r="J185" s="448">
        <v>170</v>
      </c>
      <c r="K185" s="449">
        <v>3222</v>
      </c>
    </row>
    <row r="186" spans="1:11" ht="14.4" customHeight="1" x14ac:dyDescent="0.3">
      <c r="A186" s="443" t="s">
        <v>417</v>
      </c>
      <c r="B186" s="444" t="s">
        <v>418</v>
      </c>
      <c r="C186" s="445" t="s">
        <v>426</v>
      </c>
      <c r="D186" s="446" t="s">
        <v>427</v>
      </c>
      <c r="E186" s="445" t="s">
        <v>790</v>
      </c>
      <c r="F186" s="446" t="s">
        <v>791</v>
      </c>
      <c r="G186" s="445" t="s">
        <v>941</v>
      </c>
      <c r="H186" s="445" t="s">
        <v>942</v>
      </c>
      <c r="I186" s="448">
        <v>19</v>
      </c>
      <c r="J186" s="448">
        <v>60</v>
      </c>
      <c r="K186" s="449">
        <v>1140</v>
      </c>
    </row>
    <row r="187" spans="1:11" ht="14.4" customHeight="1" x14ac:dyDescent="0.3">
      <c r="A187" s="443" t="s">
        <v>417</v>
      </c>
      <c r="B187" s="444" t="s">
        <v>418</v>
      </c>
      <c r="C187" s="445" t="s">
        <v>426</v>
      </c>
      <c r="D187" s="446" t="s">
        <v>427</v>
      </c>
      <c r="E187" s="445" t="s">
        <v>790</v>
      </c>
      <c r="F187" s="446" t="s">
        <v>791</v>
      </c>
      <c r="G187" s="445" t="s">
        <v>943</v>
      </c>
      <c r="H187" s="445" t="s">
        <v>944</v>
      </c>
      <c r="I187" s="448">
        <v>19</v>
      </c>
      <c r="J187" s="448">
        <v>60</v>
      </c>
      <c r="K187" s="449">
        <v>1140</v>
      </c>
    </row>
    <row r="188" spans="1:11" ht="14.4" customHeight="1" x14ac:dyDescent="0.3">
      <c r="A188" s="443" t="s">
        <v>417</v>
      </c>
      <c r="B188" s="444" t="s">
        <v>418</v>
      </c>
      <c r="C188" s="445" t="s">
        <v>426</v>
      </c>
      <c r="D188" s="446" t="s">
        <v>427</v>
      </c>
      <c r="E188" s="445" t="s">
        <v>790</v>
      </c>
      <c r="F188" s="446" t="s">
        <v>791</v>
      </c>
      <c r="G188" s="445" t="s">
        <v>945</v>
      </c>
      <c r="H188" s="445" t="s">
        <v>946</v>
      </c>
      <c r="I188" s="448">
        <v>19</v>
      </c>
      <c r="J188" s="448">
        <v>40</v>
      </c>
      <c r="K188" s="449">
        <v>760</v>
      </c>
    </row>
    <row r="189" spans="1:11" ht="14.4" customHeight="1" x14ac:dyDescent="0.3">
      <c r="A189" s="443" t="s">
        <v>417</v>
      </c>
      <c r="B189" s="444" t="s">
        <v>418</v>
      </c>
      <c r="C189" s="445" t="s">
        <v>426</v>
      </c>
      <c r="D189" s="446" t="s">
        <v>427</v>
      </c>
      <c r="E189" s="445" t="s">
        <v>790</v>
      </c>
      <c r="F189" s="446" t="s">
        <v>791</v>
      </c>
      <c r="G189" s="445" t="s">
        <v>947</v>
      </c>
      <c r="H189" s="445" t="s">
        <v>948</v>
      </c>
      <c r="I189" s="448">
        <v>19</v>
      </c>
      <c r="J189" s="448">
        <v>30</v>
      </c>
      <c r="K189" s="449">
        <v>570</v>
      </c>
    </row>
    <row r="190" spans="1:11" ht="14.4" customHeight="1" x14ac:dyDescent="0.3">
      <c r="A190" s="443" t="s">
        <v>417</v>
      </c>
      <c r="B190" s="444" t="s">
        <v>418</v>
      </c>
      <c r="C190" s="445" t="s">
        <v>426</v>
      </c>
      <c r="D190" s="446" t="s">
        <v>427</v>
      </c>
      <c r="E190" s="445" t="s">
        <v>790</v>
      </c>
      <c r="F190" s="446" t="s">
        <v>791</v>
      </c>
      <c r="G190" s="445" t="s">
        <v>949</v>
      </c>
      <c r="H190" s="445" t="s">
        <v>950</v>
      </c>
      <c r="I190" s="448">
        <v>19</v>
      </c>
      <c r="J190" s="448">
        <v>20</v>
      </c>
      <c r="K190" s="449">
        <v>380</v>
      </c>
    </row>
    <row r="191" spans="1:11" ht="14.4" customHeight="1" x14ac:dyDescent="0.3">
      <c r="A191" s="443" t="s">
        <v>417</v>
      </c>
      <c r="B191" s="444" t="s">
        <v>418</v>
      </c>
      <c r="C191" s="445" t="s">
        <v>426</v>
      </c>
      <c r="D191" s="446" t="s">
        <v>427</v>
      </c>
      <c r="E191" s="445" t="s">
        <v>790</v>
      </c>
      <c r="F191" s="446" t="s">
        <v>791</v>
      </c>
      <c r="G191" s="445" t="s">
        <v>951</v>
      </c>
      <c r="H191" s="445" t="s">
        <v>952</v>
      </c>
      <c r="I191" s="448">
        <v>6.2100000381469727</v>
      </c>
      <c r="J191" s="448">
        <v>200</v>
      </c>
      <c r="K191" s="449">
        <v>1242.010009765625</v>
      </c>
    </row>
    <row r="192" spans="1:11" ht="14.4" customHeight="1" x14ac:dyDescent="0.3">
      <c r="A192" s="443" t="s">
        <v>417</v>
      </c>
      <c r="B192" s="444" t="s">
        <v>418</v>
      </c>
      <c r="C192" s="445" t="s">
        <v>426</v>
      </c>
      <c r="D192" s="446" t="s">
        <v>427</v>
      </c>
      <c r="E192" s="445" t="s">
        <v>790</v>
      </c>
      <c r="F192" s="446" t="s">
        <v>791</v>
      </c>
      <c r="G192" s="445" t="s">
        <v>953</v>
      </c>
      <c r="H192" s="445" t="s">
        <v>954</v>
      </c>
      <c r="I192" s="448">
        <v>820</v>
      </c>
      <c r="J192" s="448">
        <v>2</v>
      </c>
      <c r="K192" s="449">
        <v>1640</v>
      </c>
    </row>
    <row r="193" spans="1:11" ht="14.4" customHeight="1" x14ac:dyDescent="0.3">
      <c r="A193" s="443" t="s">
        <v>417</v>
      </c>
      <c r="B193" s="444" t="s">
        <v>418</v>
      </c>
      <c r="C193" s="445" t="s">
        <v>426</v>
      </c>
      <c r="D193" s="446" t="s">
        <v>427</v>
      </c>
      <c r="E193" s="445" t="s">
        <v>790</v>
      </c>
      <c r="F193" s="446" t="s">
        <v>791</v>
      </c>
      <c r="G193" s="445" t="s">
        <v>955</v>
      </c>
      <c r="H193" s="445" t="s">
        <v>956</v>
      </c>
      <c r="I193" s="448">
        <v>2103</v>
      </c>
      <c r="J193" s="448">
        <v>1</v>
      </c>
      <c r="K193" s="449">
        <v>2103</v>
      </c>
    </row>
    <row r="194" spans="1:11" ht="14.4" customHeight="1" x14ac:dyDescent="0.3">
      <c r="A194" s="443" t="s">
        <v>417</v>
      </c>
      <c r="B194" s="444" t="s">
        <v>418</v>
      </c>
      <c r="C194" s="445" t="s">
        <v>426</v>
      </c>
      <c r="D194" s="446" t="s">
        <v>427</v>
      </c>
      <c r="E194" s="445" t="s">
        <v>790</v>
      </c>
      <c r="F194" s="446" t="s">
        <v>791</v>
      </c>
      <c r="G194" s="445" t="s">
        <v>957</v>
      </c>
      <c r="H194" s="445" t="s">
        <v>958</v>
      </c>
      <c r="I194" s="448">
        <v>831.45001220703125</v>
      </c>
      <c r="J194" s="448">
        <v>4</v>
      </c>
      <c r="K194" s="449">
        <v>3325.8001098632812</v>
      </c>
    </row>
    <row r="195" spans="1:11" ht="14.4" customHeight="1" x14ac:dyDescent="0.3">
      <c r="A195" s="443" t="s">
        <v>417</v>
      </c>
      <c r="B195" s="444" t="s">
        <v>418</v>
      </c>
      <c r="C195" s="445" t="s">
        <v>426</v>
      </c>
      <c r="D195" s="446" t="s">
        <v>427</v>
      </c>
      <c r="E195" s="445" t="s">
        <v>790</v>
      </c>
      <c r="F195" s="446" t="s">
        <v>791</v>
      </c>
      <c r="G195" s="445" t="s">
        <v>959</v>
      </c>
      <c r="H195" s="445" t="s">
        <v>960</v>
      </c>
      <c r="I195" s="448">
        <v>125.30000305175781</v>
      </c>
      <c r="J195" s="448">
        <v>33</v>
      </c>
      <c r="K195" s="449">
        <v>4134.7799682617187</v>
      </c>
    </row>
    <row r="196" spans="1:11" ht="14.4" customHeight="1" x14ac:dyDescent="0.3">
      <c r="A196" s="443" t="s">
        <v>417</v>
      </c>
      <c r="B196" s="444" t="s">
        <v>418</v>
      </c>
      <c r="C196" s="445" t="s">
        <v>426</v>
      </c>
      <c r="D196" s="446" t="s">
        <v>427</v>
      </c>
      <c r="E196" s="445" t="s">
        <v>790</v>
      </c>
      <c r="F196" s="446" t="s">
        <v>791</v>
      </c>
      <c r="G196" s="445" t="s">
        <v>961</v>
      </c>
      <c r="H196" s="445" t="s">
        <v>962</v>
      </c>
      <c r="I196" s="448">
        <v>1410</v>
      </c>
      <c r="J196" s="448">
        <v>3</v>
      </c>
      <c r="K196" s="449">
        <v>4230</v>
      </c>
    </row>
    <row r="197" spans="1:11" ht="14.4" customHeight="1" x14ac:dyDescent="0.3">
      <c r="A197" s="443" t="s">
        <v>417</v>
      </c>
      <c r="B197" s="444" t="s">
        <v>418</v>
      </c>
      <c r="C197" s="445" t="s">
        <v>426</v>
      </c>
      <c r="D197" s="446" t="s">
        <v>427</v>
      </c>
      <c r="E197" s="445" t="s">
        <v>790</v>
      </c>
      <c r="F197" s="446" t="s">
        <v>791</v>
      </c>
      <c r="G197" s="445" t="s">
        <v>963</v>
      </c>
      <c r="H197" s="445" t="s">
        <v>964</v>
      </c>
      <c r="I197" s="448">
        <v>1410</v>
      </c>
      <c r="J197" s="448">
        <v>4</v>
      </c>
      <c r="K197" s="449">
        <v>5640</v>
      </c>
    </row>
    <row r="198" spans="1:11" ht="14.4" customHeight="1" x14ac:dyDescent="0.3">
      <c r="A198" s="443" t="s">
        <v>417</v>
      </c>
      <c r="B198" s="444" t="s">
        <v>418</v>
      </c>
      <c r="C198" s="445" t="s">
        <v>426</v>
      </c>
      <c r="D198" s="446" t="s">
        <v>427</v>
      </c>
      <c r="E198" s="445" t="s">
        <v>790</v>
      </c>
      <c r="F198" s="446" t="s">
        <v>791</v>
      </c>
      <c r="G198" s="445" t="s">
        <v>965</v>
      </c>
      <c r="H198" s="445" t="s">
        <v>966</v>
      </c>
      <c r="I198" s="448">
        <v>1409.97998046875</v>
      </c>
      <c r="J198" s="448">
        <v>8</v>
      </c>
      <c r="K198" s="449">
        <v>11279.81982421875</v>
      </c>
    </row>
    <row r="199" spans="1:11" ht="14.4" customHeight="1" x14ac:dyDescent="0.3">
      <c r="A199" s="443" t="s">
        <v>417</v>
      </c>
      <c r="B199" s="444" t="s">
        <v>418</v>
      </c>
      <c r="C199" s="445" t="s">
        <v>426</v>
      </c>
      <c r="D199" s="446" t="s">
        <v>427</v>
      </c>
      <c r="E199" s="445" t="s">
        <v>790</v>
      </c>
      <c r="F199" s="446" t="s">
        <v>791</v>
      </c>
      <c r="G199" s="445" t="s">
        <v>967</v>
      </c>
      <c r="H199" s="445" t="s">
        <v>968</v>
      </c>
      <c r="I199" s="448">
        <v>41.75</v>
      </c>
      <c r="J199" s="448">
        <v>40</v>
      </c>
      <c r="K199" s="449">
        <v>1669.800048828125</v>
      </c>
    </row>
    <row r="200" spans="1:11" ht="14.4" customHeight="1" x14ac:dyDescent="0.3">
      <c r="A200" s="443" t="s">
        <v>417</v>
      </c>
      <c r="B200" s="444" t="s">
        <v>418</v>
      </c>
      <c r="C200" s="445" t="s">
        <v>426</v>
      </c>
      <c r="D200" s="446" t="s">
        <v>427</v>
      </c>
      <c r="E200" s="445" t="s">
        <v>790</v>
      </c>
      <c r="F200" s="446" t="s">
        <v>791</v>
      </c>
      <c r="G200" s="445" t="s">
        <v>969</v>
      </c>
      <c r="H200" s="445" t="s">
        <v>970</v>
      </c>
      <c r="I200" s="448">
        <v>75.019996643066406</v>
      </c>
      <c r="J200" s="448">
        <v>10</v>
      </c>
      <c r="K200" s="449">
        <v>750.20001220703125</v>
      </c>
    </row>
    <row r="201" spans="1:11" ht="14.4" customHeight="1" x14ac:dyDescent="0.3">
      <c r="A201" s="443" t="s">
        <v>417</v>
      </c>
      <c r="B201" s="444" t="s">
        <v>418</v>
      </c>
      <c r="C201" s="445" t="s">
        <v>426</v>
      </c>
      <c r="D201" s="446" t="s">
        <v>427</v>
      </c>
      <c r="E201" s="445" t="s">
        <v>790</v>
      </c>
      <c r="F201" s="446" t="s">
        <v>791</v>
      </c>
      <c r="G201" s="445" t="s">
        <v>971</v>
      </c>
      <c r="H201" s="445" t="s">
        <v>972</v>
      </c>
      <c r="I201" s="448">
        <v>118.58000183105469</v>
      </c>
      <c r="J201" s="448">
        <v>20</v>
      </c>
      <c r="K201" s="449">
        <v>2371.60009765625</v>
      </c>
    </row>
    <row r="202" spans="1:11" ht="14.4" customHeight="1" x14ac:dyDescent="0.3">
      <c r="A202" s="443" t="s">
        <v>417</v>
      </c>
      <c r="B202" s="444" t="s">
        <v>418</v>
      </c>
      <c r="C202" s="445" t="s">
        <v>426</v>
      </c>
      <c r="D202" s="446" t="s">
        <v>427</v>
      </c>
      <c r="E202" s="445" t="s">
        <v>790</v>
      </c>
      <c r="F202" s="446" t="s">
        <v>791</v>
      </c>
      <c r="G202" s="445" t="s">
        <v>973</v>
      </c>
      <c r="H202" s="445" t="s">
        <v>974</v>
      </c>
      <c r="I202" s="448">
        <v>2722.5</v>
      </c>
      <c r="J202" s="448">
        <v>2</v>
      </c>
      <c r="K202" s="449">
        <v>5445</v>
      </c>
    </row>
    <row r="203" spans="1:11" ht="14.4" customHeight="1" x14ac:dyDescent="0.3">
      <c r="A203" s="443" t="s">
        <v>417</v>
      </c>
      <c r="B203" s="444" t="s">
        <v>418</v>
      </c>
      <c r="C203" s="445" t="s">
        <v>426</v>
      </c>
      <c r="D203" s="446" t="s">
        <v>427</v>
      </c>
      <c r="E203" s="445" t="s">
        <v>790</v>
      </c>
      <c r="F203" s="446" t="s">
        <v>791</v>
      </c>
      <c r="G203" s="445" t="s">
        <v>975</v>
      </c>
      <c r="H203" s="445" t="s">
        <v>976</v>
      </c>
      <c r="I203" s="448">
        <v>490.04998779296875</v>
      </c>
      <c r="J203" s="448">
        <v>1</v>
      </c>
      <c r="K203" s="449">
        <v>490.04998779296875</v>
      </c>
    </row>
    <row r="204" spans="1:11" ht="14.4" customHeight="1" x14ac:dyDescent="0.3">
      <c r="A204" s="443" t="s">
        <v>417</v>
      </c>
      <c r="B204" s="444" t="s">
        <v>418</v>
      </c>
      <c r="C204" s="445" t="s">
        <v>426</v>
      </c>
      <c r="D204" s="446" t="s">
        <v>427</v>
      </c>
      <c r="E204" s="445" t="s">
        <v>790</v>
      </c>
      <c r="F204" s="446" t="s">
        <v>791</v>
      </c>
      <c r="G204" s="445" t="s">
        <v>977</v>
      </c>
      <c r="H204" s="445" t="s">
        <v>978</v>
      </c>
      <c r="I204" s="448">
        <v>490.04998779296875</v>
      </c>
      <c r="J204" s="448">
        <v>1</v>
      </c>
      <c r="K204" s="449">
        <v>490.04998779296875</v>
      </c>
    </row>
    <row r="205" spans="1:11" ht="14.4" customHeight="1" x14ac:dyDescent="0.3">
      <c r="A205" s="443" t="s">
        <v>417</v>
      </c>
      <c r="B205" s="444" t="s">
        <v>418</v>
      </c>
      <c r="C205" s="445" t="s">
        <v>426</v>
      </c>
      <c r="D205" s="446" t="s">
        <v>427</v>
      </c>
      <c r="E205" s="445" t="s">
        <v>790</v>
      </c>
      <c r="F205" s="446" t="s">
        <v>791</v>
      </c>
      <c r="G205" s="445" t="s">
        <v>979</v>
      </c>
      <c r="H205" s="445" t="s">
        <v>980</v>
      </c>
      <c r="I205" s="448">
        <v>2064.260009765625</v>
      </c>
      <c r="J205" s="448">
        <v>1</v>
      </c>
      <c r="K205" s="449">
        <v>2064.260009765625</v>
      </c>
    </row>
    <row r="206" spans="1:11" ht="14.4" customHeight="1" x14ac:dyDescent="0.3">
      <c r="A206" s="443" t="s">
        <v>417</v>
      </c>
      <c r="B206" s="444" t="s">
        <v>418</v>
      </c>
      <c r="C206" s="445" t="s">
        <v>426</v>
      </c>
      <c r="D206" s="446" t="s">
        <v>427</v>
      </c>
      <c r="E206" s="445" t="s">
        <v>790</v>
      </c>
      <c r="F206" s="446" t="s">
        <v>791</v>
      </c>
      <c r="G206" s="445" t="s">
        <v>981</v>
      </c>
      <c r="H206" s="445" t="s">
        <v>982</v>
      </c>
      <c r="I206" s="448">
        <v>2064.260009765625</v>
      </c>
      <c r="J206" s="448">
        <v>1</v>
      </c>
      <c r="K206" s="449">
        <v>2064.260009765625</v>
      </c>
    </row>
    <row r="207" spans="1:11" ht="14.4" customHeight="1" x14ac:dyDescent="0.3">
      <c r="A207" s="443" t="s">
        <v>417</v>
      </c>
      <c r="B207" s="444" t="s">
        <v>418</v>
      </c>
      <c r="C207" s="445" t="s">
        <v>426</v>
      </c>
      <c r="D207" s="446" t="s">
        <v>427</v>
      </c>
      <c r="E207" s="445" t="s">
        <v>790</v>
      </c>
      <c r="F207" s="446" t="s">
        <v>791</v>
      </c>
      <c r="G207" s="445" t="s">
        <v>983</v>
      </c>
      <c r="H207" s="445" t="s">
        <v>984</v>
      </c>
      <c r="I207" s="448">
        <v>19.969999313354492</v>
      </c>
      <c r="J207" s="448">
        <v>10</v>
      </c>
      <c r="K207" s="449">
        <v>199.64999389648437</v>
      </c>
    </row>
    <row r="208" spans="1:11" ht="14.4" customHeight="1" x14ac:dyDescent="0.3">
      <c r="A208" s="443" t="s">
        <v>417</v>
      </c>
      <c r="B208" s="444" t="s">
        <v>418</v>
      </c>
      <c r="C208" s="445" t="s">
        <v>426</v>
      </c>
      <c r="D208" s="446" t="s">
        <v>427</v>
      </c>
      <c r="E208" s="445" t="s">
        <v>790</v>
      </c>
      <c r="F208" s="446" t="s">
        <v>791</v>
      </c>
      <c r="G208" s="445" t="s">
        <v>985</v>
      </c>
      <c r="H208" s="445" t="s">
        <v>986</v>
      </c>
      <c r="I208" s="448">
        <v>245.33333333333334</v>
      </c>
      <c r="J208" s="448">
        <v>54</v>
      </c>
      <c r="K208" s="449">
        <v>13478.8798828125</v>
      </c>
    </row>
    <row r="209" spans="1:11" ht="14.4" customHeight="1" x14ac:dyDescent="0.3">
      <c r="A209" s="443" t="s">
        <v>417</v>
      </c>
      <c r="B209" s="444" t="s">
        <v>418</v>
      </c>
      <c r="C209" s="445" t="s">
        <v>426</v>
      </c>
      <c r="D209" s="446" t="s">
        <v>427</v>
      </c>
      <c r="E209" s="445" t="s">
        <v>790</v>
      </c>
      <c r="F209" s="446" t="s">
        <v>791</v>
      </c>
      <c r="G209" s="445" t="s">
        <v>987</v>
      </c>
      <c r="H209" s="445" t="s">
        <v>988</v>
      </c>
      <c r="I209" s="448">
        <v>2064.010009765625</v>
      </c>
      <c r="J209" s="448">
        <v>1</v>
      </c>
      <c r="K209" s="449">
        <v>2064.010009765625</v>
      </c>
    </row>
    <row r="210" spans="1:11" ht="14.4" customHeight="1" x14ac:dyDescent="0.3">
      <c r="A210" s="443" t="s">
        <v>417</v>
      </c>
      <c r="B210" s="444" t="s">
        <v>418</v>
      </c>
      <c r="C210" s="445" t="s">
        <v>426</v>
      </c>
      <c r="D210" s="446" t="s">
        <v>427</v>
      </c>
      <c r="E210" s="445" t="s">
        <v>790</v>
      </c>
      <c r="F210" s="446" t="s">
        <v>791</v>
      </c>
      <c r="G210" s="445" t="s">
        <v>989</v>
      </c>
      <c r="H210" s="445" t="s">
        <v>990</v>
      </c>
      <c r="I210" s="448">
        <v>227.86000061035156</v>
      </c>
      <c r="J210" s="448">
        <v>5</v>
      </c>
      <c r="K210" s="449">
        <v>1139.280029296875</v>
      </c>
    </row>
    <row r="211" spans="1:11" ht="14.4" customHeight="1" x14ac:dyDescent="0.3">
      <c r="A211" s="443" t="s">
        <v>417</v>
      </c>
      <c r="B211" s="444" t="s">
        <v>418</v>
      </c>
      <c r="C211" s="445" t="s">
        <v>426</v>
      </c>
      <c r="D211" s="446" t="s">
        <v>427</v>
      </c>
      <c r="E211" s="445" t="s">
        <v>790</v>
      </c>
      <c r="F211" s="446" t="s">
        <v>791</v>
      </c>
      <c r="G211" s="445" t="s">
        <v>991</v>
      </c>
      <c r="H211" s="445" t="s">
        <v>992</v>
      </c>
      <c r="I211" s="448">
        <v>286.2282445571002</v>
      </c>
      <c r="J211" s="448">
        <v>92</v>
      </c>
      <c r="K211" s="449">
        <v>26332.75</v>
      </c>
    </row>
    <row r="212" spans="1:11" ht="14.4" customHeight="1" x14ac:dyDescent="0.3">
      <c r="A212" s="443" t="s">
        <v>417</v>
      </c>
      <c r="B212" s="444" t="s">
        <v>418</v>
      </c>
      <c r="C212" s="445" t="s">
        <v>426</v>
      </c>
      <c r="D212" s="446" t="s">
        <v>427</v>
      </c>
      <c r="E212" s="445" t="s">
        <v>790</v>
      </c>
      <c r="F212" s="446" t="s">
        <v>791</v>
      </c>
      <c r="G212" s="445" t="s">
        <v>993</v>
      </c>
      <c r="H212" s="445" t="s">
        <v>994</v>
      </c>
      <c r="I212" s="448">
        <v>1132.800048828125</v>
      </c>
      <c r="J212" s="448">
        <v>1</v>
      </c>
      <c r="K212" s="449">
        <v>1132.800048828125</v>
      </c>
    </row>
    <row r="213" spans="1:11" ht="14.4" customHeight="1" x14ac:dyDescent="0.3">
      <c r="A213" s="443" t="s">
        <v>417</v>
      </c>
      <c r="B213" s="444" t="s">
        <v>418</v>
      </c>
      <c r="C213" s="445" t="s">
        <v>426</v>
      </c>
      <c r="D213" s="446" t="s">
        <v>427</v>
      </c>
      <c r="E213" s="445" t="s">
        <v>790</v>
      </c>
      <c r="F213" s="446" t="s">
        <v>791</v>
      </c>
      <c r="G213" s="445" t="s">
        <v>995</v>
      </c>
      <c r="H213" s="445" t="s">
        <v>996</v>
      </c>
      <c r="I213" s="448">
        <v>1102.31005859375</v>
      </c>
      <c r="J213" s="448">
        <v>3</v>
      </c>
      <c r="K213" s="449">
        <v>3306.93017578125</v>
      </c>
    </row>
    <row r="214" spans="1:11" ht="14.4" customHeight="1" x14ac:dyDescent="0.3">
      <c r="A214" s="443" t="s">
        <v>417</v>
      </c>
      <c r="B214" s="444" t="s">
        <v>418</v>
      </c>
      <c r="C214" s="445" t="s">
        <v>426</v>
      </c>
      <c r="D214" s="446" t="s">
        <v>427</v>
      </c>
      <c r="E214" s="445" t="s">
        <v>790</v>
      </c>
      <c r="F214" s="446" t="s">
        <v>791</v>
      </c>
      <c r="G214" s="445" t="s">
        <v>997</v>
      </c>
      <c r="H214" s="445" t="s">
        <v>998</v>
      </c>
      <c r="I214" s="448">
        <v>2979</v>
      </c>
      <c r="J214" s="448">
        <v>3</v>
      </c>
      <c r="K214" s="449">
        <v>8937</v>
      </c>
    </row>
    <row r="215" spans="1:11" ht="14.4" customHeight="1" x14ac:dyDescent="0.3">
      <c r="A215" s="443" t="s">
        <v>417</v>
      </c>
      <c r="B215" s="444" t="s">
        <v>418</v>
      </c>
      <c r="C215" s="445" t="s">
        <v>426</v>
      </c>
      <c r="D215" s="446" t="s">
        <v>427</v>
      </c>
      <c r="E215" s="445" t="s">
        <v>790</v>
      </c>
      <c r="F215" s="446" t="s">
        <v>791</v>
      </c>
      <c r="G215" s="445" t="s">
        <v>999</v>
      </c>
      <c r="H215" s="445" t="s">
        <v>1000</v>
      </c>
      <c r="I215" s="448">
        <v>2201</v>
      </c>
      <c r="J215" s="448">
        <v>3</v>
      </c>
      <c r="K215" s="449">
        <v>6603</v>
      </c>
    </row>
    <row r="216" spans="1:11" ht="14.4" customHeight="1" x14ac:dyDescent="0.3">
      <c r="A216" s="443" t="s">
        <v>417</v>
      </c>
      <c r="B216" s="444" t="s">
        <v>418</v>
      </c>
      <c r="C216" s="445" t="s">
        <v>426</v>
      </c>
      <c r="D216" s="446" t="s">
        <v>427</v>
      </c>
      <c r="E216" s="445" t="s">
        <v>790</v>
      </c>
      <c r="F216" s="446" t="s">
        <v>791</v>
      </c>
      <c r="G216" s="445" t="s">
        <v>1001</v>
      </c>
      <c r="H216" s="445" t="s">
        <v>1002</v>
      </c>
      <c r="I216" s="448">
        <v>2096.949951171875</v>
      </c>
      <c r="J216" s="448">
        <v>5</v>
      </c>
      <c r="K216" s="449">
        <v>10484.75</v>
      </c>
    </row>
    <row r="217" spans="1:11" ht="14.4" customHeight="1" x14ac:dyDescent="0.3">
      <c r="A217" s="443" t="s">
        <v>417</v>
      </c>
      <c r="B217" s="444" t="s">
        <v>418</v>
      </c>
      <c r="C217" s="445" t="s">
        <v>426</v>
      </c>
      <c r="D217" s="446" t="s">
        <v>427</v>
      </c>
      <c r="E217" s="445" t="s">
        <v>790</v>
      </c>
      <c r="F217" s="446" t="s">
        <v>791</v>
      </c>
      <c r="G217" s="445" t="s">
        <v>1003</v>
      </c>
      <c r="H217" s="445" t="s">
        <v>1004</v>
      </c>
      <c r="I217" s="448">
        <v>281.92999267578125</v>
      </c>
      <c r="J217" s="448">
        <v>2</v>
      </c>
      <c r="K217" s="449">
        <v>563.8599853515625</v>
      </c>
    </row>
    <row r="218" spans="1:11" ht="14.4" customHeight="1" x14ac:dyDescent="0.3">
      <c r="A218" s="443" t="s">
        <v>417</v>
      </c>
      <c r="B218" s="444" t="s">
        <v>418</v>
      </c>
      <c r="C218" s="445" t="s">
        <v>426</v>
      </c>
      <c r="D218" s="446" t="s">
        <v>427</v>
      </c>
      <c r="E218" s="445" t="s">
        <v>790</v>
      </c>
      <c r="F218" s="446" t="s">
        <v>791</v>
      </c>
      <c r="G218" s="445" t="s">
        <v>1005</v>
      </c>
      <c r="H218" s="445" t="s">
        <v>1006</v>
      </c>
      <c r="I218" s="448">
        <v>281.92999267578125</v>
      </c>
      <c r="J218" s="448">
        <v>2</v>
      </c>
      <c r="K218" s="449">
        <v>563.8599853515625</v>
      </c>
    </row>
    <row r="219" spans="1:11" ht="14.4" customHeight="1" x14ac:dyDescent="0.3">
      <c r="A219" s="443" t="s">
        <v>417</v>
      </c>
      <c r="B219" s="444" t="s">
        <v>418</v>
      </c>
      <c r="C219" s="445" t="s">
        <v>426</v>
      </c>
      <c r="D219" s="446" t="s">
        <v>427</v>
      </c>
      <c r="E219" s="445" t="s">
        <v>790</v>
      </c>
      <c r="F219" s="446" t="s">
        <v>791</v>
      </c>
      <c r="G219" s="445" t="s">
        <v>1007</v>
      </c>
      <c r="H219" s="445" t="s">
        <v>1008</v>
      </c>
      <c r="I219" s="448">
        <v>443.39999389648437</v>
      </c>
      <c r="J219" s="448">
        <v>3</v>
      </c>
      <c r="K219" s="449">
        <v>1330.2099609375</v>
      </c>
    </row>
    <row r="220" spans="1:11" ht="14.4" customHeight="1" x14ac:dyDescent="0.3">
      <c r="A220" s="443" t="s">
        <v>417</v>
      </c>
      <c r="B220" s="444" t="s">
        <v>418</v>
      </c>
      <c r="C220" s="445" t="s">
        <v>426</v>
      </c>
      <c r="D220" s="446" t="s">
        <v>427</v>
      </c>
      <c r="E220" s="445" t="s">
        <v>790</v>
      </c>
      <c r="F220" s="446" t="s">
        <v>791</v>
      </c>
      <c r="G220" s="445" t="s">
        <v>1009</v>
      </c>
      <c r="H220" s="445" t="s">
        <v>1010</v>
      </c>
      <c r="I220" s="448">
        <v>1259.5075073242187</v>
      </c>
      <c r="J220" s="448">
        <v>12</v>
      </c>
      <c r="K220" s="449">
        <v>15114.080078125</v>
      </c>
    </row>
    <row r="221" spans="1:11" ht="14.4" customHeight="1" x14ac:dyDescent="0.3">
      <c r="A221" s="443" t="s">
        <v>417</v>
      </c>
      <c r="B221" s="444" t="s">
        <v>418</v>
      </c>
      <c r="C221" s="445" t="s">
        <v>426</v>
      </c>
      <c r="D221" s="446" t="s">
        <v>427</v>
      </c>
      <c r="E221" s="445" t="s">
        <v>790</v>
      </c>
      <c r="F221" s="446" t="s">
        <v>791</v>
      </c>
      <c r="G221" s="445" t="s">
        <v>1011</v>
      </c>
      <c r="H221" s="445" t="s">
        <v>1012</v>
      </c>
      <c r="I221" s="448">
        <v>1508.1600341796875</v>
      </c>
      <c r="J221" s="448">
        <v>1</v>
      </c>
      <c r="K221" s="449">
        <v>1508.1600341796875</v>
      </c>
    </row>
    <row r="222" spans="1:11" ht="14.4" customHeight="1" x14ac:dyDescent="0.3">
      <c r="A222" s="443" t="s">
        <v>417</v>
      </c>
      <c r="B222" s="444" t="s">
        <v>418</v>
      </c>
      <c r="C222" s="445" t="s">
        <v>426</v>
      </c>
      <c r="D222" s="446" t="s">
        <v>427</v>
      </c>
      <c r="E222" s="445" t="s">
        <v>790</v>
      </c>
      <c r="F222" s="446" t="s">
        <v>791</v>
      </c>
      <c r="G222" s="445" t="s">
        <v>1013</v>
      </c>
      <c r="H222" s="445" t="s">
        <v>1014</v>
      </c>
      <c r="I222" s="448">
        <v>1782.719970703125</v>
      </c>
      <c r="J222" s="448">
        <v>2</v>
      </c>
      <c r="K222" s="449">
        <v>3565.43994140625</v>
      </c>
    </row>
    <row r="223" spans="1:11" ht="14.4" customHeight="1" x14ac:dyDescent="0.3">
      <c r="A223" s="443" t="s">
        <v>417</v>
      </c>
      <c r="B223" s="444" t="s">
        <v>418</v>
      </c>
      <c r="C223" s="445" t="s">
        <v>426</v>
      </c>
      <c r="D223" s="446" t="s">
        <v>427</v>
      </c>
      <c r="E223" s="445" t="s">
        <v>790</v>
      </c>
      <c r="F223" s="446" t="s">
        <v>791</v>
      </c>
      <c r="G223" s="445" t="s">
        <v>1015</v>
      </c>
      <c r="H223" s="445" t="s">
        <v>1016</v>
      </c>
      <c r="I223" s="448">
        <v>1112.6000061035156</v>
      </c>
      <c r="J223" s="448">
        <v>7</v>
      </c>
      <c r="K223" s="449">
        <v>7788.169921875</v>
      </c>
    </row>
    <row r="224" spans="1:11" ht="14.4" customHeight="1" x14ac:dyDescent="0.3">
      <c r="A224" s="443" t="s">
        <v>417</v>
      </c>
      <c r="B224" s="444" t="s">
        <v>418</v>
      </c>
      <c r="C224" s="445" t="s">
        <v>426</v>
      </c>
      <c r="D224" s="446" t="s">
        <v>427</v>
      </c>
      <c r="E224" s="445" t="s">
        <v>790</v>
      </c>
      <c r="F224" s="446" t="s">
        <v>791</v>
      </c>
      <c r="G224" s="445" t="s">
        <v>1017</v>
      </c>
      <c r="H224" s="445" t="s">
        <v>1018</v>
      </c>
      <c r="I224" s="448">
        <v>1018.8200073242187</v>
      </c>
      <c r="J224" s="448">
        <v>1</v>
      </c>
      <c r="K224" s="449">
        <v>1018.8200073242187</v>
      </c>
    </row>
    <row r="225" spans="1:11" ht="14.4" customHeight="1" x14ac:dyDescent="0.3">
      <c r="A225" s="443" t="s">
        <v>417</v>
      </c>
      <c r="B225" s="444" t="s">
        <v>418</v>
      </c>
      <c r="C225" s="445" t="s">
        <v>426</v>
      </c>
      <c r="D225" s="446" t="s">
        <v>427</v>
      </c>
      <c r="E225" s="445" t="s">
        <v>790</v>
      </c>
      <c r="F225" s="446" t="s">
        <v>791</v>
      </c>
      <c r="G225" s="445" t="s">
        <v>1019</v>
      </c>
      <c r="H225" s="445" t="s">
        <v>1020</v>
      </c>
      <c r="I225" s="448">
        <v>6648.9501953125</v>
      </c>
      <c r="J225" s="448">
        <v>1</v>
      </c>
      <c r="K225" s="449">
        <v>6648.9501953125</v>
      </c>
    </row>
    <row r="226" spans="1:11" ht="14.4" customHeight="1" x14ac:dyDescent="0.3">
      <c r="A226" s="443" t="s">
        <v>417</v>
      </c>
      <c r="B226" s="444" t="s">
        <v>418</v>
      </c>
      <c r="C226" s="445" t="s">
        <v>426</v>
      </c>
      <c r="D226" s="446" t="s">
        <v>427</v>
      </c>
      <c r="E226" s="445" t="s">
        <v>790</v>
      </c>
      <c r="F226" s="446" t="s">
        <v>791</v>
      </c>
      <c r="G226" s="445" t="s">
        <v>1021</v>
      </c>
      <c r="H226" s="445" t="s">
        <v>1022</v>
      </c>
      <c r="I226" s="448">
        <v>6785</v>
      </c>
      <c r="J226" s="448">
        <v>1</v>
      </c>
      <c r="K226" s="449">
        <v>6785</v>
      </c>
    </row>
    <row r="227" spans="1:11" ht="14.4" customHeight="1" x14ac:dyDescent="0.3">
      <c r="A227" s="443" t="s">
        <v>417</v>
      </c>
      <c r="B227" s="444" t="s">
        <v>418</v>
      </c>
      <c r="C227" s="445" t="s">
        <v>426</v>
      </c>
      <c r="D227" s="446" t="s">
        <v>427</v>
      </c>
      <c r="E227" s="445" t="s">
        <v>790</v>
      </c>
      <c r="F227" s="446" t="s">
        <v>791</v>
      </c>
      <c r="G227" s="445" t="s">
        <v>1023</v>
      </c>
      <c r="H227" s="445" t="s">
        <v>1024</v>
      </c>
      <c r="I227" s="448">
        <v>6785</v>
      </c>
      <c r="J227" s="448">
        <v>2</v>
      </c>
      <c r="K227" s="449">
        <v>13570</v>
      </c>
    </row>
    <row r="228" spans="1:11" ht="14.4" customHeight="1" x14ac:dyDescent="0.3">
      <c r="A228" s="443" t="s">
        <v>417</v>
      </c>
      <c r="B228" s="444" t="s">
        <v>418</v>
      </c>
      <c r="C228" s="445" t="s">
        <v>426</v>
      </c>
      <c r="D228" s="446" t="s">
        <v>427</v>
      </c>
      <c r="E228" s="445" t="s">
        <v>790</v>
      </c>
      <c r="F228" s="446" t="s">
        <v>791</v>
      </c>
      <c r="G228" s="445" t="s">
        <v>1025</v>
      </c>
      <c r="H228" s="445" t="s">
        <v>1026</v>
      </c>
      <c r="I228" s="448">
        <v>6785</v>
      </c>
      <c r="J228" s="448">
        <v>4</v>
      </c>
      <c r="K228" s="449">
        <v>27140</v>
      </c>
    </row>
    <row r="229" spans="1:11" ht="14.4" customHeight="1" x14ac:dyDescent="0.3">
      <c r="A229" s="443" t="s">
        <v>417</v>
      </c>
      <c r="B229" s="444" t="s">
        <v>418</v>
      </c>
      <c r="C229" s="445" t="s">
        <v>426</v>
      </c>
      <c r="D229" s="446" t="s">
        <v>427</v>
      </c>
      <c r="E229" s="445" t="s">
        <v>790</v>
      </c>
      <c r="F229" s="446" t="s">
        <v>791</v>
      </c>
      <c r="G229" s="445" t="s">
        <v>1027</v>
      </c>
      <c r="H229" s="445" t="s">
        <v>1028</v>
      </c>
      <c r="I229" s="448">
        <v>3864</v>
      </c>
      <c r="J229" s="448">
        <v>1</v>
      </c>
      <c r="K229" s="449">
        <v>3864</v>
      </c>
    </row>
    <row r="230" spans="1:11" ht="14.4" customHeight="1" x14ac:dyDescent="0.3">
      <c r="A230" s="443" t="s">
        <v>417</v>
      </c>
      <c r="B230" s="444" t="s">
        <v>418</v>
      </c>
      <c r="C230" s="445" t="s">
        <v>426</v>
      </c>
      <c r="D230" s="446" t="s">
        <v>427</v>
      </c>
      <c r="E230" s="445" t="s">
        <v>790</v>
      </c>
      <c r="F230" s="446" t="s">
        <v>791</v>
      </c>
      <c r="G230" s="445" t="s">
        <v>1029</v>
      </c>
      <c r="H230" s="445" t="s">
        <v>1030</v>
      </c>
      <c r="I230" s="448">
        <v>3864</v>
      </c>
      <c r="J230" s="448">
        <v>2</v>
      </c>
      <c r="K230" s="449">
        <v>7728</v>
      </c>
    </row>
    <row r="231" spans="1:11" ht="14.4" customHeight="1" x14ac:dyDescent="0.3">
      <c r="A231" s="443" t="s">
        <v>417</v>
      </c>
      <c r="B231" s="444" t="s">
        <v>418</v>
      </c>
      <c r="C231" s="445" t="s">
        <v>426</v>
      </c>
      <c r="D231" s="446" t="s">
        <v>427</v>
      </c>
      <c r="E231" s="445" t="s">
        <v>790</v>
      </c>
      <c r="F231" s="446" t="s">
        <v>791</v>
      </c>
      <c r="G231" s="445" t="s">
        <v>1031</v>
      </c>
      <c r="H231" s="445" t="s">
        <v>1032</v>
      </c>
      <c r="I231" s="448">
        <v>3864</v>
      </c>
      <c r="J231" s="448">
        <v>1</v>
      </c>
      <c r="K231" s="449">
        <v>3864</v>
      </c>
    </row>
    <row r="232" spans="1:11" ht="14.4" customHeight="1" x14ac:dyDescent="0.3">
      <c r="A232" s="443" t="s">
        <v>417</v>
      </c>
      <c r="B232" s="444" t="s">
        <v>418</v>
      </c>
      <c r="C232" s="445" t="s">
        <v>426</v>
      </c>
      <c r="D232" s="446" t="s">
        <v>427</v>
      </c>
      <c r="E232" s="445" t="s">
        <v>790</v>
      </c>
      <c r="F232" s="446" t="s">
        <v>791</v>
      </c>
      <c r="G232" s="445" t="s">
        <v>1033</v>
      </c>
      <c r="H232" s="445" t="s">
        <v>1034</v>
      </c>
      <c r="I232" s="448">
        <v>3877.7099609375</v>
      </c>
      <c r="J232" s="448">
        <v>2</v>
      </c>
      <c r="K232" s="449">
        <v>7755.419921875</v>
      </c>
    </row>
    <row r="233" spans="1:11" ht="14.4" customHeight="1" x14ac:dyDescent="0.3">
      <c r="A233" s="443" t="s">
        <v>417</v>
      </c>
      <c r="B233" s="444" t="s">
        <v>418</v>
      </c>
      <c r="C233" s="445" t="s">
        <v>426</v>
      </c>
      <c r="D233" s="446" t="s">
        <v>427</v>
      </c>
      <c r="E233" s="445" t="s">
        <v>790</v>
      </c>
      <c r="F233" s="446" t="s">
        <v>791</v>
      </c>
      <c r="G233" s="445" t="s">
        <v>1035</v>
      </c>
      <c r="H233" s="445" t="s">
        <v>1036</v>
      </c>
      <c r="I233" s="448">
        <v>3864</v>
      </c>
      <c r="J233" s="448">
        <v>1</v>
      </c>
      <c r="K233" s="449">
        <v>3864</v>
      </c>
    </row>
    <row r="234" spans="1:11" ht="14.4" customHeight="1" x14ac:dyDescent="0.3">
      <c r="A234" s="443" t="s">
        <v>417</v>
      </c>
      <c r="B234" s="444" t="s">
        <v>418</v>
      </c>
      <c r="C234" s="445" t="s">
        <v>426</v>
      </c>
      <c r="D234" s="446" t="s">
        <v>427</v>
      </c>
      <c r="E234" s="445" t="s">
        <v>790</v>
      </c>
      <c r="F234" s="446" t="s">
        <v>791</v>
      </c>
      <c r="G234" s="445" t="s">
        <v>1037</v>
      </c>
      <c r="H234" s="445" t="s">
        <v>1038</v>
      </c>
      <c r="I234" s="448">
        <v>3864</v>
      </c>
      <c r="J234" s="448">
        <v>1</v>
      </c>
      <c r="K234" s="449">
        <v>3864</v>
      </c>
    </row>
    <row r="235" spans="1:11" ht="14.4" customHeight="1" x14ac:dyDescent="0.3">
      <c r="A235" s="443" t="s">
        <v>417</v>
      </c>
      <c r="B235" s="444" t="s">
        <v>418</v>
      </c>
      <c r="C235" s="445" t="s">
        <v>426</v>
      </c>
      <c r="D235" s="446" t="s">
        <v>427</v>
      </c>
      <c r="E235" s="445" t="s">
        <v>790</v>
      </c>
      <c r="F235" s="446" t="s">
        <v>791</v>
      </c>
      <c r="G235" s="445" t="s">
        <v>1039</v>
      </c>
      <c r="H235" s="445" t="s">
        <v>1040</v>
      </c>
      <c r="I235" s="448">
        <v>3864</v>
      </c>
      <c r="J235" s="448">
        <v>1</v>
      </c>
      <c r="K235" s="449">
        <v>3864</v>
      </c>
    </row>
    <row r="236" spans="1:11" ht="14.4" customHeight="1" x14ac:dyDescent="0.3">
      <c r="A236" s="443" t="s">
        <v>417</v>
      </c>
      <c r="B236" s="444" t="s">
        <v>418</v>
      </c>
      <c r="C236" s="445" t="s">
        <v>426</v>
      </c>
      <c r="D236" s="446" t="s">
        <v>427</v>
      </c>
      <c r="E236" s="445" t="s">
        <v>790</v>
      </c>
      <c r="F236" s="446" t="s">
        <v>791</v>
      </c>
      <c r="G236" s="445" t="s">
        <v>1041</v>
      </c>
      <c r="H236" s="445" t="s">
        <v>1042</v>
      </c>
      <c r="I236" s="448">
        <v>3891.429931640625</v>
      </c>
      <c r="J236" s="448">
        <v>1</v>
      </c>
      <c r="K236" s="449">
        <v>3891.429931640625</v>
      </c>
    </row>
    <row r="237" spans="1:11" ht="14.4" customHeight="1" x14ac:dyDescent="0.3">
      <c r="A237" s="443" t="s">
        <v>417</v>
      </c>
      <c r="B237" s="444" t="s">
        <v>418</v>
      </c>
      <c r="C237" s="445" t="s">
        <v>426</v>
      </c>
      <c r="D237" s="446" t="s">
        <v>427</v>
      </c>
      <c r="E237" s="445" t="s">
        <v>790</v>
      </c>
      <c r="F237" s="446" t="s">
        <v>791</v>
      </c>
      <c r="G237" s="445" t="s">
        <v>1043</v>
      </c>
      <c r="H237" s="445" t="s">
        <v>1044</v>
      </c>
      <c r="I237" s="448">
        <v>3864</v>
      </c>
      <c r="J237" s="448">
        <v>1</v>
      </c>
      <c r="K237" s="449">
        <v>3864</v>
      </c>
    </row>
    <row r="238" spans="1:11" ht="14.4" customHeight="1" x14ac:dyDescent="0.3">
      <c r="A238" s="443" t="s">
        <v>417</v>
      </c>
      <c r="B238" s="444" t="s">
        <v>418</v>
      </c>
      <c r="C238" s="445" t="s">
        <v>426</v>
      </c>
      <c r="D238" s="446" t="s">
        <v>427</v>
      </c>
      <c r="E238" s="445" t="s">
        <v>790</v>
      </c>
      <c r="F238" s="446" t="s">
        <v>791</v>
      </c>
      <c r="G238" s="445" t="s">
        <v>1045</v>
      </c>
      <c r="H238" s="445" t="s">
        <v>1046</v>
      </c>
      <c r="I238" s="448">
        <v>3864</v>
      </c>
      <c r="J238" s="448">
        <v>2</v>
      </c>
      <c r="K238" s="449">
        <v>7728</v>
      </c>
    </row>
    <row r="239" spans="1:11" ht="14.4" customHeight="1" x14ac:dyDescent="0.3">
      <c r="A239" s="443" t="s">
        <v>417</v>
      </c>
      <c r="B239" s="444" t="s">
        <v>418</v>
      </c>
      <c r="C239" s="445" t="s">
        <v>426</v>
      </c>
      <c r="D239" s="446" t="s">
        <v>427</v>
      </c>
      <c r="E239" s="445" t="s">
        <v>790</v>
      </c>
      <c r="F239" s="446" t="s">
        <v>791</v>
      </c>
      <c r="G239" s="445" t="s">
        <v>1047</v>
      </c>
      <c r="H239" s="445" t="s">
        <v>1048</v>
      </c>
      <c r="I239" s="448">
        <v>3891.429931640625</v>
      </c>
      <c r="J239" s="448">
        <v>1</v>
      </c>
      <c r="K239" s="449">
        <v>3891.429931640625</v>
      </c>
    </row>
    <row r="240" spans="1:11" ht="14.4" customHeight="1" x14ac:dyDescent="0.3">
      <c r="A240" s="443" t="s">
        <v>417</v>
      </c>
      <c r="B240" s="444" t="s">
        <v>418</v>
      </c>
      <c r="C240" s="445" t="s">
        <v>426</v>
      </c>
      <c r="D240" s="446" t="s">
        <v>427</v>
      </c>
      <c r="E240" s="445" t="s">
        <v>790</v>
      </c>
      <c r="F240" s="446" t="s">
        <v>791</v>
      </c>
      <c r="G240" s="445" t="s">
        <v>1049</v>
      </c>
      <c r="H240" s="445" t="s">
        <v>1050</v>
      </c>
      <c r="I240" s="448">
        <v>3864</v>
      </c>
      <c r="J240" s="448">
        <v>1</v>
      </c>
      <c r="K240" s="449">
        <v>3864</v>
      </c>
    </row>
    <row r="241" spans="1:11" ht="14.4" customHeight="1" x14ac:dyDescent="0.3">
      <c r="A241" s="443" t="s">
        <v>417</v>
      </c>
      <c r="B241" s="444" t="s">
        <v>418</v>
      </c>
      <c r="C241" s="445" t="s">
        <v>426</v>
      </c>
      <c r="D241" s="446" t="s">
        <v>427</v>
      </c>
      <c r="E241" s="445" t="s">
        <v>790</v>
      </c>
      <c r="F241" s="446" t="s">
        <v>791</v>
      </c>
      <c r="G241" s="445" t="s">
        <v>1051</v>
      </c>
      <c r="H241" s="445" t="s">
        <v>1052</v>
      </c>
      <c r="I241" s="448">
        <v>3864</v>
      </c>
      <c r="J241" s="448">
        <v>2</v>
      </c>
      <c r="K241" s="449">
        <v>7728</v>
      </c>
    </row>
    <row r="242" spans="1:11" ht="14.4" customHeight="1" x14ac:dyDescent="0.3">
      <c r="A242" s="443" t="s">
        <v>417</v>
      </c>
      <c r="B242" s="444" t="s">
        <v>418</v>
      </c>
      <c r="C242" s="445" t="s">
        <v>426</v>
      </c>
      <c r="D242" s="446" t="s">
        <v>427</v>
      </c>
      <c r="E242" s="445" t="s">
        <v>790</v>
      </c>
      <c r="F242" s="446" t="s">
        <v>791</v>
      </c>
      <c r="G242" s="445" t="s">
        <v>1053</v>
      </c>
      <c r="H242" s="445" t="s">
        <v>1054</v>
      </c>
      <c r="I242" s="448">
        <v>3156.75</v>
      </c>
      <c r="J242" s="448">
        <v>2</v>
      </c>
      <c r="K242" s="449">
        <v>6313.5</v>
      </c>
    </row>
    <row r="243" spans="1:11" ht="14.4" customHeight="1" x14ac:dyDescent="0.3">
      <c r="A243" s="443" t="s">
        <v>417</v>
      </c>
      <c r="B243" s="444" t="s">
        <v>418</v>
      </c>
      <c r="C243" s="445" t="s">
        <v>426</v>
      </c>
      <c r="D243" s="446" t="s">
        <v>427</v>
      </c>
      <c r="E243" s="445" t="s">
        <v>790</v>
      </c>
      <c r="F243" s="446" t="s">
        <v>791</v>
      </c>
      <c r="G243" s="445" t="s">
        <v>1055</v>
      </c>
      <c r="H243" s="445" t="s">
        <v>1056</v>
      </c>
      <c r="I243" s="448">
        <v>3943.3334147135415</v>
      </c>
      <c r="J243" s="448">
        <v>7</v>
      </c>
      <c r="K243" s="449">
        <v>27603.35009765625</v>
      </c>
    </row>
    <row r="244" spans="1:11" ht="14.4" customHeight="1" x14ac:dyDescent="0.3">
      <c r="A244" s="443" t="s">
        <v>417</v>
      </c>
      <c r="B244" s="444" t="s">
        <v>418</v>
      </c>
      <c r="C244" s="445" t="s">
        <v>426</v>
      </c>
      <c r="D244" s="446" t="s">
        <v>427</v>
      </c>
      <c r="E244" s="445" t="s">
        <v>790</v>
      </c>
      <c r="F244" s="446" t="s">
        <v>791</v>
      </c>
      <c r="G244" s="445" t="s">
        <v>1057</v>
      </c>
      <c r="H244" s="445" t="s">
        <v>1058</v>
      </c>
      <c r="I244" s="448">
        <v>3943.35009765625</v>
      </c>
      <c r="J244" s="448">
        <v>14</v>
      </c>
      <c r="K244" s="449">
        <v>55206.8994140625</v>
      </c>
    </row>
    <row r="245" spans="1:11" ht="14.4" customHeight="1" x14ac:dyDescent="0.3">
      <c r="A245" s="443" t="s">
        <v>417</v>
      </c>
      <c r="B245" s="444" t="s">
        <v>418</v>
      </c>
      <c r="C245" s="445" t="s">
        <v>426</v>
      </c>
      <c r="D245" s="446" t="s">
        <v>427</v>
      </c>
      <c r="E245" s="445" t="s">
        <v>790</v>
      </c>
      <c r="F245" s="446" t="s">
        <v>791</v>
      </c>
      <c r="G245" s="445" t="s">
        <v>1059</v>
      </c>
      <c r="H245" s="445" t="s">
        <v>1060</v>
      </c>
      <c r="I245" s="448">
        <v>3943.3450927734375</v>
      </c>
      <c r="J245" s="448">
        <v>12</v>
      </c>
      <c r="K245" s="449">
        <v>47320.10009765625</v>
      </c>
    </row>
    <row r="246" spans="1:11" ht="14.4" customHeight="1" x14ac:dyDescent="0.3">
      <c r="A246" s="443" t="s">
        <v>417</v>
      </c>
      <c r="B246" s="444" t="s">
        <v>418</v>
      </c>
      <c r="C246" s="445" t="s">
        <v>426</v>
      </c>
      <c r="D246" s="446" t="s">
        <v>427</v>
      </c>
      <c r="E246" s="445" t="s">
        <v>790</v>
      </c>
      <c r="F246" s="446" t="s">
        <v>791</v>
      </c>
      <c r="G246" s="445" t="s">
        <v>1061</v>
      </c>
      <c r="H246" s="445" t="s">
        <v>1062</v>
      </c>
      <c r="I246" s="448">
        <v>4207.8499755859375</v>
      </c>
      <c r="J246" s="448">
        <v>7</v>
      </c>
      <c r="K246" s="449">
        <v>29454.8994140625</v>
      </c>
    </row>
    <row r="247" spans="1:11" ht="14.4" customHeight="1" x14ac:dyDescent="0.3">
      <c r="A247" s="443" t="s">
        <v>417</v>
      </c>
      <c r="B247" s="444" t="s">
        <v>418</v>
      </c>
      <c r="C247" s="445" t="s">
        <v>426</v>
      </c>
      <c r="D247" s="446" t="s">
        <v>427</v>
      </c>
      <c r="E247" s="445" t="s">
        <v>790</v>
      </c>
      <c r="F247" s="446" t="s">
        <v>791</v>
      </c>
      <c r="G247" s="445" t="s">
        <v>1063</v>
      </c>
      <c r="H247" s="445" t="s">
        <v>1064</v>
      </c>
      <c r="I247" s="448">
        <v>4207.85009765625</v>
      </c>
      <c r="J247" s="448">
        <v>7</v>
      </c>
      <c r="K247" s="449">
        <v>29454.9501953125</v>
      </c>
    </row>
    <row r="248" spans="1:11" ht="14.4" customHeight="1" x14ac:dyDescent="0.3">
      <c r="A248" s="443" t="s">
        <v>417</v>
      </c>
      <c r="B248" s="444" t="s">
        <v>418</v>
      </c>
      <c r="C248" s="445" t="s">
        <v>426</v>
      </c>
      <c r="D248" s="446" t="s">
        <v>427</v>
      </c>
      <c r="E248" s="445" t="s">
        <v>790</v>
      </c>
      <c r="F248" s="446" t="s">
        <v>791</v>
      </c>
      <c r="G248" s="445" t="s">
        <v>1065</v>
      </c>
      <c r="H248" s="445" t="s">
        <v>1066</v>
      </c>
      <c r="I248" s="448">
        <v>4207.85009765625</v>
      </c>
      <c r="J248" s="448">
        <v>2</v>
      </c>
      <c r="K248" s="449">
        <v>8415.7001953125</v>
      </c>
    </row>
    <row r="249" spans="1:11" ht="14.4" customHeight="1" x14ac:dyDescent="0.3">
      <c r="A249" s="443" t="s">
        <v>417</v>
      </c>
      <c r="B249" s="444" t="s">
        <v>418</v>
      </c>
      <c r="C249" s="445" t="s">
        <v>426</v>
      </c>
      <c r="D249" s="446" t="s">
        <v>427</v>
      </c>
      <c r="E249" s="445" t="s">
        <v>790</v>
      </c>
      <c r="F249" s="446" t="s">
        <v>791</v>
      </c>
      <c r="G249" s="445" t="s">
        <v>1067</v>
      </c>
      <c r="H249" s="445" t="s">
        <v>1068</v>
      </c>
      <c r="I249" s="448">
        <v>3943.3450927734375</v>
      </c>
      <c r="J249" s="448">
        <v>15</v>
      </c>
      <c r="K249" s="449">
        <v>59150.150390625</v>
      </c>
    </row>
    <row r="250" spans="1:11" ht="14.4" customHeight="1" x14ac:dyDescent="0.3">
      <c r="A250" s="443" t="s">
        <v>417</v>
      </c>
      <c r="B250" s="444" t="s">
        <v>418</v>
      </c>
      <c r="C250" s="445" t="s">
        <v>426</v>
      </c>
      <c r="D250" s="446" t="s">
        <v>427</v>
      </c>
      <c r="E250" s="445" t="s">
        <v>790</v>
      </c>
      <c r="F250" s="446" t="s">
        <v>791</v>
      </c>
      <c r="G250" s="445" t="s">
        <v>1069</v>
      </c>
      <c r="H250" s="445" t="s">
        <v>1070</v>
      </c>
      <c r="I250" s="448">
        <v>3943.35009765625</v>
      </c>
      <c r="J250" s="448">
        <v>5</v>
      </c>
      <c r="K250" s="449">
        <v>19716.75</v>
      </c>
    </row>
    <row r="251" spans="1:11" ht="14.4" customHeight="1" x14ac:dyDescent="0.3">
      <c r="A251" s="443" t="s">
        <v>417</v>
      </c>
      <c r="B251" s="444" t="s">
        <v>418</v>
      </c>
      <c r="C251" s="445" t="s">
        <v>426</v>
      </c>
      <c r="D251" s="446" t="s">
        <v>427</v>
      </c>
      <c r="E251" s="445" t="s">
        <v>790</v>
      </c>
      <c r="F251" s="446" t="s">
        <v>791</v>
      </c>
      <c r="G251" s="445" t="s">
        <v>1071</v>
      </c>
      <c r="H251" s="445" t="s">
        <v>1072</v>
      </c>
      <c r="I251" s="448">
        <v>3943.35009765625</v>
      </c>
      <c r="J251" s="448">
        <v>1</v>
      </c>
      <c r="K251" s="449">
        <v>3943.35009765625</v>
      </c>
    </row>
    <row r="252" spans="1:11" ht="14.4" customHeight="1" x14ac:dyDescent="0.3">
      <c r="A252" s="443" t="s">
        <v>417</v>
      </c>
      <c r="B252" s="444" t="s">
        <v>418</v>
      </c>
      <c r="C252" s="445" t="s">
        <v>426</v>
      </c>
      <c r="D252" s="446" t="s">
        <v>427</v>
      </c>
      <c r="E252" s="445" t="s">
        <v>790</v>
      </c>
      <c r="F252" s="446" t="s">
        <v>791</v>
      </c>
      <c r="G252" s="445" t="s">
        <v>1073</v>
      </c>
      <c r="H252" s="445" t="s">
        <v>1074</v>
      </c>
      <c r="I252" s="448">
        <v>3943.35009765625</v>
      </c>
      <c r="J252" s="448">
        <v>3</v>
      </c>
      <c r="K252" s="449">
        <v>11830.0498046875</v>
      </c>
    </row>
    <row r="253" spans="1:11" ht="14.4" customHeight="1" x14ac:dyDescent="0.3">
      <c r="A253" s="443" t="s">
        <v>417</v>
      </c>
      <c r="B253" s="444" t="s">
        <v>418</v>
      </c>
      <c r="C253" s="445" t="s">
        <v>426</v>
      </c>
      <c r="D253" s="446" t="s">
        <v>427</v>
      </c>
      <c r="E253" s="445" t="s">
        <v>790</v>
      </c>
      <c r="F253" s="446" t="s">
        <v>791</v>
      </c>
      <c r="G253" s="445" t="s">
        <v>1075</v>
      </c>
      <c r="H253" s="445" t="s">
        <v>1076</v>
      </c>
      <c r="I253" s="448">
        <v>419.92001342773437</v>
      </c>
      <c r="J253" s="448">
        <v>12</v>
      </c>
      <c r="K253" s="449">
        <v>5039</v>
      </c>
    </row>
    <row r="254" spans="1:11" ht="14.4" customHeight="1" x14ac:dyDescent="0.3">
      <c r="A254" s="443" t="s">
        <v>417</v>
      </c>
      <c r="B254" s="444" t="s">
        <v>418</v>
      </c>
      <c r="C254" s="445" t="s">
        <v>426</v>
      </c>
      <c r="D254" s="446" t="s">
        <v>427</v>
      </c>
      <c r="E254" s="445" t="s">
        <v>790</v>
      </c>
      <c r="F254" s="446" t="s">
        <v>791</v>
      </c>
      <c r="G254" s="445" t="s">
        <v>1027</v>
      </c>
      <c r="H254" s="445" t="s">
        <v>1077</v>
      </c>
      <c r="I254" s="448">
        <v>3864</v>
      </c>
      <c r="J254" s="448">
        <v>1</v>
      </c>
      <c r="K254" s="449">
        <v>3864</v>
      </c>
    </row>
    <row r="255" spans="1:11" ht="14.4" customHeight="1" x14ac:dyDescent="0.3">
      <c r="A255" s="443" t="s">
        <v>417</v>
      </c>
      <c r="B255" s="444" t="s">
        <v>418</v>
      </c>
      <c r="C255" s="445" t="s">
        <v>426</v>
      </c>
      <c r="D255" s="446" t="s">
        <v>427</v>
      </c>
      <c r="E255" s="445" t="s">
        <v>790</v>
      </c>
      <c r="F255" s="446" t="s">
        <v>791</v>
      </c>
      <c r="G255" s="445" t="s">
        <v>1029</v>
      </c>
      <c r="H255" s="445" t="s">
        <v>1078</v>
      </c>
      <c r="I255" s="448">
        <v>3864</v>
      </c>
      <c r="J255" s="448">
        <v>1</v>
      </c>
      <c r="K255" s="449">
        <v>3864</v>
      </c>
    </row>
    <row r="256" spans="1:11" ht="14.4" customHeight="1" x14ac:dyDescent="0.3">
      <c r="A256" s="443" t="s">
        <v>417</v>
      </c>
      <c r="B256" s="444" t="s">
        <v>418</v>
      </c>
      <c r="C256" s="445" t="s">
        <v>426</v>
      </c>
      <c r="D256" s="446" t="s">
        <v>427</v>
      </c>
      <c r="E256" s="445" t="s">
        <v>790</v>
      </c>
      <c r="F256" s="446" t="s">
        <v>791</v>
      </c>
      <c r="G256" s="445" t="s">
        <v>1043</v>
      </c>
      <c r="H256" s="445" t="s">
        <v>1079</v>
      </c>
      <c r="I256" s="448">
        <v>3864</v>
      </c>
      <c r="J256" s="448">
        <v>1</v>
      </c>
      <c r="K256" s="449">
        <v>3864</v>
      </c>
    </row>
    <row r="257" spans="1:11" ht="14.4" customHeight="1" x14ac:dyDescent="0.3">
      <c r="A257" s="443" t="s">
        <v>417</v>
      </c>
      <c r="B257" s="444" t="s">
        <v>418</v>
      </c>
      <c r="C257" s="445" t="s">
        <v>426</v>
      </c>
      <c r="D257" s="446" t="s">
        <v>427</v>
      </c>
      <c r="E257" s="445" t="s">
        <v>790</v>
      </c>
      <c r="F257" s="446" t="s">
        <v>791</v>
      </c>
      <c r="G257" s="445" t="s">
        <v>1045</v>
      </c>
      <c r="H257" s="445" t="s">
        <v>1080</v>
      </c>
      <c r="I257" s="448">
        <v>3864</v>
      </c>
      <c r="J257" s="448">
        <v>1</v>
      </c>
      <c r="K257" s="449">
        <v>3864</v>
      </c>
    </row>
    <row r="258" spans="1:11" ht="14.4" customHeight="1" x14ac:dyDescent="0.3">
      <c r="A258" s="443" t="s">
        <v>417</v>
      </c>
      <c r="B258" s="444" t="s">
        <v>418</v>
      </c>
      <c r="C258" s="445" t="s">
        <v>426</v>
      </c>
      <c r="D258" s="446" t="s">
        <v>427</v>
      </c>
      <c r="E258" s="445" t="s">
        <v>790</v>
      </c>
      <c r="F258" s="446" t="s">
        <v>791</v>
      </c>
      <c r="G258" s="445" t="s">
        <v>1057</v>
      </c>
      <c r="H258" s="445" t="s">
        <v>1081</v>
      </c>
      <c r="I258" s="448">
        <v>3943.35009765625</v>
      </c>
      <c r="J258" s="448">
        <v>2</v>
      </c>
      <c r="K258" s="449">
        <v>7886.7001953125</v>
      </c>
    </row>
    <row r="259" spans="1:11" ht="14.4" customHeight="1" x14ac:dyDescent="0.3">
      <c r="A259" s="443" t="s">
        <v>417</v>
      </c>
      <c r="B259" s="444" t="s">
        <v>418</v>
      </c>
      <c r="C259" s="445" t="s">
        <v>426</v>
      </c>
      <c r="D259" s="446" t="s">
        <v>427</v>
      </c>
      <c r="E259" s="445" t="s">
        <v>790</v>
      </c>
      <c r="F259" s="446" t="s">
        <v>791</v>
      </c>
      <c r="G259" s="445" t="s">
        <v>1063</v>
      </c>
      <c r="H259" s="445" t="s">
        <v>1082</v>
      </c>
      <c r="I259" s="448">
        <v>4207.85009765625</v>
      </c>
      <c r="J259" s="448">
        <v>2</v>
      </c>
      <c r="K259" s="449">
        <v>8415.7001953125</v>
      </c>
    </row>
    <row r="260" spans="1:11" ht="14.4" customHeight="1" x14ac:dyDescent="0.3">
      <c r="A260" s="443" t="s">
        <v>417</v>
      </c>
      <c r="B260" s="444" t="s">
        <v>418</v>
      </c>
      <c r="C260" s="445" t="s">
        <v>426</v>
      </c>
      <c r="D260" s="446" t="s">
        <v>427</v>
      </c>
      <c r="E260" s="445" t="s">
        <v>790</v>
      </c>
      <c r="F260" s="446" t="s">
        <v>791</v>
      </c>
      <c r="G260" s="445" t="s">
        <v>1069</v>
      </c>
      <c r="H260" s="445" t="s">
        <v>1083</v>
      </c>
      <c r="I260" s="448">
        <v>3943.35009765625</v>
      </c>
      <c r="J260" s="448">
        <v>3</v>
      </c>
      <c r="K260" s="449">
        <v>11830.0498046875</v>
      </c>
    </row>
    <row r="261" spans="1:11" ht="14.4" customHeight="1" x14ac:dyDescent="0.3">
      <c r="A261" s="443" t="s">
        <v>417</v>
      </c>
      <c r="B261" s="444" t="s">
        <v>418</v>
      </c>
      <c r="C261" s="445" t="s">
        <v>426</v>
      </c>
      <c r="D261" s="446" t="s">
        <v>427</v>
      </c>
      <c r="E261" s="445" t="s">
        <v>790</v>
      </c>
      <c r="F261" s="446" t="s">
        <v>791</v>
      </c>
      <c r="G261" s="445" t="s">
        <v>1084</v>
      </c>
      <c r="H261" s="445" t="s">
        <v>1085</v>
      </c>
      <c r="I261" s="448">
        <v>619.52001953125</v>
      </c>
      <c r="J261" s="448">
        <v>7</v>
      </c>
      <c r="K261" s="449">
        <v>4336.64013671875</v>
      </c>
    </row>
    <row r="262" spans="1:11" ht="14.4" customHeight="1" x14ac:dyDescent="0.3">
      <c r="A262" s="443" t="s">
        <v>417</v>
      </c>
      <c r="B262" s="444" t="s">
        <v>418</v>
      </c>
      <c r="C262" s="445" t="s">
        <v>426</v>
      </c>
      <c r="D262" s="446" t="s">
        <v>427</v>
      </c>
      <c r="E262" s="445" t="s">
        <v>790</v>
      </c>
      <c r="F262" s="446" t="s">
        <v>791</v>
      </c>
      <c r="G262" s="445" t="s">
        <v>1086</v>
      </c>
      <c r="H262" s="445" t="s">
        <v>1087</v>
      </c>
      <c r="I262" s="448">
        <v>363</v>
      </c>
      <c r="J262" s="448">
        <v>3</v>
      </c>
      <c r="K262" s="449">
        <v>1089</v>
      </c>
    </row>
    <row r="263" spans="1:11" ht="14.4" customHeight="1" x14ac:dyDescent="0.3">
      <c r="A263" s="443" t="s">
        <v>417</v>
      </c>
      <c r="B263" s="444" t="s">
        <v>418</v>
      </c>
      <c r="C263" s="445" t="s">
        <v>426</v>
      </c>
      <c r="D263" s="446" t="s">
        <v>427</v>
      </c>
      <c r="E263" s="445" t="s">
        <v>790</v>
      </c>
      <c r="F263" s="446" t="s">
        <v>791</v>
      </c>
      <c r="G263" s="445" t="s">
        <v>1088</v>
      </c>
      <c r="H263" s="445" t="s">
        <v>1089</v>
      </c>
      <c r="I263" s="448">
        <v>2843.5</v>
      </c>
      <c r="J263" s="448">
        <v>2</v>
      </c>
      <c r="K263" s="449">
        <v>5687</v>
      </c>
    </row>
    <row r="264" spans="1:11" ht="14.4" customHeight="1" x14ac:dyDescent="0.3">
      <c r="A264" s="443" t="s">
        <v>417</v>
      </c>
      <c r="B264" s="444" t="s">
        <v>418</v>
      </c>
      <c r="C264" s="445" t="s">
        <v>426</v>
      </c>
      <c r="D264" s="446" t="s">
        <v>427</v>
      </c>
      <c r="E264" s="445" t="s">
        <v>790</v>
      </c>
      <c r="F264" s="446" t="s">
        <v>791</v>
      </c>
      <c r="G264" s="445" t="s">
        <v>1090</v>
      </c>
      <c r="H264" s="445" t="s">
        <v>1091</v>
      </c>
      <c r="I264" s="448">
        <v>2789.050048828125</v>
      </c>
      <c r="J264" s="448">
        <v>2</v>
      </c>
      <c r="K264" s="449">
        <v>5578.10009765625</v>
      </c>
    </row>
    <row r="265" spans="1:11" ht="14.4" customHeight="1" x14ac:dyDescent="0.3">
      <c r="A265" s="443" t="s">
        <v>417</v>
      </c>
      <c r="B265" s="444" t="s">
        <v>418</v>
      </c>
      <c r="C265" s="445" t="s">
        <v>426</v>
      </c>
      <c r="D265" s="446" t="s">
        <v>427</v>
      </c>
      <c r="E265" s="445" t="s">
        <v>790</v>
      </c>
      <c r="F265" s="446" t="s">
        <v>791</v>
      </c>
      <c r="G265" s="445" t="s">
        <v>1092</v>
      </c>
      <c r="H265" s="445" t="s">
        <v>1093</v>
      </c>
      <c r="I265" s="448">
        <v>435.60000610351562</v>
      </c>
      <c r="J265" s="448">
        <v>2</v>
      </c>
      <c r="K265" s="449">
        <v>871.20001220703125</v>
      </c>
    </row>
    <row r="266" spans="1:11" ht="14.4" customHeight="1" x14ac:dyDescent="0.3">
      <c r="A266" s="443" t="s">
        <v>417</v>
      </c>
      <c r="B266" s="444" t="s">
        <v>418</v>
      </c>
      <c r="C266" s="445" t="s">
        <v>426</v>
      </c>
      <c r="D266" s="446" t="s">
        <v>427</v>
      </c>
      <c r="E266" s="445" t="s">
        <v>790</v>
      </c>
      <c r="F266" s="446" t="s">
        <v>791</v>
      </c>
      <c r="G266" s="445" t="s">
        <v>1094</v>
      </c>
      <c r="H266" s="445" t="s">
        <v>1095</v>
      </c>
      <c r="I266" s="448">
        <v>3.1700000762939453</v>
      </c>
      <c r="J266" s="448">
        <v>100</v>
      </c>
      <c r="K266" s="449">
        <v>316.79998779296875</v>
      </c>
    </row>
    <row r="267" spans="1:11" ht="14.4" customHeight="1" x14ac:dyDescent="0.3">
      <c r="A267" s="443" t="s">
        <v>417</v>
      </c>
      <c r="B267" s="444" t="s">
        <v>418</v>
      </c>
      <c r="C267" s="445" t="s">
        <v>426</v>
      </c>
      <c r="D267" s="446" t="s">
        <v>427</v>
      </c>
      <c r="E267" s="445" t="s">
        <v>790</v>
      </c>
      <c r="F267" s="446" t="s">
        <v>791</v>
      </c>
      <c r="G267" s="445" t="s">
        <v>1096</v>
      </c>
      <c r="H267" s="445" t="s">
        <v>1097</v>
      </c>
      <c r="I267" s="448">
        <v>843.44000244140625</v>
      </c>
      <c r="J267" s="448">
        <v>1</v>
      </c>
      <c r="K267" s="449">
        <v>843.44000244140625</v>
      </c>
    </row>
    <row r="268" spans="1:11" ht="14.4" customHeight="1" x14ac:dyDescent="0.3">
      <c r="A268" s="443" t="s">
        <v>417</v>
      </c>
      <c r="B268" s="444" t="s">
        <v>418</v>
      </c>
      <c r="C268" s="445" t="s">
        <v>426</v>
      </c>
      <c r="D268" s="446" t="s">
        <v>427</v>
      </c>
      <c r="E268" s="445" t="s">
        <v>790</v>
      </c>
      <c r="F268" s="446" t="s">
        <v>791</v>
      </c>
      <c r="G268" s="445" t="s">
        <v>1098</v>
      </c>
      <c r="H268" s="445" t="s">
        <v>1099</v>
      </c>
      <c r="I268" s="448">
        <v>185.31000518798828</v>
      </c>
      <c r="J268" s="448">
        <v>5</v>
      </c>
      <c r="K268" s="449">
        <v>926.5</v>
      </c>
    </row>
    <row r="269" spans="1:11" ht="14.4" customHeight="1" x14ac:dyDescent="0.3">
      <c r="A269" s="443" t="s">
        <v>417</v>
      </c>
      <c r="B269" s="444" t="s">
        <v>418</v>
      </c>
      <c r="C269" s="445" t="s">
        <v>426</v>
      </c>
      <c r="D269" s="446" t="s">
        <v>427</v>
      </c>
      <c r="E269" s="445" t="s">
        <v>790</v>
      </c>
      <c r="F269" s="446" t="s">
        <v>791</v>
      </c>
      <c r="G269" s="445" t="s">
        <v>1100</v>
      </c>
      <c r="H269" s="445" t="s">
        <v>1101</v>
      </c>
      <c r="I269" s="448">
        <v>135</v>
      </c>
      <c r="J269" s="448">
        <v>5</v>
      </c>
      <c r="K269" s="449">
        <v>675</v>
      </c>
    </row>
    <row r="270" spans="1:11" ht="14.4" customHeight="1" x14ac:dyDescent="0.3">
      <c r="A270" s="443" t="s">
        <v>417</v>
      </c>
      <c r="B270" s="444" t="s">
        <v>418</v>
      </c>
      <c r="C270" s="445" t="s">
        <v>426</v>
      </c>
      <c r="D270" s="446" t="s">
        <v>427</v>
      </c>
      <c r="E270" s="445" t="s">
        <v>790</v>
      </c>
      <c r="F270" s="446" t="s">
        <v>791</v>
      </c>
      <c r="G270" s="445" t="s">
        <v>1102</v>
      </c>
      <c r="H270" s="445" t="s">
        <v>1103</v>
      </c>
      <c r="I270" s="448">
        <v>135</v>
      </c>
      <c r="J270" s="448">
        <v>5</v>
      </c>
      <c r="K270" s="449">
        <v>675</v>
      </c>
    </row>
    <row r="271" spans="1:11" ht="14.4" customHeight="1" x14ac:dyDescent="0.3">
      <c r="A271" s="443" t="s">
        <v>417</v>
      </c>
      <c r="B271" s="444" t="s">
        <v>418</v>
      </c>
      <c r="C271" s="445" t="s">
        <v>426</v>
      </c>
      <c r="D271" s="446" t="s">
        <v>427</v>
      </c>
      <c r="E271" s="445" t="s">
        <v>790</v>
      </c>
      <c r="F271" s="446" t="s">
        <v>791</v>
      </c>
      <c r="G271" s="445" t="s">
        <v>1104</v>
      </c>
      <c r="H271" s="445" t="s">
        <v>1105</v>
      </c>
      <c r="I271" s="448">
        <v>135</v>
      </c>
      <c r="J271" s="448">
        <v>5</v>
      </c>
      <c r="K271" s="449">
        <v>675</v>
      </c>
    </row>
    <row r="272" spans="1:11" ht="14.4" customHeight="1" x14ac:dyDescent="0.3">
      <c r="A272" s="443" t="s">
        <v>417</v>
      </c>
      <c r="B272" s="444" t="s">
        <v>418</v>
      </c>
      <c r="C272" s="445" t="s">
        <v>426</v>
      </c>
      <c r="D272" s="446" t="s">
        <v>427</v>
      </c>
      <c r="E272" s="445" t="s">
        <v>790</v>
      </c>
      <c r="F272" s="446" t="s">
        <v>791</v>
      </c>
      <c r="G272" s="445" t="s">
        <v>1106</v>
      </c>
      <c r="H272" s="445" t="s">
        <v>1107</v>
      </c>
      <c r="I272" s="448">
        <v>135</v>
      </c>
      <c r="J272" s="448">
        <v>5</v>
      </c>
      <c r="K272" s="449">
        <v>675</v>
      </c>
    </row>
    <row r="273" spans="1:11" ht="14.4" customHeight="1" x14ac:dyDescent="0.3">
      <c r="A273" s="443" t="s">
        <v>417</v>
      </c>
      <c r="B273" s="444" t="s">
        <v>418</v>
      </c>
      <c r="C273" s="445" t="s">
        <v>426</v>
      </c>
      <c r="D273" s="446" t="s">
        <v>427</v>
      </c>
      <c r="E273" s="445" t="s">
        <v>790</v>
      </c>
      <c r="F273" s="446" t="s">
        <v>791</v>
      </c>
      <c r="G273" s="445" t="s">
        <v>1108</v>
      </c>
      <c r="H273" s="445" t="s">
        <v>1109</v>
      </c>
      <c r="I273" s="448">
        <v>28.799999237060547</v>
      </c>
      <c r="J273" s="448">
        <v>40</v>
      </c>
      <c r="K273" s="449">
        <v>1152</v>
      </c>
    </row>
    <row r="274" spans="1:11" ht="14.4" customHeight="1" x14ac:dyDescent="0.3">
      <c r="A274" s="443" t="s">
        <v>417</v>
      </c>
      <c r="B274" s="444" t="s">
        <v>418</v>
      </c>
      <c r="C274" s="445" t="s">
        <v>426</v>
      </c>
      <c r="D274" s="446" t="s">
        <v>427</v>
      </c>
      <c r="E274" s="445" t="s">
        <v>790</v>
      </c>
      <c r="F274" s="446" t="s">
        <v>791</v>
      </c>
      <c r="G274" s="445" t="s">
        <v>1110</v>
      </c>
      <c r="H274" s="445" t="s">
        <v>1111</v>
      </c>
      <c r="I274" s="448">
        <v>66.5</v>
      </c>
      <c r="J274" s="448">
        <v>1</v>
      </c>
      <c r="K274" s="449">
        <v>66.5</v>
      </c>
    </row>
    <row r="275" spans="1:11" ht="14.4" customHeight="1" x14ac:dyDescent="0.3">
      <c r="A275" s="443" t="s">
        <v>417</v>
      </c>
      <c r="B275" s="444" t="s">
        <v>418</v>
      </c>
      <c r="C275" s="445" t="s">
        <v>426</v>
      </c>
      <c r="D275" s="446" t="s">
        <v>427</v>
      </c>
      <c r="E275" s="445" t="s">
        <v>790</v>
      </c>
      <c r="F275" s="446" t="s">
        <v>791</v>
      </c>
      <c r="G275" s="445" t="s">
        <v>1112</v>
      </c>
      <c r="H275" s="445" t="s">
        <v>1113</v>
      </c>
      <c r="I275" s="448">
        <v>26.020000457763672</v>
      </c>
      <c r="J275" s="448">
        <v>40</v>
      </c>
      <c r="K275" s="449">
        <v>1040.5999755859375</v>
      </c>
    </row>
    <row r="276" spans="1:11" ht="14.4" customHeight="1" x14ac:dyDescent="0.3">
      <c r="A276" s="443" t="s">
        <v>417</v>
      </c>
      <c r="B276" s="444" t="s">
        <v>418</v>
      </c>
      <c r="C276" s="445" t="s">
        <v>426</v>
      </c>
      <c r="D276" s="446" t="s">
        <v>427</v>
      </c>
      <c r="E276" s="445" t="s">
        <v>790</v>
      </c>
      <c r="F276" s="446" t="s">
        <v>791</v>
      </c>
      <c r="G276" s="445" t="s">
        <v>1114</v>
      </c>
      <c r="H276" s="445" t="s">
        <v>1115</v>
      </c>
      <c r="I276" s="448">
        <v>221.44000244140625</v>
      </c>
      <c r="J276" s="448">
        <v>3</v>
      </c>
      <c r="K276" s="449">
        <v>664.32000732421875</v>
      </c>
    </row>
    <row r="277" spans="1:11" ht="14.4" customHeight="1" x14ac:dyDescent="0.3">
      <c r="A277" s="443" t="s">
        <v>417</v>
      </c>
      <c r="B277" s="444" t="s">
        <v>418</v>
      </c>
      <c r="C277" s="445" t="s">
        <v>426</v>
      </c>
      <c r="D277" s="446" t="s">
        <v>427</v>
      </c>
      <c r="E277" s="445" t="s">
        <v>790</v>
      </c>
      <c r="F277" s="446" t="s">
        <v>791</v>
      </c>
      <c r="G277" s="445" t="s">
        <v>1116</v>
      </c>
      <c r="H277" s="445" t="s">
        <v>1117</v>
      </c>
      <c r="I277" s="448">
        <v>33.880001068115234</v>
      </c>
      <c r="J277" s="448">
        <v>3</v>
      </c>
      <c r="K277" s="449">
        <v>101.63999938964844</v>
      </c>
    </row>
    <row r="278" spans="1:11" ht="14.4" customHeight="1" x14ac:dyDescent="0.3">
      <c r="A278" s="443" t="s">
        <v>417</v>
      </c>
      <c r="B278" s="444" t="s">
        <v>418</v>
      </c>
      <c r="C278" s="445" t="s">
        <v>426</v>
      </c>
      <c r="D278" s="446" t="s">
        <v>427</v>
      </c>
      <c r="E278" s="445" t="s">
        <v>790</v>
      </c>
      <c r="F278" s="446" t="s">
        <v>791</v>
      </c>
      <c r="G278" s="445" t="s">
        <v>1118</v>
      </c>
      <c r="H278" s="445" t="s">
        <v>1119</v>
      </c>
      <c r="I278" s="448">
        <v>1380.9200439453125</v>
      </c>
      <c r="J278" s="448">
        <v>26</v>
      </c>
      <c r="K278" s="449">
        <v>35903.929931640625</v>
      </c>
    </row>
    <row r="279" spans="1:11" ht="14.4" customHeight="1" x14ac:dyDescent="0.3">
      <c r="A279" s="443" t="s">
        <v>417</v>
      </c>
      <c r="B279" s="444" t="s">
        <v>418</v>
      </c>
      <c r="C279" s="445" t="s">
        <v>426</v>
      </c>
      <c r="D279" s="446" t="s">
        <v>427</v>
      </c>
      <c r="E279" s="445" t="s">
        <v>790</v>
      </c>
      <c r="F279" s="446" t="s">
        <v>791</v>
      </c>
      <c r="G279" s="445" t="s">
        <v>1120</v>
      </c>
      <c r="H279" s="445" t="s">
        <v>1121</v>
      </c>
      <c r="I279" s="448">
        <v>579.030029296875</v>
      </c>
      <c r="J279" s="448">
        <v>4</v>
      </c>
      <c r="K279" s="449">
        <v>2316.10009765625</v>
      </c>
    </row>
    <row r="280" spans="1:11" ht="14.4" customHeight="1" x14ac:dyDescent="0.3">
      <c r="A280" s="443" t="s">
        <v>417</v>
      </c>
      <c r="B280" s="444" t="s">
        <v>418</v>
      </c>
      <c r="C280" s="445" t="s">
        <v>426</v>
      </c>
      <c r="D280" s="446" t="s">
        <v>427</v>
      </c>
      <c r="E280" s="445" t="s">
        <v>790</v>
      </c>
      <c r="F280" s="446" t="s">
        <v>791</v>
      </c>
      <c r="G280" s="445" t="s">
        <v>1122</v>
      </c>
      <c r="H280" s="445" t="s">
        <v>1123</v>
      </c>
      <c r="I280" s="448">
        <v>988.71002197265625</v>
      </c>
      <c r="J280" s="448">
        <v>1</v>
      </c>
      <c r="K280" s="449">
        <v>988.71002197265625</v>
      </c>
    </row>
    <row r="281" spans="1:11" ht="14.4" customHeight="1" x14ac:dyDescent="0.3">
      <c r="A281" s="443" t="s">
        <v>417</v>
      </c>
      <c r="B281" s="444" t="s">
        <v>418</v>
      </c>
      <c r="C281" s="445" t="s">
        <v>426</v>
      </c>
      <c r="D281" s="446" t="s">
        <v>427</v>
      </c>
      <c r="E281" s="445" t="s">
        <v>790</v>
      </c>
      <c r="F281" s="446" t="s">
        <v>791</v>
      </c>
      <c r="G281" s="445" t="s">
        <v>1124</v>
      </c>
      <c r="H281" s="445" t="s">
        <v>1125</v>
      </c>
      <c r="I281" s="448">
        <v>1393.9200439453125</v>
      </c>
      <c r="J281" s="448">
        <v>1</v>
      </c>
      <c r="K281" s="449">
        <v>1393.9200439453125</v>
      </c>
    </row>
    <row r="282" spans="1:11" ht="14.4" customHeight="1" x14ac:dyDescent="0.3">
      <c r="A282" s="443" t="s">
        <v>417</v>
      </c>
      <c r="B282" s="444" t="s">
        <v>418</v>
      </c>
      <c r="C282" s="445" t="s">
        <v>426</v>
      </c>
      <c r="D282" s="446" t="s">
        <v>427</v>
      </c>
      <c r="E282" s="445" t="s">
        <v>790</v>
      </c>
      <c r="F282" s="446" t="s">
        <v>791</v>
      </c>
      <c r="G282" s="445" t="s">
        <v>1126</v>
      </c>
      <c r="H282" s="445" t="s">
        <v>1127</v>
      </c>
      <c r="I282" s="448">
        <v>922.02001953125</v>
      </c>
      <c r="J282" s="448">
        <v>1</v>
      </c>
      <c r="K282" s="449">
        <v>922.02001953125</v>
      </c>
    </row>
    <row r="283" spans="1:11" ht="14.4" customHeight="1" x14ac:dyDescent="0.3">
      <c r="A283" s="443" t="s">
        <v>417</v>
      </c>
      <c r="B283" s="444" t="s">
        <v>418</v>
      </c>
      <c r="C283" s="445" t="s">
        <v>426</v>
      </c>
      <c r="D283" s="446" t="s">
        <v>427</v>
      </c>
      <c r="E283" s="445" t="s">
        <v>790</v>
      </c>
      <c r="F283" s="446" t="s">
        <v>791</v>
      </c>
      <c r="G283" s="445" t="s">
        <v>1128</v>
      </c>
      <c r="H283" s="445" t="s">
        <v>1129</v>
      </c>
      <c r="I283" s="448">
        <v>877.25</v>
      </c>
      <c r="J283" s="448">
        <v>1</v>
      </c>
      <c r="K283" s="449">
        <v>877.25</v>
      </c>
    </row>
    <row r="284" spans="1:11" ht="14.4" customHeight="1" x14ac:dyDescent="0.3">
      <c r="A284" s="443" t="s">
        <v>417</v>
      </c>
      <c r="B284" s="444" t="s">
        <v>418</v>
      </c>
      <c r="C284" s="445" t="s">
        <v>426</v>
      </c>
      <c r="D284" s="446" t="s">
        <v>427</v>
      </c>
      <c r="E284" s="445" t="s">
        <v>790</v>
      </c>
      <c r="F284" s="446" t="s">
        <v>791</v>
      </c>
      <c r="G284" s="445" t="s">
        <v>1130</v>
      </c>
      <c r="H284" s="445" t="s">
        <v>1131</v>
      </c>
      <c r="I284" s="448">
        <v>877.25</v>
      </c>
      <c r="J284" s="448">
        <v>1</v>
      </c>
      <c r="K284" s="449">
        <v>877.25</v>
      </c>
    </row>
    <row r="285" spans="1:11" ht="14.4" customHeight="1" x14ac:dyDescent="0.3">
      <c r="A285" s="443" t="s">
        <v>417</v>
      </c>
      <c r="B285" s="444" t="s">
        <v>418</v>
      </c>
      <c r="C285" s="445" t="s">
        <v>426</v>
      </c>
      <c r="D285" s="446" t="s">
        <v>427</v>
      </c>
      <c r="E285" s="445" t="s">
        <v>790</v>
      </c>
      <c r="F285" s="446" t="s">
        <v>791</v>
      </c>
      <c r="G285" s="445" t="s">
        <v>1132</v>
      </c>
      <c r="H285" s="445" t="s">
        <v>1133</v>
      </c>
      <c r="I285" s="448">
        <v>902.65997314453125</v>
      </c>
      <c r="J285" s="448">
        <v>1</v>
      </c>
      <c r="K285" s="449">
        <v>902.65997314453125</v>
      </c>
    </row>
    <row r="286" spans="1:11" ht="14.4" customHeight="1" x14ac:dyDescent="0.3">
      <c r="A286" s="443" t="s">
        <v>417</v>
      </c>
      <c r="B286" s="444" t="s">
        <v>418</v>
      </c>
      <c r="C286" s="445" t="s">
        <v>426</v>
      </c>
      <c r="D286" s="446" t="s">
        <v>427</v>
      </c>
      <c r="E286" s="445" t="s">
        <v>790</v>
      </c>
      <c r="F286" s="446" t="s">
        <v>791</v>
      </c>
      <c r="G286" s="445" t="s">
        <v>1134</v>
      </c>
      <c r="H286" s="445" t="s">
        <v>1135</v>
      </c>
      <c r="I286" s="448">
        <v>986.1500244140625</v>
      </c>
      <c r="J286" s="448">
        <v>1</v>
      </c>
      <c r="K286" s="449">
        <v>986.1500244140625</v>
      </c>
    </row>
    <row r="287" spans="1:11" ht="14.4" customHeight="1" x14ac:dyDescent="0.3">
      <c r="A287" s="443" t="s">
        <v>417</v>
      </c>
      <c r="B287" s="444" t="s">
        <v>418</v>
      </c>
      <c r="C287" s="445" t="s">
        <v>426</v>
      </c>
      <c r="D287" s="446" t="s">
        <v>427</v>
      </c>
      <c r="E287" s="445" t="s">
        <v>790</v>
      </c>
      <c r="F287" s="446" t="s">
        <v>791</v>
      </c>
      <c r="G287" s="445" t="s">
        <v>1136</v>
      </c>
      <c r="H287" s="445" t="s">
        <v>1137</v>
      </c>
      <c r="I287" s="448">
        <v>2.2300000190734863</v>
      </c>
      <c r="J287" s="448">
        <v>100</v>
      </c>
      <c r="K287" s="449">
        <v>223</v>
      </c>
    </row>
    <row r="288" spans="1:11" ht="14.4" customHeight="1" x14ac:dyDescent="0.3">
      <c r="A288" s="443" t="s">
        <v>417</v>
      </c>
      <c r="B288" s="444" t="s">
        <v>418</v>
      </c>
      <c r="C288" s="445" t="s">
        <v>426</v>
      </c>
      <c r="D288" s="446" t="s">
        <v>427</v>
      </c>
      <c r="E288" s="445" t="s">
        <v>790</v>
      </c>
      <c r="F288" s="446" t="s">
        <v>791</v>
      </c>
      <c r="G288" s="445" t="s">
        <v>1138</v>
      </c>
      <c r="H288" s="445" t="s">
        <v>1139</v>
      </c>
      <c r="I288" s="448">
        <v>3.4600000381469727</v>
      </c>
      <c r="J288" s="448">
        <v>400</v>
      </c>
      <c r="K288" s="449">
        <v>1382</v>
      </c>
    </row>
    <row r="289" spans="1:11" ht="14.4" customHeight="1" x14ac:dyDescent="0.3">
      <c r="A289" s="443" t="s">
        <v>417</v>
      </c>
      <c r="B289" s="444" t="s">
        <v>418</v>
      </c>
      <c r="C289" s="445" t="s">
        <v>426</v>
      </c>
      <c r="D289" s="446" t="s">
        <v>427</v>
      </c>
      <c r="E289" s="445" t="s">
        <v>790</v>
      </c>
      <c r="F289" s="446" t="s">
        <v>791</v>
      </c>
      <c r="G289" s="445" t="s">
        <v>1140</v>
      </c>
      <c r="H289" s="445" t="s">
        <v>1141</v>
      </c>
      <c r="I289" s="448">
        <v>471.89999389648437</v>
      </c>
      <c r="J289" s="448">
        <v>6</v>
      </c>
      <c r="K289" s="449">
        <v>2831.39990234375</v>
      </c>
    </row>
    <row r="290" spans="1:11" ht="14.4" customHeight="1" x14ac:dyDescent="0.3">
      <c r="A290" s="443" t="s">
        <v>417</v>
      </c>
      <c r="B290" s="444" t="s">
        <v>418</v>
      </c>
      <c r="C290" s="445" t="s">
        <v>426</v>
      </c>
      <c r="D290" s="446" t="s">
        <v>427</v>
      </c>
      <c r="E290" s="445" t="s">
        <v>790</v>
      </c>
      <c r="F290" s="446" t="s">
        <v>791</v>
      </c>
      <c r="G290" s="445" t="s">
        <v>1142</v>
      </c>
      <c r="H290" s="445" t="s">
        <v>1143</v>
      </c>
      <c r="I290" s="448">
        <v>1217.260009765625</v>
      </c>
      <c r="J290" s="448">
        <v>1</v>
      </c>
      <c r="K290" s="449">
        <v>1217.260009765625</v>
      </c>
    </row>
    <row r="291" spans="1:11" ht="14.4" customHeight="1" x14ac:dyDescent="0.3">
      <c r="A291" s="443" t="s">
        <v>417</v>
      </c>
      <c r="B291" s="444" t="s">
        <v>418</v>
      </c>
      <c r="C291" s="445" t="s">
        <v>426</v>
      </c>
      <c r="D291" s="446" t="s">
        <v>427</v>
      </c>
      <c r="E291" s="445" t="s">
        <v>790</v>
      </c>
      <c r="F291" s="446" t="s">
        <v>791</v>
      </c>
      <c r="G291" s="445" t="s">
        <v>1144</v>
      </c>
      <c r="H291" s="445" t="s">
        <v>1145</v>
      </c>
      <c r="I291" s="448">
        <v>898</v>
      </c>
      <c r="J291" s="448">
        <v>1</v>
      </c>
      <c r="K291" s="449">
        <v>898</v>
      </c>
    </row>
    <row r="292" spans="1:11" ht="14.4" customHeight="1" x14ac:dyDescent="0.3">
      <c r="A292" s="443" t="s">
        <v>417</v>
      </c>
      <c r="B292" s="444" t="s">
        <v>418</v>
      </c>
      <c r="C292" s="445" t="s">
        <v>426</v>
      </c>
      <c r="D292" s="446" t="s">
        <v>427</v>
      </c>
      <c r="E292" s="445" t="s">
        <v>790</v>
      </c>
      <c r="F292" s="446" t="s">
        <v>791</v>
      </c>
      <c r="G292" s="445" t="s">
        <v>1146</v>
      </c>
      <c r="H292" s="445" t="s">
        <v>1147</v>
      </c>
      <c r="I292" s="448">
        <v>45.979999542236328</v>
      </c>
      <c r="J292" s="448">
        <v>10</v>
      </c>
      <c r="K292" s="449">
        <v>459.80999755859375</v>
      </c>
    </row>
    <row r="293" spans="1:11" ht="14.4" customHeight="1" x14ac:dyDescent="0.3">
      <c r="A293" s="443" t="s">
        <v>417</v>
      </c>
      <c r="B293" s="444" t="s">
        <v>418</v>
      </c>
      <c r="C293" s="445" t="s">
        <v>426</v>
      </c>
      <c r="D293" s="446" t="s">
        <v>427</v>
      </c>
      <c r="E293" s="445" t="s">
        <v>790</v>
      </c>
      <c r="F293" s="446" t="s">
        <v>791</v>
      </c>
      <c r="G293" s="445" t="s">
        <v>1148</v>
      </c>
      <c r="H293" s="445" t="s">
        <v>1149</v>
      </c>
      <c r="I293" s="448">
        <v>81.680000305175781</v>
      </c>
      <c r="J293" s="448">
        <v>10</v>
      </c>
      <c r="K293" s="449">
        <v>816.75</v>
      </c>
    </row>
    <row r="294" spans="1:11" ht="14.4" customHeight="1" x14ac:dyDescent="0.3">
      <c r="A294" s="443" t="s">
        <v>417</v>
      </c>
      <c r="B294" s="444" t="s">
        <v>418</v>
      </c>
      <c r="C294" s="445" t="s">
        <v>426</v>
      </c>
      <c r="D294" s="446" t="s">
        <v>427</v>
      </c>
      <c r="E294" s="445" t="s">
        <v>790</v>
      </c>
      <c r="F294" s="446" t="s">
        <v>791</v>
      </c>
      <c r="G294" s="445" t="s">
        <v>1150</v>
      </c>
      <c r="H294" s="445" t="s">
        <v>1151</v>
      </c>
      <c r="I294" s="448">
        <v>53.240001678466797</v>
      </c>
      <c r="J294" s="448">
        <v>5</v>
      </c>
      <c r="K294" s="449">
        <v>266.19000244140625</v>
      </c>
    </row>
    <row r="295" spans="1:11" ht="14.4" customHeight="1" x14ac:dyDescent="0.3">
      <c r="A295" s="443" t="s">
        <v>417</v>
      </c>
      <c r="B295" s="444" t="s">
        <v>418</v>
      </c>
      <c r="C295" s="445" t="s">
        <v>426</v>
      </c>
      <c r="D295" s="446" t="s">
        <v>427</v>
      </c>
      <c r="E295" s="445" t="s">
        <v>790</v>
      </c>
      <c r="F295" s="446" t="s">
        <v>791</v>
      </c>
      <c r="G295" s="445" t="s">
        <v>1152</v>
      </c>
      <c r="H295" s="445" t="s">
        <v>1153</v>
      </c>
      <c r="I295" s="448">
        <v>180.28999328613281</v>
      </c>
      <c r="J295" s="448">
        <v>116</v>
      </c>
      <c r="K295" s="449">
        <v>20913.640075683594</v>
      </c>
    </row>
    <row r="296" spans="1:11" ht="14.4" customHeight="1" x14ac:dyDescent="0.3">
      <c r="A296" s="443" t="s">
        <v>417</v>
      </c>
      <c r="B296" s="444" t="s">
        <v>418</v>
      </c>
      <c r="C296" s="445" t="s">
        <v>426</v>
      </c>
      <c r="D296" s="446" t="s">
        <v>427</v>
      </c>
      <c r="E296" s="445" t="s">
        <v>790</v>
      </c>
      <c r="F296" s="446" t="s">
        <v>791</v>
      </c>
      <c r="G296" s="445" t="s">
        <v>1154</v>
      </c>
      <c r="H296" s="445" t="s">
        <v>1155</v>
      </c>
      <c r="I296" s="448">
        <v>310.5</v>
      </c>
      <c r="J296" s="448">
        <v>10</v>
      </c>
      <c r="K296" s="449">
        <v>3105</v>
      </c>
    </row>
    <row r="297" spans="1:11" ht="14.4" customHeight="1" x14ac:dyDescent="0.3">
      <c r="A297" s="443" t="s">
        <v>417</v>
      </c>
      <c r="B297" s="444" t="s">
        <v>418</v>
      </c>
      <c r="C297" s="445" t="s">
        <v>426</v>
      </c>
      <c r="D297" s="446" t="s">
        <v>427</v>
      </c>
      <c r="E297" s="445" t="s">
        <v>790</v>
      </c>
      <c r="F297" s="446" t="s">
        <v>791</v>
      </c>
      <c r="G297" s="445" t="s">
        <v>1156</v>
      </c>
      <c r="H297" s="445" t="s">
        <v>1157</v>
      </c>
      <c r="I297" s="448">
        <v>477.95001220703125</v>
      </c>
      <c r="J297" s="448">
        <v>1</v>
      </c>
      <c r="K297" s="449">
        <v>477.95001220703125</v>
      </c>
    </row>
    <row r="298" spans="1:11" ht="14.4" customHeight="1" x14ac:dyDescent="0.3">
      <c r="A298" s="443" t="s">
        <v>417</v>
      </c>
      <c r="B298" s="444" t="s">
        <v>418</v>
      </c>
      <c r="C298" s="445" t="s">
        <v>426</v>
      </c>
      <c r="D298" s="446" t="s">
        <v>427</v>
      </c>
      <c r="E298" s="445" t="s">
        <v>790</v>
      </c>
      <c r="F298" s="446" t="s">
        <v>791</v>
      </c>
      <c r="G298" s="445" t="s">
        <v>1158</v>
      </c>
      <c r="H298" s="445" t="s">
        <v>1159</v>
      </c>
      <c r="I298" s="448">
        <v>544.5</v>
      </c>
      <c r="J298" s="448">
        <v>1</v>
      </c>
      <c r="K298" s="449">
        <v>544.5</v>
      </c>
    </row>
    <row r="299" spans="1:11" ht="14.4" customHeight="1" x14ac:dyDescent="0.3">
      <c r="A299" s="443" t="s">
        <v>417</v>
      </c>
      <c r="B299" s="444" t="s">
        <v>418</v>
      </c>
      <c r="C299" s="445" t="s">
        <v>426</v>
      </c>
      <c r="D299" s="446" t="s">
        <v>427</v>
      </c>
      <c r="E299" s="445" t="s">
        <v>790</v>
      </c>
      <c r="F299" s="446" t="s">
        <v>791</v>
      </c>
      <c r="G299" s="445" t="s">
        <v>1160</v>
      </c>
      <c r="H299" s="445" t="s">
        <v>1161</v>
      </c>
      <c r="I299" s="448">
        <v>602.58001708984375</v>
      </c>
      <c r="J299" s="448">
        <v>1</v>
      </c>
      <c r="K299" s="449">
        <v>602.58001708984375</v>
      </c>
    </row>
    <row r="300" spans="1:11" ht="14.4" customHeight="1" x14ac:dyDescent="0.3">
      <c r="A300" s="443" t="s">
        <v>417</v>
      </c>
      <c r="B300" s="444" t="s">
        <v>418</v>
      </c>
      <c r="C300" s="445" t="s">
        <v>426</v>
      </c>
      <c r="D300" s="446" t="s">
        <v>427</v>
      </c>
      <c r="E300" s="445" t="s">
        <v>790</v>
      </c>
      <c r="F300" s="446" t="s">
        <v>791</v>
      </c>
      <c r="G300" s="445" t="s">
        <v>1162</v>
      </c>
      <c r="H300" s="445" t="s">
        <v>1163</v>
      </c>
      <c r="I300" s="448">
        <v>133.08999633789062</v>
      </c>
      <c r="J300" s="448">
        <v>12</v>
      </c>
      <c r="K300" s="449">
        <v>1597.050048828125</v>
      </c>
    </row>
    <row r="301" spans="1:11" ht="14.4" customHeight="1" x14ac:dyDescent="0.3">
      <c r="A301" s="443" t="s">
        <v>417</v>
      </c>
      <c r="B301" s="444" t="s">
        <v>418</v>
      </c>
      <c r="C301" s="445" t="s">
        <v>426</v>
      </c>
      <c r="D301" s="446" t="s">
        <v>427</v>
      </c>
      <c r="E301" s="445" t="s">
        <v>790</v>
      </c>
      <c r="F301" s="446" t="s">
        <v>791</v>
      </c>
      <c r="G301" s="445" t="s">
        <v>1164</v>
      </c>
      <c r="H301" s="445" t="s">
        <v>1165</v>
      </c>
      <c r="I301" s="448">
        <v>940.5</v>
      </c>
      <c r="J301" s="448">
        <v>1</v>
      </c>
      <c r="K301" s="449">
        <v>940.5</v>
      </c>
    </row>
    <row r="302" spans="1:11" ht="14.4" customHeight="1" x14ac:dyDescent="0.3">
      <c r="A302" s="443" t="s">
        <v>417</v>
      </c>
      <c r="B302" s="444" t="s">
        <v>418</v>
      </c>
      <c r="C302" s="445" t="s">
        <v>426</v>
      </c>
      <c r="D302" s="446" t="s">
        <v>427</v>
      </c>
      <c r="E302" s="445" t="s">
        <v>790</v>
      </c>
      <c r="F302" s="446" t="s">
        <v>791</v>
      </c>
      <c r="G302" s="445" t="s">
        <v>1166</v>
      </c>
      <c r="H302" s="445" t="s">
        <v>1167</v>
      </c>
      <c r="I302" s="448">
        <v>712.5</v>
      </c>
      <c r="J302" s="448">
        <v>4</v>
      </c>
      <c r="K302" s="449">
        <v>2850</v>
      </c>
    </row>
    <row r="303" spans="1:11" ht="14.4" customHeight="1" x14ac:dyDescent="0.3">
      <c r="A303" s="443" t="s">
        <v>417</v>
      </c>
      <c r="B303" s="444" t="s">
        <v>418</v>
      </c>
      <c r="C303" s="445" t="s">
        <v>426</v>
      </c>
      <c r="D303" s="446" t="s">
        <v>427</v>
      </c>
      <c r="E303" s="445" t="s">
        <v>790</v>
      </c>
      <c r="F303" s="446" t="s">
        <v>791</v>
      </c>
      <c r="G303" s="445" t="s">
        <v>1168</v>
      </c>
      <c r="H303" s="445" t="s">
        <v>1169</v>
      </c>
      <c r="I303" s="448">
        <v>474</v>
      </c>
      <c r="J303" s="448">
        <v>1</v>
      </c>
      <c r="K303" s="449">
        <v>474</v>
      </c>
    </row>
    <row r="304" spans="1:11" ht="14.4" customHeight="1" x14ac:dyDescent="0.3">
      <c r="A304" s="443" t="s">
        <v>417</v>
      </c>
      <c r="B304" s="444" t="s">
        <v>418</v>
      </c>
      <c r="C304" s="445" t="s">
        <v>426</v>
      </c>
      <c r="D304" s="446" t="s">
        <v>427</v>
      </c>
      <c r="E304" s="445" t="s">
        <v>790</v>
      </c>
      <c r="F304" s="446" t="s">
        <v>791</v>
      </c>
      <c r="G304" s="445" t="s">
        <v>1170</v>
      </c>
      <c r="H304" s="445" t="s">
        <v>1171</v>
      </c>
      <c r="I304" s="448">
        <v>474</v>
      </c>
      <c r="J304" s="448">
        <v>1</v>
      </c>
      <c r="K304" s="449">
        <v>474</v>
      </c>
    </row>
    <row r="305" spans="1:11" ht="14.4" customHeight="1" x14ac:dyDescent="0.3">
      <c r="A305" s="443" t="s">
        <v>417</v>
      </c>
      <c r="B305" s="444" t="s">
        <v>418</v>
      </c>
      <c r="C305" s="445" t="s">
        <v>426</v>
      </c>
      <c r="D305" s="446" t="s">
        <v>427</v>
      </c>
      <c r="E305" s="445" t="s">
        <v>790</v>
      </c>
      <c r="F305" s="446" t="s">
        <v>791</v>
      </c>
      <c r="G305" s="445" t="s">
        <v>1172</v>
      </c>
      <c r="H305" s="445" t="s">
        <v>1173</v>
      </c>
      <c r="I305" s="448">
        <v>606.760009765625</v>
      </c>
      <c r="J305" s="448">
        <v>2</v>
      </c>
      <c r="K305" s="449">
        <v>1213.510009765625</v>
      </c>
    </row>
    <row r="306" spans="1:11" ht="14.4" customHeight="1" x14ac:dyDescent="0.3">
      <c r="A306" s="443" t="s">
        <v>417</v>
      </c>
      <c r="B306" s="444" t="s">
        <v>418</v>
      </c>
      <c r="C306" s="445" t="s">
        <v>426</v>
      </c>
      <c r="D306" s="446" t="s">
        <v>427</v>
      </c>
      <c r="E306" s="445" t="s">
        <v>790</v>
      </c>
      <c r="F306" s="446" t="s">
        <v>791</v>
      </c>
      <c r="G306" s="445" t="s">
        <v>1174</v>
      </c>
      <c r="H306" s="445" t="s">
        <v>1175</v>
      </c>
      <c r="I306" s="448">
        <v>606.760009765625</v>
      </c>
      <c r="J306" s="448">
        <v>1</v>
      </c>
      <c r="K306" s="449">
        <v>606.760009765625</v>
      </c>
    </row>
    <row r="307" spans="1:11" ht="14.4" customHeight="1" x14ac:dyDescent="0.3">
      <c r="A307" s="443" t="s">
        <v>417</v>
      </c>
      <c r="B307" s="444" t="s">
        <v>418</v>
      </c>
      <c r="C307" s="445" t="s">
        <v>426</v>
      </c>
      <c r="D307" s="446" t="s">
        <v>427</v>
      </c>
      <c r="E307" s="445" t="s">
        <v>790</v>
      </c>
      <c r="F307" s="446" t="s">
        <v>791</v>
      </c>
      <c r="G307" s="445" t="s">
        <v>1176</v>
      </c>
      <c r="H307" s="445" t="s">
        <v>1177</v>
      </c>
      <c r="I307" s="448">
        <v>606.760009765625</v>
      </c>
      <c r="J307" s="448">
        <v>2</v>
      </c>
      <c r="K307" s="449">
        <v>1213.510009765625</v>
      </c>
    </row>
    <row r="308" spans="1:11" ht="14.4" customHeight="1" x14ac:dyDescent="0.3">
      <c r="A308" s="443" t="s">
        <v>417</v>
      </c>
      <c r="B308" s="444" t="s">
        <v>418</v>
      </c>
      <c r="C308" s="445" t="s">
        <v>426</v>
      </c>
      <c r="D308" s="446" t="s">
        <v>427</v>
      </c>
      <c r="E308" s="445" t="s">
        <v>790</v>
      </c>
      <c r="F308" s="446" t="s">
        <v>791</v>
      </c>
      <c r="G308" s="445" t="s">
        <v>1178</v>
      </c>
      <c r="H308" s="445" t="s">
        <v>1179</v>
      </c>
      <c r="I308" s="448">
        <v>599.20001220703125</v>
      </c>
      <c r="J308" s="448">
        <v>1</v>
      </c>
      <c r="K308" s="449">
        <v>599.20001220703125</v>
      </c>
    </row>
    <row r="309" spans="1:11" ht="14.4" customHeight="1" x14ac:dyDescent="0.3">
      <c r="A309" s="443" t="s">
        <v>417</v>
      </c>
      <c r="B309" s="444" t="s">
        <v>418</v>
      </c>
      <c r="C309" s="445" t="s">
        <v>426</v>
      </c>
      <c r="D309" s="446" t="s">
        <v>427</v>
      </c>
      <c r="E309" s="445" t="s">
        <v>790</v>
      </c>
      <c r="F309" s="446" t="s">
        <v>791</v>
      </c>
      <c r="G309" s="445" t="s">
        <v>1180</v>
      </c>
      <c r="H309" s="445" t="s">
        <v>1181</v>
      </c>
      <c r="I309" s="448">
        <v>606.760009765625</v>
      </c>
      <c r="J309" s="448">
        <v>2</v>
      </c>
      <c r="K309" s="449">
        <v>1213.510009765625</v>
      </c>
    </row>
    <row r="310" spans="1:11" ht="14.4" customHeight="1" x14ac:dyDescent="0.3">
      <c r="A310" s="443" t="s">
        <v>417</v>
      </c>
      <c r="B310" s="444" t="s">
        <v>418</v>
      </c>
      <c r="C310" s="445" t="s">
        <v>426</v>
      </c>
      <c r="D310" s="446" t="s">
        <v>427</v>
      </c>
      <c r="E310" s="445" t="s">
        <v>790</v>
      </c>
      <c r="F310" s="446" t="s">
        <v>791</v>
      </c>
      <c r="G310" s="445" t="s">
        <v>1182</v>
      </c>
      <c r="H310" s="445" t="s">
        <v>1183</v>
      </c>
      <c r="I310" s="448">
        <v>599.20001220703125</v>
      </c>
      <c r="J310" s="448">
        <v>1</v>
      </c>
      <c r="K310" s="449">
        <v>599.20001220703125</v>
      </c>
    </row>
    <row r="311" spans="1:11" ht="14.4" customHeight="1" x14ac:dyDescent="0.3">
      <c r="A311" s="443" t="s">
        <v>417</v>
      </c>
      <c r="B311" s="444" t="s">
        <v>418</v>
      </c>
      <c r="C311" s="445" t="s">
        <v>426</v>
      </c>
      <c r="D311" s="446" t="s">
        <v>427</v>
      </c>
      <c r="E311" s="445" t="s">
        <v>790</v>
      </c>
      <c r="F311" s="446" t="s">
        <v>791</v>
      </c>
      <c r="G311" s="445" t="s">
        <v>1184</v>
      </c>
      <c r="H311" s="445" t="s">
        <v>1185</v>
      </c>
      <c r="I311" s="448">
        <v>606.760009765625</v>
      </c>
      <c r="J311" s="448">
        <v>2</v>
      </c>
      <c r="K311" s="449">
        <v>1213.510009765625</v>
      </c>
    </row>
    <row r="312" spans="1:11" ht="14.4" customHeight="1" x14ac:dyDescent="0.3">
      <c r="A312" s="443" t="s">
        <v>417</v>
      </c>
      <c r="B312" s="444" t="s">
        <v>418</v>
      </c>
      <c r="C312" s="445" t="s">
        <v>426</v>
      </c>
      <c r="D312" s="446" t="s">
        <v>427</v>
      </c>
      <c r="E312" s="445" t="s">
        <v>790</v>
      </c>
      <c r="F312" s="446" t="s">
        <v>791</v>
      </c>
      <c r="G312" s="445" t="s">
        <v>1186</v>
      </c>
      <c r="H312" s="445" t="s">
        <v>1187</v>
      </c>
      <c r="I312" s="448">
        <v>606.760009765625</v>
      </c>
      <c r="J312" s="448">
        <v>1</v>
      </c>
      <c r="K312" s="449">
        <v>606.760009765625</v>
      </c>
    </row>
    <row r="313" spans="1:11" ht="14.4" customHeight="1" x14ac:dyDescent="0.3">
      <c r="A313" s="443" t="s">
        <v>417</v>
      </c>
      <c r="B313" s="444" t="s">
        <v>418</v>
      </c>
      <c r="C313" s="445" t="s">
        <v>426</v>
      </c>
      <c r="D313" s="446" t="s">
        <v>427</v>
      </c>
      <c r="E313" s="445" t="s">
        <v>790</v>
      </c>
      <c r="F313" s="446" t="s">
        <v>791</v>
      </c>
      <c r="G313" s="445" t="s">
        <v>1188</v>
      </c>
      <c r="H313" s="445" t="s">
        <v>1189</v>
      </c>
      <c r="I313" s="448">
        <v>587.72998046875</v>
      </c>
      <c r="J313" s="448">
        <v>1</v>
      </c>
      <c r="K313" s="449">
        <v>587.72998046875</v>
      </c>
    </row>
    <row r="314" spans="1:11" ht="14.4" customHeight="1" x14ac:dyDescent="0.3">
      <c r="A314" s="443" t="s">
        <v>417</v>
      </c>
      <c r="B314" s="444" t="s">
        <v>418</v>
      </c>
      <c r="C314" s="445" t="s">
        <v>426</v>
      </c>
      <c r="D314" s="446" t="s">
        <v>427</v>
      </c>
      <c r="E314" s="445" t="s">
        <v>790</v>
      </c>
      <c r="F314" s="446" t="s">
        <v>791</v>
      </c>
      <c r="G314" s="445" t="s">
        <v>1190</v>
      </c>
      <c r="H314" s="445" t="s">
        <v>1191</v>
      </c>
      <c r="I314" s="448">
        <v>1004.9200032552084</v>
      </c>
      <c r="J314" s="448">
        <v>1</v>
      </c>
      <c r="K314" s="449">
        <v>587.739990234375</v>
      </c>
    </row>
    <row r="315" spans="1:11" ht="14.4" customHeight="1" x14ac:dyDescent="0.3">
      <c r="A315" s="443" t="s">
        <v>417</v>
      </c>
      <c r="B315" s="444" t="s">
        <v>418</v>
      </c>
      <c r="C315" s="445" t="s">
        <v>426</v>
      </c>
      <c r="D315" s="446" t="s">
        <v>427</v>
      </c>
      <c r="E315" s="445" t="s">
        <v>790</v>
      </c>
      <c r="F315" s="446" t="s">
        <v>791</v>
      </c>
      <c r="G315" s="445" t="s">
        <v>1192</v>
      </c>
      <c r="H315" s="445" t="s">
        <v>1193</v>
      </c>
      <c r="I315" s="448">
        <v>587.72998046875</v>
      </c>
      <c r="J315" s="448">
        <v>1</v>
      </c>
      <c r="K315" s="449">
        <v>587.72998046875</v>
      </c>
    </row>
    <row r="316" spans="1:11" ht="14.4" customHeight="1" x14ac:dyDescent="0.3">
      <c r="A316" s="443" t="s">
        <v>417</v>
      </c>
      <c r="B316" s="444" t="s">
        <v>418</v>
      </c>
      <c r="C316" s="445" t="s">
        <v>426</v>
      </c>
      <c r="D316" s="446" t="s">
        <v>427</v>
      </c>
      <c r="E316" s="445" t="s">
        <v>790</v>
      </c>
      <c r="F316" s="446" t="s">
        <v>791</v>
      </c>
      <c r="G316" s="445" t="s">
        <v>1194</v>
      </c>
      <c r="H316" s="445" t="s">
        <v>1195</v>
      </c>
      <c r="I316" s="448">
        <v>587.72998046875</v>
      </c>
      <c r="J316" s="448">
        <v>1</v>
      </c>
      <c r="K316" s="449">
        <v>587.72998046875</v>
      </c>
    </row>
    <row r="317" spans="1:11" ht="14.4" customHeight="1" x14ac:dyDescent="0.3">
      <c r="A317" s="443" t="s">
        <v>417</v>
      </c>
      <c r="B317" s="444" t="s">
        <v>418</v>
      </c>
      <c r="C317" s="445" t="s">
        <v>426</v>
      </c>
      <c r="D317" s="446" t="s">
        <v>427</v>
      </c>
      <c r="E317" s="445" t="s">
        <v>790</v>
      </c>
      <c r="F317" s="446" t="s">
        <v>791</v>
      </c>
      <c r="G317" s="445" t="s">
        <v>1196</v>
      </c>
      <c r="H317" s="445" t="s">
        <v>1197</v>
      </c>
      <c r="I317" s="448">
        <v>764.469970703125</v>
      </c>
      <c r="J317" s="448">
        <v>1</v>
      </c>
      <c r="K317" s="449">
        <v>764.469970703125</v>
      </c>
    </row>
    <row r="318" spans="1:11" ht="14.4" customHeight="1" x14ac:dyDescent="0.3">
      <c r="A318" s="443" t="s">
        <v>417</v>
      </c>
      <c r="B318" s="444" t="s">
        <v>418</v>
      </c>
      <c r="C318" s="445" t="s">
        <v>426</v>
      </c>
      <c r="D318" s="446" t="s">
        <v>427</v>
      </c>
      <c r="E318" s="445" t="s">
        <v>790</v>
      </c>
      <c r="F318" s="446" t="s">
        <v>791</v>
      </c>
      <c r="G318" s="445" t="s">
        <v>1198</v>
      </c>
      <c r="H318" s="445" t="s">
        <v>1199</v>
      </c>
      <c r="I318" s="448">
        <v>764.469970703125</v>
      </c>
      <c r="J318" s="448">
        <v>1</v>
      </c>
      <c r="K318" s="449">
        <v>764.469970703125</v>
      </c>
    </row>
    <row r="319" spans="1:11" ht="14.4" customHeight="1" x14ac:dyDescent="0.3">
      <c r="A319" s="443" t="s">
        <v>417</v>
      </c>
      <c r="B319" s="444" t="s">
        <v>418</v>
      </c>
      <c r="C319" s="445" t="s">
        <v>426</v>
      </c>
      <c r="D319" s="446" t="s">
        <v>427</v>
      </c>
      <c r="E319" s="445" t="s">
        <v>790</v>
      </c>
      <c r="F319" s="446" t="s">
        <v>791</v>
      </c>
      <c r="G319" s="445" t="s">
        <v>1200</v>
      </c>
      <c r="H319" s="445" t="s">
        <v>1201</v>
      </c>
      <c r="I319" s="448">
        <v>764.469970703125</v>
      </c>
      <c r="J319" s="448">
        <v>1</v>
      </c>
      <c r="K319" s="449">
        <v>764.469970703125</v>
      </c>
    </row>
    <row r="320" spans="1:11" ht="14.4" customHeight="1" x14ac:dyDescent="0.3">
      <c r="A320" s="443" t="s">
        <v>417</v>
      </c>
      <c r="B320" s="444" t="s">
        <v>418</v>
      </c>
      <c r="C320" s="445" t="s">
        <v>426</v>
      </c>
      <c r="D320" s="446" t="s">
        <v>427</v>
      </c>
      <c r="E320" s="445" t="s">
        <v>790</v>
      </c>
      <c r="F320" s="446" t="s">
        <v>791</v>
      </c>
      <c r="G320" s="445" t="s">
        <v>1202</v>
      </c>
      <c r="H320" s="445" t="s">
        <v>1203</v>
      </c>
      <c r="I320" s="448">
        <v>711.030029296875</v>
      </c>
      <c r="J320" s="448">
        <v>2</v>
      </c>
      <c r="K320" s="449">
        <v>1422.06005859375</v>
      </c>
    </row>
    <row r="321" spans="1:11" ht="14.4" customHeight="1" x14ac:dyDescent="0.3">
      <c r="A321" s="443" t="s">
        <v>417</v>
      </c>
      <c r="B321" s="444" t="s">
        <v>418</v>
      </c>
      <c r="C321" s="445" t="s">
        <v>426</v>
      </c>
      <c r="D321" s="446" t="s">
        <v>427</v>
      </c>
      <c r="E321" s="445" t="s">
        <v>790</v>
      </c>
      <c r="F321" s="446" t="s">
        <v>791</v>
      </c>
      <c r="G321" s="445" t="s">
        <v>1204</v>
      </c>
      <c r="H321" s="445" t="s">
        <v>1205</v>
      </c>
      <c r="I321" s="448">
        <v>711.030029296875</v>
      </c>
      <c r="J321" s="448">
        <v>2</v>
      </c>
      <c r="K321" s="449">
        <v>1422.06005859375</v>
      </c>
    </row>
    <row r="322" spans="1:11" ht="14.4" customHeight="1" x14ac:dyDescent="0.3">
      <c r="A322" s="443" t="s">
        <v>417</v>
      </c>
      <c r="B322" s="444" t="s">
        <v>418</v>
      </c>
      <c r="C322" s="445" t="s">
        <v>426</v>
      </c>
      <c r="D322" s="446" t="s">
        <v>427</v>
      </c>
      <c r="E322" s="445" t="s">
        <v>790</v>
      </c>
      <c r="F322" s="446" t="s">
        <v>791</v>
      </c>
      <c r="G322" s="445" t="s">
        <v>1206</v>
      </c>
      <c r="H322" s="445" t="s">
        <v>1207</v>
      </c>
      <c r="I322" s="448">
        <v>524.20001220703125</v>
      </c>
      <c r="J322" s="448">
        <v>1</v>
      </c>
      <c r="K322" s="449">
        <v>524.20001220703125</v>
      </c>
    </row>
    <row r="323" spans="1:11" ht="14.4" customHeight="1" x14ac:dyDescent="0.3">
      <c r="A323" s="443" t="s">
        <v>417</v>
      </c>
      <c r="B323" s="444" t="s">
        <v>418</v>
      </c>
      <c r="C323" s="445" t="s">
        <v>426</v>
      </c>
      <c r="D323" s="446" t="s">
        <v>427</v>
      </c>
      <c r="E323" s="445" t="s">
        <v>790</v>
      </c>
      <c r="F323" s="446" t="s">
        <v>791</v>
      </c>
      <c r="G323" s="445" t="s">
        <v>1208</v>
      </c>
      <c r="H323" s="445" t="s">
        <v>1209</v>
      </c>
      <c r="I323" s="448">
        <v>711.70001220703125</v>
      </c>
      <c r="J323" s="448">
        <v>1</v>
      </c>
      <c r="K323" s="449">
        <v>711.70001220703125</v>
      </c>
    </row>
    <row r="324" spans="1:11" ht="14.4" customHeight="1" x14ac:dyDescent="0.3">
      <c r="A324" s="443" t="s">
        <v>417</v>
      </c>
      <c r="B324" s="444" t="s">
        <v>418</v>
      </c>
      <c r="C324" s="445" t="s">
        <v>426</v>
      </c>
      <c r="D324" s="446" t="s">
        <v>427</v>
      </c>
      <c r="E324" s="445" t="s">
        <v>790</v>
      </c>
      <c r="F324" s="446" t="s">
        <v>791</v>
      </c>
      <c r="G324" s="445" t="s">
        <v>1210</v>
      </c>
      <c r="H324" s="445" t="s">
        <v>1211</v>
      </c>
      <c r="I324" s="448">
        <v>711.70001220703125</v>
      </c>
      <c r="J324" s="448">
        <v>1</v>
      </c>
      <c r="K324" s="449">
        <v>711.70001220703125</v>
      </c>
    </row>
    <row r="325" spans="1:11" ht="14.4" customHeight="1" x14ac:dyDescent="0.3">
      <c r="A325" s="443" t="s">
        <v>417</v>
      </c>
      <c r="B325" s="444" t="s">
        <v>418</v>
      </c>
      <c r="C325" s="445" t="s">
        <v>426</v>
      </c>
      <c r="D325" s="446" t="s">
        <v>427</v>
      </c>
      <c r="E325" s="445" t="s">
        <v>790</v>
      </c>
      <c r="F325" s="446" t="s">
        <v>791</v>
      </c>
      <c r="G325" s="445" t="s">
        <v>1212</v>
      </c>
      <c r="H325" s="445" t="s">
        <v>1213</v>
      </c>
      <c r="I325" s="448">
        <v>3894.469970703125</v>
      </c>
      <c r="J325" s="448">
        <v>2</v>
      </c>
      <c r="K325" s="449">
        <v>7788.93017578125</v>
      </c>
    </row>
    <row r="326" spans="1:11" ht="14.4" customHeight="1" x14ac:dyDescent="0.3">
      <c r="A326" s="443" t="s">
        <v>417</v>
      </c>
      <c r="B326" s="444" t="s">
        <v>418</v>
      </c>
      <c r="C326" s="445" t="s">
        <v>426</v>
      </c>
      <c r="D326" s="446" t="s">
        <v>427</v>
      </c>
      <c r="E326" s="445" t="s">
        <v>790</v>
      </c>
      <c r="F326" s="446" t="s">
        <v>791</v>
      </c>
      <c r="G326" s="445" t="s">
        <v>1214</v>
      </c>
      <c r="H326" s="445" t="s">
        <v>1215</v>
      </c>
      <c r="I326" s="448">
        <v>5329.669921875</v>
      </c>
      <c r="J326" s="448">
        <v>1</v>
      </c>
      <c r="K326" s="449">
        <v>5329.669921875</v>
      </c>
    </row>
    <row r="327" spans="1:11" ht="14.4" customHeight="1" x14ac:dyDescent="0.3">
      <c r="A327" s="443" t="s">
        <v>417</v>
      </c>
      <c r="B327" s="444" t="s">
        <v>418</v>
      </c>
      <c r="C327" s="445" t="s">
        <v>426</v>
      </c>
      <c r="D327" s="446" t="s">
        <v>427</v>
      </c>
      <c r="E327" s="445" t="s">
        <v>790</v>
      </c>
      <c r="F327" s="446" t="s">
        <v>791</v>
      </c>
      <c r="G327" s="445" t="s">
        <v>1216</v>
      </c>
      <c r="H327" s="445" t="s">
        <v>1217</v>
      </c>
      <c r="I327" s="448">
        <v>1467.8399658203125</v>
      </c>
      <c r="J327" s="448">
        <v>3</v>
      </c>
      <c r="K327" s="449">
        <v>4403.52001953125</v>
      </c>
    </row>
    <row r="328" spans="1:11" ht="14.4" customHeight="1" x14ac:dyDescent="0.3">
      <c r="A328" s="443" t="s">
        <v>417</v>
      </c>
      <c r="B328" s="444" t="s">
        <v>418</v>
      </c>
      <c r="C328" s="445" t="s">
        <v>426</v>
      </c>
      <c r="D328" s="446" t="s">
        <v>427</v>
      </c>
      <c r="E328" s="445" t="s">
        <v>790</v>
      </c>
      <c r="F328" s="446" t="s">
        <v>791</v>
      </c>
      <c r="G328" s="445" t="s">
        <v>1218</v>
      </c>
      <c r="H328" s="445" t="s">
        <v>1219</v>
      </c>
      <c r="I328" s="448">
        <v>5150</v>
      </c>
      <c r="J328" s="448">
        <v>1</v>
      </c>
      <c r="K328" s="449">
        <v>5150</v>
      </c>
    </row>
    <row r="329" spans="1:11" ht="14.4" customHeight="1" x14ac:dyDescent="0.3">
      <c r="A329" s="443" t="s">
        <v>417</v>
      </c>
      <c r="B329" s="444" t="s">
        <v>418</v>
      </c>
      <c r="C329" s="445" t="s">
        <v>426</v>
      </c>
      <c r="D329" s="446" t="s">
        <v>427</v>
      </c>
      <c r="E329" s="445" t="s">
        <v>790</v>
      </c>
      <c r="F329" s="446" t="s">
        <v>791</v>
      </c>
      <c r="G329" s="445" t="s">
        <v>1220</v>
      </c>
      <c r="H329" s="445" t="s">
        <v>1221</v>
      </c>
      <c r="I329" s="448">
        <v>23.880000114440918</v>
      </c>
      <c r="J329" s="448">
        <v>72</v>
      </c>
      <c r="K329" s="449">
        <v>1719.5</v>
      </c>
    </row>
    <row r="330" spans="1:11" ht="14.4" customHeight="1" x14ac:dyDescent="0.3">
      <c r="A330" s="443" t="s">
        <v>417</v>
      </c>
      <c r="B330" s="444" t="s">
        <v>418</v>
      </c>
      <c r="C330" s="445" t="s">
        <v>426</v>
      </c>
      <c r="D330" s="446" t="s">
        <v>427</v>
      </c>
      <c r="E330" s="445" t="s">
        <v>790</v>
      </c>
      <c r="F330" s="446" t="s">
        <v>791</v>
      </c>
      <c r="G330" s="445" t="s">
        <v>1222</v>
      </c>
      <c r="H330" s="445" t="s">
        <v>1223</v>
      </c>
      <c r="I330" s="448">
        <v>5.380000114440918</v>
      </c>
      <c r="J330" s="448">
        <v>180</v>
      </c>
      <c r="K330" s="449">
        <v>969</v>
      </c>
    </row>
    <row r="331" spans="1:11" ht="14.4" customHeight="1" x14ac:dyDescent="0.3">
      <c r="A331" s="443" t="s">
        <v>417</v>
      </c>
      <c r="B331" s="444" t="s">
        <v>418</v>
      </c>
      <c r="C331" s="445" t="s">
        <v>426</v>
      </c>
      <c r="D331" s="446" t="s">
        <v>427</v>
      </c>
      <c r="E331" s="445" t="s">
        <v>790</v>
      </c>
      <c r="F331" s="446" t="s">
        <v>791</v>
      </c>
      <c r="G331" s="445" t="s">
        <v>1224</v>
      </c>
      <c r="H331" s="445" t="s">
        <v>1225</v>
      </c>
      <c r="I331" s="448">
        <v>5.380000114440918</v>
      </c>
      <c r="J331" s="448">
        <v>150</v>
      </c>
      <c r="K331" s="449">
        <v>807.5</v>
      </c>
    </row>
    <row r="332" spans="1:11" ht="14.4" customHeight="1" x14ac:dyDescent="0.3">
      <c r="A332" s="443" t="s">
        <v>417</v>
      </c>
      <c r="B332" s="444" t="s">
        <v>418</v>
      </c>
      <c r="C332" s="445" t="s">
        <v>426</v>
      </c>
      <c r="D332" s="446" t="s">
        <v>427</v>
      </c>
      <c r="E332" s="445" t="s">
        <v>790</v>
      </c>
      <c r="F332" s="446" t="s">
        <v>791</v>
      </c>
      <c r="G332" s="445" t="s">
        <v>1226</v>
      </c>
      <c r="H332" s="445" t="s">
        <v>1227</v>
      </c>
      <c r="I332" s="448">
        <v>5.380000114440918</v>
      </c>
      <c r="J332" s="448">
        <v>210</v>
      </c>
      <c r="K332" s="449">
        <v>1130.5</v>
      </c>
    </row>
    <row r="333" spans="1:11" ht="14.4" customHeight="1" x14ac:dyDescent="0.3">
      <c r="A333" s="443" t="s">
        <v>417</v>
      </c>
      <c r="B333" s="444" t="s">
        <v>418</v>
      </c>
      <c r="C333" s="445" t="s">
        <v>426</v>
      </c>
      <c r="D333" s="446" t="s">
        <v>427</v>
      </c>
      <c r="E333" s="445" t="s">
        <v>790</v>
      </c>
      <c r="F333" s="446" t="s">
        <v>791</v>
      </c>
      <c r="G333" s="445" t="s">
        <v>1228</v>
      </c>
      <c r="H333" s="445" t="s">
        <v>1229</v>
      </c>
      <c r="I333" s="448">
        <v>5.380000114440918</v>
      </c>
      <c r="J333" s="448">
        <v>180</v>
      </c>
      <c r="K333" s="449">
        <v>969</v>
      </c>
    </row>
    <row r="334" spans="1:11" ht="14.4" customHeight="1" x14ac:dyDescent="0.3">
      <c r="A334" s="443" t="s">
        <v>417</v>
      </c>
      <c r="B334" s="444" t="s">
        <v>418</v>
      </c>
      <c r="C334" s="445" t="s">
        <v>426</v>
      </c>
      <c r="D334" s="446" t="s">
        <v>427</v>
      </c>
      <c r="E334" s="445" t="s">
        <v>790</v>
      </c>
      <c r="F334" s="446" t="s">
        <v>791</v>
      </c>
      <c r="G334" s="445" t="s">
        <v>1230</v>
      </c>
      <c r="H334" s="445" t="s">
        <v>1231</v>
      </c>
      <c r="I334" s="448">
        <v>5.380000114440918</v>
      </c>
      <c r="J334" s="448">
        <v>150</v>
      </c>
      <c r="K334" s="449">
        <v>807.5</v>
      </c>
    </row>
    <row r="335" spans="1:11" ht="14.4" customHeight="1" x14ac:dyDescent="0.3">
      <c r="A335" s="443" t="s">
        <v>417</v>
      </c>
      <c r="B335" s="444" t="s">
        <v>418</v>
      </c>
      <c r="C335" s="445" t="s">
        <v>426</v>
      </c>
      <c r="D335" s="446" t="s">
        <v>427</v>
      </c>
      <c r="E335" s="445" t="s">
        <v>790</v>
      </c>
      <c r="F335" s="446" t="s">
        <v>791</v>
      </c>
      <c r="G335" s="445" t="s">
        <v>1232</v>
      </c>
      <c r="H335" s="445" t="s">
        <v>1233</v>
      </c>
      <c r="I335" s="448">
        <v>362.97000122070312</v>
      </c>
      <c r="J335" s="448">
        <v>2</v>
      </c>
      <c r="K335" s="449">
        <v>725.94000244140625</v>
      </c>
    </row>
    <row r="336" spans="1:11" ht="14.4" customHeight="1" x14ac:dyDescent="0.3">
      <c r="A336" s="443" t="s">
        <v>417</v>
      </c>
      <c r="B336" s="444" t="s">
        <v>418</v>
      </c>
      <c r="C336" s="445" t="s">
        <v>426</v>
      </c>
      <c r="D336" s="446" t="s">
        <v>427</v>
      </c>
      <c r="E336" s="445" t="s">
        <v>790</v>
      </c>
      <c r="F336" s="446" t="s">
        <v>791</v>
      </c>
      <c r="G336" s="445" t="s">
        <v>1234</v>
      </c>
      <c r="H336" s="445" t="s">
        <v>1235</v>
      </c>
      <c r="I336" s="448">
        <v>390.82998657226562</v>
      </c>
      <c r="J336" s="448">
        <v>3</v>
      </c>
      <c r="K336" s="449">
        <v>1172.489990234375</v>
      </c>
    </row>
    <row r="337" spans="1:11" ht="14.4" customHeight="1" x14ac:dyDescent="0.3">
      <c r="A337" s="443" t="s">
        <v>417</v>
      </c>
      <c r="B337" s="444" t="s">
        <v>418</v>
      </c>
      <c r="C337" s="445" t="s">
        <v>426</v>
      </c>
      <c r="D337" s="446" t="s">
        <v>427</v>
      </c>
      <c r="E337" s="445" t="s">
        <v>790</v>
      </c>
      <c r="F337" s="446" t="s">
        <v>791</v>
      </c>
      <c r="G337" s="445" t="s">
        <v>1236</v>
      </c>
      <c r="H337" s="445" t="s">
        <v>1237</v>
      </c>
      <c r="I337" s="448">
        <v>5065.14013671875</v>
      </c>
      <c r="J337" s="448">
        <v>2</v>
      </c>
      <c r="K337" s="449">
        <v>10130.2802734375</v>
      </c>
    </row>
    <row r="338" spans="1:11" ht="14.4" customHeight="1" x14ac:dyDescent="0.3">
      <c r="A338" s="443" t="s">
        <v>417</v>
      </c>
      <c r="B338" s="444" t="s">
        <v>418</v>
      </c>
      <c r="C338" s="445" t="s">
        <v>426</v>
      </c>
      <c r="D338" s="446" t="s">
        <v>427</v>
      </c>
      <c r="E338" s="445" t="s">
        <v>790</v>
      </c>
      <c r="F338" s="446" t="s">
        <v>791</v>
      </c>
      <c r="G338" s="445" t="s">
        <v>1238</v>
      </c>
      <c r="H338" s="445" t="s">
        <v>1239</v>
      </c>
      <c r="I338" s="448">
        <v>3904.050048828125</v>
      </c>
      <c r="J338" s="448">
        <v>2</v>
      </c>
      <c r="K338" s="449">
        <v>7808.10009765625</v>
      </c>
    </row>
    <row r="339" spans="1:11" ht="14.4" customHeight="1" x14ac:dyDescent="0.3">
      <c r="A339" s="443" t="s">
        <v>417</v>
      </c>
      <c r="B339" s="444" t="s">
        <v>418</v>
      </c>
      <c r="C339" s="445" t="s">
        <v>426</v>
      </c>
      <c r="D339" s="446" t="s">
        <v>427</v>
      </c>
      <c r="E339" s="445" t="s">
        <v>790</v>
      </c>
      <c r="F339" s="446" t="s">
        <v>791</v>
      </c>
      <c r="G339" s="445" t="s">
        <v>1240</v>
      </c>
      <c r="H339" s="445" t="s">
        <v>1241</v>
      </c>
      <c r="I339" s="448">
        <v>495.510009765625</v>
      </c>
      <c r="J339" s="448">
        <v>1</v>
      </c>
      <c r="K339" s="449">
        <v>495.510009765625</v>
      </c>
    </row>
    <row r="340" spans="1:11" ht="14.4" customHeight="1" x14ac:dyDescent="0.3">
      <c r="A340" s="443" t="s">
        <v>417</v>
      </c>
      <c r="B340" s="444" t="s">
        <v>418</v>
      </c>
      <c r="C340" s="445" t="s">
        <v>426</v>
      </c>
      <c r="D340" s="446" t="s">
        <v>427</v>
      </c>
      <c r="E340" s="445" t="s">
        <v>790</v>
      </c>
      <c r="F340" s="446" t="s">
        <v>791</v>
      </c>
      <c r="G340" s="445" t="s">
        <v>1242</v>
      </c>
      <c r="H340" s="445" t="s">
        <v>1243</v>
      </c>
      <c r="I340" s="448">
        <v>299.82998657226562</v>
      </c>
      <c r="J340" s="448">
        <v>12</v>
      </c>
      <c r="K340" s="449">
        <v>3598</v>
      </c>
    </row>
    <row r="341" spans="1:11" ht="14.4" customHeight="1" x14ac:dyDescent="0.3">
      <c r="A341" s="443" t="s">
        <v>417</v>
      </c>
      <c r="B341" s="444" t="s">
        <v>418</v>
      </c>
      <c r="C341" s="445" t="s">
        <v>426</v>
      </c>
      <c r="D341" s="446" t="s">
        <v>427</v>
      </c>
      <c r="E341" s="445" t="s">
        <v>790</v>
      </c>
      <c r="F341" s="446" t="s">
        <v>791</v>
      </c>
      <c r="G341" s="445" t="s">
        <v>1244</v>
      </c>
      <c r="H341" s="445" t="s">
        <v>1245</v>
      </c>
      <c r="I341" s="448">
        <v>1.309999942779541</v>
      </c>
      <c r="J341" s="448">
        <v>1000</v>
      </c>
      <c r="K341" s="449">
        <v>1314.800048828125</v>
      </c>
    </row>
    <row r="342" spans="1:11" ht="14.4" customHeight="1" x14ac:dyDescent="0.3">
      <c r="A342" s="443" t="s">
        <v>417</v>
      </c>
      <c r="B342" s="444" t="s">
        <v>418</v>
      </c>
      <c r="C342" s="445" t="s">
        <v>426</v>
      </c>
      <c r="D342" s="446" t="s">
        <v>427</v>
      </c>
      <c r="E342" s="445" t="s">
        <v>790</v>
      </c>
      <c r="F342" s="446" t="s">
        <v>791</v>
      </c>
      <c r="G342" s="445" t="s">
        <v>1246</v>
      </c>
      <c r="H342" s="445" t="s">
        <v>1247</v>
      </c>
      <c r="I342" s="448">
        <v>385.989990234375</v>
      </c>
      <c r="J342" s="448">
        <v>16</v>
      </c>
      <c r="K342" s="449">
        <v>6175.83984375</v>
      </c>
    </row>
    <row r="343" spans="1:11" ht="14.4" customHeight="1" x14ac:dyDescent="0.3">
      <c r="A343" s="443" t="s">
        <v>417</v>
      </c>
      <c r="B343" s="444" t="s">
        <v>418</v>
      </c>
      <c r="C343" s="445" t="s">
        <v>426</v>
      </c>
      <c r="D343" s="446" t="s">
        <v>427</v>
      </c>
      <c r="E343" s="445" t="s">
        <v>790</v>
      </c>
      <c r="F343" s="446" t="s">
        <v>791</v>
      </c>
      <c r="G343" s="445" t="s">
        <v>1248</v>
      </c>
      <c r="H343" s="445" t="s">
        <v>1249</v>
      </c>
      <c r="I343" s="448">
        <v>574.75</v>
      </c>
      <c r="J343" s="448">
        <v>3</v>
      </c>
      <c r="K343" s="449">
        <v>1724.25</v>
      </c>
    </row>
    <row r="344" spans="1:11" ht="14.4" customHeight="1" x14ac:dyDescent="0.3">
      <c r="A344" s="443" t="s">
        <v>417</v>
      </c>
      <c r="B344" s="444" t="s">
        <v>418</v>
      </c>
      <c r="C344" s="445" t="s">
        <v>426</v>
      </c>
      <c r="D344" s="446" t="s">
        <v>427</v>
      </c>
      <c r="E344" s="445" t="s">
        <v>790</v>
      </c>
      <c r="F344" s="446" t="s">
        <v>791</v>
      </c>
      <c r="G344" s="445" t="s">
        <v>1250</v>
      </c>
      <c r="H344" s="445" t="s">
        <v>1251</v>
      </c>
      <c r="I344" s="448">
        <v>133.33999633789062</v>
      </c>
      <c r="J344" s="448">
        <v>2</v>
      </c>
      <c r="K344" s="449">
        <v>266.67999267578125</v>
      </c>
    </row>
    <row r="345" spans="1:11" ht="14.4" customHeight="1" x14ac:dyDescent="0.3">
      <c r="A345" s="443" t="s">
        <v>417</v>
      </c>
      <c r="B345" s="444" t="s">
        <v>418</v>
      </c>
      <c r="C345" s="445" t="s">
        <v>426</v>
      </c>
      <c r="D345" s="446" t="s">
        <v>427</v>
      </c>
      <c r="E345" s="445" t="s">
        <v>790</v>
      </c>
      <c r="F345" s="446" t="s">
        <v>791</v>
      </c>
      <c r="G345" s="445" t="s">
        <v>1252</v>
      </c>
      <c r="H345" s="445" t="s">
        <v>1253</v>
      </c>
      <c r="I345" s="448">
        <v>921</v>
      </c>
      <c r="J345" s="448">
        <v>1</v>
      </c>
      <c r="K345" s="449">
        <v>921</v>
      </c>
    </row>
    <row r="346" spans="1:11" ht="14.4" customHeight="1" x14ac:dyDescent="0.3">
      <c r="A346" s="443" t="s">
        <v>417</v>
      </c>
      <c r="B346" s="444" t="s">
        <v>418</v>
      </c>
      <c r="C346" s="445" t="s">
        <v>426</v>
      </c>
      <c r="D346" s="446" t="s">
        <v>427</v>
      </c>
      <c r="E346" s="445" t="s">
        <v>790</v>
      </c>
      <c r="F346" s="446" t="s">
        <v>791</v>
      </c>
      <c r="G346" s="445" t="s">
        <v>1254</v>
      </c>
      <c r="H346" s="445" t="s">
        <v>1255</v>
      </c>
      <c r="I346" s="448">
        <v>387.20001220703125</v>
      </c>
      <c r="J346" s="448">
        <v>3</v>
      </c>
      <c r="K346" s="449">
        <v>1161.5999755859375</v>
      </c>
    </row>
    <row r="347" spans="1:11" ht="14.4" customHeight="1" x14ac:dyDescent="0.3">
      <c r="A347" s="443" t="s">
        <v>417</v>
      </c>
      <c r="B347" s="444" t="s">
        <v>418</v>
      </c>
      <c r="C347" s="445" t="s">
        <v>426</v>
      </c>
      <c r="D347" s="446" t="s">
        <v>427</v>
      </c>
      <c r="E347" s="445" t="s">
        <v>790</v>
      </c>
      <c r="F347" s="446" t="s">
        <v>791</v>
      </c>
      <c r="G347" s="445" t="s">
        <v>1256</v>
      </c>
      <c r="H347" s="445" t="s">
        <v>1257</v>
      </c>
      <c r="I347" s="448">
        <v>877.20001220703125</v>
      </c>
      <c r="J347" s="448">
        <v>1</v>
      </c>
      <c r="K347" s="449">
        <v>877.20001220703125</v>
      </c>
    </row>
    <row r="348" spans="1:11" ht="14.4" customHeight="1" x14ac:dyDescent="0.3">
      <c r="A348" s="443" t="s">
        <v>417</v>
      </c>
      <c r="B348" s="444" t="s">
        <v>418</v>
      </c>
      <c r="C348" s="445" t="s">
        <v>426</v>
      </c>
      <c r="D348" s="446" t="s">
        <v>427</v>
      </c>
      <c r="E348" s="445" t="s">
        <v>790</v>
      </c>
      <c r="F348" s="446" t="s">
        <v>791</v>
      </c>
      <c r="G348" s="445" t="s">
        <v>1258</v>
      </c>
      <c r="H348" s="445" t="s">
        <v>1259</v>
      </c>
      <c r="I348" s="448">
        <v>922.02001953125</v>
      </c>
      <c r="J348" s="448">
        <v>1</v>
      </c>
      <c r="K348" s="449">
        <v>922.02001953125</v>
      </c>
    </row>
    <row r="349" spans="1:11" ht="14.4" customHeight="1" x14ac:dyDescent="0.3">
      <c r="A349" s="443" t="s">
        <v>417</v>
      </c>
      <c r="B349" s="444" t="s">
        <v>418</v>
      </c>
      <c r="C349" s="445" t="s">
        <v>426</v>
      </c>
      <c r="D349" s="446" t="s">
        <v>427</v>
      </c>
      <c r="E349" s="445" t="s">
        <v>790</v>
      </c>
      <c r="F349" s="446" t="s">
        <v>791</v>
      </c>
      <c r="G349" s="445" t="s">
        <v>1260</v>
      </c>
      <c r="H349" s="445" t="s">
        <v>1261</v>
      </c>
      <c r="I349" s="448">
        <v>894.19000244140625</v>
      </c>
      <c r="J349" s="448">
        <v>2</v>
      </c>
      <c r="K349" s="449">
        <v>1788.3800048828125</v>
      </c>
    </row>
    <row r="350" spans="1:11" ht="14.4" customHeight="1" x14ac:dyDescent="0.3">
      <c r="A350" s="443" t="s">
        <v>417</v>
      </c>
      <c r="B350" s="444" t="s">
        <v>418</v>
      </c>
      <c r="C350" s="445" t="s">
        <v>426</v>
      </c>
      <c r="D350" s="446" t="s">
        <v>427</v>
      </c>
      <c r="E350" s="445" t="s">
        <v>790</v>
      </c>
      <c r="F350" s="446" t="s">
        <v>791</v>
      </c>
      <c r="G350" s="445" t="s">
        <v>1262</v>
      </c>
      <c r="H350" s="445" t="s">
        <v>1263</v>
      </c>
      <c r="I350" s="448">
        <v>3625</v>
      </c>
      <c r="J350" s="448">
        <v>1</v>
      </c>
      <c r="K350" s="449">
        <v>3625</v>
      </c>
    </row>
    <row r="351" spans="1:11" ht="14.4" customHeight="1" x14ac:dyDescent="0.3">
      <c r="A351" s="443" t="s">
        <v>417</v>
      </c>
      <c r="B351" s="444" t="s">
        <v>418</v>
      </c>
      <c r="C351" s="445" t="s">
        <v>426</v>
      </c>
      <c r="D351" s="446" t="s">
        <v>427</v>
      </c>
      <c r="E351" s="445" t="s">
        <v>790</v>
      </c>
      <c r="F351" s="446" t="s">
        <v>791</v>
      </c>
      <c r="G351" s="445" t="s">
        <v>1264</v>
      </c>
      <c r="H351" s="445" t="s">
        <v>1265</v>
      </c>
      <c r="I351" s="448">
        <v>562.6400146484375</v>
      </c>
      <c r="J351" s="448">
        <v>2</v>
      </c>
      <c r="K351" s="449">
        <v>1125.280029296875</v>
      </c>
    </row>
    <row r="352" spans="1:11" ht="14.4" customHeight="1" x14ac:dyDescent="0.3">
      <c r="A352" s="443" t="s">
        <v>417</v>
      </c>
      <c r="B352" s="444" t="s">
        <v>418</v>
      </c>
      <c r="C352" s="445" t="s">
        <v>426</v>
      </c>
      <c r="D352" s="446" t="s">
        <v>427</v>
      </c>
      <c r="E352" s="445" t="s">
        <v>790</v>
      </c>
      <c r="F352" s="446" t="s">
        <v>791</v>
      </c>
      <c r="G352" s="445" t="s">
        <v>1266</v>
      </c>
      <c r="H352" s="445" t="s">
        <v>1267</v>
      </c>
      <c r="I352" s="448">
        <v>592.1</v>
      </c>
      <c r="J352" s="448">
        <v>25</v>
      </c>
      <c r="K352" s="449">
        <v>14786.97998046875</v>
      </c>
    </row>
    <row r="353" spans="1:11" ht="14.4" customHeight="1" x14ac:dyDescent="0.3">
      <c r="A353" s="443" t="s">
        <v>417</v>
      </c>
      <c r="B353" s="444" t="s">
        <v>418</v>
      </c>
      <c r="C353" s="445" t="s">
        <v>426</v>
      </c>
      <c r="D353" s="446" t="s">
        <v>427</v>
      </c>
      <c r="E353" s="445" t="s">
        <v>790</v>
      </c>
      <c r="F353" s="446" t="s">
        <v>791</v>
      </c>
      <c r="G353" s="445" t="s">
        <v>1268</v>
      </c>
      <c r="H353" s="445" t="s">
        <v>1269</v>
      </c>
      <c r="I353" s="448">
        <v>599.780029296875</v>
      </c>
      <c r="J353" s="448">
        <v>7</v>
      </c>
      <c r="K353" s="449">
        <v>4198.4798583984375</v>
      </c>
    </row>
    <row r="354" spans="1:11" ht="14.4" customHeight="1" x14ac:dyDescent="0.3">
      <c r="A354" s="443" t="s">
        <v>417</v>
      </c>
      <c r="B354" s="444" t="s">
        <v>418</v>
      </c>
      <c r="C354" s="445" t="s">
        <v>426</v>
      </c>
      <c r="D354" s="446" t="s">
        <v>427</v>
      </c>
      <c r="E354" s="445" t="s">
        <v>790</v>
      </c>
      <c r="F354" s="446" t="s">
        <v>791</v>
      </c>
      <c r="G354" s="445" t="s">
        <v>1270</v>
      </c>
      <c r="H354" s="445" t="s">
        <v>1271</v>
      </c>
      <c r="I354" s="448">
        <v>6897</v>
      </c>
      <c r="J354" s="448">
        <v>2.9955999851226807</v>
      </c>
      <c r="K354" s="449">
        <v>20660.64990234375</v>
      </c>
    </row>
    <row r="355" spans="1:11" ht="14.4" customHeight="1" x14ac:dyDescent="0.3">
      <c r="A355" s="443" t="s">
        <v>417</v>
      </c>
      <c r="B355" s="444" t="s">
        <v>418</v>
      </c>
      <c r="C355" s="445" t="s">
        <v>426</v>
      </c>
      <c r="D355" s="446" t="s">
        <v>427</v>
      </c>
      <c r="E355" s="445" t="s">
        <v>790</v>
      </c>
      <c r="F355" s="446" t="s">
        <v>791</v>
      </c>
      <c r="G355" s="445" t="s">
        <v>1272</v>
      </c>
      <c r="H355" s="445" t="s">
        <v>1273</v>
      </c>
      <c r="I355" s="448">
        <v>402.92999267578125</v>
      </c>
      <c r="J355" s="448">
        <v>3</v>
      </c>
      <c r="K355" s="449">
        <v>1208.7899780273437</v>
      </c>
    </row>
    <row r="356" spans="1:11" ht="14.4" customHeight="1" x14ac:dyDescent="0.3">
      <c r="A356" s="443" t="s">
        <v>417</v>
      </c>
      <c r="B356" s="444" t="s">
        <v>418</v>
      </c>
      <c r="C356" s="445" t="s">
        <v>426</v>
      </c>
      <c r="D356" s="446" t="s">
        <v>427</v>
      </c>
      <c r="E356" s="445" t="s">
        <v>790</v>
      </c>
      <c r="F356" s="446" t="s">
        <v>791</v>
      </c>
      <c r="G356" s="445" t="s">
        <v>1274</v>
      </c>
      <c r="H356" s="445" t="s">
        <v>1275</v>
      </c>
      <c r="I356" s="448">
        <v>2153.800048828125</v>
      </c>
      <c r="J356" s="448">
        <v>2</v>
      </c>
      <c r="K356" s="449">
        <v>4307.60009765625</v>
      </c>
    </row>
    <row r="357" spans="1:11" ht="14.4" customHeight="1" x14ac:dyDescent="0.3">
      <c r="A357" s="443" t="s">
        <v>417</v>
      </c>
      <c r="B357" s="444" t="s">
        <v>418</v>
      </c>
      <c r="C357" s="445" t="s">
        <v>426</v>
      </c>
      <c r="D357" s="446" t="s">
        <v>427</v>
      </c>
      <c r="E357" s="445" t="s">
        <v>790</v>
      </c>
      <c r="F357" s="446" t="s">
        <v>791</v>
      </c>
      <c r="G357" s="445" t="s">
        <v>1276</v>
      </c>
      <c r="H357" s="445" t="s">
        <v>1277</v>
      </c>
      <c r="I357" s="448">
        <v>942.59002685546875</v>
      </c>
      <c r="J357" s="448">
        <v>2</v>
      </c>
      <c r="K357" s="449">
        <v>1885.1800537109375</v>
      </c>
    </row>
    <row r="358" spans="1:11" ht="14.4" customHeight="1" x14ac:dyDescent="0.3">
      <c r="A358" s="443" t="s">
        <v>417</v>
      </c>
      <c r="B358" s="444" t="s">
        <v>418</v>
      </c>
      <c r="C358" s="445" t="s">
        <v>426</v>
      </c>
      <c r="D358" s="446" t="s">
        <v>427</v>
      </c>
      <c r="E358" s="445" t="s">
        <v>790</v>
      </c>
      <c r="F358" s="446" t="s">
        <v>791</v>
      </c>
      <c r="G358" s="445" t="s">
        <v>1278</v>
      </c>
      <c r="H358" s="445" t="s">
        <v>1279</v>
      </c>
      <c r="I358" s="448">
        <v>2577.300048828125</v>
      </c>
      <c r="J358" s="448">
        <v>1</v>
      </c>
      <c r="K358" s="449">
        <v>2577.300048828125</v>
      </c>
    </row>
    <row r="359" spans="1:11" ht="14.4" customHeight="1" x14ac:dyDescent="0.3">
      <c r="A359" s="443" t="s">
        <v>417</v>
      </c>
      <c r="B359" s="444" t="s">
        <v>418</v>
      </c>
      <c r="C359" s="445" t="s">
        <v>426</v>
      </c>
      <c r="D359" s="446" t="s">
        <v>427</v>
      </c>
      <c r="E359" s="445" t="s">
        <v>790</v>
      </c>
      <c r="F359" s="446" t="s">
        <v>791</v>
      </c>
      <c r="G359" s="445" t="s">
        <v>1280</v>
      </c>
      <c r="H359" s="445" t="s">
        <v>1281</v>
      </c>
      <c r="I359" s="448">
        <v>2577.300048828125</v>
      </c>
      <c r="J359" s="448">
        <v>1</v>
      </c>
      <c r="K359" s="449">
        <v>2577.300048828125</v>
      </c>
    </row>
    <row r="360" spans="1:11" ht="14.4" customHeight="1" x14ac:dyDescent="0.3">
      <c r="A360" s="443" t="s">
        <v>417</v>
      </c>
      <c r="B360" s="444" t="s">
        <v>418</v>
      </c>
      <c r="C360" s="445" t="s">
        <v>426</v>
      </c>
      <c r="D360" s="446" t="s">
        <v>427</v>
      </c>
      <c r="E360" s="445" t="s">
        <v>790</v>
      </c>
      <c r="F360" s="446" t="s">
        <v>791</v>
      </c>
      <c r="G360" s="445" t="s">
        <v>1282</v>
      </c>
      <c r="H360" s="445" t="s">
        <v>1283</v>
      </c>
      <c r="I360" s="448">
        <v>405.35000610351562</v>
      </c>
      <c r="J360" s="448">
        <v>1</v>
      </c>
      <c r="K360" s="449">
        <v>405.35000610351562</v>
      </c>
    </row>
    <row r="361" spans="1:11" ht="14.4" customHeight="1" x14ac:dyDescent="0.3">
      <c r="A361" s="443" t="s">
        <v>417</v>
      </c>
      <c r="B361" s="444" t="s">
        <v>418</v>
      </c>
      <c r="C361" s="445" t="s">
        <v>426</v>
      </c>
      <c r="D361" s="446" t="s">
        <v>427</v>
      </c>
      <c r="E361" s="445" t="s">
        <v>790</v>
      </c>
      <c r="F361" s="446" t="s">
        <v>791</v>
      </c>
      <c r="G361" s="445" t="s">
        <v>1284</v>
      </c>
      <c r="H361" s="445" t="s">
        <v>1285</v>
      </c>
      <c r="I361" s="448">
        <v>591.8499755859375</v>
      </c>
      <c r="J361" s="448">
        <v>2</v>
      </c>
      <c r="K361" s="449">
        <v>1183.68994140625</v>
      </c>
    </row>
    <row r="362" spans="1:11" ht="14.4" customHeight="1" x14ac:dyDescent="0.3">
      <c r="A362" s="443" t="s">
        <v>417</v>
      </c>
      <c r="B362" s="444" t="s">
        <v>418</v>
      </c>
      <c r="C362" s="445" t="s">
        <v>426</v>
      </c>
      <c r="D362" s="446" t="s">
        <v>427</v>
      </c>
      <c r="E362" s="445" t="s">
        <v>790</v>
      </c>
      <c r="F362" s="446" t="s">
        <v>791</v>
      </c>
      <c r="G362" s="445" t="s">
        <v>1286</v>
      </c>
      <c r="H362" s="445" t="s">
        <v>1287</v>
      </c>
      <c r="I362" s="448">
        <v>591.8499755859375</v>
      </c>
      <c r="J362" s="448">
        <v>2</v>
      </c>
      <c r="K362" s="449">
        <v>1183.699951171875</v>
      </c>
    </row>
    <row r="363" spans="1:11" ht="14.4" customHeight="1" x14ac:dyDescent="0.3">
      <c r="A363" s="443" t="s">
        <v>417</v>
      </c>
      <c r="B363" s="444" t="s">
        <v>418</v>
      </c>
      <c r="C363" s="445" t="s">
        <v>426</v>
      </c>
      <c r="D363" s="446" t="s">
        <v>427</v>
      </c>
      <c r="E363" s="445" t="s">
        <v>790</v>
      </c>
      <c r="F363" s="446" t="s">
        <v>791</v>
      </c>
      <c r="G363" s="445" t="s">
        <v>1288</v>
      </c>
      <c r="H363" s="445" t="s">
        <v>1289</v>
      </c>
      <c r="I363" s="448">
        <v>191.17999267578125</v>
      </c>
      <c r="J363" s="448">
        <v>17</v>
      </c>
      <c r="K363" s="449">
        <v>3250.0599365234375</v>
      </c>
    </row>
    <row r="364" spans="1:11" ht="14.4" customHeight="1" x14ac:dyDescent="0.3">
      <c r="A364" s="443" t="s">
        <v>417</v>
      </c>
      <c r="B364" s="444" t="s">
        <v>418</v>
      </c>
      <c r="C364" s="445" t="s">
        <v>426</v>
      </c>
      <c r="D364" s="446" t="s">
        <v>427</v>
      </c>
      <c r="E364" s="445" t="s">
        <v>790</v>
      </c>
      <c r="F364" s="446" t="s">
        <v>791</v>
      </c>
      <c r="G364" s="445" t="s">
        <v>1290</v>
      </c>
      <c r="H364" s="445" t="s">
        <v>1291</v>
      </c>
      <c r="I364" s="448">
        <v>292.82000732421875</v>
      </c>
      <c r="J364" s="448">
        <v>8</v>
      </c>
      <c r="K364" s="449">
        <v>2342.56005859375</v>
      </c>
    </row>
    <row r="365" spans="1:11" ht="14.4" customHeight="1" x14ac:dyDescent="0.3">
      <c r="A365" s="443" t="s">
        <v>417</v>
      </c>
      <c r="B365" s="444" t="s">
        <v>418</v>
      </c>
      <c r="C365" s="445" t="s">
        <v>426</v>
      </c>
      <c r="D365" s="446" t="s">
        <v>427</v>
      </c>
      <c r="E365" s="445" t="s">
        <v>790</v>
      </c>
      <c r="F365" s="446" t="s">
        <v>791</v>
      </c>
      <c r="G365" s="445" t="s">
        <v>1292</v>
      </c>
      <c r="H365" s="445" t="s">
        <v>1293</v>
      </c>
      <c r="I365" s="448">
        <v>601.60000610351562</v>
      </c>
      <c r="J365" s="448">
        <v>5</v>
      </c>
      <c r="K365" s="449">
        <v>3014.4000244140625</v>
      </c>
    </row>
    <row r="366" spans="1:11" ht="14.4" customHeight="1" x14ac:dyDescent="0.3">
      <c r="A366" s="443" t="s">
        <v>417</v>
      </c>
      <c r="B366" s="444" t="s">
        <v>418</v>
      </c>
      <c r="C366" s="445" t="s">
        <v>426</v>
      </c>
      <c r="D366" s="446" t="s">
        <v>427</v>
      </c>
      <c r="E366" s="445" t="s">
        <v>790</v>
      </c>
      <c r="F366" s="446" t="s">
        <v>791</v>
      </c>
      <c r="G366" s="445" t="s">
        <v>1294</v>
      </c>
      <c r="H366" s="445" t="s">
        <v>1295</v>
      </c>
      <c r="I366" s="448">
        <v>1165.3299560546875</v>
      </c>
      <c r="J366" s="448">
        <v>3</v>
      </c>
      <c r="K366" s="449">
        <v>3496</v>
      </c>
    </row>
    <row r="367" spans="1:11" ht="14.4" customHeight="1" x14ac:dyDescent="0.3">
      <c r="A367" s="443" t="s">
        <v>417</v>
      </c>
      <c r="B367" s="444" t="s">
        <v>418</v>
      </c>
      <c r="C367" s="445" t="s">
        <v>426</v>
      </c>
      <c r="D367" s="446" t="s">
        <v>427</v>
      </c>
      <c r="E367" s="445" t="s">
        <v>790</v>
      </c>
      <c r="F367" s="446" t="s">
        <v>791</v>
      </c>
      <c r="G367" s="445" t="s">
        <v>1296</v>
      </c>
      <c r="H367" s="445" t="s">
        <v>1297</v>
      </c>
      <c r="I367" s="448">
        <v>60.159999847412109</v>
      </c>
      <c r="J367" s="448">
        <v>30</v>
      </c>
      <c r="K367" s="449">
        <v>1798.4000244140625</v>
      </c>
    </row>
    <row r="368" spans="1:11" ht="14.4" customHeight="1" x14ac:dyDescent="0.3">
      <c r="A368" s="443" t="s">
        <v>417</v>
      </c>
      <c r="B368" s="444" t="s">
        <v>418</v>
      </c>
      <c r="C368" s="445" t="s">
        <v>426</v>
      </c>
      <c r="D368" s="446" t="s">
        <v>427</v>
      </c>
      <c r="E368" s="445" t="s">
        <v>790</v>
      </c>
      <c r="F368" s="446" t="s">
        <v>791</v>
      </c>
      <c r="G368" s="445" t="s">
        <v>1298</v>
      </c>
      <c r="H368" s="445" t="s">
        <v>1299</v>
      </c>
      <c r="I368" s="448">
        <v>131.04499816894531</v>
      </c>
      <c r="J368" s="448">
        <v>20</v>
      </c>
      <c r="K368" s="449">
        <v>2620.8699645996094</v>
      </c>
    </row>
    <row r="369" spans="1:11" ht="14.4" customHeight="1" x14ac:dyDescent="0.3">
      <c r="A369" s="443" t="s">
        <v>417</v>
      </c>
      <c r="B369" s="444" t="s">
        <v>418</v>
      </c>
      <c r="C369" s="445" t="s">
        <v>426</v>
      </c>
      <c r="D369" s="446" t="s">
        <v>427</v>
      </c>
      <c r="E369" s="445" t="s">
        <v>790</v>
      </c>
      <c r="F369" s="446" t="s">
        <v>791</v>
      </c>
      <c r="G369" s="445" t="s">
        <v>1300</v>
      </c>
      <c r="H369" s="445" t="s">
        <v>1301</v>
      </c>
      <c r="I369" s="448">
        <v>955.9000244140625</v>
      </c>
      <c r="J369" s="448">
        <v>1</v>
      </c>
      <c r="K369" s="449">
        <v>955.9000244140625</v>
      </c>
    </row>
    <row r="370" spans="1:11" ht="14.4" customHeight="1" x14ac:dyDescent="0.3">
      <c r="A370" s="443" t="s">
        <v>417</v>
      </c>
      <c r="B370" s="444" t="s">
        <v>418</v>
      </c>
      <c r="C370" s="445" t="s">
        <v>426</v>
      </c>
      <c r="D370" s="446" t="s">
        <v>427</v>
      </c>
      <c r="E370" s="445" t="s">
        <v>790</v>
      </c>
      <c r="F370" s="446" t="s">
        <v>791</v>
      </c>
      <c r="G370" s="445" t="s">
        <v>1302</v>
      </c>
      <c r="H370" s="445" t="s">
        <v>1303</v>
      </c>
      <c r="I370" s="448">
        <v>323.05999755859375</v>
      </c>
      <c r="J370" s="448">
        <v>3</v>
      </c>
      <c r="K370" s="449">
        <v>969.17999267578125</v>
      </c>
    </row>
    <row r="371" spans="1:11" ht="14.4" customHeight="1" x14ac:dyDescent="0.3">
      <c r="A371" s="443" t="s">
        <v>417</v>
      </c>
      <c r="B371" s="444" t="s">
        <v>418</v>
      </c>
      <c r="C371" s="445" t="s">
        <v>426</v>
      </c>
      <c r="D371" s="446" t="s">
        <v>427</v>
      </c>
      <c r="E371" s="445" t="s">
        <v>790</v>
      </c>
      <c r="F371" s="446" t="s">
        <v>791</v>
      </c>
      <c r="G371" s="445" t="s">
        <v>1304</v>
      </c>
      <c r="H371" s="445" t="s">
        <v>1305</v>
      </c>
      <c r="I371" s="448">
        <v>85.909999847412109</v>
      </c>
      <c r="J371" s="448">
        <v>10</v>
      </c>
      <c r="K371" s="449">
        <v>859.0999755859375</v>
      </c>
    </row>
    <row r="372" spans="1:11" ht="14.4" customHeight="1" x14ac:dyDescent="0.3">
      <c r="A372" s="443" t="s">
        <v>417</v>
      </c>
      <c r="B372" s="444" t="s">
        <v>418</v>
      </c>
      <c r="C372" s="445" t="s">
        <v>426</v>
      </c>
      <c r="D372" s="446" t="s">
        <v>427</v>
      </c>
      <c r="E372" s="445" t="s">
        <v>790</v>
      </c>
      <c r="F372" s="446" t="s">
        <v>791</v>
      </c>
      <c r="G372" s="445" t="s">
        <v>1306</v>
      </c>
      <c r="H372" s="445" t="s">
        <v>1307</v>
      </c>
      <c r="I372" s="448">
        <v>1460</v>
      </c>
      <c r="J372" s="448">
        <v>3</v>
      </c>
      <c r="K372" s="449">
        <v>4380</v>
      </c>
    </row>
    <row r="373" spans="1:11" ht="14.4" customHeight="1" x14ac:dyDescent="0.3">
      <c r="A373" s="443" t="s">
        <v>417</v>
      </c>
      <c r="B373" s="444" t="s">
        <v>418</v>
      </c>
      <c r="C373" s="445" t="s">
        <v>426</v>
      </c>
      <c r="D373" s="446" t="s">
        <v>427</v>
      </c>
      <c r="E373" s="445" t="s">
        <v>790</v>
      </c>
      <c r="F373" s="446" t="s">
        <v>791</v>
      </c>
      <c r="G373" s="445" t="s">
        <v>1308</v>
      </c>
      <c r="H373" s="445" t="s">
        <v>1309</v>
      </c>
      <c r="I373" s="448">
        <v>1469.7133382161458</v>
      </c>
      <c r="J373" s="448">
        <v>4</v>
      </c>
      <c r="K373" s="449">
        <v>5862.1400146484375</v>
      </c>
    </row>
    <row r="374" spans="1:11" ht="14.4" customHeight="1" x14ac:dyDescent="0.3">
      <c r="A374" s="443" t="s">
        <v>417</v>
      </c>
      <c r="B374" s="444" t="s">
        <v>418</v>
      </c>
      <c r="C374" s="445" t="s">
        <v>426</v>
      </c>
      <c r="D374" s="446" t="s">
        <v>427</v>
      </c>
      <c r="E374" s="445" t="s">
        <v>790</v>
      </c>
      <c r="F374" s="446" t="s">
        <v>791</v>
      </c>
      <c r="G374" s="445" t="s">
        <v>1310</v>
      </c>
      <c r="H374" s="445" t="s">
        <v>1311</v>
      </c>
      <c r="I374" s="448">
        <v>1446.5700073242187</v>
      </c>
      <c r="J374" s="448">
        <v>3</v>
      </c>
      <c r="K374" s="449">
        <v>4346.1400146484375</v>
      </c>
    </row>
    <row r="375" spans="1:11" ht="14.4" customHeight="1" x14ac:dyDescent="0.3">
      <c r="A375" s="443" t="s">
        <v>417</v>
      </c>
      <c r="B375" s="444" t="s">
        <v>418</v>
      </c>
      <c r="C375" s="445" t="s">
        <v>426</v>
      </c>
      <c r="D375" s="446" t="s">
        <v>427</v>
      </c>
      <c r="E375" s="445" t="s">
        <v>790</v>
      </c>
      <c r="F375" s="446" t="s">
        <v>791</v>
      </c>
      <c r="G375" s="445" t="s">
        <v>1312</v>
      </c>
      <c r="H375" s="445" t="s">
        <v>1313</v>
      </c>
      <c r="I375" s="448">
        <v>2135.89990234375</v>
      </c>
      <c r="J375" s="448">
        <v>1</v>
      </c>
      <c r="K375" s="449">
        <v>2135.89990234375</v>
      </c>
    </row>
    <row r="376" spans="1:11" ht="14.4" customHeight="1" x14ac:dyDescent="0.3">
      <c r="A376" s="443" t="s">
        <v>417</v>
      </c>
      <c r="B376" s="444" t="s">
        <v>418</v>
      </c>
      <c r="C376" s="445" t="s">
        <v>426</v>
      </c>
      <c r="D376" s="446" t="s">
        <v>427</v>
      </c>
      <c r="E376" s="445" t="s">
        <v>790</v>
      </c>
      <c r="F376" s="446" t="s">
        <v>791</v>
      </c>
      <c r="G376" s="445" t="s">
        <v>1314</v>
      </c>
      <c r="H376" s="445" t="s">
        <v>1315</v>
      </c>
      <c r="I376" s="448">
        <v>2139.010009765625</v>
      </c>
      <c r="J376" s="448">
        <v>3</v>
      </c>
      <c r="K376" s="449">
        <v>6420.14013671875</v>
      </c>
    </row>
    <row r="377" spans="1:11" ht="14.4" customHeight="1" x14ac:dyDescent="0.3">
      <c r="A377" s="443" t="s">
        <v>417</v>
      </c>
      <c r="B377" s="444" t="s">
        <v>418</v>
      </c>
      <c r="C377" s="445" t="s">
        <v>426</v>
      </c>
      <c r="D377" s="446" t="s">
        <v>427</v>
      </c>
      <c r="E377" s="445" t="s">
        <v>790</v>
      </c>
      <c r="F377" s="446" t="s">
        <v>791</v>
      </c>
      <c r="G377" s="445" t="s">
        <v>1316</v>
      </c>
      <c r="H377" s="445" t="s">
        <v>1317</v>
      </c>
      <c r="I377" s="448">
        <v>39.930000305175781</v>
      </c>
      <c r="J377" s="448">
        <v>18</v>
      </c>
      <c r="K377" s="449">
        <v>718.739990234375</v>
      </c>
    </row>
    <row r="378" spans="1:11" ht="14.4" customHeight="1" x14ac:dyDescent="0.3">
      <c r="A378" s="443" t="s">
        <v>417</v>
      </c>
      <c r="B378" s="444" t="s">
        <v>418</v>
      </c>
      <c r="C378" s="445" t="s">
        <v>426</v>
      </c>
      <c r="D378" s="446" t="s">
        <v>427</v>
      </c>
      <c r="E378" s="445" t="s">
        <v>790</v>
      </c>
      <c r="F378" s="446" t="s">
        <v>791</v>
      </c>
      <c r="G378" s="445" t="s">
        <v>1318</v>
      </c>
      <c r="H378" s="445" t="s">
        <v>1319</v>
      </c>
      <c r="I378" s="448">
        <v>39.930000305175781</v>
      </c>
      <c r="J378" s="448">
        <v>60</v>
      </c>
      <c r="K378" s="449">
        <v>2395.7999877929687</v>
      </c>
    </row>
    <row r="379" spans="1:11" ht="14.4" customHeight="1" x14ac:dyDescent="0.3">
      <c r="A379" s="443" t="s">
        <v>417</v>
      </c>
      <c r="B379" s="444" t="s">
        <v>418</v>
      </c>
      <c r="C379" s="445" t="s">
        <v>426</v>
      </c>
      <c r="D379" s="446" t="s">
        <v>427</v>
      </c>
      <c r="E379" s="445" t="s">
        <v>790</v>
      </c>
      <c r="F379" s="446" t="s">
        <v>791</v>
      </c>
      <c r="G379" s="445" t="s">
        <v>1320</v>
      </c>
      <c r="H379" s="445" t="s">
        <v>1321</v>
      </c>
      <c r="I379" s="448">
        <v>39.930000305175781</v>
      </c>
      <c r="J379" s="448">
        <v>18</v>
      </c>
      <c r="K379" s="449">
        <v>718.739990234375</v>
      </c>
    </row>
    <row r="380" spans="1:11" ht="14.4" customHeight="1" x14ac:dyDescent="0.3">
      <c r="A380" s="443" t="s">
        <v>417</v>
      </c>
      <c r="B380" s="444" t="s">
        <v>418</v>
      </c>
      <c r="C380" s="445" t="s">
        <v>426</v>
      </c>
      <c r="D380" s="446" t="s">
        <v>427</v>
      </c>
      <c r="E380" s="445" t="s">
        <v>790</v>
      </c>
      <c r="F380" s="446" t="s">
        <v>791</v>
      </c>
      <c r="G380" s="445" t="s">
        <v>1322</v>
      </c>
      <c r="H380" s="445" t="s">
        <v>1323</v>
      </c>
      <c r="I380" s="448">
        <v>39.930000305175781</v>
      </c>
      <c r="J380" s="448">
        <v>18</v>
      </c>
      <c r="K380" s="449">
        <v>718.739990234375</v>
      </c>
    </row>
    <row r="381" spans="1:11" ht="14.4" customHeight="1" x14ac:dyDescent="0.3">
      <c r="A381" s="443" t="s">
        <v>417</v>
      </c>
      <c r="B381" s="444" t="s">
        <v>418</v>
      </c>
      <c r="C381" s="445" t="s">
        <v>426</v>
      </c>
      <c r="D381" s="446" t="s">
        <v>427</v>
      </c>
      <c r="E381" s="445" t="s">
        <v>790</v>
      </c>
      <c r="F381" s="446" t="s">
        <v>791</v>
      </c>
      <c r="G381" s="445" t="s">
        <v>1324</v>
      </c>
      <c r="H381" s="445" t="s">
        <v>1325</v>
      </c>
      <c r="I381" s="448">
        <v>39.930000305175781</v>
      </c>
      <c r="J381" s="448">
        <v>18</v>
      </c>
      <c r="K381" s="449">
        <v>718.739990234375</v>
      </c>
    </row>
    <row r="382" spans="1:11" ht="14.4" customHeight="1" x14ac:dyDescent="0.3">
      <c r="A382" s="443" t="s">
        <v>417</v>
      </c>
      <c r="B382" s="444" t="s">
        <v>418</v>
      </c>
      <c r="C382" s="445" t="s">
        <v>426</v>
      </c>
      <c r="D382" s="446" t="s">
        <v>427</v>
      </c>
      <c r="E382" s="445" t="s">
        <v>790</v>
      </c>
      <c r="F382" s="446" t="s">
        <v>791</v>
      </c>
      <c r="G382" s="445" t="s">
        <v>1326</v>
      </c>
      <c r="H382" s="445" t="s">
        <v>1327</v>
      </c>
      <c r="I382" s="448">
        <v>39.930000305175781</v>
      </c>
      <c r="J382" s="448">
        <v>42</v>
      </c>
      <c r="K382" s="449">
        <v>1677.0599975585937</v>
      </c>
    </row>
    <row r="383" spans="1:11" ht="14.4" customHeight="1" x14ac:dyDescent="0.3">
      <c r="A383" s="443" t="s">
        <v>417</v>
      </c>
      <c r="B383" s="444" t="s">
        <v>418</v>
      </c>
      <c r="C383" s="445" t="s">
        <v>426</v>
      </c>
      <c r="D383" s="446" t="s">
        <v>427</v>
      </c>
      <c r="E383" s="445" t="s">
        <v>790</v>
      </c>
      <c r="F383" s="446" t="s">
        <v>791</v>
      </c>
      <c r="G383" s="445" t="s">
        <v>1326</v>
      </c>
      <c r="H383" s="445" t="s">
        <v>1328</v>
      </c>
      <c r="I383" s="448">
        <v>39.930000305175781</v>
      </c>
      <c r="J383" s="448">
        <v>18</v>
      </c>
      <c r="K383" s="449">
        <v>718.739990234375</v>
      </c>
    </row>
    <row r="384" spans="1:11" ht="14.4" customHeight="1" x14ac:dyDescent="0.3">
      <c r="A384" s="443" t="s">
        <v>417</v>
      </c>
      <c r="B384" s="444" t="s">
        <v>418</v>
      </c>
      <c r="C384" s="445" t="s">
        <v>426</v>
      </c>
      <c r="D384" s="446" t="s">
        <v>427</v>
      </c>
      <c r="E384" s="445" t="s">
        <v>790</v>
      </c>
      <c r="F384" s="446" t="s">
        <v>791</v>
      </c>
      <c r="G384" s="445" t="s">
        <v>1329</v>
      </c>
      <c r="H384" s="445" t="s">
        <v>1330</v>
      </c>
      <c r="I384" s="448">
        <v>107.16000366210937</v>
      </c>
      <c r="J384" s="448">
        <v>42</v>
      </c>
      <c r="K384" s="449">
        <v>4500.8701171875</v>
      </c>
    </row>
    <row r="385" spans="1:11" ht="14.4" customHeight="1" x14ac:dyDescent="0.3">
      <c r="A385" s="443" t="s">
        <v>417</v>
      </c>
      <c r="B385" s="444" t="s">
        <v>418</v>
      </c>
      <c r="C385" s="445" t="s">
        <v>426</v>
      </c>
      <c r="D385" s="446" t="s">
        <v>427</v>
      </c>
      <c r="E385" s="445" t="s">
        <v>790</v>
      </c>
      <c r="F385" s="446" t="s">
        <v>791</v>
      </c>
      <c r="G385" s="445" t="s">
        <v>1331</v>
      </c>
      <c r="H385" s="445" t="s">
        <v>1332</v>
      </c>
      <c r="I385" s="448">
        <v>1021.4000244140625</v>
      </c>
      <c r="J385" s="448">
        <v>1</v>
      </c>
      <c r="K385" s="449">
        <v>1021.4000244140625</v>
      </c>
    </row>
    <row r="386" spans="1:11" ht="14.4" customHeight="1" x14ac:dyDescent="0.3">
      <c r="A386" s="443" t="s">
        <v>417</v>
      </c>
      <c r="B386" s="444" t="s">
        <v>418</v>
      </c>
      <c r="C386" s="445" t="s">
        <v>426</v>
      </c>
      <c r="D386" s="446" t="s">
        <v>427</v>
      </c>
      <c r="E386" s="445" t="s">
        <v>790</v>
      </c>
      <c r="F386" s="446" t="s">
        <v>791</v>
      </c>
      <c r="G386" s="445" t="s">
        <v>1333</v>
      </c>
      <c r="H386" s="445" t="s">
        <v>1334</v>
      </c>
      <c r="I386" s="448">
        <v>1262.550048828125</v>
      </c>
      <c r="J386" s="448">
        <v>1</v>
      </c>
      <c r="K386" s="449">
        <v>1262.550048828125</v>
      </c>
    </row>
    <row r="387" spans="1:11" ht="14.4" customHeight="1" x14ac:dyDescent="0.3">
      <c r="A387" s="443" t="s">
        <v>417</v>
      </c>
      <c r="B387" s="444" t="s">
        <v>418</v>
      </c>
      <c r="C387" s="445" t="s">
        <v>426</v>
      </c>
      <c r="D387" s="446" t="s">
        <v>427</v>
      </c>
      <c r="E387" s="445" t="s">
        <v>790</v>
      </c>
      <c r="F387" s="446" t="s">
        <v>791</v>
      </c>
      <c r="G387" s="445" t="s">
        <v>1335</v>
      </c>
      <c r="H387" s="445" t="s">
        <v>1336</v>
      </c>
      <c r="I387" s="448">
        <v>101.63999938964844</v>
      </c>
      <c r="J387" s="448">
        <v>25</v>
      </c>
      <c r="K387" s="449">
        <v>2631.7500610351562</v>
      </c>
    </row>
    <row r="388" spans="1:11" ht="14.4" customHeight="1" x14ac:dyDescent="0.3">
      <c r="A388" s="443" t="s">
        <v>417</v>
      </c>
      <c r="B388" s="444" t="s">
        <v>418</v>
      </c>
      <c r="C388" s="445" t="s">
        <v>426</v>
      </c>
      <c r="D388" s="446" t="s">
        <v>427</v>
      </c>
      <c r="E388" s="445" t="s">
        <v>790</v>
      </c>
      <c r="F388" s="446" t="s">
        <v>791</v>
      </c>
      <c r="G388" s="445" t="s">
        <v>1337</v>
      </c>
      <c r="H388" s="445" t="s">
        <v>1338</v>
      </c>
      <c r="I388" s="448">
        <v>1168.6866671244304</v>
      </c>
      <c r="J388" s="448">
        <v>161</v>
      </c>
      <c r="K388" s="449">
        <v>10462.659912109375</v>
      </c>
    </row>
    <row r="389" spans="1:11" ht="14.4" customHeight="1" x14ac:dyDescent="0.3">
      <c r="A389" s="443" t="s">
        <v>417</v>
      </c>
      <c r="B389" s="444" t="s">
        <v>418</v>
      </c>
      <c r="C389" s="445" t="s">
        <v>426</v>
      </c>
      <c r="D389" s="446" t="s">
        <v>427</v>
      </c>
      <c r="E389" s="445" t="s">
        <v>790</v>
      </c>
      <c r="F389" s="446" t="s">
        <v>791</v>
      </c>
      <c r="G389" s="445" t="s">
        <v>1339</v>
      </c>
      <c r="H389" s="445" t="s">
        <v>1340</v>
      </c>
      <c r="I389" s="448">
        <v>44.173333485921226</v>
      </c>
      <c r="J389" s="448">
        <v>240</v>
      </c>
      <c r="K389" s="449">
        <v>10601.89990234375</v>
      </c>
    </row>
    <row r="390" spans="1:11" ht="14.4" customHeight="1" x14ac:dyDescent="0.3">
      <c r="A390" s="443" t="s">
        <v>417</v>
      </c>
      <c r="B390" s="444" t="s">
        <v>418</v>
      </c>
      <c r="C390" s="445" t="s">
        <v>426</v>
      </c>
      <c r="D390" s="446" t="s">
        <v>427</v>
      </c>
      <c r="E390" s="445" t="s">
        <v>790</v>
      </c>
      <c r="F390" s="446" t="s">
        <v>791</v>
      </c>
      <c r="G390" s="445" t="s">
        <v>1341</v>
      </c>
      <c r="H390" s="445" t="s">
        <v>1342</v>
      </c>
      <c r="I390" s="448">
        <v>1005.0999755859375</v>
      </c>
      <c r="J390" s="448">
        <v>3</v>
      </c>
      <c r="K390" s="449">
        <v>3015.300048828125</v>
      </c>
    </row>
    <row r="391" spans="1:11" ht="14.4" customHeight="1" x14ac:dyDescent="0.3">
      <c r="A391" s="443" t="s">
        <v>417</v>
      </c>
      <c r="B391" s="444" t="s">
        <v>418</v>
      </c>
      <c r="C391" s="445" t="s">
        <v>426</v>
      </c>
      <c r="D391" s="446" t="s">
        <v>427</v>
      </c>
      <c r="E391" s="445" t="s">
        <v>790</v>
      </c>
      <c r="F391" s="446" t="s">
        <v>791</v>
      </c>
      <c r="G391" s="445" t="s">
        <v>1343</v>
      </c>
      <c r="H391" s="445" t="s">
        <v>1344</v>
      </c>
      <c r="I391" s="448">
        <v>1005.0999755859375</v>
      </c>
      <c r="J391" s="448">
        <v>7</v>
      </c>
      <c r="K391" s="449">
        <v>7035.699951171875</v>
      </c>
    </row>
    <row r="392" spans="1:11" ht="14.4" customHeight="1" x14ac:dyDescent="0.3">
      <c r="A392" s="443" t="s">
        <v>417</v>
      </c>
      <c r="B392" s="444" t="s">
        <v>418</v>
      </c>
      <c r="C392" s="445" t="s">
        <v>426</v>
      </c>
      <c r="D392" s="446" t="s">
        <v>427</v>
      </c>
      <c r="E392" s="445" t="s">
        <v>790</v>
      </c>
      <c r="F392" s="446" t="s">
        <v>791</v>
      </c>
      <c r="G392" s="445" t="s">
        <v>1345</v>
      </c>
      <c r="H392" s="445" t="s">
        <v>1346</v>
      </c>
      <c r="I392" s="448">
        <v>157.30000305175781</v>
      </c>
      <c r="J392" s="448">
        <v>6</v>
      </c>
      <c r="K392" s="449">
        <v>943.80000305175781</v>
      </c>
    </row>
    <row r="393" spans="1:11" ht="14.4" customHeight="1" x14ac:dyDescent="0.3">
      <c r="A393" s="443" t="s">
        <v>417</v>
      </c>
      <c r="B393" s="444" t="s">
        <v>418</v>
      </c>
      <c r="C393" s="445" t="s">
        <v>426</v>
      </c>
      <c r="D393" s="446" t="s">
        <v>427</v>
      </c>
      <c r="E393" s="445" t="s">
        <v>790</v>
      </c>
      <c r="F393" s="446" t="s">
        <v>791</v>
      </c>
      <c r="G393" s="445" t="s">
        <v>1347</v>
      </c>
      <c r="H393" s="445" t="s">
        <v>1348</v>
      </c>
      <c r="I393" s="448">
        <v>701.79998779296875</v>
      </c>
      <c r="J393" s="448">
        <v>2</v>
      </c>
      <c r="K393" s="449">
        <v>1403.5999755859375</v>
      </c>
    </row>
    <row r="394" spans="1:11" ht="14.4" customHeight="1" x14ac:dyDescent="0.3">
      <c r="A394" s="443" t="s">
        <v>417</v>
      </c>
      <c r="B394" s="444" t="s">
        <v>418</v>
      </c>
      <c r="C394" s="445" t="s">
        <v>426</v>
      </c>
      <c r="D394" s="446" t="s">
        <v>427</v>
      </c>
      <c r="E394" s="445" t="s">
        <v>790</v>
      </c>
      <c r="F394" s="446" t="s">
        <v>791</v>
      </c>
      <c r="G394" s="445" t="s">
        <v>1349</v>
      </c>
      <c r="H394" s="445" t="s">
        <v>1350</v>
      </c>
      <c r="I394" s="448">
        <v>199.64999389648437</v>
      </c>
      <c r="J394" s="448">
        <v>6</v>
      </c>
      <c r="K394" s="449">
        <v>1197.9000244140625</v>
      </c>
    </row>
    <row r="395" spans="1:11" ht="14.4" customHeight="1" x14ac:dyDescent="0.3">
      <c r="A395" s="443" t="s">
        <v>417</v>
      </c>
      <c r="B395" s="444" t="s">
        <v>418</v>
      </c>
      <c r="C395" s="445" t="s">
        <v>426</v>
      </c>
      <c r="D395" s="446" t="s">
        <v>427</v>
      </c>
      <c r="E395" s="445" t="s">
        <v>790</v>
      </c>
      <c r="F395" s="446" t="s">
        <v>791</v>
      </c>
      <c r="G395" s="445" t="s">
        <v>1351</v>
      </c>
      <c r="H395" s="445" t="s">
        <v>1352</v>
      </c>
      <c r="I395" s="448">
        <v>110.5</v>
      </c>
      <c r="J395" s="448">
        <v>6</v>
      </c>
      <c r="K395" s="449">
        <v>663</v>
      </c>
    </row>
    <row r="396" spans="1:11" ht="14.4" customHeight="1" x14ac:dyDescent="0.3">
      <c r="A396" s="443" t="s">
        <v>417</v>
      </c>
      <c r="B396" s="444" t="s">
        <v>418</v>
      </c>
      <c r="C396" s="445" t="s">
        <v>426</v>
      </c>
      <c r="D396" s="446" t="s">
        <v>427</v>
      </c>
      <c r="E396" s="445" t="s">
        <v>790</v>
      </c>
      <c r="F396" s="446" t="s">
        <v>791</v>
      </c>
      <c r="G396" s="445" t="s">
        <v>1353</v>
      </c>
      <c r="H396" s="445" t="s">
        <v>1354</v>
      </c>
      <c r="I396" s="448">
        <v>429.54998779296875</v>
      </c>
      <c r="J396" s="448">
        <v>6</v>
      </c>
      <c r="K396" s="449">
        <v>2577.300048828125</v>
      </c>
    </row>
    <row r="397" spans="1:11" ht="14.4" customHeight="1" x14ac:dyDescent="0.3">
      <c r="A397" s="443" t="s">
        <v>417</v>
      </c>
      <c r="B397" s="444" t="s">
        <v>418</v>
      </c>
      <c r="C397" s="445" t="s">
        <v>426</v>
      </c>
      <c r="D397" s="446" t="s">
        <v>427</v>
      </c>
      <c r="E397" s="445" t="s">
        <v>790</v>
      </c>
      <c r="F397" s="446" t="s">
        <v>791</v>
      </c>
      <c r="G397" s="445" t="s">
        <v>1355</v>
      </c>
      <c r="H397" s="445" t="s">
        <v>1356</v>
      </c>
      <c r="I397" s="448">
        <v>213.80999755859375</v>
      </c>
      <c r="J397" s="448">
        <v>2</v>
      </c>
      <c r="K397" s="449">
        <v>427.6099853515625</v>
      </c>
    </row>
    <row r="398" spans="1:11" ht="14.4" customHeight="1" x14ac:dyDescent="0.3">
      <c r="A398" s="443" t="s">
        <v>417</v>
      </c>
      <c r="B398" s="444" t="s">
        <v>418</v>
      </c>
      <c r="C398" s="445" t="s">
        <v>426</v>
      </c>
      <c r="D398" s="446" t="s">
        <v>427</v>
      </c>
      <c r="E398" s="445" t="s">
        <v>790</v>
      </c>
      <c r="F398" s="446" t="s">
        <v>791</v>
      </c>
      <c r="G398" s="445" t="s">
        <v>1357</v>
      </c>
      <c r="H398" s="445" t="s">
        <v>1358</v>
      </c>
      <c r="I398" s="448">
        <v>758.66998291015625</v>
      </c>
      <c r="J398" s="448">
        <v>4</v>
      </c>
      <c r="K398" s="449">
        <v>3034.679931640625</v>
      </c>
    </row>
    <row r="399" spans="1:11" ht="14.4" customHeight="1" x14ac:dyDescent="0.3">
      <c r="A399" s="443" t="s">
        <v>417</v>
      </c>
      <c r="B399" s="444" t="s">
        <v>418</v>
      </c>
      <c r="C399" s="445" t="s">
        <v>426</v>
      </c>
      <c r="D399" s="446" t="s">
        <v>427</v>
      </c>
      <c r="E399" s="445" t="s">
        <v>790</v>
      </c>
      <c r="F399" s="446" t="s">
        <v>791</v>
      </c>
      <c r="G399" s="445" t="s">
        <v>1359</v>
      </c>
      <c r="H399" s="445" t="s">
        <v>1360</v>
      </c>
      <c r="I399" s="448">
        <v>5232.5</v>
      </c>
      <c r="J399" s="448">
        <v>5</v>
      </c>
      <c r="K399" s="449">
        <v>26162.5</v>
      </c>
    </row>
    <row r="400" spans="1:11" ht="14.4" customHeight="1" x14ac:dyDescent="0.3">
      <c r="A400" s="443" t="s">
        <v>417</v>
      </c>
      <c r="B400" s="444" t="s">
        <v>418</v>
      </c>
      <c r="C400" s="445" t="s">
        <v>426</v>
      </c>
      <c r="D400" s="446" t="s">
        <v>427</v>
      </c>
      <c r="E400" s="445" t="s">
        <v>790</v>
      </c>
      <c r="F400" s="446" t="s">
        <v>791</v>
      </c>
      <c r="G400" s="445" t="s">
        <v>1361</v>
      </c>
      <c r="H400" s="445" t="s">
        <v>1362</v>
      </c>
      <c r="I400" s="448">
        <v>42.349998474121094</v>
      </c>
      <c r="J400" s="448">
        <v>60</v>
      </c>
      <c r="K400" s="449">
        <v>2541</v>
      </c>
    </row>
    <row r="401" spans="1:11" ht="14.4" customHeight="1" x14ac:dyDescent="0.3">
      <c r="A401" s="443" t="s">
        <v>417</v>
      </c>
      <c r="B401" s="444" t="s">
        <v>418</v>
      </c>
      <c r="C401" s="445" t="s">
        <v>426</v>
      </c>
      <c r="D401" s="446" t="s">
        <v>427</v>
      </c>
      <c r="E401" s="445" t="s">
        <v>790</v>
      </c>
      <c r="F401" s="446" t="s">
        <v>791</v>
      </c>
      <c r="G401" s="445" t="s">
        <v>1363</v>
      </c>
      <c r="H401" s="445" t="s">
        <v>1364</v>
      </c>
      <c r="I401" s="448">
        <v>42.349998474121094</v>
      </c>
      <c r="J401" s="448">
        <v>60</v>
      </c>
      <c r="K401" s="449">
        <v>2541</v>
      </c>
    </row>
    <row r="402" spans="1:11" ht="14.4" customHeight="1" x14ac:dyDescent="0.3">
      <c r="A402" s="443" t="s">
        <v>417</v>
      </c>
      <c r="B402" s="444" t="s">
        <v>418</v>
      </c>
      <c r="C402" s="445" t="s">
        <v>426</v>
      </c>
      <c r="D402" s="446" t="s">
        <v>427</v>
      </c>
      <c r="E402" s="445" t="s">
        <v>790</v>
      </c>
      <c r="F402" s="446" t="s">
        <v>791</v>
      </c>
      <c r="G402" s="445" t="s">
        <v>1365</v>
      </c>
      <c r="H402" s="445" t="s">
        <v>1366</v>
      </c>
      <c r="I402" s="448">
        <v>42.349998474121094</v>
      </c>
      <c r="J402" s="448">
        <v>120</v>
      </c>
      <c r="K402" s="449">
        <v>5082</v>
      </c>
    </row>
    <row r="403" spans="1:11" ht="14.4" customHeight="1" x14ac:dyDescent="0.3">
      <c r="A403" s="443" t="s">
        <v>417</v>
      </c>
      <c r="B403" s="444" t="s">
        <v>418</v>
      </c>
      <c r="C403" s="445" t="s">
        <v>426</v>
      </c>
      <c r="D403" s="446" t="s">
        <v>427</v>
      </c>
      <c r="E403" s="445" t="s">
        <v>790</v>
      </c>
      <c r="F403" s="446" t="s">
        <v>791</v>
      </c>
      <c r="G403" s="445" t="s">
        <v>1367</v>
      </c>
      <c r="H403" s="445" t="s">
        <v>1368</v>
      </c>
      <c r="I403" s="448">
        <v>42.349998474121094</v>
      </c>
      <c r="J403" s="448">
        <v>60</v>
      </c>
      <c r="K403" s="449">
        <v>2541</v>
      </c>
    </row>
    <row r="404" spans="1:11" ht="14.4" customHeight="1" x14ac:dyDescent="0.3">
      <c r="A404" s="443" t="s">
        <v>417</v>
      </c>
      <c r="B404" s="444" t="s">
        <v>418</v>
      </c>
      <c r="C404" s="445" t="s">
        <v>426</v>
      </c>
      <c r="D404" s="446" t="s">
        <v>427</v>
      </c>
      <c r="E404" s="445" t="s">
        <v>790</v>
      </c>
      <c r="F404" s="446" t="s">
        <v>791</v>
      </c>
      <c r="G404" s="445" t="s">
        <v>1369</v>
      </c>
      <c r="H404" s="445" t="s">
        <v>1370</v>
      </c>
      <c r="I404" s="448">
        <v>42.349998474121094</v>
      </c>
      <c r="J404" s="448">
        <v>60</v>
      </c>
      <c r="K404" s="449">
        <v>2541</v>
      </c>
    </row>
    <row r="405" spans="1:11" ht="14.4" customHeight="1" x14ac:dyDescent="0.3">
      <c r="A405" s="443" t="s">
        <v>417</v>
      </c>
      <c r="B405" s="444" t="s">
        <v>418</v>
      </c>
      <c r="C405" s="445" t="s">
        <v>426</v>
      </c>
      <c r="D405" s="446" t="s">
        <v>427</v>
      </c>
      <c r="E405" s="445" t="s">
        <v>790</v>
      </c>
      <c r="F405" s="446" t="s">
        <v>791</v>
      </c>
      <c r="G405" s="445" t="s">
        <v>1371</v>
      </c>
      <c r="H405" s="445" t="s">
        <v>1372</v>
      </c>
      <c r="I405" s="448">
        <v>42.349998474121094</v>
      </c>
      <c r="J405" s="448">
        <v>60</v>
      </c>
      <c r="K405" s="449">
        <v>2541</v>
      </c>
    </row>
    <row r="406" spans="1:11" ht="14.4" customHeight="1" x14ac:dyDescent="0.3">
      <c r="A406" s="443" t="s">
        <v>417</v>
      </c>
      <c r="B406" s="444" t="s">
        <v>418</v>
      </c>
      <c r="C406" s="445" t="s">
        <v>426</v>
      </c>
      <c r="D406" s="446" t="s">
        <v>427</v>
      </c>
      <c r="E406" s="445" t="s">
        <v>790</v>
      </c>
      <c r="F406" s="446" t="s">
        <v>791</v>
      </c>
      <c r="G406" s="445" t="s">
        <v>1373</v>
      </c>
      <c r="H406" s="445" t="s">
        <v>1374</v>
      </c>
      <c r="I406" s="448">
        <v>39.930000305175781</v>
      </c>
      <c r="J406" s="448">
        <v>18</v>
      </c>
      <c r="K406" s="449">
        <v>718.74001312255859</v>
      </c>
    </row>
    <row r="407" spans="1:11" ht="14.4" customHeight="1" x14ac:dyDescent="0.3">
      <c r="A407" s="443" t="s">
        <v>417</v>
      </c>
      <c r="B407" s="444" t="s">
        <v>418</v>
      </c>
      <c r="C407" s="445" t="s">
        <v>426</v>
      </c>
      <c r="D407" s="446" t="s">
        <v>427</v>
      </c>
      <c r="E407" s="445" t="s">
        <v>790</v>
      </c>
      <c r="F407" s="446" t="s">
        <v>791</v>
      </c>
      <c r="G407" s="445" t="s">
        <v>1373</v>
      </c>
      <c r="H407" s="445" t="s">
        <v>1375</v>
      </c>
      <c r="I407" s="448">
        <v>39.930000305175781</v>
      </c>
      <c r="J407" s="448">
        <v>24</v>
      </c>
      <c r="K407" s="449">
        <v>958.32000732421875</v>
      </c>
    </row>
    <row r="408" spans="1:11" ht="14.4" customHeight="1" x14ac:dyDescent="0.3">
      <c r="A408" s="443" t="s">
        <v>417</v>
      </c>
      <c r="B408" s="444" t="s">
        <v>418</v>
      </c>
      <c r="C408" s="445" t="s">
        <v>426</v>
      </c>
      <c r="D408" s="446" t="s">
        <v>427</v>
      </c>
      <c r="E408" s="445" t="s">
        <v>790</v>
      </c>
      <c r="F408" s="446" t="s">
        <v>791</v>
      </c>
      <c r="G408" s="445" t="s">
        <v>1376</v>
      </c>
      <c r="H408" s="445" t="s">
        <v>1377</v>
      </c>
      <c r="I408" s="448">
        <v>42.349998474121094</v>
      </c>
      <c r="J408" s="448">
        <v>120</v>
      </c>
      <c r="K408" s="449">
        <v>5082</v>
      </c>
    </row>
    <row r="409" spans="1:11" ht="14.4" customHeight="1" x14ac:dyDescent="0.3">
      <c r="A409" s="443" t="s">
        <v>417</v>
      </c>
      <c r="B409" s="444" t="s">
        <v>418</v>
      </c>
      <c r="C409" s="445" t="s">
        <v>426</v>
      </c>
      <c r="D409" s="446" t="s">
        <v>427</v>
      </c>
      <c r="E409" s="445" t="s">
        <v>790</v>
      </c>
      <c r="F409" s="446" t="s">
        <v>791</v>
      </c>
      <c r="G409" s="445" t="s">
        <v>1378</v>
      </c>
      <c r="H409" s="445" t="s">
        <v>1379</v>
      </c>
      <c r="I409" s="448">
        <v>42.349998474121094</v>
      </c>
      <c r="J409" s="448">
        <v>60</v>
      </c>
      <c r="K409" s="449">
        <v>2541</v>
      </c>
    </row>
    <row r="410" spans="1:11" ht="14.4" customHeight="1" x14ac:dyDescent="0.3">
      <c r="A410" s="443" t="s">
        <v>417</v>
      </c>
      <c r="B410" s="444" t="s">
        <v>418</v>
      </c>
      <c r="C410" s="445" t="s">
        <v>426</v>
      </c>
      <c r="D410" s="446" t="s">
        <v>427</v>
      </c>
      <c r="E410" s="445" t="s">
        <v>790</v>
      </c>
      <c r="F410" s="446" t="s">
        <v>791</v>
      </c>
      <c r="G410" s="445" t="s">
        <v>1380</v>
      </c>
      <c r="H410" s="445" t="s">
        <v>1381</v>
      </c>
      <c r="I410" s="448">
        <v>39.930000305175781</v>
      </c>
      <c r="J410" s="448">
        <v>24</v>
      </c>
      <c r="K410" s="449">
        <v>958.32000732421875</v>
      </c>
    </row>
    <row r="411" spans="1:11" ht="14.4" customHeight="1" x14ac:dyDescent="0.3">
      <c r="A411" s="443" t="s">
        <v>417</v>
      </c>
      <c r="B411" s="444" t="s">
        <v>418</v>
      </c>
      <c r="C411" s="445" t="s">
        <v>426</v>
      </c>
      <c r="D411" s="446" t="s">
        <v>427</v>
      </c>
      <c r="E411" s="445" t="s">
        <v>790</v>
      </c>
      <c r="F411" s="446" t="s">
        <v>791</v>
      </c>
      <c r="G411" s="445" t="s">
        <v>1382</v>
      </c>
      <c r="H411" s="445" t="s">
        <v>1383</v>
      </c>
      <c r="I411" s="448">
        <v>39.930000305175781</v>
      </c>
      <c r="J411" s="448">
        <v>18</v>
      </c>
      <c r="K411" s="449">
        <v>718.739990234375</v>
      </c>
    </row>
    <row r="412" spans="1:11" ht="14.4" customHeight="1" x14ac:dyDescent="0.3">
      <c r="A412" s="443" t="s">
        <v>417</v>
      </c>
      <c r="B412" s="444" t="s">
        <v>418</v>
      </c>
      <c r="C412" s="445" t="s">
        <v>426</v>
      </c>
      <c r="D412" s="446" t="s">
        <v>427</v>
      </c>
      <c r="E412" s="445" t="s">
        <v>790</v>
      </c>
      <c r="F412" s="446" t="s">
        <v>791</v>
      </c>
      <c r="G412" s="445" t="s">
        <v>1384</v>
      </c>
      <c r="H412" s="445" t="s">
        <v>1385</v>
      </c>
      <c r="I412" s="448">
        <v>39.930000305175781</v>
      </c>
      <c r="J412" s="448">
        <v>24</v>
      </c>
      <c r="K412" s="449">
        <v>958.32000732421875</v>
      </c>
    </row>
    <row r="413" spans="1:11" ht="14.4" customHeight="1" x14ac:dyDescent="0.3">
      <c r="A413" s="443" t="s">
        <v>417</v>
      </c>
      <c r="B413" s="444" t="s">
        <v>418</v>
      </c>
      <c r="C413" s="445" t="s">
        <v>426</v>
      </c>
      <c r="D413" s="446" t="s">
        <v>427</v>
      </c>
      <c r="E413" s="445" t="s">
        <v>790</v>
      </c>
      <c r="F413" s="446" t="s">
        <v>791</v>
      </c>
      <c r="G413" s="445" t="s">
        <v>1386</v>
      </c>
      <c r="H413" s="445" t="s">
        <v>1387</v>
      </c>
      <c r="I413" s="448">
        <v>39.930000305175781</v>
      </c>
      <c r="J413" s="448">
        <v>24</v>
      </c>
      <c r="K413" s="449">
        <v>958.32000732421875</v>
      </c>
    </row>
    <row r="414" spans="1:11" ht="14.4" customHeight="1" x14ac:dyDescent="0.3">
      <c r="A414" s="443" t="s">
        <v>417</v>
      </c>
      <c r="B414" s="444" t="s">
        <v>418</v>
      </c>
      <c r="C414" s="445" t="s">
        <v>426</v>
      </c>
      <c r="D414" s="446" t="s">
        <v>427</v>
      </c>
      <c r="E414" s="445" t="s">
        <v>790</v>
      </c>
      <c r="F414" s="446" t="s">
        <v>791</v>
      </c>
      <c r="G414" s="445" t="s">
        <v>1388</v>
      </c>
      <c r="H414" s="445" t="s">
        <v>1389</v>
      </c>
      <c r="I414" s="448">
        <v>38</v>
      </c>
      <c r="J414" s="448">
        <v>18</v>
      </c>
      <c r="K414" s="449">
        <v>684</v>
      </c>
    </row>
    <row r="415" spans="1:11" ht="14.4" customHeight="1" x14ac:dyDescent="0.3">
      <c r="A415" s="443" t="s">
        <v>417</v>
      </c>
      <c r="B415" s="444" t="s">
        <v>418</v>
      </c>
      <c r="C415" s="445" t="s">
        <v>426</v>
      </c>
      <c r="D415" s="446" t="s">
        <v>427</v>
      </c>
      <c r="E415" s="445" t="s">
        <v>790</v>
      </c>
      <c r="F415" s="446" t="s">
        <v>791</v>
      </c>
      <c r="G415" s="445" t="s">
        <v>1390</v>
      </c>
      <c r="H415" s="445" t="s">
        <v>1391</v>
      </c>
      <c r="I415" s="448">
        <v>39.930000305175781</v>
      </c>
      <c r="J415" s="448">
        <v>24</v>
      </c>
      <c r="K415" s="449">
        <v>958.32000732421875</v>
      </c>
    </row>
    <row r="416" spans="1:11" ht="14.4" customHeight="1" x14ac:dyDescent="0.3">
      <c r="A416" s="443" t="s">
        <v>417</v>
      </c>
      <c r="B416" s="444" t="s">
        <v>418</v>
      </c>
      <c r="C416" s="445" t="s">
        <v>426</v>
      </c>
      <c r="D416" s="446" t="s">
        <v>427</v>
      </c>
      <c r="E416" s="445" t="s">
        <v>790</v>
      </c>
      <c r="F416" s="446" t="s">
        <v>791</v>
      </c>
      <c r="G416" s="445" t="s">
        <v>1392</v>
      </c>
      <c r="H416" s="445" t="s">
        <v>1393</v>
      </c>
      <c r="I416" s="448">
        <v>533.5</v>
      </c>
      <c r="J416" s="448">
        <v>12</v>
      </c>
      <c r="K416" s="449">
        <v>6371</v>
      </c>
    </row>
    <row r="417" spans="1:11" ht="14.4" customHeight="1" x14ac:dyDescent="0.3">
      <c r="A417" s="443" t="s">
        <v>417</v>
      </c>
      <c r="B417" s="444" t="s">
        <v>418</v>
      </c>
      <c r="C417" s="445" t="s">
        <v>426</v>
      </c>
      <c r="D417" s="446" t="s">
        <v>427</v>
      </c>
      <c r="E417" s="445" t="s">
        <v>790</v>
      </c>
      <c r="F417" s="446" t="s">
        <v>791</v>
      </c>
      <c r="G417" s="445" t="s">
        <v>1394</v>
      </c>
      <c r="H417" s="445" t="s">
        <v>1395</v>
      </c>
      <c r="I417" s="448">
        <v>6800.080078125</v>
      </c>
      <c r="J417" s="448">
        <v>1</v>
      </c>
      <c r="K417" s="449">
        <v>6800.080078125</v>
      </c>
    </row>
    <row r="418" spans="1:11" ht="14.4" customHeight="1" x14ac:dyDescent="0.3">
      <c r="A418" s="443" t="s">
        <v>417</v>
      </c>
      <c r="B418" s="444" t="s">
        <v>418</v>
      </c>
      <c r="C418" s="445" t="s">
        <v>426</v>
      </c>
      <c r="D418" s="446" t="s">
        <v>427</v>
      </c>
      <c r="E418" s="445" t="s">
        <v>790</v>
      </c>
      <c r="F418" s="446" t="s">
        <v>791</v>
      </c>
      <c r="G418" s="445" t="s">
        <v>1396</v>
      </c>
      <c r="H418" s="445" t="s">
        <v>1397</v>
      </c>
      <c r="I418" s="448">
        <v>12039.5</v>
      </c>
      <c r="J418" s="448">
        <v>1</v>
      </c>
      <c r="K418" s="449">
        <v>12039.5</v>
      </c>
    </row>
    <row r="419" spans="1:11" ht="14.4" customHeight="1" x14ac:dyDescent="0.3">
      <c r="A419" s="443" t="s">
        <v>417</v>
      </c>
      <c r="B419" s="444" t="s">
        <v>418</v>
      </c>
      <c r="C419" s="445" t="s">
        <v>426</v>
      </c>
      <c r="D419" s="446" t="s">
        <v>427</v>
      </c>
      <c r="E419" s="445" t="s">
        <v>790</v>
      </c>
      <c r="F419" s="446" t="s">
        <v>791</v>
      </c>
      <c r="G419" s="445" t="s">
        <v>1398</v>
      </c>
      <c r="H419" s="445" t="s">
        <v>1399</v>
      </c>
      <c r="I419" s="448">
        <v>19816</v>
      </c>
      <c r="J419" s="448">
        <v>2</v>
      </c>
      <c r="K419" s="449">
        <v>39632</v>
      </c>
    </row>
    <row r="420" spans="1:11" ht="14.4" customHeight="1" x14ac:dyDescent="0.3">
      <c r="A420" s="443" t="s">
        <v>417</v>
      </c>
      <c r="B420" s="444" t="s">
        <v>418</v>
      </c>
      <c r="C420" s="445" t="s">
        <v>426</v>
      </c>
      <c r="D420" s="446" t="s">
        <v>427</v>
      </c>
      <c r="E420" s="445" t="s">
        <v>790</v>
      </c>
      <c r="F420" s="446" t="s">
        <v>791</v>
      </c>
      <c r="G420" s="445" t="s">
        <v>1400</v>
      </c>
      <c r="H420" s="445" t="s">
        <v>1401</v>
      </c>
      <c r="I420" s="448">
        <v>5808</v>
      </c>
      <c r="J420" s="448">
        <v>1</v>
      </c>
      <c r="K420" s="449">
        <v>5808</v>
      </c>
    </row>
    <row r="421" spans="1:11" ht="14.4" customHeight="1" x14ac:dyDescent="0.3">
      <c r="A421" s="443" t="s">
        <v>417</v>
      </c>
      <c r="B421" s="444" t="s">
        <v>418</v>
      </c>
      <c r="C421" s="445" t="s">
        <v>426</v>
      </c>
      <c r="D421" s="446" t="s">
        <v>427</v>
      </c>
      <c r="E421" s="445" t="s">
        <v>790</v>
      </c>
      <c r="F421" s="446" t="s">
        <v>791</v>
      </c>
      <c r="G421" s="445" t="s">
        <v>1402</v>
      </c>
      <c r="H421" s="445" t="s">
        <v>1403</v>
      </c>
      <c r="I421" s="448">
        <v>362.09249877929687</v>
      </c>
      <c r="J421" s="448">
        <v>11</v>
      </c>
      <c r="K421" s="449">
        <v>3983.0300903320312</v>
      </c>
    </row>
    <row r="422" spans="1:11" ht="14.4" customHeight="1" x14ac:dyDescent="0.3">
      <c r="A422" s="443" t="s">
        <v>417</v>
      </c>
      <c r="B422" s="444" t="s">
        <v>418</v>
      </c>
      <c r="C422" s="445" t="s">
        <v>426</v>
      </c>
      <c r="D422" s="446" t="s">
        <v>427</v>
      </c>
      <c r="E422" s="445" t="s">
        <v>790</v>
      </c>
      <c r="F422" s="446" t="s">
        <v>791</v>
      </c>
      <c r="G422" s="445" t="s">
        <v>1404</v>
      </c>
      <c r="H422" s="445" t="s">
        <v>1405</v>
      </c>
      <c r="I422" s="448">
        <v>1353.643310546875</v>
      </c>
      <c r="J422" s="448">
        <v>4</v>
      </c>
      <c r="K422" s="449">
        <v>5414.429931640625</v>
      </c>
    </row>
    <row r="423" spans="1:11" ht="14.4" customHeight="1" x14ac:dyDescent="0.3">
      <c r="A423" s="443" t="s">
        <v>417</v>
      </c>
      <c r="B423" s="444" t="s">
        <v>418</v>
      </c>
      <c r="C423" s="445" t="s">
        <v>426</v>
      </c>
      <c r="D423" s="446" t="s">
        <v>427</v>
      </c>
      <c r="E423" s="445" t="s">
        <v>790</v>
      </c>
      <c r="F423" s="446" t="s">
        <v>791</v>
      </c>
      <c r="G423" s="445" t="s">
        <v>1406</v>
      </c>
      <c r="H423" s="445" t="s">
        <v>1407</v>
      </c>
      <c r="I423" s="448">
        <v>800.95875549316406</v>
      </c>
      <c r="J423" s="448">
        <v>23</v>
      </c>
      <c r="K423" s="449">
        <v>18334</v>
      </c>
    </row>
    <row r="424" spans="1:11" ht="14.4" customHeight="1" x14ac:dyDescent="0.3">
      <c r="A424" s="443" t="s">
        <v>417</v>
      </c>
      <c r="B424" s="444" t="s">
        <v>418</v>
      </c>
      <c r="C424" s="445" t="s">
        <v>426</v>
      </c>
      <c r="D424" s="446" t="s">
        <v>427</v>
      </c>
      <c r="E424" s="445" t="s">
        <v>790</v>
      </c>
      <c r="F424" s="446" t="s">
        <v>791</v>
      </c>
      <c r="G424" s="445" t="s">
        <v>1408</v>
      </c>
      <c r="H424" s="445" t="s">
        <v>1409</v>
      </c>
      <c r="I424" s="448">
        <v>646</v>
      </c>
      <c r="J424" s="448">
        <v>3</v>
      </c>
      <c r="K424" s="449">
        <v>1937.989990234375</v>
      </c>
    </row>
    <row r="425" spans="1:11" ht="14.4" customHeight="1" x14ac:dyDescent="0.3">
      <c r="A425" s="443" t="s">
        <v>417</v>
      </c>
      <c r="B425" s="444" t="s">
        <v>418</v>
      </c>
      <c r="C425" s="445" t="s">
        <v>426</v>
      </c>
      <c r="D425" s="446" t="s">
        <v>427</v>
      </c>
      <c r="E425" s="445" t="s">
        <v>790</v>
      </c>
      <c r="F425" s="446" t="s">
        <v>791</v>
      </c>
      <c r="G425" s="445" t="s">
        <v>1410</v>
      </c>
      <c r="H425" s="445" t="s">
        <v>1411</v>
      </c>
      <c r="I425" s="448">
        <v>3357.68994140625</v>
      </c>
      <c r="J425" s="448">
        <v>1</v>
      </c>
      <c r="K425" s="449">
        <v>3357.68994140625</v>
      </c>
    </row>
    <row r="426" spans="1:11" ht="14.4" customHeight="1" x14ac:dyDescent="0.3">
      <c r="A426" s="443" t="s">
        <v>417</v>
      </c>
      <c r="B426" s="444" t="s">
        <v>418</v>
      </c>
      <c r="C426" s="445" t="s">
        <v>426</v>
      </c>
      <c r="D426" s="446" t="s">
        <v>427</v>
      </c>
      <c r="E426" s="445" t="s">
        <v>790</v>
      </c>
      <c r="F426" s="446" t="s">
        <v>791</v>
      </c>
      <c r="G426" s="445" t="s">
        <v>1412</v>
      </c>
      <c r="H426" s="445" t="s">
        <v>1413</v>
      </c>
      <c r="I426" s="448">
        <v>590.47998046875</v>
      </c>
      <c r="J426" s="448">
        <v>1</v>
      </c>
      <c r="K426" s="449">
        <v>590.47998046875</v>
      </c>
    </row>
    <row r="427" spans="1:11" ht="14.4" customHeight="1" x14ac:dyDescent="0.3">
      <c r="A427" s="443" t="s">
        <v>417</v>
      </c>
      <c r="B427" s="444" t="s">
        <v>418</v>
      </c>
      <c r="C427" s="445" t="s">
        <v>426</v>
      </c>
      <c r="D427" s="446" t="s">
        <v>427</v>
      </c>
      <c r="E427" s="445" t="s">
        <v>790</v>
      </c>
      <c r="F427" s="446" t="s">
        <v>791</v>
      </c>
      <c r="G427" s="445" t="s">
        <v>1414</v>
      </c>
      <c r="H427" s="445" t="s">
        <v>1415</v>
      </c>
      <c r="I427" s="448">
        <v>1240.9299926757812</v>
      </c>
      <c r="J427" s="448">
        <v>3</v>
      </c>
      <c r="K427" s="449">
        <v>3720.9599609375</v>
      </c>
    </row>
    <row r="428" spans="1:11" ht="14.4" customHeight="1" x14ac:dyDescent="0.3">
      <c r="A428" s="443" t="s">
        <v>417</v>
      </c>
      <c r="B428" s="444" t="s">
        <v>418</v>
      </c>
      <c r="C428" s="445" t="s">
        <v>426</v>
      </c>
      <c r="D428" s="446" t="s">
        <v>427</v>
      </c>
      <c r="E428" s="445" t="s">
        <v>790</v>
      </c>
      <c r="F428" s="446" t="s">
        <v>791</v>
      </c>
      <c r="G428" s="445" t="s">
        <v>1416</v>
      </c>
      <c r="H428" s="445" t="s">
        <v>1417</v>
      </c>
      <c r="I428" s="448">
        <v>2117.5</v>
      </c>
      <c r="J428" s="448">
        <v>2</v>
      </c>
      <c r="K428" s="449">
        <v>4235</v>
      </c>
    </row>
    <row r="429" spans="1:11" ht="14.4" customHeight="1" x14ac:dyDescent="0.3">
      <c r="A429" s="443" t="s">
        <v>417</v>
      </c>
      <c r="B429" s="444" t="s">
        <v>418</v>
      </c>
      <c r="C429" s="445" t="s">
        <v>426</v>
      </c>
      <c r="D429" s="446" t="s">
        <v>427</v>
      </c>
      <c r="E429" s="445" t="s">
        <v>790</v>
      </c>
      <c r="F429" s="446" t="s">
        <v>791</v>
      </c>
      <c r="G429" s="445" t="s">
        <v>1418</v>
      </c>
      <c r="H429" s="445" t="s">
        <v>1419</v>
      </c>
      <c r="I429" s="448">
        <v>21.120999908447267</v>
      </c>
      <c r="J429" s="448">
        <v>425</v>
      </c>
      <c r="K429" s="449">
        <v>8985.6401977539062</v>
      </c>
    </row>
    <row r="430" spans="1:11" ht="14.4" customHeight="1" x14ac:dyDescent="0.3">
      <c r="A430" s="443" t="s">
        <v>417</v>
      </c>
      <c r="B430" s="444" t="s">
        <v>418</v>
      </c>
      <c r="C430" s="445" t="s">
        <v>426</v>
      </c>
      <c r="D430" s="446" t="s">
        <v>427</v>
      </c>
      <c r="E430" s="445" t="s">
        <v>790</v>
      </c>
      <c r="F430" s="446" t="s">
        <v>791</v>
      </c>
      <c r="G430" s="445" t="s">
        <v>1420</v>
      </c>
      <c r="H430" s="445" t="s">
        <v>1421</v>
      </c>
      <c r="I430" s="448">
        <v>34.085000514984131</v>
      </c>
      <c r="J430" s="448">
        <v>225</v>
      </c>
      <c r="K430" s="449">
        <v>7737.2600708007812</v>
      </c>
    </row>
    <row r="431" spans="1:11" ht="14.4" customHeight="1" x14ac:dyDescent="0.3">
      <c r="A431" s="443" t="s">
        <v>417</v>
      </c>
      <c r="B431" s="444" t="s">
        <v>418</v>
      </c>
      <c r="C431" s="445" t="s">
        <v>426</v>
      </c>
      <c r="D431" s="446" t="s">
        <v>427</v>
      </c>
      <c r="E431" s="445" t="s">
        <v>790</v>
      </c>
      <c r="F431" s="446" t="s">
        <v>791</v>
      </c>
      <c r="G431" s="445" t="s">
        <v>1422</v>
      </c>
      <c r="H431" s="445" t="s">
        <v>1423</v>
      </c>
      <c r="I431" s="448">
        <v>2078.300048828125</v>
      </c>
      <c r="J431" s="448">
        <v>2</v>
      </c>
      <c r="K431" s="449">
        <v>4156.60009765625</v>
      </c>
    </row>
    <row r="432" spans="1:11" ht="14.4" customHeight="1" x14ac:dyDescent="0.3">
      <c r="A432" s="443" t="s">
        <v>417</v>
      </c>
      <c r="B432" s="444" t="s">
        <v>418</v>
      </c>
      <c r="C432" s="445" t="s">
        <v>426</v>
      </c>
      <c r="D432" s="446" t="s">
        <v>427</v>
      </c>
      <c r="E432" s="445" t="s">
        <v>790</v>
      </c>
      <c r="F432" s="446" t="s">
        <v>791</v>
      </c>
      <c r="G432" s="445" t="s">
        <v>1424</v>
      </c>
      <c r="H432" s="445" t="s">
        <v>1425</v>
      </c>
      <c r="I432" s="448">
        <v>83.988330841064453</v>
      </c>
      <c r="J432" s="448">
        <v>150</v>
      </c>
      <c r="K432" s="449">
        <v>12598.540283203125</v>
      </c>
    </row>
    <row r="433" spans="1:11" ht="14.4" customHeight="1" x14ac:dyDescent="0.3">
      <c r="A433" s="443" t="s">
        <v>417</v>
      </c>
      <c r="B433" s="444" t="s">
        <v>418</v>
      </c>
      <c r="C433" s="445" t="s">
        <v>426</v>
      </c>
      <c r="D433" s="446" t="s">
        <v>427</v>
      </c>
      <c r="E433" s="445" t="s">
        <v>790</v>
      </c>
      <c r="F433" s="446" t="s">
        <v>791</v>
      </c>
      <c r="G433" s="445" t="s">
        <v>1426</v>
      </c>
      <c r="H433" s="445" t="s">
        <v>1427</v>
      </c>
      <c r="I433" s="448">
        <v>33.527499834696449</v>
      </c>
      <c r="J433" s="448">
        <v>550</v>
      </c>
      <c r="K433" s="449">
        <v>18346.0302734375</v>
      </c>
    </row>
    <row r="434" spans="1:11" ht="14.4" customHeight="1" x14ac:dyDescent="0.3">
      <c r="A434" s="443" t="s">
        <v>417</v>
      </c>
      <c r="B434" s="444" t="s">
        <v>418</v>
      </c>
      <c r="C434" s="445" t="s">
        <v>426</v>
      </c>
      <c r="D434" s="446" t="s">
        <v>427</v>
      </c>
      <c r="E434" s="445" t="s">
        <v>790</v>
      </c>
      <c r="F434" s="446" t="s">
        <v>791</v>
      </c>
      <c r="G434" s="445" t="s">
        <v>1428</v>
      </c>
      <c r="H434" s="445" t="s">
        <v>1429</v>
      </c>
      <c r="I434" s="448">
        <v>118.58000183105469</v>
      </c>
      <c r="J434" s="448">
        <v>170</v>
      </c>
      <c r="K434" s="449">
        <v>20158.630172729492</v>
      </c>
    </row>
    <row r="435" spans="1:11" ht="14.4" customHeight="1" x14ac:dyDescent="0.3">
      <c r="A435" s="443" t="s">
        <v>417</v>
      </c>
      <c r="B435" s="444" t="s">
        <v>418</v>
      </c>
      <c r="C435" s="445" t="s">
        <v>426</v>
      </c>
      <c r="D435" s="446" t="s">
        <v>427</v>
      </c>
      <c r="E435" s="445" t="s">
        <v>790</v>
      </c>
      <c r="F435" s="446" t="s">
        <v>791</v>
      </c>
      <c r="G435" s="445" t="s">
        <v>1430</v>
      </c>
      <c r="H435" s="445" t="s">
        <v>1431</v>
      </c>
      <c r="I435" s="448">
        <v>3910</v>
      </c>
      <c r="J435" s="448">
        <v>1</v>
      </c>
      <c r="K435" s="449">
        <v>3910</v>
      </c>
    </row>
    <row r="436" spans="1:11" ht="14.4" customHeight="1" x14ac:dyDescent="0.3">
      <c r="A436" s="443" t="s">
        <v>417</v>
      </c>
      <c r="B436" s="444" t="s">
        <v>418</v>
      </c>
      <c r="C436" s="445" t="s">
        <v>426</v>
      </c>
      <c r="D436" s="446" t="s">
        <v>427</v>
      </c>
      <c r="E436" s="445" t="s">
        <v>790</v>
      </c>
      <c r="F436" s="446" t="s">
        <v>791</v>
      </c>
      <c r="G436" s="445" t="s">
        <v>1432</v>
      </c>
      <c r="H436" s="445" t="s">
        <v>1433</v>
      </c>
      <c r="I436" s="448">
        <v>798.5</v>
      </c>
      <c r="J436" s="448">
        <v>4</v>
      </c>
      <c r="K436" s="449">
        <v>3193.97998046875</v>
      </c>
    </row>
    <row r="437" spans="1:11" ht="14.4" customHeight="1" x14ac:dyDescent="0.3">
      <c r="A437" s="443" t="s">
        <v>417</v>
      </c>
      <c r="B437" s="444" t="s">
        <v>418</v>
      </c>
      <c r="C437" s="445" t="s">
        <v>426</v>
      </c>
      <c r="D437" s="446" t="s">
        <v>427</v>
      </c>
      <c r="E437" s="445" t="s">
        <v>790</v>
      </c>
      <c r="F437" s="446" t="s">
        <v>791</v>
      </c>
      <c r="G437" s="445" t="s">
        <v>1434</v>
      </c>
      <c r="H437" s="445" t="s">
        <v>1435</v>
      </c>
      <c r="I437" s="448">
        <v>471.89999389648437</v>
      </c>
      <c r="J437" s="448">
        <v>1</v>
      </c>
      <c r="K437" s="449">
        <v>471.89999389648437</v>
      </c>
    </row>
    <row r="438" spans="1:11" ht="14.4" customHeight="1" x14ac:dyDescent="0.3">
      <c r="A438" s="443" t="s">
        <v>417</v>
      </c>
      <c r="B438" s="444" t="s">
        <v>418</v>
      </c>
      <c r="C438" s="445" t="s">
        <v>426</v>
      </c>
      <c r="D438" s="446" t="s">
        <v>427</v>
      </c>
      <c r="E438" s="445" t="s">
        <v>790</v>
      </c>
      <c r="F438" s="446" t="s">
        <v>791</v>
      </c>
      <c r="G438" s="445" t="s">
        <v>1436</v>
      </c>
      <c r="H438" s="445" t="s">
        <v>1437</v>
      </c>
      <c r="I438" s="448">
        <v>293.1199951171875</v>
      </c>
      <c r="J438" s="448">
        <v>3</v>
      </c>
      <c r="K438" s="449">
        <v>879.3599853515625</v>
      </c>
    </row>
    <row r="439" spans="1:11" ht="14.4" customHeight="1" x14ac:dyDescent="0.3">
      <c r="A439" s="443" t="s">
        <v>417</v>
      </c>
      <c r="B439" s="444" t="s">
        <v>418</v>
      </c>
      <c r="C439" s="445" t="s">
        <v>426</v>
      </c>
      <c r="D439" s="446" t="s">
        <v>427</v>
      </c>
      <c r="E439" s="445" t="s">
        <v>790</v>
      </c>
      <c r="F439" s="446" t="s">
        <v>791</v>
      </c>
      <c r="G439" s="445" t="s">
        <v>1438</v>
      </c>
      <c r="H439" s="445" t="s">
        <v>1439</v>
      </c>
      <c r="I439" s="448">
        <v>491.989990234375</v>
      </c>
      <c r="J439" s="448">
        <v>2</v>
      </c>
      <c r="K439" s="449">
        <v>983.969970703125</v>
      </c>
    </row>
    <row r="440" spans="1:11" ht="14.4" customHeight="1" x14ac:dyDescent="0.3">
      <c r="A440" s="443" t="s">
        <v>417</v>
      </c>
      <c r="B440" s="444" t="s">
        <v>418</v>
      </c>
      <c r="C440" s="445" t="s">
        <v>426</v>
      </c>
      <c r="D440" s="446" t="s">
        <v>427</v>
      </c>
      <c r="E440" s="445" t="s">
        <v>790</v>
      </c>
      <c r="F440" s="446" t="s">
        <v>791</v>
      </c>
      <c r="G440" s="445" t="s">
        <v>1440</v>
      </c>
      <c r="H440" s="445" t="s">
        <v>1441</v>
      </c>
      <c r="I440" s="448">
        <v>867.8699951171875</v>
      </c>
      <c r="J440" s="448">
        <v>2</v>
      </c>
      <c r="K440" s="449">
        <v>1735.739990234375</v>
      </c>
    </row>
    <row r="441" spans="1:11" ht="14.4" customHeight="1" x14ac:dyDescent="0.3">
      <c r="A441" s="443" t="s">
        <v>417</v>
      </c>
      <c r="B441" s="444" t="s">
        <v>418</v>
      </c>
      <c r="C441" s="445" t="s">
        <v>426</v>
      </c>
      <c r="D441" s="446" t="s">
        <v>427</v>
      </c>
      <c r="E441" s="445" t="s">
        <v>790</v>
      </c>
      <c r="F441" s="446" t="s">
        <v>791</v>
      </c>
      <c r="G441" s="445" t="s">
        <v>1442</v>
      </c>
      <c r="H441" s="445" t="s">
        <v>1443</v>
      </c>
      <c r="I441" s="448">
        <v>827.6400146484375</v>
      </c>
      <c r="J441" s="448">
        <v>1</v>
      </c>
      <c r="K441" s="449">
        <v>827.6400146484375</v>
      </c>
    </row>
    <row r="442" spans="1:11" ht="14.4" customHeight="1" x14ac:dyDescent="0.3">
      <c r="A442" s="443" t="s">
        <v>417</v>
      </c>
      <c r="B442" s="444" t="s">
        <v>418</v>
      </c>
      <c r="C442" s="445" t="s">
        <v>426</v>
      </c>
      <c r="D442" s="446" t="s">
        <v>427</v>
      </c>
      <c r="E442" s="445" t="s">
        <v>790</v>
      </c>
      <c r="F442" s="446" t="s">
        <v>791</v>
      </c>
      <c r="G442" s="445" t="s">
        <v>1444</v>
      </c>
      <c r="H442" s="445" t="s">
        <v>1445</v>
      </c>
      <c r="I442" s="448">
        <v>745.3599853515625</v>
      </c>
      <c r="J442" s="448">
        <v>1</v>
      </c>
      <c r="K442" s="449">
        <v>745.3599853515625</v>
      </c>
    </row>
    <row r="443" spans="1:11" ht="14.4" customHeight="1" x14ac:dyDescent="0.3">
      <c r="A443" s="443" t="s">
        <v>417</v>
      </c>
      <c r="B443" s="444" t="s">
        <v>418</v>
      </c>
      <c r="C443" s="445" t="s">
        <v>426</v>
      </c>
      <c r="D443" s="446" t="s">
        <v>427</v>
      </c>
      <c r="E443" s="445" t="s">
        <v>790</v>
      </c>
      <c r="F443" s="446" t="s">
        <v>791</v>
      </c>
      <c r="G443" s="445" t="s">
        <v>1446</v>
      </c>
      <c r="H443" s="445" t="s">
        <v>1447</v>
      </c>
      <c r="I443" s="448">
        <v>768.3499755859375</v>
      </c>
      <c r="J443" s="448">
        <v>1</v>
      </c>
      <c r="K443" s="449">
        <v>768.3499755859375</v>
      </c>
    </row>
    <row r="444" spans="1:11" ht="14.4" customHeight="1" x14ac:dyDescent="0.3">
      <c r="A444" s="443" t="s">
        <v>417</v>
      </c>
      <c r="B444" s="444" t="s">
        <v>418</v>
      </c>
      <c r="C444" s="445" t="s">
        <v>426</v>
      </c>
      <c r="D444" s="446" t="s">
        <v>427</v>
      </c>
      <c r="E444" s="445" t="s">
        <v>790</v>
      </c>
      <c r="F444" s="446" t="s">
        <v>791</v>
      </c>
      <c r="G444" s="445" t="s">
        <v>1448</v>
      </c>
      <c r="H444" s="445" t="s">
        <v>1449</v>
      </c>
      <c r="I444" s="448">
        <v>859.0999755859375</v>
      </c>
      <c r="J444" s="448">
        <v>2</v>
      </c>
      <c r="K444" s="449">
        <v>1718.199951171875</v>
      </c>
    </row>
    <row r="445" spans="1:11" ht="14.4" customHeight="1" x14ac:dyDescent="0.3">
      <c r="A445" s="443" t="s">
        <v>417</v>
      </c>
      <c r="B445" s="444" t="s">
        <v>418</v>
      </c>
      <c r="C445" s="445" t="s">
        <v>426</v>
      </c>
      <c r="D445" s="446" t="s">
        <v>427</v>
      </c>
      <c r="E445" s="445" t="s">
        <v>790</v>
      </c>
      <c r="F445" s="446" t="s">
        <v>791</v>
      </c>
      <c r="G445" s="445" t="s">
        <v>1450</v>
      </c>
      <c r="H445" s="445" t="s">
        <v>1451</v>
      </c>
      <c r="I445" s="448">
        <v>617.0999755859375</v>
      </c>
      <c r="J445" s="448">
        <v>3</v>
      </c>
      <c r="K445" s="449">
        <v>1851.2999267578125</v>
      </c>
    </row>
    <row r="446" spans="1:11" ht="14.4" customHeight="1" x14ac:dyDescent="0.3">
      <c r="A446" s="443" t="s">
        <v>417</v>
      </c>
      <c r="B446" s="444" t="s">
        <v>418</v>
      </c>
      <c r="C446" s="445" t="s">
        <v>426</v>
      </c>
      <c r="D446" s="446" t="s">
        <v>427</v>
      </c>
      <c r="E446" s="445" t="s">
        <v>790</v>
      </c>
      <c r="F446" s="446" t="s">
        <v>791</v>
      </c>
      <c r="G446" s="445" t="s">
        <v>1452</v>
      </c>
      <c r="H446" s="445" t="s">
        <v>1453</v>
      </c>
      <c r="I446" s="448">
        <v>776.82000732421875</v>
      </c>
      <c r="J446" s="448">
        <v>9</v>
      </c>
      <c r="K446" s="449">
        <v>6991.3800048828125</v>
      </c>
    </row>
    <row r="447" spans="1:11" ht="14.4" customHeight="1" x14ac:dyDescent="0.3">
      <c r="A447" s="443" t="s">
        <v>417</v>
      </c>
      <c r="B447" s="444" t="s">
        <v>418</v>
      </c>
      <c r="C447" s="445" t="s">
        <v>426</v>
      </c>
      <c r="D447" s="446" t="s">
        <v>427</v>
      </c>
      <c r="E447" s="445" t="s">
        <v>790</v>
      </c>
      <c r="F447" s="446" t="s">
        <v>791</v>
      </c>
      <c r="G447" s="445" t="s">
        <v>1454</v>
      </c>
      <c r="H447" s="445" t="s">
        <v>1455</v>
      </c>
      <c r="I447" s="448">
        <v>505.77999877929687</v>
      </c>
      <c r="J447" s="448">
        <v>3</v>
      </c>
      <c r="K447" s="449">
        <v>1517.3399963378906</v>
      </c>
    </row>
    <row r="448" spans="1:11" ht="14.4" customHeight="1" x14ac:dyDescent="0.3">
      <c r="A448" s="443" t="s">
        <v>417</v>
      </c>
      <c r="B448" s="444" t="s">
        <v>418</v>
      </c>
      <c r="C448" s="445" t="s">
        <v>426</v>
      </c>
      <c r="D448" s="446" t="s">
        <v>427</v>
      </c>
      <c r="E448" s="445" t="s">
        <v>790</v>
      </c>
      <c r="F448" s="446" t="s">
        <v>791</v>
      </c>
      <c r="G448" s="445" t="s">
        <v>1456</v>
      </c>
      <c r="H448" s="445" t="s">
        <v>1457</v>
      </c>
      <c r="I448" s="448">
        <v>175.44999694824219</v>
      </c>
      <c r="J448" s="448">
        <v>20</v>
      </c>
      <c r="K448" s="449">
        <v>3509</v>
      </c>
    </row>
    <row r="449" spans="1:11" ht="14.4" customHeight="1" x14ac:dyDescent="0.3">
      <c r="A449" s="443" t="s">
        <v>417</v>
      </c>
      <c r="B449" s="444" t="s">
        <v>418</v>
      </c>
      <c r="C449" s="445" t="s">
        <v>426</v>
      </c>
      <c r="D449" s="446" t="s">
        <v>427</v>
      </c>
      <c r="E449" s="445" t="s">
        <v>790</v>
      </c>
      <c r="F449" s="446" t="s">
        <v>791</v>
      </c>
      <c r="G449" s="445" t="s">
        <v>1458</v>
      </c>
      <c r="H449" s="445" t="s">
        <v>1459</v>
      </c>
      <c r="I449" s="448">
        <v>1122.8699951171875</v>
      </c>
      <c r="J449" s="448">
        <v>5</v>
      </c>
      <c r="K449" s="449">
        <v>5614.3499755859375</v>
      </c>
    </row>
    <row r="450" spans="1:11" ht="14.4" customHeight="1" x14ac:dyDescent="0.3">
      <c r="A450" s="443" t="s">
        <v>417</v>
      </c>
      <c r="B450" s="444" t="s">
        <v>418</v>
      </c>
      <c r="C450" s="445" t="s">
        <v>426</v>
      </c>
      <c r="D450" s="446" t="s">
        <v>427</v>
      </c>
      <c r="E450" s="445" t="s">
        <v>790</v>
      </c>
      <c r="F450" s="446" t="s">
        <v>791</v>
      </c>
      <c r="G450" s="445" t="s">
        <v>1460</v>
      </c>
      <c r="H450" s="445" t="s">
        <v>1461</v>
      </c>
      <c r="I450" s="448">
        <v>1122.8699951171875</v>
      </c>
      <c r="J450" s="448">
        <v>1</v>
      </c>
      <c r="K450" s="449">
        <v>1122.8699951171875</v>
      </c>
    </row>
    <row r="451" spans="1:11" ht="14.4" customHeight="1" x14ac:dyDescent="0.3">
      <c r="A451" s="443" t="s">
        <v>417</v>
      </c>
      <c r="B451" s="444" t="s">
        <v>418</v>
      </c>
      <c r="C451" s="445" t="s">
        <v>426</v>
      </c>
      <c r="D451" s="446" t="s">
        <v>427</v>
      </c>
      <c r="E451" s="445" t="s">
        <v>790</v>
      </c>
      <c r="F451" s="446" t="s">
        <v>791</v>
      </c>
      <c r="G451" s="445" t="s">
        <v>1462</v>
      </c>
      <c r="H451" s="445" t="s">
        <v>1463</v>
      </c>
      <c r="I451" s="448">
        <v>873.55002848307288</v>
      </c>
      <c r="J451" s="448">
        <v>18</v>
      </c>
      <c r="K451" s="449">
        <v>15723.9501953125</v>
      </c>
    </row>
    <row r="452" spans="1:11" ht="14.4" customHeight="1" x14ac:dyDescent="0.3">
      <c r="A452" s="443" t="s">
        <v>417</v>
      </c>
      <c r="B452" s="444" t="s">
        <v>418</v>
      </c>
      <c r="C452" s="445" t="s">
        <v>426</v>
      </c>
      <c r="D452" s="446" t="s">
        <v>427</v>
      </c>
      <c r="E452" s="445" t="s">
        <v>790</v>
      </c>
      <c r="F452" s="446" t="s">
        <v>791</v>
      </c>
      <c r="G452" s="445" t="s">
        <v>1464</v>
      </c>
      <c r="H452" s="445" t="s">
        <v>1465</v>
      </c>
      <c r="I452" s="448">
        <v>1115</v>
      </c>
      <c r="J452" s="448">
        <v>1</v>
      </c>
      <c r="K452" s="449">
        <v>1115</v>
      </c>
    </row>
    <row r="453" spans="1:11" ht="14.4" customHeight="1" x14ac:dyDescent="0.3">
      <c r="A453" s="443" t="s">
        <v>417</v>
      </c>
      <c r="B453" s="444" t="s">
        <v>418</v>
      </c>
      <c r="C453" s="445" t="s">
        <v>426</v>
      </c>
      <c r="D453" s="446" t="s">
        <v>427</v>
      </c>
      <c r="E453" s="445" t="s">
        <v>790</v>
      </c>
      <c r="F453" s="446" t="s">
        <v>791</v>
      </c>
      <c r="G453" s="445" t="s">
        <v>1466</v>
      </c>
      <c r="H453" s="445" t="s">
        <v>1467</v>
      </c>
      <c r="I453" s="448">
        <v>284.31500244140625</v>
      </c>
      <c r="J453" s="448">
        <v>3</v>
      </c>
      <c r="K453" s="449">
        <v>852.94000244140625</v>
      </c>
    </row>
    <row r="454" spans="1:11" ht="14.4" customHeight="1" x14ac:dyDescent="0.3">
      <c r="A454" s="443" t="s">
        <v>417</v>
      </c>
      <c r="B454" s="444" t="s">
        <v>418</v>
      </c>
      <c r="C454" s="445" t="s">
        <v>426</v>
      </c>
      <c r="D454" s="446" t="s">
        <v>427</v>
      </c>
      <c r="E454" s="445" t="s">
        <v>790</v>
      </c>
      <c r="F454" s="446" t="s">
        <v>791</v>
      </c>
      <c r="G454" s="445" t="s">
        <v>1468</v>
      </c>
      <c r="H454" s="445" t="s">
        <v>1469</v>
      </c>
      <c r="I454" s="448">
        <v>232.77374458312988</v>
      </c>
      <c r="J454" s="448">
        <v>14</v>
      </c>
      <c r="K454" s="449">
        <v>3287.5699157714844</v>
      </c>
    </row>
    <row r="455" spans="1:11" ht="14.4" customHeight="1" x14ac:dyDescent="0.3">
      <c r="A455" s="443" t="s">
        <v>417</v>
      </c>
      <c r="B455" s="444" t="s">
        <v>418</v>
      </c>
      <c r="C455" s="445" t="s">
        <v>426</v>
      </c>
      <c r="D455" s="446" t="s">
        <v>427</v>
      </c>
      <c r="E455" s="445" t="s">
        <v>790</v>
      </c>
      <c r="F455" s="446" t="s">
        <v>791</v>
      </c>
      <c r="G455" s="445" t="s">
        <v>1470</v>
      </c>
      <c r="H455" s="445" t="s">
        <v>1471</v>
      </c>
      <c r="I455" s="448">
        <v>168.97999572753906</v>
      </c>
      <c r="J455" s="448">
        <v>5</v>
      </c>
      <c r="K455" s="449">
        <v>844.88002014160156</v>
      </c>
    </row>
    <row r="456" spans="1:11" ht="14.4" customHeight="1" x14ac:dyDescent="0.3">
      <c r="A456" s="443" t="s">
        <v>417</v>
      </c>
      <c r="B456" s="444" t="s">
        <v>418</v>
      </c>
      <c r="C456" s="445" t="s">
        <v>426</v>
      </c>
      <c r="D456" s="446" t="s">
        <v>427</v>
      </c>
      <c r="E456" s="445" t="s">
        <v>790</v>
      </c>
      <c r="F456" s="446" t="s">
        <v>791</v>
      </c>
      <c r="G456" s="445" t="s">
        <v>1472</v>
      </c>
      <c r="H456" s="445" t="s">
        <v>1473</v>
      </c>
      <c r="I456" s="448">
        <v>587.4000244140625</v>
      </c>
      <c r="J456" s="448">
        <v>8</v>
      </c>
      <c r="K456" s="449">
        <v>4699.16015625</v>
      </c>
    </row>
    <row r="457" spans="1:11" ht="14.4" customHeight="1" x14ac:dyDescent="0.3">
      <c r="A457" s="443" t="s">
        <v>417</v>
      </c>
      <c r="B457" s="444" t="s">
        <v>418</v>
      </c>
      <c r="C457" s="445" t="s">
        <v>426</v>
      </c>
      <c r="D457" s="446" t="s">
        <v>427</v>
      </c>
      <c r="E457" s="445" t="s">
        <v>790</v>
      </c>
      <c r="F457" s="446" t="s">
        <v>791</v>
      </c>
      <c r="G457" s="445" t="s">
        <v>1474</v>
      </c>
      <c r="H457" s="445" t="s">
        <v>1475</v>
      </c>
      <c r="I457" s="448">
        <v>2990</v>
      </c>
      <c r="J457" s="448">
        <v>1</v>
      </c>
      <c r="K457" s="449">
        <v>2990</v>
      </c>
    </row>
    <row r="458" spans="1:11" ht="14.4" customHeight="1" x14ac:dyDescent="0.3">
      <c r="A458" s="443" t="s">
        <v>417</v>
      </c>
      <c r="B458" s="444" t="s">
        <v>418</v>
      </c>
      <c r="C458" s="445" t="s">
        <v>426</v>
      </c>
      <c r="D458" s="446" t="s">
        <v>427</v>
      </c>
      <c r="E458" s="445" t="s">
        <v>790</v>
      </c>
      <c r="F458" s="446" t="s">
        <v>791</v>
      </c>
      <c r="G458" s="445" t="s">
        <v>1476</v>
      </c>
      <c r="H458" s="445" t="s">
        <v>1477</v>
      </c>
      <c r="I458" s="448">
        <v>987</v>
      </c>
      <c r="J458" s="448">
        <v>3</v>
      </c>
      <c r="K458" s="449">
        <v>2961</v>
      </c>
    </row>
    <row r="459" spans="1:11" ht="14.4" customHeight="1" x14ac:dyDescent="0.3">
      <c r="A459" s="443" t="s">
        <v>417</v>
      </c>
      <c r="B459" s="444" t="s">
        <v>418</v>
      </c>
      <c r="C459" s="445" t="s">
        <v>426</v>
      </c>
      <c r="D459" s="446" t="s">
        <v>427</v>
      </c>
      <c r="E459" s="445" t="s">
        <v>790</v>
      </c>
      <c r="F459" s="446" t="s">
        <v>791</v>
      </c>
      <c r="G459" s="445" t="s">
        <v>1478</v>
      </c>
      <c r="H459" s="445" t="s">
        <v>1479</v>
      </c>
      <c r="I459" s="448">
        <v>987</v>
      </c>
      <c r="J459" s="448">
        <v>3</v>
      </c>
      <c r="K459" s="449">
        <v>2961</v>
      </c>
    </row>
    <row r="460" spans="1:11" ht="14.4" customHeight="1" x14ac:dyDescent="0.3">
      <c r="A460" s="443" t="s">
        <v>417</v>
      </c>
      <c r="B460" s="444" t="s">
        <v>418</v>
      </c>
      <c r="C460" s="445" t="s">
        <v>426</v>
      </c>
      <c r="D460" s="446" t="s">
        <v>427</v>
      </c>
      <c r="E460" s="445" t="s">
        <v>790</v>
      </c>
      <c r="F460" s="446" t="s">
        <v>791</v>
      </c>
      <c r="G460" s="445" t="s">
        <v>1480</v>
      </c>
      <c r="H460" s="445" t="s">
        <v>1481</v>
      </c>
      <c r="I460" s="448">
        <v>617.0999755859375</v>
      </c>
      <c r="J460" s="448">
        <v>15</v>
      </c>
      <c r="K460" s="449">
        <v>9256.5</v>
      </c>
    </row>
    <row r="461" spans="1:11" ht="14.4" customHeight="1" x14ac:dyDescent="0.3">
      <c r="A461" s="443" t="s">
        <v>417</v>
      </c>
      <c r="B461" s="444" t="s">
        <v>418</v>
      </c>
      <c r="C461" s="445" t="s">
        <v>426</v>
      </c>
      <c r="D461" s="446" t="s">
        <v>427</v>
      </c>
      <c r="E461" s="445" t="s">
        <v>790</v>
      </c>
      <c r="F461" s="446" t="s">
        <v>791</v>
      </c>
      <c r="G461" s="445" t="s">
        <v>1482</v>
      </c>
      <c r="H461" s="445" t="s">
        <v>1483</v>
      </c>
      <c r="I461" s="448">
        <v>751.239990234375</v>
      </c>
      <c r="J461" s="448">
        <v>5</v>
      </c>
      <c r="K461" s="449">
        <v>3756.199951171875</v>
      </c>
    </row>
    <row r="462" spans="1:11" ht="14.4" customHeight="1" x14ac:dyDescent="0.3">
      <c r="A462" s="443" t="s">
        <v>417</v>
      </c>
      <c r="B462" s="444" t="s">
        <v>418</v>
      </c>
      <c r="C462" s="445" t="s">
        <v>426</v>
      </c>
      <c r="D462" s="446" t="s">
        <v>427</v>
      </c>
      <c r="E462" s="445" t="s">
        <v>790</v>
      </c>
      <c r="F462" s="446" t="s">
        <v>791</v>
      </c>
      <c r="G462" s="445" t="s">
        <v>1484</v>
      </c>
      <c r="H462" s="445" t="s">
        <v>1485</v>
      </c>
      <c r="I462" s="448">
        <v>343.97000122070313</v>
      </c>
      <c r="J462" s="448">
        <v>1</v>
      </c>
      <c r="K462" s="449">
        <v>343.97000122070313</v>
      </c>
    </row>
    <row r="463" spans="1:11" ht="14.4" customHeight="1" x14ac:dyDescent="0.3">
      <c r="A463" s="443" t="s">
        <v>417</v>
      </c>
      <c r="B463" s="444" t="s">
        <v>418</v>
      </c>
      <c r="C463" s="445" t="s">
        <v>426</v>
      </c>
      <c r="D463" s="446" t="s">
        <v>427</v>
      </c>
      <c r="E463" s="445" t="s">
        <v>790</v>
      </c>
      <c r="F463" s="446" t="s">
        <v>791</v>
      </c>
      <c r="G463" s="445" t="s">
        <v>1486</v>
      </c>
      <c r="H463" s="445" t="s">
        <v>1487</v>
      </c>
      <c r="I463" s="448">
        <v>902.70001220703125</v>
      </c>
      <c r="J463" s="448">
        <v>2</v>
      </c>
      <c r="K463" s="449">
        <v>1805.4000244140625</v>
      </c>
    </row>
    <row r="464" spans="1:11" ht="14.4" customHeight="1" x14ac:dyDescent="0.3">
      <c r="A464" s="443" t="s">
        <v>417</v>
      </c>
      <c r="B464" s="444" t="s">
        <v>418</v>
      </c>
      <c r="C464" s="445" t="s">
        <v>426</v>
      </c>
      <c r="D464" s="446" t="s">
        <v>427</v>
      </c>
      <c r="E464" s="445" t="s">
        <v>790</v>
      </c>
      <c r="F464" s="446" t="s">
        <v>791</v>
      </c>
      <c r="G464" s="445" t="s">
        <v>1488</v>
      </c>
      <c r="H464" s="445" t="s">
        <v>1489</v>
      </c>
      <c r="I464" s="448">
        <v>523.92999267578125</v>
      </c>
      <c r="J464" s="448">
        <v>1</v>
      </c>
      <c r="K464" s="449">
        <v>523.92999267578125</v>
      </c>
    </row>
    <row r="465" spans="1:11" ht="14.4" customHeight="1" x14ac:dyDescent="0.3">
      <c r="A465" s="443" t="s">
        <v>417</v>
      </c>
      <c r="B465" s="444" t="s">
        <v>418</v>
      </c>
      <c r="C465" s="445" t="s">
        <v>426</v>
      </c>
      <c r="D465" s="446" t="s">
        <v>427</v>
      </c>
      <c r="E465" s="445" t="s">
        <v>790</v>
      </c>
      <c r="F465" s="446" t="s">
        <v>791</v>
      </c>
      <c r="G465" s="445" t="s">
        <v>1490</v>
      </c>
      <c r="H465" s="445" t="s">
        <v>1491</v>
      </c>
      <c r="I465" s="448">
        <v>523.92999267578125</v>
      </c>
      <c r="J465" s="448">
        <v>1</v>
      </c>
      <c r="K465" s="449">
        <v>523.92999267578125</v>
      </c>
    </row>
    <row r="466" spans="1:11" ht="14.4" customHeight="1" x14ac:dyDescent="0.3">
      <c r="A466" s="443" t="s">
        <v>417</v>
      </c>
      <c r="B466" s="444" t="s">
        <v>418</v>
      </c>
      <c r="C466" s="445" t="s">
        <v>426</v>
      </c>
      <c r="D466" s="446" t="s">
        <v>427</v>
      </c>
      <c r="E466" s="445" t="s">
        <v>790</v>
      </c>
      <c r="F466" s="446" t="s">
        <v>791</v>
      </c>
      <c r="G466" s="445" t="s">
        <v>1492</v>
      </c>
      <c r="H466" s="445" t="s">
        <v>1493</v>
      </c>
      <c r="I466" s="448">
        <v>1003.010009765625</v>
      </c>
      <c r="J466" s="448">
        <v>2</v>
      </c>
      <c r="K466" s="449">
        <v>2006.010009765625</v>
      </c>
    </row>
    <row r="467" spans="1:11" ht="14.4" customHeight="1" x14ac:dyDescent="0.3">
      <c r="A467" s="443" t="s">
        <v>417</v>
      </c>
      <c r="B467" s="444" t="s">
        <v>418</v>
      </c>
      <c r="C467" s="445" t="s">
        <v>426</v>
      </c>
      <c r="D467" s="446" t="s">
        <v>427</v>
      </c>
      <c r="E467" s="445" t="s">
        <v>790</v>
      </c>
      <c r="F467" s="446" t="s">
        <v>791</v>
      </c>
      <c r="G467" s="445" t="s">
        <v>1494</v>
      </c>
      <c r="H467" s="445" t="s">
        <v>1495</v>
      </c>
      <c r="I467" s="448">
        <v>922.02001953125</v>
      </c>
      <c r="J467" s="448">
        <v>1</v>
      </c>
      <c r="K467" s="449">
        <v>922.02001953125</v>
      </c>
    </row>
    <row r="468" spans="1:11" ht="14.4" customHeight="1" x14ac:dyDescent="0.3">
      <c r="A468" s="443" t="s">
        <v>417</v>
      </c>
      <c r="B468" s="444" t="s">
        <v>418</v>
      </c>
      <c r="C468" s="445" t="s">
        <v>426</v>
      </c>
      <c r="D468" s="446" t="s">
        <v>427</v>
      </c>
      <c r="E468" s="445" t="s">
        <v>790</v>
      </c>
      <c r="F468" s="446" t="s">
        <v>791</v>
      </c>
      <c r="G468" s="445" t="s">
        <v>1496</v>
      </c>
      <c r="H468" s="445" t="s">
        <v>1497</v>
      </c>
      <c r="I468" s="448">
        <v>2.5699999332427979</v>
      </c>
      <c r="J468" s="448">
        <v>3200</v>
      </c>
      <c r="K468" s="449">
        <v>8227.499755859375</v>
      </c>
    </row>
    <row r="469" spans="1:11" ht="14.4" customHeight="1" x14ac:dyDescent="0.3">
      <c r="A469" s="443" t="s">
        <v>417</v>
      </c>
      <c r="B469" s="444" t="s">
        <v>418</v>
      </c>
      <c r="C469" s="445" t="s">
        <v>426</v>
      </c>
      <c r="D469" s="446" t="s">
        <v>427</v>
      </c>
      <c r="E469" s="445" t="s">
        <v>790</v>
      </c>
      <c r="F469" s="446" t="s">
        <v>791</v>
      </c>
      <c r="G469" s="445" t="s">
        <v>1498</v>
      </c>
      <c r="H469" s="445" t="s">
        <v>1499</v>
      </c>
      <c r="I469" s="448">
        <v>3.309999942779541</v>
      </c>
      <c r="J469" s="448">
        <v>100</v>
      </c>
      <c r="K469" s="449">
        <v>330.77999877929687</v>
      </c>
    </row>
    <row r="470" spans="1:11" ht="14.4" customHeight="1" x14ac:dyDescent="0.3">
      <c r="A470" s="443" t="s">
        <v>417</v>
      </c>
      <c r="B470" s="444" t="s">
        <v>418</v>
      </c>
      <c r="C470" s="445" t="s">
        <v>426</v>
      </c>
      <c r="D470" s="446" t="s">
        <v>427</v>
      </c>
      <c r="E470" s="445" t="s">
        <v>790</v>
      </c>
      <c r="F470" s="446" t="s">
        <v>791</v>
      </c>
      <c r="G470" s="445" t="s">
        <v>1500</v>
      </c>
      <c r="H470" s="445" t="s">
        <v>1501</v>
      </c>
      <c r="I470" s="448">
        <v>22.559999465942383</v>
      </c>
      <c r="J470" s="448">
        <v>50</v>
      </c>
      <c r="K470" s="449">
        <v>1135.2499847412109</v>
      </c>
    </row>
    <row r="471" spans="1:11" ht="14.4" customHeight="1" x14ac:dyDescent="0.3">
      <c r="A471" s="443" t="s">
        <v>417</v>
      </c>
      <c r="B471" s="444" t="s">
        <v>418</v>
      </c>
      <c r="C471" s="445" t="s">
        <v>426</v>
      </c>
      <c r="D471" s="446" t="s">
        <v>427</v>
      </c>
      <c r="E471" s="445" t="s">
        <v>790</v>
      </c>
      <c r="F471" s="446" t="s">
        <v>791</v>
      </c>
      <c r="G471" s="445" t="s">
        <v>1502</v>
      </c>
      <c r="H471" s="445" t="s">
        <v>1503</v>
      </c>
      <c r="I471" s="448">
        <v>22.324999809265137</v>
      </c>
      <c r="J471" s="448">
        <v>20</v>
      </c>
      <c r="K471" s="449">
        <v>446.48001098632812</v>
      </c>
    </row>
    <row r="472" spans="1:11" ht="14.4" customHeight="1" x14ac:dyDescent="0.3">
      <c r="A472" s="443" t="s">
        <v>417</v>
      </c>
      <c r="B472" s="444" t="s">
        <v>418</v>
      </c>
      <c r="C472" s="445" t="s">
        <v>426</v>
      </c>
      <c r="D472" s="446" t="s">
        <v>427</v>
      </c>
      <c r="E472" s="445" t="s">
        <v>790</v>
      </c>
      <c r="F472" s="446" t="s">
        <v>791</v>
      </c>
      <c r="G472" s="445" t="s">
        <v>1504</v>
      </c>
      <c r="H472" s="445" t="s">
        <v>1505</v>
      </c>
      <c r="I472" s="448">
        <v>2042.47998046875</v>
      </c>
      <c r="J472" s="448">
        <v>1</v>
      </c>
      <c r="K472" s="449">
        <v>2042.47998046875</v>
      </c>
    </row>
    <row r="473" spans="1:11" ht="14.4" customHeight="1" x14ac:dyDescent="0.3">
      <c r="A473" s="443" t="s">
        <v>417</v>
      </c>
      <c r="B473" s="444" t="s">
        <v>418</v>
      </c>
      <c r="C473" s="445" t="s">
        <v>426</v>
      </c>
      <c r="D473" s="446" t="s">
        <v>427</v>
      </c>
      <c r="E473" s="445" t="s">
        <v>790</v>
      </c>
      <c r="F473" s="446" t="s">
        <v>791</v>
      </c>
      <c r="G473" s="445" t="s">
        <v>1506</v>
      </c>
      <c r="H473" s="445" t="s">
        <v>1507</v>
      </c>
      <c r="I473" s="448">
        <v>177.02000427246094</v>
      </c>
      <c r="J473" s="448">
        <v>1</v>
      </c>
      <c r="K473" s="449">
        <v>177.02000427246094</v>
      </c>
    </row>
    <row r="474" spans="1:11" ht="14.4" customHeight="1" x14ac:dyDescent="0.3">
      <c r="A474" s="443" t="s">
        <v>417</v>
      </c>
      <c r="B474" s="444" t="s">
        <v>418</v>
      </c>
      <c r="C474" s="445" t="s">
        <v>426</v>
      </c>
      <c r="D474" s="446" t="s">
        <v>427</v>
      </c>
      <c r="E474" s="445" t="s">
        <v>790</v>
      </c>
      <c r="F474" s="446" t="s">
        <v>791</v>
      </c>
      <c r="G474" s="445" t="s">
        <v>1508</v>
      </c>
      <c r="H474" s="445" t="s">
        <v>1509</v>
      </c>
      <c r="I474" s="448">
        <v>1011.9299926757812</v>
      </c>
      <c r="J474" s="448">
        <v>5</v>
      </c>
      <c r="K474" s="449">
        <v>5059.6399536132813</v>
      </c>
    </row>
    <row r="475" spans="1:11" ht="14.4" customHeight="1" x14ac:dyDescent="0.3">
      <c r="A475" s="443" t="s">
        <v>417</v>
      </c>
      <c r="B475" s="444" t="s">
        <v>418</v>
      </c>
      <c r="C475" s="445" t="s">
        <v>426</v>
      </c>
      <c r="D475" s="446" t="s">
        <v>427</v>
      </c>
      <c r="E475" s="445" t="s">
        <v>790</v>
      </c>
      <c r="F475" s="446" t="s">
        <v>791</v>
      </c>
      <c r="G475" s="445" t="s">
        <v>1510</v>
      </c>
      <c r="H475" s="445" t="s">
        <v>1511</v>
      </c>
      <c r="I475" s="448">
        <v>3811.5</v>
      </c>
      <c r="J475" s="448">
        <v>1</v>
      </c>
      <c r="K475" s="449">
        <v>3811.5</v>
      </c>
    </row>
    <row r="476" spans="1:11" ht="14.4" customHeight="1" x14ac:dyDescent="0.3">
      <c r="A476" s="443" t="s">
        <v>417</v>
      </c>
      <c r="B476" s="444" t="s">
        <v>418</v>
      </c>
      <c r="C476" s="445" t="s">
        <v>426</v>
      </c>
      <c r="D476" s="446" t="s">
        <v>427</v>
      </c>
      <c r="E476" s="445" t="s">
        <v>790</v>
      </c>
      <c r="F476" s="446" t="s">
        <v>791</v>
      </c>
      <c r="G476" s="445" t="s">
        <v>1512</v>
      </c>
      <c r="H476" s="445" t="s">
        <v>1513</v>
      </c>
      <c r="I476" s="448">
        <v>874.83001708984375</v>
      </c>
      <c r="J476" s="448">
        <v>1</v>
      </c>
      <c r="K476" s="449">
        <v>874.83001708984375</v>
      </c>
    </row>
    <row r="477" spans="1:11" ht="14.4" customHeight="1" x14ac:dyDescent="0.3">
      <c r="A477" s="443" t="s">
        <v>417</v>
      </c>
      <c r="B477" s="444" t="s">
        <v>418</v>
      </c>
      <c r="C477" s="445" t="s">
        <v>426</v>
      </c>
      <c r="D477" s="446" t="s">
        <v>427</v>
      </c>
      <c r="E477" s="445" t="s">
        <v>790</v>
      </c>
      <c r="F477" s="446" t="s">
        <v>791</v>
      </c>
      <c r="G477" s="445" t="s">
        <v>1514</v>
      </c>
      <c r="H477" s="445" t="s">
        <v>1515</v>
      </c>
      <c r="I477" s="448">
        <v>865.1500244140625</v>
      </c>
      <c r="J477" s="448">
        <v>1</v>
      </c>
      <c r="K477" s="449">
        <v>865.1500244140625</v>
      </c>
    </row>
    <row r="478" spans="1:11" ht="14.4" customHeight="1" x14ac:dyDescent="0.3">
      <c r="A478" s="443" t="s">
        <v>417</v>
      </c>
      <c r="B478" s="444" t="s">
        <v>418</v>
      </c>
      <c r="C478" s="445" t="s">
        <v>426</v>
      </c>
      <c r="D478" s="446" t="s">
        <v>427</v>
      </c>
      <c r="E478" s="445" t="s">
        <v>790</v>
      </c>
      <c r="F478" s="446" t="s">
        <v>791</v>
      </c>
      <c r="G478" s="445" t="s">
        <v>1516</v>
      </c>
      <c r="H478" s="445" t="s">
        <v>1517</v>
      </c>
      <c r="I478" s="448">
        <v>865.1500244140625</v>
      </c>
      <c r="J478" s="448">
        <v>1</v>
      </c>
      <c r="K478" s="449">
        <v>865.1500244140625</v>
      </c>
    </row>
    <row r="479" spans="1:11" ht="14.4" customHeight="1" x14ac:dyDescent="0.3">
      <c r="A479" s="443" t="s">
        <v>417</v>
      </c>
      <c r="B479" s="444" t="s">
        <v>418</v>
      </c>
      <c r="C479" s="445" t="s">
        <v>426</v>
      </c>
      <c r="D479" s="446" t="s">
        <v>427</v>
      </c>
      <c r="E479" s="445" t="s">
        <v>790</v>
      </c>
      <c r="F479" s="446" t="s">
        <v>791</v>
      </c>
      <c r="G479" s="445" t="s">
        <v>1518</v>
      </c>
      <c r="H479" s="445" t="s">
        <v>1519</v>
      </c>
      <c r="I479" s="448">
        <v>384.77999877929687</v>
      </c>
      <c r="J479" s="448">
        <v>6</v>
      </c>
      <c r="K479" s="449">
        <v>2308.679931640625</v>
      </c>
    </row>
    <row r="480" spans="1:11" ht="14.4" customHeight="1" x14ac:dyDescent="0.3">
      <c r="A480" s="443" t="s">
        <v>417</v>
      </c>
      <c r="B480" s="444" t="s">
        <v>418</v>
      </c>
      <c r="C480" s="445" t="s">
        <v>426</v>
      </c>
      <c r="D480" s="446" t="s">
        <v>427</v>
      </c>
      <c r="E480" s="445" t="s">
        <v>790</v>
      </c>
      <c r="F480" s="446" t="s">
        <v>791</v>
      </c>
      <c r="G480" s="445" t="s">
        <v>1520</v>
      </c>
      <c r="H480" s="445" t="s">
        <v>1521</v>
      </c>
      <c r="I480" s="448">
        <v>2374.06005859375</v>
      </c>
      <c r="J480" s="448">
        <v>1</v>
      </c>
      <c r="K480" s="449">
        <v>2374.06005859375</v>
      </c>
    </row>
    <row r="481" spans="1:11" ht="14.4" customHeight="1" x14ac:dyDescent="0.3">
      <c r="A481" s="443" t="s">
        <v>417</v>
      </c>
      <c r="B481" s="444" t="s">
        <v>418</v>
      </c>
      <c r="C481" s="445" t="s">
        <v>426</v>
      </c>
      <c r="D481" s="446" t="s">
        <v>427</v>
      </c>
      <c r="E481" s="445" t="s">
        <v>790</v>
      </c>
      <c r="F481" s="446" t="s">
        <v>791</v>
      </c>
      <c r="G481" s="445" t="s">
        <v>1522</v>
      </c>
      <c r="H481" s="445" t="s">
        <v>1523</v>
      </c>
      <c r="I481" s="448">
        <v>1727</v>
      </c>
      <c r="J481" s="448">
        <v>1</v>
      </c>
      <c r="K481" s="449">
        <v>1727</v>
      </c>
    </row>
    <row r="482" spans="1:11" ht="14.4" customHeight="1" x14ac:dyDescent="0.3">
      <c r="A482" s="443" t="s">
        <v>417</v>
      </c>
      <c r="B482" s="444" t="s">
        <v>418</v>
      </c>
      <c r="C482" s="445" t="s">
        <v>426</v>
      </c>
      <c r="D482" s="446" t="s">
        <v>427</v>
      </c>
      <c r="E482" s="445" t="s">
        <v>790</v>
      </c>
      <c r="F482" s="446" t="s">
        <v>791</v>
      </c>
      <c r="G482" s="445" t="s">
        <v>1524</v>
      </c>
      <c r="H482" s="445" t="s">
        <v>1525</v>
      </c>
      <c r="I482" s="448">
        <v>1727</v>
      </c>
      <c r="J482" s="448">
        <v>1</v>
      </c>
      <c r="K482" s="449">
        <v>1727</v>
      </c>
    </row>
    <row r="483" spans="1:11" ht="14.4" customHeight="1" x14ac:dyDescent="0.3">
      <c r="A483" s="443" t="s">
        <v>417</v>
      </c>
      <c r="B483" s="444" t="s">
        <v>418</v>
      </c>
      <c r="C483" s="445" t="s">
        <v>426</v>
      </c>
      <c r="D483" s="446" t="s">
        <v>427</v>
      </c>
      <c r="E483" s="445" t="s">
        <v>790</v>
      </c>
      <c r="F483" s="446" t="s">
        <v>791</v>
      </c>
      <c r="G483" s="445" t="s">
        <v>1526</v>
      </c>
      <c r="H483" s="445" t="s">
        <v>1527</v>
      </c>
      <c r="I483" s="448">
        <v>1727</v>
      </c>
      <c r="J483" s="448">
        <v>1</v>
      </c>
      <c r="K483" s="449">
        <v>1727</v>
      </c>
    </row>
    <row r="484" spans="1:11" ht="14.4" customHeight="1" x14ac:dyDescent="0.3">
      <c r="A484" s="443" t="s">
        <v>417</v>
      </c>
      <c r="B484" s="444" t="s">
        <v>418</v>
      </c>
      <c r="C484" s="445" t="s">
        <v>426</v>
      </c>
      <c r="D484" s="446" t="s">
        <v>427</v>
      </c>
      <c r="E484" s="445" t="s">
        <v>790</v>
      </c>
      <c r="F484" s="446" t="s">
        <v>791</v>
      </c>
      <c r="G484" s="445" t="s">
        <v>1528</v>
      </c>
      <c r="H484" s="445" t="s">
        <v>1529</v>
      </c>
      <c r="I484" s="448">
        <v>1727</v>
      </c>
      <c r="J484" s="448">
        <v>3</v>
      </c>
      <c r="K484" s="449">
        <v>5181</v>
      </c>
    </row>
    <row r="485" spans="1:11" ht="14.4" customHeight="1" x14ac:dyDescent="0.3">
      <c r="A485" s="443" t="s">
        <v>417</v>
      </c>
      <c r="B485" s="444" t="s">
        <v>418</v>
      </c>
      <c r="C485" s="445" t="s">
        <v>426</v>
      </c>
      <c r="D485" s="446" t="s">
        <v>427</v>
      </c>
      <c r="E485" s="445" t="s">
        <v>790</v>
      </c>
      <c r="F485" s="446" t="s">
        <v>791</v>
      </c>
      <c r="G485" s="445" t="s">
        <v>1530</v>
      </c>
      <c r="H485" s="445" t="s">
        <v>1531</v>
      </c>
      <c r="I485" s="448">
        <v>1727</v>
      </c>
      <c r="J485" s="448">
        <v>2</v>
      </c>
      <c r="K485" s="449">
        <v>3454</v>
      </c>
    </row>
    <row r="486" spans="1:11" ht="14.4" customHeight="1" x14ac:dyDescent="0.3">
      <c r="A486" s="443" t="s">
        <v>417</v>
      </c>
      <c r="B486" s="444" t="s">
        <v>418</v>
      </c>
      <c r="C486" s="445" t="s">
        <v>426</v>
      </c>
      <c r="D486" s="446" t="s">
        <v>427</v>
      </c>
      <c r="E486" s="445" t="s">
        <v>790</v>
      </c>
      <c r="F486" s="446" t="s">
        <v>791</v>
      </c>
      <c r="G486" s="445" t="s">
        <v>1532</v>
      </c>
      <c r="H486" s="445" t="s">
        <v>1533</v>
      </c>
      <c r="I486" s="448">
        <v>520.95001220703125</v>
      </c>
      <c r="J486" s="448">
        <v>30</v>
      </c>
      <c r="K486" s="449">
        <v>15628.5400390625</v>
      </c>
    </row>
    <row r="487" spans="1:11" ht="14.4" customHeight="1" x14ac:dyDescent="0.3">
      <c r="A487" s="443" t="s">
        <v>417</v>
      </c>
      <c r="B487" s="444" t="s">
        <v>418</v>
      </c>
      <c r="C487" s="445" t="s">
        <v>426</v>
      </c>
      <c r="D487" s="446" t="s">
        <v>427</v>
      </c>
      <c r="E487" s="445" t="s">
        <v>790</v>
      </c>
      <c r="F487" s="446" t="s">
        <v>791</v>
      </c>
      <c r="G487" s="445" t="s">
        <v>1534</v>
      </c>
      <c r="H487" s="445" t="s">
        <v>1535</v>
      </c>
      <c r="I487" s="448">
        <v>520.95001220703125</v>
      </c>
      <c r="J487" s="448">
        <v>30</v>
      </c>
      <c r="K487" s="449">
        <v>15628.5400390625</v>
      </c>
    </row>
    <row r="488" spans="1:11" ht="14.4" customHeight="1" x14ac:dyDescent="0.3">
      <c r="A488" s="443" t="s">
        <v>417</v>
      </c>
      <c r="B488" s="444" t="s">
        <v>418</v>
      </c>
      <c r="C488" s="445" t="s">
        <v>426</v>
      </c>
      <c r="D488" s="446" t="s">
        <v>427</v>
      </c>
      <c r="E488" s="445" t="s">
        <v>790</v>
      </c>
      <c r="F488" s="446" t="s">
        <v>791</v>
      </c>
      <c r="G488" s="445" t="s">
        <v>1536</v>
      </c>
      <c r="H488" s="445" t="s">
        <v>1537</v>
      </c>
      <c r="I488" s="448">
        <v>598</v>
      </c>
      <c r="J488" s="448">
        <v>5</v>
      </c>
      <c r="K488" s="449">
        <v>2990</v>
      </c>
    </row>
    <row r="489" spans="1:11" ht="14.4" customHeight="1" x14ac:dyDescent="0.3">
      <c r="A489" s="443" t="s">
        <v>417</v>
      </c>
      <c r="B489" s="444" t="s">
        <v>418</v>
      </c>
      <c r="C489" s="445" t="s">
        <v>426</v>
      </c>
      <c r="D489" s="446" t="s">
        <v>427</v>
      </c>
      <c r="E489" s="445" t="s">
        <v>790</v>
      </c>
      <c r="F489" s="446" t="s">
        <v>791</v>
      </c>
      <c r="G489" s="445" t="s">
        <v>1538</v>
      </c>
      <c r="H489" s="445" t="s">
        <v>1539</v>
      </c>
      <c r="I489" s="448">
        <v>598</v>
      </c>
      <c r="J489" s="448">
        <v>5</v>
      </c>
      <c r="K489" s="449">
        <v>2990</v>
      </c>
    </row>
    <row r="490" spans="1:11" ht="14.4" customHeight="1" x14ac:dyDescent="0.3">
      <c r="A490" s="443" t="s">
        <v>417</v>
      </c>
      <c r="B490" s="444" t="s">
        <v>418</v>
      </c>
      <c r="C490" s="445" t="s">
        <v>426</v>
      </c>
      <c r="D490" s="446" t="s">
        <v>427</v>
      </c>
      <c r="E490" s="445" t="s">
        <v>790</v>
      </c>
      <c r="F490" s="446" t="s">
        <v>791</v>
      </c>
      <c r="G490" s="445" t="s">
        <v>1540</v>
      </c>
      <c r="H490" s="445" t="s">
        <v>1541</v>
      </c>
      <c r="I490" s="448">
        <v>2003.5</v>
      </c>
      <c r="J490" s="448">
        <v>2</v>
      </c>
      <c r="K490" s="449">
        <v>4007</v>
      </c>
    </row>
    <row r="491" spans="1:11" ht="14.4" customHeight="1" x14ac:dyDescent="0.3">
      <c r="A491" s="443" t="s">
        <v>417</v>
      </c>
      <c r="B491" s="444" t="s">
        <v>418</v>
      </c>
      <c r="C491" s="445" t="s">
        <v>426</v>
      </c>
      <c r="D491" s="446" t="s">
        <v>427</v>
      </c>
      <c r="E491" s="445" t="s">
        <v>790</v>
      </c>
      <c r="F491" s="446" t="s">
        <v>791</v>
      </c>
      <c r="G491" s="445" t="s">
        <v>1542</v>
      </c>
      <c r="H491" s="445" t="s">
        <v>1543</v>
      </c>
      <c r="I491" s="448">
        <v>1955</v>
      </c>
      <c r="J491" s="448">
        <v>1</v>
      </c>
      <c r="K491" s="449">
        <v>1955</v>
      </c>
    </row>
    <row r="492" spans="1:11" ht="14.4" customHeight="1" x14ac:dyDescent="0.3">
      <c r="A492" s="443" t="s">
        <v>417</v>
      </c>
      <c r="B492" s="444" t="s">
        <v>418</v>
      </c>
      <c r="C492" s="445" t="s">
        <v>426</v>
      </c>
      <c r="D492" s="446" t="s">
        <v>427</v>
      </c>
      <c r="E492" s="445" t="s">
        <v>790</v>
      </c>
      <c r="F492" s="446" t="s">
        <v>791</v>
      </c>
      <c r="G492" s="445" t="s">
        <v>1544</v>
      </c>
      <c r="H492" s="445" t="s">
        <v>1545</v>
      </c>
      <c r="I492" s="448">
        <v>647.3499755859375</v>
      </c>
      <c r="J492" s="448">
        <v>8</v>
      </c>
      <c r="K492" s="449">
        <v>5178.7998046875</v>
      </c>
    </row>
    <row r="493" spans="1:11" ht="14.4" customHeight="1" x14ac:dyDescent="0.3">
      <c r="A493" s="443" t="s">
        <v>417</v>
      </c>
      <c r="B493" s="444" t="s">
        <v>418</v>
      </c>
      <c r="C493" s="445" t="s">
        <v>426</v>
      </c>
      <c r="D493" s="446" t="s">
        <v>427</v>
      </c>
      <c r="E493" s="445" t="s">
        <v>790</v>
      </c>
      <c r="F493" s="446" t="s">
        <v>791</v>
      </c>
      <c r="G493" s="445" t="s">
        <v>1546</v>
      </c>
      <c r="H493" s="445" t="s">
        <v>1547</v>
      </c>
      <c r="I493" s="448">
        <v>598.95001220703125</v>
      </c>
      <c r="J493" s="448">
        <v>8</v>
      </c>
      <c r="K493" s="449">
        <v>4791.6000366210937</v>
      </c>
    </row>
    <row r="494" spans="1:11" ht="14.4" customHeight="1" x14ac:dyDescent="0.3">
      <c r="A494" s="443" t="s">
        <v>417</v>
      </c>
      <c r="B494" s="444" t="s">
        <v>418</v>
      </c>
      <c r="C494" s="445" t="s">
        <v>426</v>
      </c>
      <c r="D494" s="446" t="s">
        <v>427</v>
      </c>
      <c r="E494" s="445" t="s">
        <v>790</v>
      </c>
      <c r="F494" s="446" t="s">
        <v>791</v>
      </c>
      <c r="G494" s="445" t="s">
        <v>1548</v>
      </c>
      <c r="H494" s="445" t="s">
        <v>1549</v>
      </c>
      <c r="I494" s="448">
        <v>767.0150146484375</v>
      </c>
      <c r="J494" s="448">
        <v>7</v>
      </c>
      <c r="K494" s="449">
        <v>5369.10009765625</v>
      </c>
    </row>
    <row r="495" spans="1:11" ht="14.4" customHeight="1" x14ac:dyDescent="0.3">
      <c r="A495" s="443" t="s">
        <v>417</v>
      </c>
      <c r="B495" s="444" t="s">
        <v>418</v>
      </c>
      <c r="C495" s="445" t="s">
        <v>426</v>
      </c>
      <c r="D495" s="446" t="s">
        <v>427</v>
      </c>
      <c r="E495" s="445" t="s">
        <v>790</v>
      </c>
      <c r="F495" s="446" t="s">
        <v>791</v>
      </c>
      <c r="G495" s="445" t="s">
        <v>1550</v>
      </c>
      <c r="H495" s="445" t="s">
        <v>1551</v>
      </c>
      <c r="I495" s="448">
        <v>857</v>
      </c>
      <c r="J495" s="448">
        <v>1</v>
      </c>
      <c r="K495" s="449">
        <v>857</v>
      </c>
    </row>
    <row r="496" spans="1:11" ht="14.4" customHeight="1" x14ac:dyDescent="0.3">
      <c r="A496" s="443" t="s">
        <v>417</v>
      </c>
      <c r="B496" s="444" t="s">
        <v>418</v>
      </c>
      <c r="C496" s="445" t="s">
        <v>426</v>
      </c>
      <c r="D496" s="446" t="s">
        <v>427</v>
      </c>
      <c r="E496" s="445" t="s">
        <v>790</v>
      </c>
      <c r="F496" s="446" t="s">
        <v>791</v>
      </c>
      <c r="G496" s="445" t="s">
        <v>1552</v>
      </c>
      <c r="H496" s="445" t="s">
        <v>1553</v>
      </c>
      <c r="I496" s="448">
        <v>120</v>
      </c>
      <c r="J496" s="448">
        <v>5</v>
      </c>
      <c r="K496" s="449">
        <v>600</v>
      </c>
    </row>
    <row r="497" spans="1:11" ht="14.4" customHeight="1" x14ac:dyDescent="0.3">
      <c r="A497" s="443" t="s">
        <v>417</v>
      </c>
      <c r="B497" s="444" t="s">
        <v>418</v>
      </c>
      <c r="C497" s="445" t="s">
        <v>426</v>
      </c>
      <c r="D497" s="446" t="s">
        <v>427</v>
      </c>
      <c r="E497" s="445" t="s">
        <v>790</v>
      </c>
      <c r="F497" s="446" t="s">
        <v>791</v>
      </c>
      <c r="G497" s="445" t="s">
        <v>1554</v>
      </c>
      <c r="H497" s="445" t="s">
        <v>1555</v>
      </c>
      <c r="I497" s="448">
        <v>290.3599853515625</v>
      </c>
      <c r="J497" s="448">
        <v>1</v>
      </c>
      <c r="K497" s="449">
        <v>290.3599853515625</v>
      </c>
    </row>
    <row r="498" spans="1:11" ht="14.4" customHeight="1" x14ac:dyDescent="0.3">
      <c r="A498" s="443" t="s">
        <v>417</v>
      </c>
      <c r="B498" s="444" t="s">
        <v>418</v>
      </c>
      <c r="C498" s="445" t="s">
        <v>426</v>
      </c>
      <c r="D498" s="446" t="s">
        <v>427</v>
      </c>
      <c r="E498" s="445" t="s">
        <v>790</v>
      </c>
      <c r="F498" s="446" t="s">
        <v>791</v>
      </c>
      <c r="G498" s="445" t="s">
        <v>1556</v>
      </c>
      <c r="H498" s="445" t="s">
        <v>1557</v>
      </c>
      <c r="I498" s="448">
        <v>523.02127075195312</v>
      </c>
      <c r="J498" s="448">
        <v>13</v>
      </c>
      <c r="K498" s="449">
        <v>6799.2900390625</v>
      </c>
    </row>
    <row r="499" spans="1:11" ht="14.4" customHeight="1" x14ac:dyDescent="0.3">
      <c r="A499" s="443" t="s">
        <v>417</v>
      </c>
      <c r="B499" s="444" t="s">
        <v>418</v>
      </c>
      <c r="C499" s="445" t="s">
        <v>426</v>
      </c>
      <c r="D499" s="446" t="s">
        <v>427</v>
      </c>
      <c r="E499" s="445" t="s">
        <v>790</v>
      </c>
      <c r="F499" s="446" t="s">
        <v>791</v>
      </c>
      <c r="G499" s="445" t="s">
        <v>1558</v>
      </c>
      <c r="H499" s="445" t="s">
        <v>1559</v>
      </c>
      <c r="I499" s="448">
        <v>992.20001220703125</v>
      </c>
      <c r="J499" s="448">
        <v>3</v>
      </c>
      <c r="K499" s="449">
        <v>2976.6000366210937</v>
      </c>
    </row>
    <row r="500" spans="1:11" ht="14.4" customHeight="1" x14ac:dyDescent="0.3">
      <c r="A500" s="443" t="s">
        <v>417</v>
      </c>
      <c r="B500" s="444" t="s">
        <v>418</v>
      </c>
      <c r="C500" s="445" t="s">
        <v>426</v>
      </c>
      <c r="D500" s="446" t="s">
        <v>427</v>
      </c>
      <c r="E500" s="445" t="s">
        <v>790</v>
      </c>
      <c r="F500" s="446" t="s">
        <v>791</v>
      </c>
      <c r="G500" s="445" t="s">
        <v>1560</v>
      </c>
      <c r="H500" s="445" t="s">
        <v>1561</v>
      </c>
      <c r="I500" s="448">
        <v>1666.1700439453125</v>
      </c>
      <c r="J500" s="448">
        <v>2</v>
      </c>
      <c r="K500" s="449">
        <v>3332.340087890625</v>
      </c>
    </row>
    <row r="501" spans="1:11" ht="14.4" customHeight="1" x14ac:dyDescent="0.3">
      <c r="A501" s="443" t="s">
        <v>417</v>
      </c>
      <c r="B501" s="444" t="s">
        <v>418</v>
      </c>
      <c r="C501" s="445" t="s">
        <v>426</v>
      </c>
      <c r="D501" s="446" t="s">
        <v>427</v>
      </c>
      <c r="E501" s="445" t="s">
        <v>790</v>
      </c>
      <c r="F501" s="446" t="s">
        <v>791</v>
      </c>
      <c r="G501" s="445" t="s">
        <v>1562</v>
      </c>
      <c r="H501" s="445" t="s">
        <v>1563</v>
      </c>
      <c r="I501" s="448">
        <v>1908.9000244140625</v>
      </c>
      <c r="J501" s="448">
        <v>2</v>
      </c>
      <c r="K501" s="449">
        <v>3817.7900390625</v>
      </c>
    </row>
    <row r="502" spans="1:11" ht="14.4" customHeight="1" x14ac:dyDescent="0.3">
      <c r="A502" s="443" t="s">
        <v>417</v>
      </c>
      <c r="B502" s="444" t="s">
        <v>418</v>
      </c>
      <c r="C502" s="445" t="s">
        <v>426</v>
      </c>
      <c r="D502" s="446" t="s">
        <v>427</v>
      </c>
      <c r="E502" s="445" t="s">
        <v>790</v>
      </c>
      <c r="F502" s="446" t="s">
        <v>791</v>
      </c>
      <c r="G502" s="445" t="s">
        <v>1564</v>
      </c>
      <c r="H502" s="445" t="s">
        <v>1565</v>
      </c>
      <c r="I502" s="448">
        <v>279.29998779296875</v>
      </c>
      <c r="J502" s="448">
        <v>11</v>
      </c>
      <c r="K502" s="449">
        <v>3072.2999267578125</v>
      </c>
    </row>
    <row r="503" spans="1:11" ht="14.4" customHeight="1" x14ac:dyDescent="0.3">
      <c r="A503" s="443" t="s">
        <v>417</v>
      </c>
      <c r="B503" s="444" t="s">
        <v>418</v>
      </c>
      <c r="C503" s="445" t="s">
        <v>426</v>
      </c>
      <c r="D503" s="446" t="s">
        <v>427</v>
      </c>
      <c r="E503" s="445" t="s">
        <v>790</v>
      </c>
      <c r="F503" s="446" t="s">
        <v>791</v>
      </c>
      <c r="G503" s="445" t="s">
        <v>1566</v>
      </c>
      <c r="H503" s="445" t="s">
        <v>1567</v>
      </c>
      <c r="I503" s="448">
        <v>870.25</v>
      </c>
      <c r="J503" s="448">
        <v>31</v>
      </c>
      <c r="K503" s="449">
        <v>22420</v>
      </c>
    </row>
    <row r="504" spans="1:11" ht="14.4" customHeight="1" x14ac:dyDescent="0.3">
      <c r="A504" s="443" t="s">
        <v>417</v>
      </c>
      <c r="B504" s="444" t="s">
        <v>418</v>
      </c>
      <c r="C504" s="445" t="s">
        <v>426</v>
      </c>
      <c r="D504" s="446" t="s">
        <v>427</v>
      </c>
      <c r="E504" s="445" t="s">
        <v>790</v>
      </c>
      <c r="F504" s="446" t="s">
        <v>791</v>
      </c>
      <c r="G504" s="445" t="s">
        <v>1568</v>
      </c>
      <c r="H504" s="445" t="s">
        <v>1569</v>
      </c>
      <c r="I504" s="448">
        <v>2326</v>
      </c>
      <c r="J504" s="448">
        <v>1</v>
      </c>
      <c r="K504" s="449">
        <v>2326</v>
      </c>
    </row>
    <row r="505" spans="1:11" ht="14.4" customHeight="1" x14ac:dyDescent="0.3">
      <c r="A505" s="443" t="s">
        <v>417</v>
      </c>
      <c r="B505" s="444" t="s">
        <v>418</v>
      </c>
      <c r="C505" s="445" t="s">
        <v>426</v>
      </c>
      <c r="D505" s="446" t="s">
        <v>427</v>
      </c>
      <c r="E505" s="445" t="s">
        <v>790</v>
      </c>
      <c r="F505" s="446" t="s">
        <v>791</v>
      </c>
      <c r="G505" s="445" t="s">
        <v>1570</v>
      </c>
      <c r="H505" s="445" t="s">
        <v>1571</v>
      </c>
      <c r="I505" s="448">
        <v>138</v>
      </c>
      <c r="J505" s="448">
        <v>140</v>
      </c>
      <c r="K505" s="449">
        <v>19320</v>
      </c>
    </row>
    <row r="506" spans="1:11" ht="14.4" customHeight="1" thickBot="1" x14ac:dyDescent="0.35">
      <c r="A506" s="450" t="s">
        <v>417</v>
      </c>
      <c r="B506" s="451" t="s">
        <v>418</v>
      </c>
      <c r="C506" s="452" t="s">
        <v>426</v>
      </c>
      <c r="D506" s="453" t="s">
        <v>427</v>
      </c>
      <c r="E506" s="452" t="s">
        <v>790</v>
      </c>
      <c r="F506" s="453" t="s">
        <v>791</v>
      </c>
      <c r="G506" s="452" t="s">
        <v>1572</v>
      </c>
      <c r="H506" s="452" t="s">
        <v>1573</v>
      </c>
      <c r="I506" s="455">
        <v>138</v>
      </c>
      <c r="J506" s="455">
        <v>105</v>
      </c>
      <c r="K506" s="456">
        <v>14490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1" ht="18.600000000000001" thickBot="1" x14ac:dyDescent="0.4">
      <c r="A1" s="377" t="s">
        <v>91</v>
      </c>
      <c r="B1" s="377"/>
      <c r="C1" s="311"/>
      <c r="D1" s="311"/>
      <c r="E1" s="311"/>
      <c r="F1" s="311"/>
      <c r="G1" s="311"/>
      <c r="H1" s="311"/>
      <c r="I1" s="311"/>
      <c r="J1" s="311"/>
      <c r="K1" s="289"/>
    </row>
    <row r="2" spans="1:11" ht="15" thickBot="1" x14ac:dyDescent="0.35">
      <c r="A2" s="210" t="s">
        <v>233</v>
      </c>
      <c r="B2" s="211"/>
      <c r="C2" s="211"/>
      <c r="D2" s="211"/>
      <c r="E2" s="211"/>
      <c r="F2" s="211"/>
      <c r="G2" s="211"/>
      <c r="H2" s="211"/>
      <c r="I2" s="211"/>
      <c r="J2" s="211"/>
      <c r="K2" s="289"/>
    </row>
    <row r="3" spans="1:11" x14ac:dyDescent="0.3">
      <c r="A3" s="227" t="s">
        <v>171</v>
      </c>
      <c r="B3" s="375" t="s">
        <v>153</v>
      </c>
      <c r="C3" s="212">
        <v>25</v>
      </c>
      <c r="D3" s="212">
        <v>30</v>
      </c>
      <c r="E3" s="230">
        <v>102</v>
      </c>
      <c r="F3" s="230">
        <v>103</v>
      </c>
      <c r="G3" s="287">
        <v>302</v>
      </c>
      <c r="H3" s="230">
        <v>303</v>
      </c>
      <c r="I3" s="230">
        <v>304</v>
      </c>
      <c r="J3" s="230">
        <v>416</v>
      </c>
      <c r="K3" s="289"/>
    </row>
    <row r="4" spans="1:11" ht="24.6" outlineLevel="1" thickBot="1" x14ac:dyDescent="0.35">
      <c r="A4" s="228">
        <v>2017</v>
      </c>
      <c r="B4" s="376"/>
      <c r="C4" s="213" t="s">
        <v>155</v>
      </c>
      <c r="D4" s="213" t="s">
        <v>173</v>
      </c>
      <c r="E4" s="231" t="s">
        <v>154</v>
      </c>
      <c r="F4" s="231" t="s">
        <v>195</v>
      </c>
      <c r="G4" s="288" t="s">
        <v>196</v>
      </c>
      <c r="H4" s="231" t="s">
        <v>197</v>
      </c>
      <c r="I4" s="231" t="s">
        <v>198</v>
      </c>
      <c r="J4" s="231" t="s">
        <v>178</v>
      </c>
      <c r="K4" s="289"/>
    </row>
    <row r="5" spans="1:11" x14ac:dyDescent="0.3">
      <c r="A5" s="214" t="s">
        <v>156</v>
      </c>
      <c r="B5" s="242"/>
      <c r="C5" s="243"/>
      <c r="D5" s="243"/>
      <c r="E5" s="243"/>
      <c r="F5" s="243"/>
      <c r="G5" s="243"/>
      <c r="H5" s="243"/>
      <c r="I5" s="243"/>
      <c r="J5" s="243"/>
      <c r="K5" s="289"/>
    </row>
    <row r="6" spans="1:11" ht="15" collapsed="1" thickBot="1" x14ac:dyDescent="0.35">
      <c r="A6" s="215" t="s">
        <v>60</v>
      </c>
      <c r="B6" s="244">
        <f xml:space="preserve">
TRUNC(IF($A$4&lt;=12,SUMIFS('ON Data'!F:F,'ON Data'!$D:$D,$A$4,'ON Data'!$E:$E,1),SUMIFS('ON Data'!F:F,'ON Data'!$E:$E,1)/'ON Data'!$D$3),1)</f>
        <v>53.6</v>
      </c>
      <c r="C6" s="245">
        <f xml:space="preserve">
TRUNC(IF($A$4&lt;=12,SUMIFS('ON Data'!H:H,'ON Data'!$D:$D,$A$4,'ON Data'!$E:$E,1),SUMIFS('ON Data'!H:H,'ON Data'!$E:$E,1)/'ON Data'!$D$3),1)</f>
        <v>1</v>
      </c>
      <c r="D6" s="245">
        <f xml:space="preserve">
TRUNC(IF($A$4&lt;=12,SUMIFS('ON Data'!I:I,'ON Data'!$D:$D,$A$4,'ON Data'!$E:$E,1),SUMIFS('ON Data'!I:I,'ON Data'!$E:$E,1)/'ON Data'!$D$3),1)</f>
        <v>0.9</v>
      </c>
      <c r="E6" s="245">
        <f xml:space="preserve">
TRUNC(IF($A$4&lt;=12,SUMIFS('ON Data'!M:M,'ON Data'!$D:$D,$A$4,'ON Data'!$E:$E,1),SUMIFS('ON Data'!M:M,'ON Data'!$E:$E,1)/'ON Data'!$D$3),1)</f>
        <v>4.0999999999999996</v>
      </c>
      <c r="F6" s="245">
        <f xml:space="preserve">
TRUNC(IF($A$4&lt;=12,SUMIFS('ON Data'!N:N,'ON Data'!$D:$D,$A$4,'ON Data'!$E:$E,1),SUMIFS('ON Data'!N:N,'ON Data'!$E:$E,1)/'ON Data'!$D$3),1)</f>
        <v>6.6</v>
      </c>
      <c r="G6" s="245">
        <f xml:space="preserve">
TRUNC(IF($A$4&lt;=12,SUMIFS('ON Data'!P:P,'ON Data'!$D:$D,$A$4,'ON Data'!$E:$E,1),SUMIFS('ON Data'!P:P,'ON Data'!$E:$E,1)/'ON Data'!$D$3),1)</f>
        <v>0.4</v>
      </c>
      <c r="H6" s="245">
        <f xml:space="preserve">
TRUNC(IF($A$4&lt;=12,SUMIFS('ON Data'!Q:Q,'ON Data'!$D:$D,$A$4,'ON Data'!$E:$E,1),SUMIFS('ON Data'!Q:Q,'ON Data'!$E:$E,1)/'ON Data'!$D$3),1)</f>
        <v>20.6</v>
      </c>
      <c r="I6" s="245">
        <f xml:space="preserve">
TRUNC(IF($A$4&lt;=12,SUMIFS('ON Data'!R:R,'ON Data'!$D:$D,$A$4,'ON Data'!$E:$E,1),SUMIFS('ON Data'!R:R,'ON Data'!$E:$E,1)/'ON Data'!$D$3),1)</f>
        <v>6.9</v>
      </c>
      <c r="J6" s="245">
        <f xml:space="preserve">
TRUNC(IF($A$4&lt;=12,SUMIFS('ON Data'!Z:Z,'ON Data'!$D:$D,$A$4,'ON Data'!$E:$E,1),SUMIFS('ON Data'!Z:Z,'ON Data'!$E:$E,1)/'ON Data'!$D$3),1)</f>
        <v>13</v>
      </c>
      <c r="K6" s="289"/>
    </row>
    <row r="7" spans="1:11" ht="15" hidden="1" outlineLevel="1" thickBot="1" x14ac:dyDescent="0.35">
      <c r="A7" s="215" t="s">
        <v>92</v>
      </c>
      <c r="B7" s="244"/>
      <c r="C7" s="245"/>
      <c r="D7" s="245"/>
      <c r="E7" s="245"/>
      <c r="F7" s="245"/>
      <c r="G7" s="245"/>
      <c r="H7" s="245"/>
      <c r="I7" s="245"/>
      <c r="J7" s="245"/>
      <c r="K7" s="289"/>
    </row>
    <row r="8" spans="1:11" ht="15" hidden="1" outlineLevel="1" thickBot="1" x14ac:dyDescent="0.35">
      <c r="A8" s="215" t="s">
        <v>62</v>
      </c>
      <c r="B8" s="244"/>
      <c r="C8" s="245"/>
      <c r="D8" s="245"/>
      <c r="E8" s="245"/>
      <c r="F8" s="245"/>
      <c r="G8" s="245"/>
      <c r="H8" s="245"/>
      <c r="I8" s="245"/>
      <c r="J8" s="245"/>
      <c r="K8" s="289"/>
    </row>
    <row r="9" spans="1:11" ht="15" hidden="1" outlineLevel="1" thickBot="1" x14ac:dyDescent="0.35">
      <c r="A9" s="216" t="s">
        <v>55</v>
      </c>
      <c r="B9" s="246"/>
      <c r="C9" s="247"/>
      <c r="D9" s="247"/>
      <c r="E9" s="247"/>
      <c r="F9" s="247"/>
      <c r="G9" s="247"/>
      <c r="H9" s="247"/>
      <c r="I9" s="247"/>
      <c r="J9" s="247"/>
      <c r="K9" s="289"/>
    </row>
    <row r="10" spans="1:11" x14ac:dyDescent="0.3">
      <c r="A10" s="217" t="s">
        <v>157</v>
      </c>
      <c r="B10" s="232"/>
      <c r="C10" s="233"/>
      <c r="D10" s="233"/>
      <c r="E10" s="233"/>
      <c r="F10" s="233"/>
      <c r="G10" s="233"/>
      <c r="H10" s="233"/>
      <c r="I10" s="233"/>
      <c r="J10" s="233"/>
      <c r="K10" s="289"/>
    </row>
    <row r="11" spans="1:11" x14ac:dyDescent="0.3">
      <c r="A11" s="218" t="s">
        <v>158</v>
      </c>
      <c r="B11" s="234">
        <f xml:space="preserve">
IF($A$4&lt;=12,SUMIFS('ON Data'!F:F,'ON Data'!$D:$D,$A$4,'ON Data'!$E:$E,2),SUMIFS('ON Data'!F:F,'ON Data'!$E:$E,2))</f>
        <v>63346.9</v>
      </c>
      <c r="C11" s="235">
        <f xml:space="preserve">
IF($A$4&lt;=12,SUMIFS('ON Data'!H:H,'ON Data'!$D:$D,$A$4,'ON Data'!$E:$E,2),SUMIFS('ON Data'!H:H,'ON Data'!$E:$E,2))</f>
        <v>1112</v>
      </c>
      <c r="D11" s="235">
        <f xml:space="preserve">
IF($A$4&lt;=12,SUMIFS('ON Data'!I:I,'ON Data'!$D:$D,$A$4,'ON Data'!$E:$E,2),SUMIFS('ON Data'!I:I,'ON Data'!$E:$E,2))</f>
        <v>1176.6000000000001</v>
      </c>
      <c r="E11" s="235">
        <f xml:space="preserve">
IF($A$4&lt;=12,SUMIFS('ON Data'!M:M,'ON Data'!$D:$D,$A$4,'ON Data'!$E:$E,2),SUMIFS('ON Data'!M:M,'ON Data'!$E:$E,2))</f>
        <v>4995</v>
      </c>
      <c r="F11" s="235">
        <f xml:space="preserve">
IF($A$4&lt;=12,SUMIFS('ON Data'!N:N,'ON Data'!$D:$D,$A$4,'ON Data'!$E:$E,2),SUMIFS('ON Data'!N:N,'ON Data'!$E:$E,2))</f>
        <v>8233</v>
      </c>
      <c r="G11" s="235">
        <f xml:space="preserve">
IF($A$4&lt;=12,SUMIFS('ON Data'!P:P,'ON Data'!$D:$D,$A$4,'ON Data'!$E:$E,2),SUMIFS('ON Data'!P:P,'ON Data'!$E:$E,2))</f>
        <v>520</v>
      </c>
      <c r="H11" s="235">
        <f xml:space="preserve">
IF($A$4&lt;=12,SUMIFS('ON Data'!Q:Q,'ON Data'!$D:$D,$A$4,'ON Data'!$E:$E,2),SUMIFS('ON Data'!Q:Q,'ON Data'!$E:$E,2))</f>
        <v>23969.5</v>
      </c>
      <c r="I11" s="235">
        <f xml:space="preserve">
IF($A$4&lt;=12,SUMIFS('ON Data'!R:R,'ON Data'!$D:$D,$A$4,'ON Data'!$E:$E,2),SUMIFS('ON Data'!R:R,'ON Data'!$E:$E,2))</f>
        <v>7913.5999999999995</v>
      </c>
      <c r="J11" s="235">
        <f xml:space="preserve">
IF($A$4&lt;=12,SUMIFS('ON Data'!Z:Z,'ON Data'!$D:$D,$A$4,'ON Data'!$E:$E,2),SUMIFS('ON Data'!Z:Z,'ON Data'!$E:$E,2))</f>
        <v>15427.2</v>
      </c>
      <c r="K11" s="289"/>
    </row>
    <row r="12" spans="1:11" x14ac:dyDescent="0.3">
      <c r="A12" s="218" t="s">
        <v>159</v>
      </c>
      <c r="B12" s="234">
        <f xml:space="preserve">
IF($A$4&lt;=12,SUMIFS('ON Data'!F:F,'ON Data'!$D:$D,$A$4,'ON Data'!$E:$E,3),SUMIFS('ON Data'!F:F,'ON Data'!$E:$E,3))</f>
        <v>0</v>
      </c>
      <c r="C12" s="235">
        <f xml:space="preserve">
IF($A$4&lt;=12,SUMIFS('ON Data'!H:H,'ON Data'!$D:$D,$A$4,'ON Data'!$E:$E,3),SUMIFS('ON Data'!H:H,'ON Data'!$E:$E,3))</f>
        <v>0</v>
      </c>
      <c r="D12" s="235">
        <f xml:space="preserve">
IF($A$4&lt;=12,SUMIFS('ON Data'!I:I,'ON Data'!$D:$D,$A$4,'ON Data'!$E:$E,3),SUMIFS('ON Data'!I:I,'ON Data'!$E:$E,3))</f>
        <v>0</v>
      </c>
      <c r="E12" s="235">
        <f xml:space="preserve">
IF($A$4&lt;=12,SUMIFS('ON Data'!M:M,'ON Data'!$D:$D,$A$4,'ON Data'!$E:$E,3),SUMIFS('ON Data'!M:M,'ON Data'!$E:$E,3))</f>
        <v>0</v>
      </c>
      <c r="F12" s="235">
        <f xml:space="preserve">
IF($A$4&lt;=12,SUMIFS('ON Data'!N:N,'ON Data'!$D:$D,$A$4,'ON Data'!$E:$E,3),SUMIFS('ON Data'!N:N,'ON Data'!$E:$E,3))</f>
        <v>0</v>
      </c>
      <c r="G12" s="235">
        <f xml:space="preserve">
IF($A$4&lt;=12,SUMIFS('ON Data'!P:P,'ON Data'!$D:$D,$A$4,'ON Data'!$E:$E,3),SUMIFS('ON Data'!P:P,'ON Data'!$E:$E,3))</f>
        <v>0</v>
      </c>
      <c r="H12" s="235">
        <f xml:space="preserve">
IF($A$4&lt;=12,SUMIFS('ON Data'!Q:Q,'ON Data'!$D:$D,$A$4,'ON Data'!$E:$E,3),SUMIFS('ON Data'!Q:Q,'ON Data'!$E:$E,3))</f>
        <v>0</v>
      </c>
      <c r="I12" s="235">
        <f xml:space="preserve">
IF($A$4&lt;=12,SUMIFS('ON Data'!R:R,'ON Data'!$D:$D,$A$4,'ON Data'!$E:$E,3),SUMIFS('ON Data'!R:R,'ON Data'!$E:$E,3))</f>
        <v>0</v>
      </c>
      <c r="J12" s="235">
        <f xml:space="preserve">
IF($A$4&lt;=12,SUMIFS('ON Data'!Z:Z,'ON Data'!$D:$D,$A$4,'ON Data'!$E:$E,3),SUMIFS('ON Data'!Z:Z,'ON Data'!$E:$E,3))</f>
        <v>0</v>
      </c>
      <c r="K12" s="289"/>
    </row>
    <row r="13" spans="1:11" x14ac:dyDescent="0.3">
      <c r="A13" s="218" t="s">
        <v>166</v>
      </c>
      <c r="B13" s="234">
        <f xml:space="preserve">
IF($A$4&lt;=12,SUMIFS('ON Data'!F:F,'ON Data'!$D:$D,$A$4,'ON Data'!$E:$E,4),SUMIFS('ON Data'!F:F,'ON Data'!$E:$E,4))</f>
        <v>0</v>
      </c>
      <c r="C13" s="235">
        <f xml:space="preserve">
IF($A$4&lt;=12,SUMIFS('ON Data'!H:H,'ON Data'!$D:$D,$A$4,'ON Data'!$E:$E,4),SUMIFS('ON Data'!H:H,'ON Data'!$E:$E,4))</f>
        <v>0</v>
      </c>
      <c r="D13" s="235">
        <f xml:space="preserve">
IF($A$4&lt;=12,SUMIFS('ON Data'!I:I,'ON Data'!$D:$D,$A$4,'ON Data'!$E:$E,4),SUMIFS('ON Data'!I:I,'ON Data'!$E:$E,4))</f>
        <v>0</v>
      </c>
      <c r="E13" s="235">
        <f xml:space="preserve">
IF($A$4&lt;=12,SUMIFS('ON Data'!M:M,'ON Data'!$D:$D,$A$4,'ON Data'!$E:$E,4),SUMIFS('ON Data'!M:M,'ON Data'!$E:$E,4))</f>
        <v>0</v>
      </c>
      <c r="F13" s="235">
        <f xml:space="preserve">
IF($A$4&lt;=12,SUMIFS('ON Data'!N:N,'ON Data'!$D:$D,$A$4,'ON Data'!$E:$E,4),SUMIFS('ON Data'!N:N,'ON Data'!$E:$E,4))</f>
        <v>0</v>
      </c>
      <c r="G13" s="235">
        <f xml:space="preserve">
IF($A$4&lt;=12,SUMIFS('ON Data'!P:P,'ON Data'!$D:$D,$A$4,'ON Data'!$E:$E,4),SUMIFS('ON Data'!P:P,'ON Data'!$E:$E,4))</f>
        <v>0</v>
      </c>
      <c r="H13" s="235">
        <f xml:space="preserve">
IF($A$4&lt;=12,SUMIFS('ON Data'!Q:Q,'ON Data'!$D:$D,$A$4,'ON Data'!$E:$E,4),SUMIFS('ON Data'!Q:Q,'ON Data'!$E:$E,4))</f>
        <v>0</v>
      </c>
      <c r="I13" s="235">
        <f xml:space="preserve">
IF($A$4&lt;=12,SUMIFS('ON Data'!R:R,'ON Data'!$D:$D,$A$4,'ON Data'!$E:$E,4),SUMIFS('ON Data'!R:R,'ON Data'!$E:$E,4))</f>
        <v>0</v>
      </c>
      <c r="J13" s="235">
        <f xml:space="preserve">
IF($A$4&lt;=12,SUMIFS('ON Data'!Z:Z,'ON Data'!$D:$D,$A$4,'ON Data'!$E:$E,4),SUMIFS('ON Data'!Z:Z,'ON Data'!$E:$E,4))</f>
        <v>0</v>
      </c>
      <c r="K13" s="289"/>
    </row>
    <row r="14" spans="1:11" ht="15" thickBot="1" x14ac:dyDescent="0.35">
      <c r="A14" s="219" t="s">
        <v>160</v>
      </c>
      <c r="B14" s="236">
        <f xml:space="preserve">
IF($A$4&lt;=12,SUMIFS('ON Data'!F:F,'ON Data'!$D:$D,$A$4,'ON Data'!$E:$E,5),SUMIFS('ON Data'!F:F,'ON Data'!$E:$E,5))</f>
        <v>831</v>
      </c>
      <c r="C14" s="237">
        <f xml:space="preserve">
IF($A$4&lt;=12,SUMIFS('ON Data'!H:H,'ON Data'!$D:$D,$A$4,'ON Data'!$E:$E,5),SUMIFS('ON Data'!H:H,'ON Data'!$E:$E,5))</f>
        <v>0</v>
      </c>
      <c r="D14" s="237">
        <f xml:space="preserve">
IF($A$4&lt;=12,SUMIFS('ON Data'!I:I,'ON Data'!$D:$D,$A$4,'ON Data'!$E:$E,5),SUMIFS('ON Data'!I:I,'ON Data'!$E:$E,5))</f>
        <v>305</v>
      </c>
      <c r="E14" s="237">
        <f xml:space="preserve">
IF($A$4&lt;=12,SUMIFS('ON Data'!M:M,'ON Data'!$D:$D,$A$4,'ON Data'!$E:$E,5),SUMIFS('ON Data'!M:M,'ON Data'!$E:$E,5))</f>
        <v>526</v>
      </c>
      <c r="F14" s="237">
        <f xml:space="preserve">
IF($A$4&lt;=12,SUMIFS('ON Data'!N:N,'ON Data'!$D:$D,$A$4,'ON Data'!$E:$E,5),SUMIFS('ON Data'!N:N,'ON Data'!$E:$E,5))</f>
        <v>0</v>
      </c>
      <c r="G14" s="237">
        <f xml:space="preserve">
IF($A$4&lt;=12,SUMIFS('ON Data'!P:P,'ON Data'!$D:$D,$A$4,'ON Data'!$E:$E,5),SUMIFS('ON Data'!P:P,'ON Data'!$E:$E,5))</f>
        <v>0</v>
      </c>
      <c r="H14" s="237">
        <f xml:space="preserve">
IF($A$4&lt;=12,SUMIFS('ON Data'!Q:Q,'ON Data'!$D:$D,$A$4,'ON Data'!$E:$E,5),SUMIFS('ON Data'!Q:Q,'ON Data'!$E:$E,5))</f>
        <v>0</v>
      </c>
      <c r="I14" s="237">
        <f xml:space="preserve">
IF($A$4&lt;=12,SUMIFS('ON Data'!R:R,'ON Data'!$D:$D,$A$4,'ON Data'!$E:$E,5),SUMIFS('ON Data'!R:R,'ON Data'!$E:$E,5))</f>
        <v>0</v>
      </c>
      <c r="J14" s="237">
        <f xml:space="preserve">
IF($A$4&lt;=12,SUMIFS('ON Data'!Z:Z,'ON Data'!$D:$D,$A$4,'ON Data'!$E:$E,5),SUMIFS('ON Data'!Z:Z,'ON Data'!$E:$E,5))</f>
        <v>0</v>
      </c>
      <c r="K14" s="289"/>
    </row>
    <row r="15" spans="1:11" x14ac:dyDescent="0.3">
      <c r="A15" s="145" t="s">
        <v>170</v>
      </c>
      <c r="B15" s="238"/>
      <c r="C15" s="239"/>
      <c r="D15" s="239"/>
      <c r="E15" s="239"/>
      <c r="F15" s="239"/>
      <c r="G15" s="239"/>
      <c r="H15" s="239"/>
      <c r="I15" s="239"/>
      <c r="J15" s="239"/>
      <c r="K15" s="289"/>
    </row>
    <row r="16" spans="1:11" x14ac:dyDescent="0.3">
      <c r="A16" s="220" t="s">
        <v>161</v>
      </c>
      <c r="B16" s="234">
        <f xml:space="preserve">
IF($A$4&lt;=12,SUMIFS('ON Data'!F:F,'ON Data'!$D:$D,$A$4,'ON Data'!$E:$E,7),SUMIFS('ON Data'!F:F,'ON Data'!$E:$E,7))</f>
        <v>0</v>
      </c>
      <c r="C16" s="235">
        <f xml:space="preserve">
IF($A$4&lt;=12,SUMIFS('ON Data'!H:H,'ON Data'!$D:$D,$A$4,'ON Data'!$E:$E,7),SUMIFS('ON Data'!H:H,'ON Data'!$E:$E,7))</f>
        <v>0</v>
      </c>
      <c r="D16" s="235">
        <f xml:space="preserve">
IF($A$4&lt;=12,SUMIFS('ON Data'!I:I,'ON Data'!$D:$D,$A$4,'ON Data'!$E:$E,7),SUMIFS('ON Data'!I:I,'ON Data'!$E:$E,7))</f>
        <v>0</v>
      </c>
      <c r="E16" s="235">
        <f xml:space="preserve">
IF($A$4&lt;=12,SUMIFS('ON Data'!M:M,'ON Data'!$D:$D,$A$4,'ON Data'!$E:$E,7),SUMIFS('ON Data'!M:M,'ON Data'!$E:$E,7))</f>
        <v>0</v>
      </c>
      <c r="F16" s="235">
        <f xml:space="preserve">
IF($A$4&lt;=12,SUMIFS('ON Data'!N:N,'ON Data'!$D:$D,$A$4,'ON Data'!$E:$E,7),SUMIFS('ON Data'!N:N,'ON Data'!$E:$E,7))</f>
        <v>0</v>
      </c>
      <c r="G16" s="235">
        <f xml:space="preserve">
IF($A$4&lt;=12,SUMIFS('ON Data'!P:P,'ON Data'!$D:$D,$A$4,'ON Data'!$E:$E,7),SUMIFS('ON Data'!P:P,'ON Data'!$E:$E,7))</f>
        <v>0</v>
      </c>
      <c r="H16" s="235">
        <f xml:space="preserve">
IF($A$4&lt;=12,SUMIFS('ON Data'!Q:Q,'ON Data'!$D:$D,$A$4,'ON Data'!$E:$E,7),SUMIFS('ON Data'!Q:Q,'ON Data'!$E:$E,7))</f>
        <v>0</v>
      </c>
      <c r="I16" s="235">
        <f xml:space="preserve">
IF($A$4&lt;=12,SUMIFS('ON Data'!R:R,'ON Data'!$D:$D,$A$4,'ON Data'!$E:$E,7),SUMIFS('ON Data'!R:R,'ON Data'!$E:$E,7))</f>
        <v>0</v>
      </c>
      <c r="J16" s="235">
        <f xml:space="preserve">
IF($A$4&lt;=12,SUMIFS('ON Data'!Z:Z,'ON Data'!$D:$D,$A$4,'ON Data'!$E:$E,7),SUMIFS('ON Data'!Z:Z,'ON Data'!$E:$E,7))</f>
        <v>0</v>
      </c>
      <c r="K16" s="289"/>
    </row>
    <row r="17" spans="1:46" x14ac:dyDescent="0.3">
      <c r="A17" s="220" t="s">
        <v>162</v>
      </c>
      <c r="B17" s="234">
        <f xml:space="preserve">
IF($A$4&lt;=12,SUMIFS('ON Data'!F:F,'ON Data'!$D:$D,$A$4,'ON Data'!$E:$E,8),SUMIFS('ON Data'!F:F,'ON Data'!$E:$E,8))</f>
        <v>0</v>
      </c>
      <c r="C17" s="235">
        <f xml:space="preserve">
IF($A$4&lt;=12,SUMIFS('ON Data'!H:H,'ON Data'!$D:$D,$A$4,'ON Data'!$E:$E,8),SUMIFS('ON Data'!H:H,'ON Data'!$E:$E,8))</f>
        <v>0</v>
      </c>
      <c r="D17" s="235">
        <f xml:space="preserve">
IF($A$4&lt;=12,SUMIFS('ON Data'!I:I,'ON Data'!$D:$D,$A$4,'ON Data'!$E:$E,8),SUMIFS('ON Data'!I:I,'ON Data'!$E:$E,8))</f>
        <v>0</v>
      </c>
      <c r="E17" s="235">
        <f xml:space="preserve">
IF($A$4&lt;=12,SUMIFS('ON Data'!M:M,'ON Data'!$D:$D,$A$4,'ON Data'!$E:$E,8),SUMIFS('ON Data'!M:M,'ON Data'!$E:$E,8))</f>
        <v>0</v>
      </c>
      <c r="F17" s="235">
        <f xml:space="preserve">
IF($A$4&lt;=12,SUMIFS('ON Data'!N:N,'ON Data'!$D:$D,$A$4,'ON Data'!$E:$E,8),SUMIFS('ON Data'!N:N,'ON Data'!$E:$E,8))</f>
        <v>0</v>
      </c>
      <c r="G17" s="235">
        <f xml:space="preserve">
IF($A$4&lt;=12,SUMIFS('ON Data'!P:P,'ON Data'!$D:$D,$A$4,'ON Data'!$E:$E,8),SUMIFS('ON Data'!P:P,'ON Data'!$E:$E,8))</f>
        <v>0</v>
      </c>
      <c r="H17" s="235">
        <f xml:space="preserve">
IF($A$4&lt;=12,SUMIFS('ON Data'!Q:Q,'ON Data'!$D:$D,$A$4,'ON Data'!$E:$E,8),SUMIFS('ON Data'!Q:Q,'ON Data'!$E:$E,8))</f>
        <v>0</v>
      </c>
      <c r="I17" s="235">
        <f xml:space="preserve">
IF($A$4&lt;=12,SUMIFS('ON Data'!R:R,'ON Data'!$D:$D,$A$4,'ON Data'!$E:$E,8),SUMIFS('ON Data'!R:R,'ON Data'!$E:$E,8))</f>
        <v>0</v>
      </c>
      <c r="J17" s="235">
        <f xml:space="preserve">
IF($A$4&lt;=12,SUMIFS('ON Data'!Z:Z,'ON Data'!$D:$D,$A$4,'ON Data'!$E:$E,8),SUMIFS('ON Data'!Z:Z,'ON Data'!$E:$E,8))</f>
        <v>0</v>
      </c>
      <c r="K17" s="289"/>
    </row>
    <row r="18" spans="1:46" x14ac:dyDescent="0.3">
      <c r="A18" s="220" t="s">
        <v>163</v>
      </c>
      <c r="B18" s="234">
        <f xml:space="preserve">
B19-B16-B17</f>
        <v>899925</v>
      </c>
      <c r="C18" s="235">
        <f t="shared" ref="C18:J18" si="0" xml:space="preserve">
C19-C16-C17</f>
        <v>6749</v>
      </c>
      <c r="D18" s="235">
        <f t="shared" si="0"/>
        <v>9103</v>
      </c>
      <c r="E18" s="235">
        <f t="shared" si="0"/>
        <v>77192</v>
      </c>
      <c r="F18" s="235">
        <f t="shared" si="0"/>
        <v>273905</v>
      </c>
      <c r="G18" s="235">
        <f t="shared" si="0"/>
        <v>2368</v>
      </c>
      <c r="H18" s="235">
        <f t="shared" si="0"/>
        <v>256456</v>
      </c>
      <c r="I18" s="235">
        <f t="shared" si="0"/>
        <v>123034</v>
      </c>
      <c r="J18" s="235">
        <f t="shared" si="0"/>
        <v>151118</v>
      </c>
      <c r="K18" s="289"/>
    </row>
    <row r="19" spans="1:46" ht="15" thickBot="1" x14ac:dyDescent="0.35">
      <c r="A19" s="221" t="s">
        <v>164</v>
      </c>
      <c r="B19" s="240">
        <f xml:space="preserve">
IF($A$4&lt;=12,SUMIFS('ON Data'!F:F,'ON Data'!$D:$D,$A$4,'ON Data'!$E:$E,9),SUMIFS('ON Data'!F:F,'ON Data'!$E:$E,9))</f>
        <v>899925</v>
      </c>
      <c r="C19" s="241">
        <f xml:space="preserve">
IF($A$4&lt;=12,SUMIFS('ON Data'!H:H,'ON Data'!$D:$D,$A$4,'ON Data'!$E:$E,9),SUMIFS('ON Data'!H:H,'ON Data'!$E:$E,9))</f>
        <v>6749</v>
      </c>
      <c r="D19" s="241">
        <f xml:space="preserve">
IF($A$4&lt;=12,SUMIFS('ON Data'!I:I,'ON Data'!$D:$D,$A$4,'ON Data'!$E:$E,9),SUMIFS('ON Data'!I:I,'ON Data'!$E:$E,9))</f>
        <v>9103</v>
      </c>
      <c r="E19" s="241">
        <f xml:space="preserve">
IF($A$4&lt;=12,SUMIFS('ON Data'!M:M,'ON Data'!$D:$D,$A$4,'ON Data'!$E:$E,9),SUMIFS('ON Data'!M:M,'ON Data'!$E:$E,9))</f>
        <v>77192</v>
      </c>
      <c r="F19" s="241">
        <f xml:space="preserve">
IF($A$4&lt;=12,SUMIFS('ON Data'!N:N,'ON Data'!$D:$D,$A$4,'ON Data'!$E:$E,9),SUMIFS('ON Data'!N:N,'ON Data'!$E:$E,9))</f>
        <v>273905</v>
      </c>
      <c r="G19" s="241">
        <f xml:space="preserve">
IF($A$4&lt;=12,SUMIFS('ON Data'!P:P,'ON Data'!$D:$D,$A$4,'ON Data'!$E:$E,9),SUMIFS('ON Data'!P:P,'ON Data'!$E:$E,9))</f>
        <v>2368</v>
      </c>
      <c r="H19" s="241">
        <f xml:space="preserve">
IF($A$4&lt;=12,SUMIFS('ON Data'!Q:Q,'ON Data'!$D:$D,$A$4,'ON Data'!$E:$E,9),SUMIFS('ON Data'!Q:Q,'ON Data'!$E:$E,9))</f>
        <v>256456</v>
      </c>
      <c r="I19" s="241">
        <f xml:space="preserve">
IF($A$4&lt;=12,SUMIFS('ON Data'!R:R,'ON Data'!$D:$D,$A$4,'ON Data'!$E:$E,9),SUMIFS('ON Data'!R:R,'ON Data'!$E:$E,9))</f>
        <v>123034</v>
      </c>
      <c r="J19" s="241">
        <f xml:space="preserve">
IF($A$4&lt;=12,SUMIFS('ON Data'!Z:Z,'ON Data'!$D:$D,$A$4,'ON Data'!$E:$E,9),SUMIFS('ON Data'!Z:Z,'ON Data'!$E:$E,9))</f>
        <v>151118</v>
      </c>
      <c r="K19" s="289"/>
    </row>
    <row r="20" spans="1:46" ht="15" collapsed="1" thickBot="1" x14ac:dyDescent="0.35">
      <c r="A20" s="222" t="s">
        <v>60</v>
      </c>
      <c r="B20" s="314">
        <f xml:space="preserve">
IF($A$4&lt;=12,SUMIFS('ON Data'!F:F,'ON Data'!$D:$D,$A$4,'ON Data'!$E:$E,6),SUMIFS('ON Data'!F:F,'ON Data'!$E:$E,6))</f>
        <v>15280860</v>
      </c>
      <c r="C20" s="315">
        <f xml:space="preserve">
IF($A$4&lt;=12,SUMIFS('ON Data'!H:H,'ON Data'!$D:$D,$A$4,'ON Data'!$E:$E,6),SUMIFS('ON Data'!H:H,'ON Data'!$E:$E,6))</f>
        <v>129249</v>
      </c>
      <c r="D20" s="315">
        <f xml:space="preserve">
IF($A$4&lt;=12,SUMIFS('ON Data'!I:I,'ON Data'!$D:$D,$A$4,'ON Data'!$E:$E,6),SUMIFS('ON Data'!I:I,'ON Data'!$E:$E,6))</f>
        <v>188138</v>
      </c>
      <c r="E20" s="315">
        <f xml:space="preserve">
IF($A$4&lt;=12,SUMIFS('ON Data'!M:M,'ON Data'!$D:$D,$A$4,'ON Data'!$E:$E,6),SUMIFS('ON Data'!M:M,'ON Data'!$E:$E,6))</f>
        <v>1213373</v>
      </c>
      <c r="F20" s="315">
        <f xml:space="preserve">
IF($A$4&lt;=12,SUMIFS('ON Data'!N:N,'ON Data'!$D:$D,$A$4,'ON Data'!$E:$E,6),SUMIFS('ON Data'!N:N,'ON Data'!$E:$E,6))</f>
        <v>3576835</v>
      </c>
      <c r="G20" s="315">
        <f xml:space="preserve">
IF($A$4&lt;=12,SUMIFS('ON Data'!P:P,'ON Data'!$D:$D,$A$4,'ON Data'!$E:$E,6),SUMIFS('ON Data'!P:P,'ON Data'!$E:$E,6))</f>
        <v>78954</v>
      </c>
      <c r="H20" s="315">
        <f xml:space="preserve">
IF($A$4&lt;=12,SUMIFS('ON Data'!Q:Q,'ON Data'!$D:$D,$A$4,'ON Data'!$E:$E,6),SUMIFS('ON Data'!Q:Q,'ON Data'!$E:$E,6))</f>
        <v>5030874</v>
      </c>
      <c r="I20" s="315">
        <f xml:space="preserve">
IF($A$4&lt;=12,SUMIFS('ON Data'!R:R,'ON Data'!$D:$D,$A$4,'ON Data'!$E:$E,6),SUMIFS('ON Data'!R:R,'ON Data'!$E:$E,6))</f>
        <v>2083898</v>
      </c>
      <c r="J20" s="315">
        <f xml:space="preserve">
IF($A$4&lt;=12,SUMIFS('ON Data'!Z:Z,'ON Data'!$D:$D,$A$4,'ON Data'!$E:$E,6),SUMIFS('ON Data'!Z:Z,'ON Data'!$E:$E,6))</f>
        <v>2979539</v>
      </c>
      <c r="K20" s="289"/>
    </row>
    <row r="21" spans="1:46" ht="15" hidden="1" outlineLevel="1" thickBot="1" x14ac:dyDescent="0.35">
      <c r="A21" s="215" t="s">
        <v>92</v>
      </c>
      <c r="B21" s="308">
        <f xml:space="preserve">
IF($A$4&lt;=12,SUMIFS('ON Data'!F:F,'ON Data'!$D:$D,$A$4,'ON Data'!$E:$E,12),SUMIFS('ON Data'!F:F,'ON Data'!$E:$E,12))</f>
        <v>0</v>
      </c>
      <c r="C21" s="294">
        <f xml:space="preserve">
IF($A$4&lt;=12,SUMIFS('ON Data'!H:H,'ON Data'!$D:$D,$A$4,'ON Data'!$E:$E,12),SUMIFS('ON Data'!H:H,'ON Data'!$E:$E,12))</f>
        <v>0</v>
      </c>
      <c r="D21" s="294"/>
      <c r="E21" s="294">
        <f xml:space="preserve">
IF($A$4&lt;=12,SUMIFS('ON Data'!M:M,'ON Data'!$D:$D,$A$4,'ON Data'!$E:$E,12),SUMIFS('ON Data'!M:M,'ON Data'!$E:$E,12))</f>
        <v>0</v>
      </c>
      <c r="F21" s="294">
        <f xml:space="preserve">
IF($A$4&lt;=12,SUMIFS('ON Data'!N:N,'ON Data'!$D:$D,$A$4,'ON Data'!$E:$E,12),SUMIFS('ON Data'!N:N,'ON Data'!$E:$E,12))</f>
        <v>0</v>
      </c>
      <c r="G21" s="294">
        <f xml:space="preserve">
IF($A$4&lt;=12,SUMIFS('ON Data'!P:P,'ON Data'!$D:$D,$A$4,'ON Data'!$E:$E,12),SUMIFS('ON Data'!P:P,'ON Data'!$E:$E,12))</f>
        <v>0</v>
      </c>
      <c r="H21" s="294">
        <f xml:space="preserve">
IF($A$4&lt;=12,SUMIFS('ON Data'!Q:Q,'ON Data'!$D:$D,$A$4,'ON Data'!$E:$E,12),SUMIFS('ON Data'!Q:Q,'ON Data'!$E:$E,12))</f>
        <v>0</v>
      </c>
      <c r="I21" s="294">
        <f xml:space="preserve">
IF($A$4&lt;=12,SUMIFS('ON Data'!R:R,'ON Data'!$D:$D,$A$4,'ON Data'!$E:$E,12),SUMIFS('ON Data'!R:R,'ON Data'!$E:$E,12))</f>
        <v>0</v>
      </c>
      <c r="J21" s="294">
        <f xml:space="preserve">
IF($A$4&lt;=12,SUMIFS('ON Data'!Z:Z,'ON Data'!$D:$D,$A$4,'ON Data'!$E:$E,12),SUMIFS('ON Data'!Z:Z,'ON Data'!$E:$E,12))</f>
        <v>0</v>
      </c>
      <c r="K21" s="289"/>
    </row>
    <row r="22" spans="1:46" ht="15" hidden="1" outlineLevel="1" thickBot="1" x14ac:dyDescent="0.35">
      <c r="A22" s="215" t="s">
        <v>62</v>
      </c>
      <c r="B22" s="309" t="str">
        <f xml:space="preserve">
IF(OR(B21="",B21=0),"",B20/B21)</f>
        <v/>
      </c>
      <c r="C22" s="278" t="str">
        <f t="shared" ref="C22:E22" si="1" xml:space="preserve">
IF(OR(C21="",C21=0),"",C20/C21)</f>
        <v/>
      </c>
      <c r="D22" s="278"/>
      <c r="E22" s="278" t="str">
        <f t="shared" si="1"/>
        <v/>
      </c>
      <c r="F22" s="278" t="str">
        <f t="shared" ref="F22:J22" si="2" xml:space="preserve">
IF(OR(F21="",F21=0),"",F20/F21)</f>
        <v/>
      </c>
      <c r="G22" s="278" t="str">
        <f t="shared" si="2"/>
        <v/>
      </c>
      <c r="H22" s="278" t="str">
        <f t="shared" si="2"/>
        <v/>
      </c>
      <c r="I22" s="278" t="str">
        <f t="shared" si="2"/>
        <v/>
      </c>
      <c r="J22" s="278" t="str">
        <f t="shared" si="2"/>
        <v/>
      </c>
      <c r="K22" s="289"/>
    </row>
    <row r="23" spans="1:46" ht="15" hidden="1" outlineLevel="1" thickBot="1" x14ac:dyDescent="0.35">
      <c r="A23" s="223" t="s">
        <v>55</v>
      </c>
      <c r="B23" s="310">
        <f xml:space="preserve">
IF(B21="","",B20-B21)</f>
        <v>15280860</v>
      </c>
      <c r="C23" s="237">
        <f t="shared" ref="C23:E23" si="3" xml:space="preserve">
IF(C21="","",C20-C21)</f>
        <v>129249</v>
      </c>
      <c r="D23" s="237"/>
      <c r="E23" s="237">
        <f t="shared" si="3"/>
        <v>1213373</v>
      </c>
      <c r="F23" s="237">
        <f t="shared" ref="F23:J23" si="4" xml:space="preserve">
IF(F21="","",F20-F21)</f>
        <v>3576835</v>
      </c>
      <c r="G23" s="237">
        <f t="shared" si="4"/>
        <v>78954</v>
      </c>
      <c r="H23" s="237">
        <f t="shared" si="4"/>
        <v>5030874</v>
      </c>
      <c r="I23" s="237">
        <f t="shared" si="4"/>
        <v>2083898</v>
      </c>
      <c r="J23" s="237">
        <f t="shared" si="4"/>
        <v>2979539</v>
      </c>
      <c r="K23" s="289"/>
    </row>
    <row r="24" spans="1:46" x14ac:dyDescent="0.3">
      <c r="A24" s="217" t="s">
        <v>165</v>
      </c>
      <c r="B24" s="252" t="s">
        <v>3</v>
      </c>
      <c r="C24" s="305" t="s">
        <v>230</v>
      </c>
      <c r="D24" s="306" t="s">
        <v>231</v>
      </c>
      <c r="E24" s="306" t="s">
        <v>232</v>
      </c>
      <c r="F24" s="307" t="s">
        <v>176</v>
      </c>
      <c r="AT24" s="289"/>
    </row>
    <row r="25" spans="1:46" x14ac:dyDescent="0.3">
      <c r="A25" s="218" t="s">
        <v>60</v>
      </c>
      <c r="B25" s="234">
        <f xml:space="preserve">
SUM(C25:F25)</f>
        <v>73829.98</v>
      </c>
      <c r="C25" s="296">
        <f xml:space="preserve">
IF($A$4&lt;=12,SUMIFS('ON Data'!$G:$G,'ON Data'!$D:$D,$A$4,'ON Data'!$E:$E,10),SUMIFS('ON Data'!$G:$G,'ON Data'!$E:$E,10))</f>
        <v>6250</v>
      </c>
      <c r="D25" s="297">
        <f xml:space="preserve">
IF($A$4&lt;=12,SUMIFS('ON Data'!$J:$J,'ON Data'!$D:$D,$A$4,'ON Data'!$E:$E,10),SUMIFS('ON Data'!$J:$J,'ON Data'!$E:$E,10))</f>
        <v>0</v>
      </c>
      <c r="E25" s="297">
        <f xml:space="preserve">
IF($A$4&lt;=12,SUMIFS('ON Data'!$H:$H,'ON Data'!$D:$D,$A$4,'ON Data'!$E:$E,10),SUMIFS('ON Data'!$H:$H,'ON Data'!$E:$E,10))</f>
        <v>67579.98</v>
      </c>
      <c r="F25" s="298">
        <f xml:space="preserve">
IF($A$4&lt;=12,SUMIFS('ON Data'!$I:$I,'ON Data'!$D:$D,$A$4,'ON Data'!$E:$E,10),SUMIFS('ON Data'!$I:$I,'ON Data'!$E:$E,10))</f>
        <v>0</v>
      </c>
    </row>
    <row r="26" spans="1:46" x14ac:dyDescent="0.3">
      <c r="A26" s="224" t="s">
        <v>175</v>
      </c>
      <c r="B26" s="240">
        <f xml:space="preserve">
SUM(C26:F26)</f>
        <v>68668.778049622488</v>
      </c>
      <c r="C26" s="296">
        <f xml:space="preserve">
IF($A$4&lt;=12,SUMIFS('ON Data'!$G:$G,'ON Data'!$D:$D,$A$4,'ON Data'!$E:$E,11),SUMIFS('ON Data'!$G:$G,'ON Data'!$E:$E,11))</f>
        <v>28668.778049622495</v>
      </c>
      <c r="D26" s="297">
        <f xml:space="preserve">
IF($A$4&lt;=12,SUMIFS('ON Data'!$J:$J,'ON Data'!$D:$D,$A$4,'ON Data'!$E:$E,11),SUMIFS('ON Data'!$J:$J,'ON Data'!$E:$E,11))</f>
        <v>0</v>
      </c>
      <c r="E26" s="297">
        <f xml:space="preserve">
IF($A$4&lt;=12,SUMIFS('ON Data'!$H:$H,'ON Data'!$D:$D,$A$4,'ON Data'!$E:$E,11),SUMIFS('ON Data'!$H:$H,'ON Data'!$E:$E,11))</f>
        <v>40000</v>
      </c>
      <c r="F26" s="298">
        <f xml:space="preserve">
IF($A$4&lt;=12,SUMIFS('ON Data'!$I:$I,'ON Data'!$D:$D,$A$4,'ON Data'!$E:$E,11),SUMIFS('ON Data'!$I:$I,'ON Data'!$E:$E,11))</f>
        <v>0</v>
      </c>
    </row>
    <row r="27" spans="1:46" x14ac:dyDescent="0.3">
      <c r="A27" s="224" t="s">
        <v>62</v>
      </c>
      <c r="B27" s="253">
        <f xml:space="preserve">
IF(B26=0,0,B25/B26)</f>
        <v>1.075160824132444</v>
      </c>
      <c r="C27" s="299">
        <f xml:space="preserve">
IF(C26=0,0,C25/C26)</f>
        <v>0.21800719895287965</v>
      </c>
      <c r="D27" s="300">
        <f t="shared" ref="D27:E27" si="5" xml:space="preserve">
IF(D26=0,0,D25/D26)</f>
        <v>0</v>
      </c>
      <c r="E27" s="300">
        <f t="shared" si="5"/>
        <v>1.6894994999999999</v>
      </c>
      <c r="F27" s="301">
        <f xml:space="preserve">
IF(F26=0,0,F25/F26)</f>
        <v>0</v>
      </c>
    </row>
    <row r="28" spans="1:46" ht="15" thickBot="1" x14ac:dyDescent="0.35">
      <c r="A28" s="224" t="s">
        <v>174</v>
      </c>
      <c r="B28" s="240">
        <f xml:space="preserve">
SUM(C28:F28)</f>
        <v>-5161.2019503775009</v>
      </c>
      <c r="C28" s="302">
        <f xml:space="preserve">
C26-C25</f>
        <v>22418.778049622495</v>
      </c>
      <c r="D28" s="303">
        <f t="shared" ref="D28:E28" si="6" xml:space="preserve">
D26-D25</f>
        <v>0</v>
      </c>
      <c r="E28" s="303">
        <f t="shared" si="6"/>
        <v>-27579.979999999996</v>
      </c>
      <c r="F28" s="304">
        <f xml:space="preserve">
F26-F25</f>
        <v>0</v>
      </c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289"/>
      <c r="AG28" s="289"/>
      <c r="AH28" s="289"/>
      <c r="AI28" s="289"/>
      <c r="AJ28" s="289"/>
      <c r="AK28" s="289"/>
      <c r="AL28" s="289"/>
      <c r="AM28" s="289"/>
      <c r="AN28" s="289"/>
      <c r="AO28" s="289"/>
      <c r="AP28" s="289"/>
      <c r="AQ28" s="289"/>
      <c r="AR28" s="289"/>
      <c r="AS28" s="289"/>
    </row>
    <row r="29" spans="1:46" x14ac:dyDescent="0.3">
      <c r="A29" s="225"/>
      <c r="B29" s="225"/>
      <c r="C29" s="226"/>
      <c r="D29" s="225"/>
      <c r="E29" s="225"/>
      <c r="F29" s="22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137"/>
      <c r="AJ29" s="137"/>
      <c r="AK29" s="137"/>
      <c r="AL29" s="137"/>
      <c r="AM29" s="137"/>
    </row>
    <row r="30" spans="1:46" x14ac:dyDescent="0.3">
      <c r="A30" s="98" t="s">
        <v>134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33"/>
      <c r="AL30" s="133"/>
      <c r="AM30" s="133"/>
    </row>
    <row r="31" spans="1:46" x14ac:dyDescent="0.3">
      <c r="A31" s="99" t="s">
        <v>172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33"/>
      <c r="AL31" s="133"/>
      <c r="AM31" s="133"/>
    </row>
    <row r="32" spans="1:46" ht="14.4" customHeight="1" x14ac:dyDescent="0.3">
      <c r="A32" s="249" t="s">
        <v>169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X32" s="250"/>
      <c r="Y32" s="250"/>
      <c r="Z32" s="250"/>
      <c r="AA32" s="250"/>
      <c r="AB32" s="250"/>
      <c r="AC32" s="250"/>
      <c r="AD32" s="250"/>
      <c r="AE32" s="250"/>
      <c r="AF32" s="250"/>
      <c r="AG32" s="250"/>
      <c r="AH32" s="250"/>
      <c r="AI32" s="250"/>
      <c r="AJ32" s="250"/>
    </row>
    <row r="33" spans="1:1" x14ac:dyDescent="0.3">
      <c r="A33" s="251" t="s">
        <v>226</v>
      </c>
    </row>
    <row r="34" spans="1:1" x14ac:dyDescent="0.3">
      <c r="A34" s="251" t="s">
        <v>227</v>
      </c>
    </row>
    <row r="35" spans="1:1" x14ac:dyDescent="0.3">
      <c r="A35" s="251" t="s">
        <v>228</v>
      </c>
    </row>
    <row r="36" spans="1:1" x14ac:dyDescent="0.3">
      <c r="A36" s="251" t="s">
        <v>229</v>
      </c>
    </row>
    <row r="37" spans="1:1" x14ac:dyDescent="0.3">
      <c r="A37" s="251" t="s">
        <v>177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J22">
    <cfRule type="cellIs" dxfId="8" priority="15" operator="greaterThan">
      <formula>1</formula>
    </cfRule>
  </conditionalFormatting>
  <conditionalFormatting sqref="B23:J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6"/>
  <sheetViews>
    <sheetView showGridLines="0" workbookViewId="0"/>
  </sheetViews>
  <sheetFormatPr defaultRowHeight="14.4" x14ac:dyDescent="0.3"/>
  <cols>
    <col min="1" max="16384" width="8.88671875" style="206"/>
  </cols>
  <sheetData>
    <row r="1" spans="1:49" x14ac:dyDescent="0.3">
      <c r="A1" s="206" t="s">
        <v>1575</v>
      </c>
    </row>
    <row r="2" spans="1:49" x14ac:dyDescent="0.3">
      <c r="A2" s="210" t="s">
        <v>233</v>
      </c>
    </row>
    <row r="3" spans="1:49" x14ac:dyDescent="0.3">
      <c r="A3" s="206" t="s">
        <v>140</v>
      </c>
      <c r="B3" s="229">
        <v>2017</v>
      </c>
      <c r="D3" s="207">
        <f>MAX(D5:D1048576)</f>
        <v>8</v>
      </c>
      <c r="F3" s="207">
        <f>SUMIF($E5:$E1048576,"&lt;10",F5:F1048576)</f>
        <v>16245392.050000003</v>
      </c>
      <c r="G3" s="207">
        <f t="shared" ref="G3:AW3" si="0">SUMIF($E5:$E1048576,"&lt;10",G5:G1048576)</f>
        <v>0</v>
      </c>
      <c r="H3" s="207">
        <f t="shared" si="0"/>
        <v>137118</v>
      </c>
      <c r="I3" s="207">
        <f t="shared" si="0"/>
        <v>198730.2</v>
      </c>
      <c r="J3" s="207">
        <f t="shared" si="0"/>
        <v>0</v>
      </c>
      <c r="K3" s="207">
        <f t="shared" si="0"/>
        <v>0</v>
      </c>
      <c r="L3" s="207">
        <f t="shared" si="0"/>
        <v>0</v>
      </c>
      <c r="M3" s="207">
        <f t="shared" si="0"/>
        <v>1296119.3</v>
      </c>
      <c r="N3" s="207">
        <f t="shared" si="0"/>
        <v>3859026.05</v>
      </c>
      <c r="O3" s="207">
        <f t="shared" si="0"/>
        <v>0</v>
      </c>
      <c r="P3" s="207">
        <f t="shared" si="0"/>
        <v>81845.200000000012</v>
      </c>
      <c r="Q3" s="207">
        <f t="shared" si="0"/>
        <v>5311464.3000000007</v>
      </c>
      <c r="R3" s="207">
        <f t="shared" si="0"/>
        <v>2214900.7999999998</v>
      </c>
      <c r="S3" s="207">
        <f t="shared" si="0"/>
        <v>0</v>
      </c>
      <c r="T3" s="207">
        <f t="shared" si="0"/>
        <v>0</v>
      </c>
      <c r="U3" s="207">
        <f t="shared" si="0"/>
        <v>0</v>
      </c>
      <c r="V3" s="207">
        <f t="shared" si="0"/>
        <v>0</v>
      </c>
      <c r="W3" s="207">
        <f t="shared" si="0"/>
        <v>0</v>
      </c>
      <c r="X3" s="207">
        <f t="shared" si="0"/>
        <v>0</v>
      </c>
      <c r="Y3" s="207">
        <f t="shared" si="0"/>
        <v>0</v>
      </c>
      <c r="Z3" s="207">
        <f t="shared" si="0"/>
        <v>3146188.2</v>
      </c>
      <c r="AA3" s="207">
        <f t="shared" si="0"/>
        <v>0</v>
      </c>
      <c r="AB3" s="207">
        <f t="shared" si="0"/>
        <v>0</v>
      </c>
      <c r="AC3" s="207">
        <f t="shared" si="0"/>
        <v>0</v>
      </c>
      <c r="AD3" s="207">
        <f t="shared" si="0"/>
        <v>0</v>
      </c>
      <c r="AE3" s="207">
        <f t="shared" si="0"/>
        <v>0</v>
      </c>
      <c r="AF3" s="207">
        <f t="shared" si="0"/>
        <v>0</v>
      </c>
      <c r="AG3" s="207">
        <f t="shared" si="0"/>
        <v>0</v>
      </c>
      <c r="AH3" s="207">
        <f t="shared" si="0"/>
        <v>0</v>
      </c>
      <c r="AI3" s="207">
        <f t="shared" si="0"/>
        <v>0</v>
      </c>
      <c r="AJ3" s="207">
        <f t="shared" si="0"/>
        <v>0</v>
      </c>
      <c r="AK3" s="207">
        <f t="shared" si="0"/>
        <v>0</v>
      </c>
      <c r="AL3" s="207">
        <f t="shared" si="0"/>
        <v>0</v>
      </c>
      <c r="AM3" s="207">
        <f t="shared" si="0"/>
        <v>0</v>
      </c>
      <c r="AN3" s="207">
        <f t="shared" si="0"/>
        <v>0</v>
      </c>
      <c r="AO3" s="207">
        <f t="shared" si="0"/>
        <v>0</v>
      </c>
      <c r="AP3" s="207">
        <f t="shared" si="0"/>
        <v>0</v>
      </c>
      <c r="AQ3" s="207">
        <f t="shared" si="0"/>
        <v>0</v>
      </c>
      <c r="AR3" s="207">
        <f t="shared" si="0"/>
        <v>0</v>
      </c>
      <c r="AS3" s="207">
        <f t="shared" si="0"/>
        <v>0</v>
      </c>
      <c r="AT3" s="207">
        <f t="shared" si="0"/>
        <v>0</v>
      </c>
      <c r="AU3" s="207">
        <f t="shared" si="0"/>
        <v>0</v>
      </c>
      <c r="AV3" s="207">
        <f t="shared" si="0"/>
        <v>0</v>
      </c>
      <c r="AW3" s="207">
        <f t="shared" si="0"/>
        <v>0</v>
      </c>
    </row>
    <row r="4" spans="1:49" x14ac:dyDescent="0.3">
      <c r="A4" s="206" t="s">
        <v>141</v>
      </c>
      <c r="B4" s="229">
        <v>1</v>
      </c>
      <c r="C4" s="208" t="s">
        <v>5</v>
      </c>
      <c r="D4" s="209" t="s">
        <v>54</v>
      </c>
      <c r="E4" s="209" t="s">
        <v>139</v>
      </c>
      <c r="F4" s="209" t="s">
        <v>3</v>
      </c>
      <c r="G4" s="209">
        <v>0</v>
      </c>
      <c r="H4" s="209">
        <v>25</v>
      </c>
      <c r="I4" s="209">
        <v>30</v>
      </c>
      <c r="J4" s="209">
        <v>99</v>
      </c>
      <c r="K4" s="209">
        <v>100</v>
      </c>
      <c r="L4" s="209">
        <v>101</v>
      </c>
      <c r="M4" s="209">
        <v>102</v>
      </c>
      <c r="N4" s="209">
        <v>103</v>
      </c>
      <c r="O4" s="209">
        <v>203</v>
      </c>
      <c r="P4" s="209">
        <v>302</v>
      </c>
      <c r="Q4" s="209">
        <v>303</v>
      </c>
      <c r="R4" s="209">
        <v>304</v>
      </c>
      <c r="S4" s="209">
        <v>305</v>
      </c>
      <c r="T4" s="209">
        <v>306</v>
      </c>
      <c r="U4" s="209">
        <v>407</v>
      </c>
      <c r="V4" s="209">
        <v>408</v>
      </c>
      <c r="W4" s="209">
        <v>409</v>
      </c>
      <c r="X4" s="209">
        <v>410</v>
      </c>
      <c r="Y4" s="209">
        <v>415</v>
      </c>
      <c r="Z4" s="209">
        <v>416</v>
      </c>
      <c r="AA4" s="209">
        <v>418</v>
      </c>
      <c r="AB4" s="209">
        <v>419</v>
      </c>
      <c r="AC4" s="209">
        <v>420</v>
      </c>
      <c r="AD4" s="209">
        <v>421</v>
      </c>
      <c r="AE4" s="209">
        <v>422</v>
      </c>
      <c r="AF4" s="209">
        <v>520</v>
      </c>
      <c r="AG4" s="209">
        <v>521</v>
      </c>
      <c r="AH4" s="209">
        <v>522</v>
      </c>
      <c r="AI4" s="209">
        <v>523</v>
      </c>
      <c r="AJ4" s="209">
        <v>524</v>
      </c>
      <c r="AK4" s="209">
        <v>525</v>
      </c>
      <c r="AL4" s="209">
        <v>526</v>
      </c>
      <c r="AM4" s="209">
        <v>527</v>
      </c>
      <c r="AN4" s="209">
        <v>528</v>
      </c>
      <c r="AO4" s="209">
        <v>629</v>
      </c>
      <c r="AP4" s="209">
        <v>630</v>
      </c>
      <c r="AQ4" s="209">
        <v>636</v>
      </c>
      <c r="AR4" s="209">
        <v>637</v>
      </c>
      <c r="AS4" s="209">
        <v>640</v>
      </c>
      <c r="AT4" s="209">
        <v>642</v>
      </c>
      <c r="AU4" s="209">
        <v>743</v>
      </c>
      <c r="AV4" s="209">
        <v>745</v>
      </c>
      <c r="AW4" s="209">
        <v>746</v>
      </c>
    </row>
    <row r="5" spans="1:49" x14ac:dyDescent="0.3">
      <c r="A5" s="206" t="s">
        <v>142</v>
      </c>
      <c r="B5" s="229">
        <v>2</v>
      </c>
      <c r="C5" s="206">
        <v>24</v>
      </c>
      <c r="D5" s="206">
        <v>1</v>
      </c>
      <c r="E5" s="206">
        <v>1</v>
      </c>
      <c r="F5" s="206">
        <v>54.5</v>
      </c>
      <c r="G5" s="206">
        <v>0</v>
      </c>
      <c r="H5" s="206">
        <v>1</v>
      </c>
      <c r="I5" s="206">
        <v>0.95000000000000007</v>
      </c>
      <c r="J5" s="206">
        <v>0</v>
      </c>
      <c r="K5" s="206">
        <v>0</v>
      </c>
      <c r="L5" s="206">
        <v>0</v>
      </c>
      <c r="M5" s="206">
        <v>5</v>
      </c>
      <c r="N5" s="206">
        <v>6.65</v>
      </c>
      <c r="O5" s="206">
        <v>0</v>
      </c>
      <c r="P5" s="206">
        <v>0.4</v>
      </c>
      <c r="Q5" s="206">
        <v>20.6</v>
      </c>
      <c r="R5" s="206">
        <v>6.9</v>
      </c>
      <c r="S5" s="206">
        <v>0</v>
      </c>
      <c r="T5" s="206">
        <v>0</v>
      </c>
      <c r="U5" s="206">
        <v>0</v>
      </c>
      <c r="V5" s="206">
        <v>0</v>
      </c>
      <c r="W5" s="206">
        <v>0</v>
      </c>
      <c r="X5" s="206">
        <v>0</v>
      </c>
      <c r="Y5" s="206">
        <v>0</v>
      </c>
      <c r="Z5" s="206">
        <v>13</v>
      </c>
      <c r="AA5" s="206">
        <v>0</v>
      </c>
      <c r="AB5" s="206">
        <v>0</v>
      </c>
      <c r="AC5" s="206">
        <v>0</v>
      </c>
      <c r="AD5" s="206">
        <v>0</v>
      </c>
      <c r="AE5" s="206">
        <v>0</v>
      </c>
      <c r="AF5" s="206">
        <v>0</v>
      </c>
      <c r="AG5" s="206">
        <v>0</v>
      </c>
      <c r="AH5" s="206">
        <v>0</v>
      </c>
      <c r="AI5" s="206">
        <v>0</v>
      </c>
      <c r="AJ5" s="206">
        <v>0</v>
      </c>
      <c r="AK5" s="206">
        <v>0</v>
      </c>
      <c r="AL5" s="206">
        <v>0</v>
      </c>
      <c r="AM5" s="206">
        <v>0</v>
      </c>
      <c r="AN5" s="206">
        <v>0</v>
      </c>
      <c r="AO5" s="206">
        <v>0</v>
      </c>
      <c r="AP5" s="206">
        <v>0</v>
      </c>
      <c r="AQ5" s="206">
        <v>0</v>
      </c>
      <c r="AR5" s="206">
        <v>0</v>
      </c>
      <c r="AS5" s="206">
        <v>0</v>
      </c>
      <c r="AT5" s="206">
        <v>0</v>
      </c>
      <c r="AU5" s="206">
        <v>0</v>
      </c>
      <c r="AV5" s="206">
        <v>0</v>
      </c>
      <c r="AW5" s="206">
        <v>0</v>
      </c>
    </row>
    <row r="6" spans="1:49" x14ac:dyDescent="0.3">
      <c r="A6" s="206" t="s">
        <v>143</v>
      </c>
      <c r="B6" s="229">
        <v>3</v>
      </c>
      <c r="C6" s="206">
        <v>24</v>
      </c>
      <c r="D6" s="206">
        <v>1</v>
      </c>
      <c r="E6" s="206">
        <v>2</v>
      </c>
      <c r="F6" s="206">
        <v>8591.4000000000015</v>
      </c>
      <c r="G6" s="206">
        <v>0</v>
      </c>
      <c r="H6" s="206">
        <v>176</v>
      </c>
      <c r="I6" s="206">
        <v>161.30000000000001</v>
      </c>
      <c r="J6" s="206">
        <v>0</v>
      </c>
      <c r="K6" s="206">
        <v>0</v>
      </c>
      <c r="L6" s="206">
        <v>0</v>
      </c>
      <c r="M6" s="206">
        <v>661.3</v>
      </c>
      <c r="N6" s="206">
        <v>1124</v>
      </c>
      <c r="O6" s="206">
        <v>0</v>
      </c>
      <c r="P6" s="206">
        <v>72</v>
      </c>
      <c r="Q6" s="206">
        <v>3256</v>
      </c>
      <c r="R6" s="206">
        <v>1072.8000000000002</v>
      </c>
      <c r="S6" s="206">
        <v>0</v>
      </c>
      <c r="T6" s="206">
        <v>0</v>
      </c>
      <c r="U6" s="206">
        <v>0</v>
      </c>
      <c r="V6" s="206">
        <v>0</v>
      </c>
      <c r="W6" s="206">
        <v>0</v>
      </c>
      <c r="X6" s="206">
        <v>0</v>
      </c>
      <c r="Y6" s="206">
        <v>0</v>
      </c>
      <c r="Z6" s="206">
        <v>2068</v>
      </c>
      <c r="AA6" s="206">
        <v>0</v>
      </c>
      <c r="AB6" s="206">
        <v>0</v>
      </c>
      <c r="AC6" s="206">
        <v>0</v>
      </c>
      <c r="AD6" s="206">
        <v>0</v>
      </c>
      <c r="AE6" s="206">
        <v>0</v>
      </c>
      <c r="AF6" s="206">
        <v>0</v>
      </c>
      <c r="AG6" s="206">
        <v>0</v>
      </c>
      <c r="AH6" s="206">
        <v>0</v>
      </c>
      <c r="AI6" s="206">
        <v>0</v>
      </c>
      <c r="AJ6" s="206">
        <v>0</v>
      </c>
      <c r="AK6" s="206">
        <v>0</v>
      </c>
      <c r="AL6" s="206">
        <v>0</v>
      </c>
      <c r="AM6" s="206">
        <v>0</v>
      </c>
      <c r="AN6" s="206">
        <v>0</v>
      </c>
      <c r="AO6" s="206">
        <v>0</v>
      </c>
      <c r="AP6" s="206">
        <v>0</v>
      </c>
      <c r="AQ6" s="206">
        <v>0</v>
      </c>
      <c r="AR6" s="206">
        <v>0</v>
      </c>
      <c r="AS6" s="206">
        <v>0</v>
      </c>
      <c r="AT6" s="206">
        <v>0</v>
      </c>
      <c r="AU6" s="206">
        <v>0</v>
      </c>
      <c r="AV6" s="206">
        <v>0</v>
      </c>
      <c r="AW6" s="206">
        <v>0</v>
      </c>
    </row>
    <row r="7" spans="1:49" x14ac:dyDescent="0.3">
      <c r="A7" s="206" t="s">
        <v>144</v>
      </c>
      <c r="B7" s="229">
        <v>4</v>
      </c>
      <c r="C7" s="206">
        <v>24</v>
      </c>
      <c r="D7" s="206">
        <v>1</v>
      </c>
      <c r="E7" s="206">
        <v>5</v>
      </c>
      <c r="F7" s="206">
        <v>112.5</v>
      </c>
      <c r="G7" s="206">
        <v>0</v>
      </c>
      <c r="H7" s="206">
        <v>0</v>
      </c>
      <c r="I7" s="206">
        <v>44</v>
      </c>
      <c r="J7" s="206">
        <v>0</v>
      </c>
      <c r="K7" s="206">
        <v>0</v>
      </c>
      <c r="L7" s="206">
        <v>0</v>
      </c>
      <c r="M7" s="206">
        <v>68.5</v>
      </c>
      <c r="N7" s="206">
        <v>0</v>
      </c>
      <c r="O7" s="206">
        <v>0</v>
      </c>
      <c r="P7" s="206">
        <v>0</v>
      </c>
      <c r="Q7" s="206">
        <v>0</v>
      </c>
      <c r="R7" s="206">
        <v>0</v>
      </c>
      <c r="S7" s="206">
        <v>0</v>
      </c>
      <c r="T7" s="206">
        <v>0</v>
      </c>
      <c r="U7" s="206">
        <v>0</v>
      </c>
      <c r="V7" s="206">
        <v>0</v>
      </c>
      <c r="W7" s="206">
        <v>0</v>
      </c>
      <c r="X7" s="206">
        <v>0</v>
      </c>
      <c r="Y7" s="206">
        <v>0</v>
      </c>
      <c r="Z7" s="206">
        <v>0</v>
      </c>
      <c r="AA7" s="206">
        <v>0</v>
      </c>
      <c r="AB7" s="206">
        <v>0</v>
      </c>
      <c r="AC7" s="206">
        <v>0</v>
      </c>
      <c r="AD7" s="206">
        <v>0</v>
      </c>
      <c r="AE7" s="206">
        <v>0</v>
      </c>
      <c r="AF7" s="206">
        <v>0</v>
      </c>
      <c r="AG7" s="206">
        <v>0</v>
      </c>
      <c r="AH7" s="206">
        <v>0</v>
      </c>
      <c r="AI7" s="206">
        <v>0</v>
      </c>
      <c r="AJ7" s="206">
        <v>0</v>
      </c>
      <c r="AK7" s="206">
        <v>0</v>
      </c>
      <c r="AL7" s="206">
        <v>0</v>
      </c>
      <c r="AM7" s="206">
        <v>0</v>
      </c>
      <c r="AN7" s="206">
        <v>0</v>
      </c>
      <c r="AO7" s="206">
        <v>0</v>
      </c>
      <c r="AP7" s="206">
        <v>0</v>
      </c>
      <c r="AQ7" s="206">
        <v>0</v>
      </c>
      <c r="AR7" s="206">
        <v>0</v>
      </c>
      <c r="AS7" s="206">
        <v>0</v>
      </c>
      <c r="AT7" s="206">
        <v>0</v>
      </c>
      <c r="AU7" s="206">
        <v>0</v>
      </c>
      <c r="AV7" s="206">
        <v>0</v>
      </c>
      <c r="AW7" s="206">
        <v>0</v>
      </c>
    </row>
    <row r="8" spans="1:49" x14ac:dyDescent="0.3">
      <c r="A8" s="206" t="s">
        <v>145</v>
      </c>
      <c r="B8" s="229">
        <v>5</v>
      </c>
      <c r="C8" s="206">
        <v>24</v>
      </c>
      <c r="D8" s="206">
        <v>1</v>
      </c>
      <c r="E8" s="206">
        <v>6</v>
      </c>
      <c r="F8" s="206">
        <v>1773475</v>
      </c>
      <c r="G8" s="206">
        <v>0</v>
      </c>
      <c r="H8" s="206">
        <v>16690</v>
      </c>
      <c r="I8" s="206">
        <v>22810</v>
      </c>
      <c r="J8" s="206">
        <v>0</v>
      </c>
      <c r="K8" s="206">
        <v>0</v>
      </c>
      <c r="L8" s="206">
        <v>0</v>
      </c>
      <c r="M8" s="206">
        <v>154417</v>
      </c>
      <c r="N8" s="206">
        <v>411268</v>
      </c>
      <c r="O8" s="206">
        <v>0</v>
      </c>
      <c r="P8" s="206">
        <v>9268</v>
      </c>
      <c r="Q8" s="206">
        <v>588284</v>
      </c>
      <c r="R8" s="206">
        <v>235892</v>
      </c>
      <c r="S8" s="206">
        <v>0</v>
      </c>
      <c r="T8" s="206">
        <v>0</v>
      </c>
      <c r="U8" s="206">
        <v>0</v>
      </c>
      <c r="V8" s="206">
        <v>0</v>
      </c>
      <c r="W8" s="206">
        <v>0</v>
      </c>
      <c r="X8" s="206">
        <v>0</v>
      </c>
      <c r="Y8" s="206">
        <v>0</v>
      </c>
      <c r="Z8" s="206">
        <v>334846</v>
      </c>
      <c r="AA8" s="206">
        <v>0</v>
      </c>
      <c r="AB8" s="206">
        <v>0</v>
      </c>
      <c r="AC8" s="206">
        <v>0</v>
      </c>
      <c r="AD8" s="206">
        <v>0</v>
      </c>
      <c r="AE8" s="206">
        <v>0</v>
      </c>
      <c r="AF8" s="206">
        <v>0</v>
      </c>
      <c r="AG8" s="206">
        <v>0</v>
      </c>
      <c r="AH8" s="206">
        <v>0</v>
      </c>
      <c r="AI8" s="206">
        <v>0</v>
      </c>
      <c r="AJ8" s="206">
        <v>0</v>
      </c>
      <c r="AK8" s="206">
        <v>0</v>
      </c>
      <c r="AL8" s="206">
        <v>0</v>
      </c>
      <c r="AM8" s="206">
        <v>0</v>
      </c>
      <c r="AN8" s="206">
        <v>0</v>
      </c>
      <c r="AO8" s="206">
        <v>0</v>
      </c>
      <c r="AP8" s="206">
        <v>0</v>
      </c>
      <c r="AQ8" s="206">
        <v>0</v>
      </c>
      <c r="AR8" s="206">
        <v>0</v>
      </c>
      <c r="AS8" s="206">
        <v>0</v>
      </c>
      <c r="AT8" s="206">
        <v>0</v>
      </c>
      <c r="AU8" s="206">
        <v>0</v>
      </c>
      <c r="AV8" s="206">
        <v>0</v>
      </c>
      <c r="AW8" s="206">
        <v>0</v>
      </c>
    </row>
    <row r="9" spans="1:49" x14ac:dyDescent="0.3">
      <c r="A9" s="206" t="s">
        <v>146</v>
      </c>
      <c r="B9" s="229">
        <v>6</v>
      </c>
      <c r="C9" s="206">
        <v>24</v>
      </c>
      <c r="D9" s="206">
        <v>1</v>
      </c>
      <c r="E9" s="206">
        <v>11</v>
      </c>
      <c r="F9" s="206">
        <v>8583.5972562028128</v>
      </c>
      <c r="G9" s="206">
        <v>3583.5972562028123</v>
      </c>
      <c r="H9" s="206">
        <v>5000</v>
      </c>
      <c r="I9" s="206">
        <v>0</v>
      </c>
      <c r="J9" s="206">
        <v>0</v>
      </c>
      <c r="K9" s="206">
        <v>0</v>
      </c>
      <c r="L9" s="206">
        <v>0</v>
      </c>
      <c r="M9" s="206">
        <v>0</v>
      </c>
      <c r="N9" s="206">
        <v>0</v>
      </c>
      <c r="O9" s="206">
        <v>0</v>
      </c>
      <c r="P9" s="206">
        <v>0</v>
      </c>
      <c r="Q9" s="206">
        <v>0</v>
      </c>
      <c r="R9" s="206">
        <v>0</v>
      </c>
      <c r="S9" s="206">
        <v>0</v>
      </c>
      <c r="T9" s="206">
        <v>0</v>
      </c>
      <c r="U9" s="206">
        <v>0</v>
      </c>
      <c r="V9" s="206">
        <v>0</v>
      </c>
      <c r="W9" s="206">
        <v>0</v>
      </c>
      <c r="X9" s="206">
        <v>0</v>
      </c>
      <c r="Y9" s="206">
        <v>0</v>
      </c>
      <c r="Z9" s="206">
        <v>0</v>
      </c>
      <c r="AA9" s="206">
        <v>0</v>
      </c>
      <c r="AB9" s="206">
        <v>0</v>
      </c>
      <c r="AC9" s="206">
        <v>0</v>
      </c>
      <c r="AD9" s="206">
        <v>0</v>
      </c>
      <c r="AE9" s="206">
        <v>0</v>
      </c>
      <c r="AF9" s="206">
        <v>0</v>
      </c>
      <c r="AG9" s="206">
        <v>0</v>
      </c>
      <c r="AH9" s="206">
        <v>0</v>
      </c>
      <c r="AI9" s="206">
        <v>0</v>
      </c>
      <c r="AJ9" s="206">
        <v>0</v>
      </c>
      <c r="AK9" s="206">
        <v>0</v>
      </c>
      <c r="AL9" s="206">
        <v>0</v>
      </c>
      <c r="AM9" s="206">
        <v>0</v>
      </c>
      <c r="AN9" s="206">
        <v>0</v>
      </c>
      <c r="AO9" s="206">
        <v>0</v>
      </c>
      <c r="AP9" s="206">
        <v>0</v>
      </c>
      <c r="AQ9" s="206">
        <v>0</v>
      </c>
      <c r="AR9" s="206">
        <v>0</v>
      </c>
      <c r="AS9" s="206">
        <v>0</v>
      </c>
      <c r="AT9" s="206">
        <v>0</v>
      </c>
      <c r="AU9" s="206">
        <v>0</v>
      </c>
      <c r="AV9" s="206">
        <v>0</v>
      </c>
      <c r="AW9" s="206">
        <v>0</v>
      </c>
    </row>
    <row r="10" spans="1:49" x14ac:dyDescent="0.3">
      <c r="A10" s="206" t="s">
        <v>147</v>
      </c>
      <c r="B10" s="229">
        <v>7</v>
      </c>
      <c r="C10" s="206">
        <v>24</v>
      </c>
      <c r="D10" s="206">
        <v>2</v>
      </c>
      <c r="E10" s="206">
        <v>1</v>
      </c>
      <c r="F10" s="206">
        <v>53.95</v>
      </c>
      <c r="G10" s="206">
        <v>0</v>
      </c>
      <c r="H10" s="206">
        <v>1</v>
      </c>
      <c r="I10" s="206">
        <v>0.95000000000000007</v>
      </c>
      <c r="J10" s="206">
        <v>0</v>
      </c>
      <c r="K10" s="206">
        <v>0</v>
      </c>
      <c r="L10" s="206">
        <v>0</v>
      </c>
      <c r="M10" s="206">
        <v>4.45</v>
      </c>
      <c r="N10" s="206">
        <v>6.65</v>
      </c>
      <c r="O10" s="206">
        <v>0</v>
      </c>
      <c r="P10" s="206">
        <v>0.4</v>
      </c>
      <c r="Q10" s="206">
        <v>20.6</v>
      </c>
      <c r="R10" s="206">
        <v>6.9</v>
      </c>
      <c r="S10" s="206">
        <v>0</v>
      </c>
      <c r="T10" s="206">
        <v>0</v>
      </c>
      <c r="U10" s="206">
        <v>0</v>
      </c>
      <c r="V10" s="206">
        <v>0</v>
      </c>
      <c r="W10" s="206">
        <v>0</v>
      </c>
      <c r="X10" s="206">
        <v>0</v>
      </c>
      <c r="Y10" s="206">
        <v>0</v>
      </c>
      <c r="Z10" s="206">
        <v>13</v>
      </c>
      <c r="AA10" s="206">
        <v>0</v>
      </c>
      <c r="AB10" s="206">
        <v>0</v>
      </c>
      <c r="AC10" s="206">
        <v>0</v>
      </c>
      <c r="AD10" s="206">
        <v>0</v>
      </c>
      <c r="AE10" s="206">
        <v>0</v>
      </c>
      <c r="AF10" s="206">
        <v>0</v>
      </c>
      <c r="AG10" s="206">
        <v>0</v>
      </c>
      <c r="AH10" s="206">
        <v>0</v>
      </c>
      <c r="AI10" s="206">
        <v>0</v>
      </c>
      <c r="AJ10" s="206">
        <v>0</v>
      </c>
      <c r="AK10" s="206">
        <v>0</v>
      </c>
      <c r="AL10" s="206">
        <v>0</v>
      </c>
      <c r="AM10" s="206">
        <v>0</v>
      </c>
      <c r="AN10" s="206">
        <v>0</v>
      </c>
      <c r="AO10" s="206">
        <v>0</v>
      </c>
      <c r="AP10" s="206">
        <v>0</v>
      </c>
      <c r="AQ10" s="206">
        <v>0</v>
      </c>
      <c r="AR10" s="206">
        <v>0</v>
      </c>
      <c r="AS10" s="206">
        <v>0</v>
      </c>
      <c r="AT10" s="206">
        <v>0</v>
      </c>
      <c r="AU10" s="206">
        <v>0</v>
      </c>
      <c r="AV10" s="206">
        <v>0</v>
      </c>
      <c r="AW10" s="206">
        <v>0</v>
      </c>
    </row>
    <row r="11" spans="1:49" x14ac:dyDescent="0.3">
      <c r="A11" s="206" t="s">
        <v>148</v>
      </c>
      <c r="B11" s="229">
        <v>8</v>
      </c>
      <c r="C11" s="206">
        <v>24</v>
      </c>
      <c r="D11" s="206">
        <v>2</v>
      </c>
      <c r="E11" s="206">
        <v>2</v>
      </c>
      <c r="F11" s="206">
        <v>7976.7000000000007</v>
      </c>
      <c r="G11" s="206">
        <v>0</v>
      </c>
      <c r="H11" s="206">
        <v>112</v>
      </c>
      <c r="I11" s="206">
        <v>148.80000000000001</v>
      </c>
      <c r="J11" s="206">
        <v>0</v>
      </c>
      <c r="K11" s="206">
        <v>0</v>
      </c>
      <c r="L11" s="206">
        <v>0</v>
      </c>
      <c r="M11" s="206">
        <v>650.29999999999995</v>
      </c>
      <c r="N11" s="206">
        <v>971.2</v>
      </c>
      <c r="O11" s="206">
        <v>0</v>
      </c>
      <c r="P11" s="206">
        <v>64</v>
      </c>
      <c r="Q11" s="206">
        <v>2984</v>
      </c>
      <c r="R11" s="206">
        <v>1044</v>
      </c>
      <c r="S11" s="206">
        <v>0</v>
      </c>
      <c r="T11" s="206">
        <v>0</v>
      </c>
      <c r="U11" s="206">
        <v>0</v>
      </c>
      <c r="V11" s="206">
        <v>0</v>
      </c>
      <c r="W11" s="206">
        <v>0</v>
      </c>
      <c r="X11" s="206">
        <v>0</v>
      </c>
      <c r="Y11" s="206">
        <v>0</v>
      </c>
      <c r="Z11" s="206">
        <v>2002.4</v>
      </c>
      <c r="AA11" s="206">
        <v>0</v>
      </c>
      <c r="AB11" s="206">
        <v>0</v>
      </c>
      <c r="AC11" s="206">
        <v>0</v>
      </c>
      <c r="AD11" s="206">
        <v>0</v>
      </c>
      <c r="AE11" s="206">
        <v>0</v>
      </c>
      <c r="AF11" s="206">
        <v>0</v>
      </c>
      <c r="AG11" s="206">
        <v>0</v>
      </c>
      <c r="AH11" s="206">
        <v>0</v>
      </c>
      <c r="AI11" s="206">
        <v>0</v>
      </c>
      <c r="AJ11" s="206">
        <v>0</v>
      </c>
      <c r="AK11" s="206">
        <v>0</v>
      </c>
      <c r="AL11" s="206">
        <v>0</v>
      </c>
      <c r="AM11" s="206">
        <v>0</v>
      </c>
      <c r="AN11" s="206">
        <v>0</v>
      </c>
      <c r="AO11" s="206">
        <v>0</v>
      </c>
      <c r="AP11" s="206">
        <v>0</v>
      </c>
      <c r="AQ11" s="206">
        <v>0</v>
      </c>
      <c r="AR11" s="206">
        <v>0</v>
      </c>
      <c r="AS11" s="206">
        <v>0</v>
      </c>
      <c r="AT11" s="206">
        <v>0</v>
      </c>
      <c r="AU11" s="206">
        <v>0</v>
      </c>
      <c r="AV11" s="206">
        <v>0</v>
      </c>
      <c r="AW11" s="206">
        <v>0</v>
      </c>
    </row>
    <row r="12" spans="1:49" x14ac:dyDescent="0.3">
      <c r="A12" s="206" t="s">
        <v>149</v>
      </c>
      <c r="B12" s="229">
        <v>9</v>
      </c>
      <c r="C12" s="206">
        <v>24</v>
      </c>
      <c r="D12" s="206">
        <v>2</v>
      </c>
      <c r="E12" s="206">
        <v>5</v>
      </c>
      <c r="F12" s="206">
        <v>117</v>
      </c>
      <c r="G12" s="206">
        <v>0</v>
      </c>
      <c r="H12" s="206">
        <v>0</v>
      </c>
      <c r="I12" s="206">
        <v>40</v>
      </c>
      <c r="J12" s="206">
        <v>0</v>
      </c>
      <c r="K12" s="206">
        <v>0</v>
      </c>
      <c r="L12" s="206">
        <v>0</v>
      </c>
      <c r="M12" s="206">
        <v>77</v>
      </c>
      <c r="N12" s="206">
        <v>0</v>
      </c>
      <c r="O12" s="206">
        <v>0</v>
      </c>
      <c r="P12" s="206">
        <v>0</v>
      </c>
      <c r="Q12" s="206">
        <v>0</v>
      </c>
      <c r="R12" s="206">
        <v>0</v>
      </c>
      <c r="S12" s="206">
        <v>0</v>
      </c>
      <c r="T12" s="206">
        <v>0</v>
      </c>
      <c r="U12" s="206">
        <v>0</v>
      </c>
      <c r="V12" s="206">
        <v>0</v>
      </c>
      <c r="W12" s="206">
        <v>0</v>
      </c>
      <c r="X12" s="206">
        <v>0</v>
      </c>
      <c r="Y12" s="206">
        <v>0</v>
      </c>
      <c r="Z12" s="206">
        <v>0</v>
      </c>
      <c r="AA12" s="206">
        <v>0</v>
      </c>
      <c r="AB12" s="206">
        <v>0</v>
      </c>
      <c r="AC12" s="206">
        <v>0</v>
      </c>
      <c r="AD12" s="206">
        <v>0</v>
      </c>
      <c r="AE12" s="206">
        <v>0</v>
      </c>
      <c r="AF12" s="206">
        <v>0</v>
      </c>
      <c r="AG12" s="206">
        <v>0</v>
      </c>
      <c r="AH12" s="206">
        <v>0</v>
      </c>
      <c r="AI12" s="206">
        <v>0</v>
      </c>
      <c r="AJ12" s="206">
        <v>0</v>
      </c>
      <c r="AK12" s="206">
        <v>0</v>
      </c>
      <c r="AL12" s="206">
        <v>0</v>
      </c>
      <c r="AM12" s="206">
        <v>0</v>
      </c>
      <c r="AN12" s="206">
        <v>0</v>
      </c>
      <c r="AO12" s="206">
        <v>0</v>
      </c>
      <c r="AP12" s="206">
        <v>0</v>
      </c>
      <c r="AQ12" s="206">
        <v>0</v>
      </c>
      <c r="AR12" s="206">
        <v>0</v>
      </c>
      <c r="AS12" s="206">
        <v>0</v>
      </c>
      <c r="AT12" s="206">
        <v>0</v>
      </c>
      <c r="AU12" s="206">
        <v>0</v>
      </c>
      <c r="AV12" s="206">
        <v>0</v>
      </c>
      <c r="AW12" s="206">
        <v>0</v>
      </c>
    </row>
    <row r="13" spans="1:49" x14ac:dyDescent="0.3">
      <c r="A13" s="206" t="s">
        <v>150</v>
      </c>
      <c r="B13" s="229">
        <v>10</v>
      </c>
      <c r="C13" s="206">
        <v>24</v>
      </c>
      <c r="D13" s="206">
        <v>2</v>
      </c>
      <c r="E13" s="206">
        <v>6</v>
      </c>
      <c r="F13" s="206">
        <v>1833107</v>
      </c>
      <c r="G13" s="206">
        <v>0</v>
      </c>
      <c r="H13" s="206">
        <v>13010</v>
      </c>
      <c r="I13" s="206">
        <v>22367</v>
      </c>
      <c r="J13" s="206">
        <v>0</v>
      </c>
      <c r="K13" s="206">
        <v>0</v>
      </c>
      <c r="L13" s="206">
        <v>0</v>
      </c>
      <c r="M13" s="206">
        <v>156830</v>
      </c>
      <c r="N13" s="206">
        <v>418842</v>
      </c>
      <c r="O13" s="206">
        <v>0</v>
      </c>
      <c r="P13" s="206">
        <v>9268</v>
      </c>
      <c r="Q13" s="206">
        <v>594506</v>
      </c>
      <c r="R13" s="206">
        <v>258009</v>
      </c>
      <c r="S13" s="206">
        <v>0</v>
      </c>
      <c r="T13" s="206">
        <v>0</v>
      </c>
      <c r="U13" s="206">
        <v>0</v>
      </c>
      <c r="V13" s="206">
        <v>0</v>
      </c>
      <c r="W13" s="206">
        <v>0</v>
      </c>
      <c r="X13" s="206">
        <v>0</v>
      </c>
      <c r="Y13" s="206">
        <v>0</v>
      </c>
      <c r="Z13" s="206">
        <v>360275</v>
      </c>
      <c r="AA13" s="206">
        <v>0</v>
      </c>
      <c r="AB13" s="206">
        <v>0</v>
      </c>
      <c r="AC13" s="206">
        <v>0</v>
      </c>
      <c r="AD13" s="206">
        <v>0</v>
      </c>
      <c r="AE13" s="206">
        <v>0</v>
      </c>
      <c r="AF13" s="206">
        <v>0</v>
      </c>
      <c r="AG13" s="206">
        <v>0</v>
      </c>
      <c r="AH13" s="206">
        <v>0</v>
      </c>
      <c r="AI13" s="206">
        <v>0</v>
      </c>
      <c r="AJ13" s="206">
        <v>0</v>
      </c>
      <c r="AK13" s="206">
        <v>0</v>
      </c>
      <c r="AL13" s="206">
        <v>0</v>
      </c>
      <c r="AM13" s="206">
        <v>0</v>
      </c>
      <c r="AN13" s="206">
        <v>0</v>
      </c>
      <c r="AO13" s="206">
        <v>0</v>
      </c>
      <c r="AP13" s="206">
        <v>0</v>
      </c>
      <c r="AQ13" s="206">
        <v>0</v>
      </c>
      <c r="AR13" s="206">
        <v>0</v>
      </c>
      <c r="AS13" s="206">
        <v>0</v>
      </c>
      <c r="AT13" s="206">
        <v>0</v>
      </c>
      <c r="AU13" s="206">
        <v>0</v>
      </c>
      <c r="AV13" s="206">
        <v>0</v>
      </c>
      <c r="AW13" s="206">
        <v>0</v>
      </c>
    </row>
    <row r="14" spans="1:49" x14ac:dyDescent="0.3">
      <c r="A14" s="206" t="s">
        <v>151</v>
      </c>
      <c r="B14" s="229">
        <v>11</v>
      </c>
      <c r="C14" s="206">
        <v>24</v>
      </c>
      <c r="D14" s="206">
        <v>2</v>
      </c>
      <c r="E14" s="206">
        <v>9</v>
      </c>
      <c r="F14" s="206">
        <v>15164</v>
      </c>
      <c r="G14" s="206">
        <v>0</v>
      </c>
      <c r="H14" s="206">
        <v>0</v>
      </c>
      <c r="I14" s="206">
        <v>0</v>
      </c>
      <c r="J14" s="206">
        <v>0</v>
      </c>
      <c r="K14" s="206">
        <v>0</v>
      </c>
      <c r="L14" s="206">
        <v>0</v>
      </c>
      <c r="M14" s="206">
        <v>3270</v>
      </c>
      <c r="N14" s="206">
        <v>1470</v>
      </c>
      <c r="O14" s="206">
        <v>0</v>
      </c>
      <c r="P14" s="206">
        <v>0</v>
      </c>
      <c r="Q14" s="206">
        <v>8624</v>
      </c>
      <c r="R14" s="206">
        <v>0</v>
      </c>
      <c r="S14" s="206">
        <v>0</v>
      </c>
      <c r="T14" s="206">
        <v>0</v>
      </c>
      <c r="U14" s="206">
        <v>0</v>
      </c>
      <c r="V14" s="206">
        <v>0</v>
      </c>
      <c r="W14" s="206">
        <v>0</v>
      </c>
      <c r="X14" s="206">
        <v>0</v>
      </c>
      <c r="Y14" s="206">
        <v>0</v>
      </c>
      <c r="Z14" s="206">
        <v>1800</v>
      </c>
      <c r="AA14" s="206">
        <v>0</v>
      </c>
      <c r="AB14" s="206">
        <v>0</v>
      </c>
      <c r="AC14" s="206">
        <v>0</v>
      </c>
      <c r="AD14" s="206">
        <v>0</v>
      </c>
      <c r="AE14" s="206">
        <v>0</v>
      </c>
      <c r="AF14" s="206">
        <v>0</v>
      </c>
      <c r="AG14" s="206">
        <v>0</v>
      </c>
      <c r="AH14" s="206">
        <v>0</v>
      </c>
      <c r="AI14" s="206">
        <v>0</v>
      </c>
      <c r="AJ14" s="206">
        <v>0</v>
      </c>
      <c r="AK14" s="206">
        <v>0</v>
      </c>
      <c r="AL14" s="206">
        <v>0</v>
      </c>
      <c r="AM14" s="206">
        <v>0</v>
      </c>
      <c r="AN14" s="206">
        <v>0</v>
      </c>
      <c r="AO14" s="206">
        <v>0</v>
      </c>
      <c r="AP14" s="206">
        <v>0</v>
      </c>
      <c r="AQ14" s="206">
        <v>0</v>
      </c>
      <c r="AR14" s="206">
        <v>0</v>
      </c>
      <c r="AS14" s="206">
        <v>0</v>
      </c>
      <c r="AT14" s="206">
        <v>0</v>
      </c>
      <c r="AU14" s="206">
        <v>0</v>
      </c>
      <c r="AV14" s="206">
        <v>0</v>
      </c>
      <c r="AW14" s="206">
        <v>0</v>
      </c>
    </row>
    <row r="15" spans="1:49" x14ac:dyDescent="0.3">
      <c r="A15" s="206" t="s">
        <v>152</v>
      </c>
      <c r="B15" s="229">
        <v>12</v>
      </c>
      <c r="C15" s="206">
        <v>24</v>
      </c>
      <c r="D15" s="206">
        <v>2</v>
      </c>
      <c r="E15" s="206">
        <v>10</v>
      </c>
      <c r="F15" s="206">
        <v>27799.98</v>
      </c>
      <c r="G15" s="206">
        <v>0</v>
      </c>
      <c r="H15" s="206">
        <v>27799.98</v>
      </c>
      <c r="I15" s="206">
        <v>0</v>
      </c>
      <c r="J15" s="206">
        <v>0</v>
      </c>
      <c r="K15" s="206">
        <v>0</v>
      </c>
      <c r="L15" s="206">
        <v>0</v>
      </c>
      <c r="M15" s="206">
        <v>0</v>
      </c>
      <c r="N15" s="206">
        <v>0</v>
      </c>
      <c r="O15" s="206">
        <v>0</v>
      </c>
      <c r="P15" s="206">
        <v>0</v>
      </c>
      <c r="Q15" s="206">
        <v>0</v>
      </c>
      <c r="R15" s="206">
        <v>0</v>
      </c>
      <c r="S15" s="206">
        <v>0</v>
      </c>
      <c r="T15" s="206">
        <v>0</v>
      </c>
      <c r="U15" s="206">
        <v>0</v>
      </c>
      <c r="V15" s="206">
        <v>0</v>
      </c>
      <c r="W15" s="206">
        <v>0</v>
      </c>
      <c r="X15" s="206">
        <v>0</v>
      </c>
      <c r="Y15" s="206">
        <v>0</v>
      </c>
      <c r="Z15" s="206">
        <v>0</v>
      </c>
      <c r="AA15" s="206">
        <v>0</v>
      </c>
      <c r="AB15" s="206">
        <v>0</v>
      </c>
      <c r="AC15" s="206">
        <v>0</v>
      </c>
      <c r="AD15" s="206">
        <v>0</v>
      </c>
      <c r="AE15" s="206">
        <v>0</v>
      </c>
      <c r="AF15" s="206">
        <v>0</v>
      </c>
      <c r="AG15" s="206">
        <v>0</v>
      </c>
      <c r="AH15" s="206">
        <v>0</v>
      </c>
      <c r="AI15" s="206">
        <v>0</v>
      </c>
      <c r="AJ15" s="206">
        <v>0</v>
      </c>
      <c r="AK15" s="206">
        <v>0</v>
      </c>
      <c r="AL15" s="206">
        <v>0</v>
      </c>
      <c r="AM15" s="206">
        <v>0</v>
      </c>
      <c r="AN15" s="206">
        <v>0</v>
      </c>
      <c r="AO15" s="206">
        <v>0</v>
      </c>
      <c r="AP15" s="206">
        <v>0</v>
      </c>
      <c r="AQ15" s="206">
        <v>0</v>
      </c>
      <c r="AR15" s="206">
        <v>0</v>
      </c>
      <c r="AS15" s="206">
        <v>0</v>
      </c>
      <c r="AT15" s="206">
        <v>0</v>
      </c>
      <c r="AU15" s="206">
        <v>0</v>
      </c>
      <c r="AV15" s="206">
        <v>0</v>
      </c>
      <c r="AW15" s="206">
        <v>0</v>
      </c>
    </row>
    <row r="16" spans="1:49" x14ac:dyDescent="0.3">
      <c r="A16" s="206" t="s">
        <v>140</v>
      </c>
      <c r="B16" s="229">
        <v>2017</v>
      </c>
      <c r="C16" s="206">
        <v>24</v>
      </c>
      <c r="D16" s="206">
        <v>2</v>
      </c>
      <c r="E16" s="206">
        <v>11</v>
      </c>
      <c r="F16" s="206">
        <v>8583.5972562028128</v>
      </c>
      <c r="G16" s="206">
        <v>3583.5972562028123</v>
      </c>
      <c r="H16" s="206">
        <v>5000</v>
      </c>
      <c r="I16" s="206">
        <v>0</v>
      </c>
      <c r="J16" s="206">
        <v>0</v>
      </c>
      <c r="K16" s="206">
        <v>0</v>
      </c>
      <c r="L16" s="206">
        <v>0</v>
      </c>
      <c r="M16" s="206">
        <v>0</v>
      </c>
      <c r="N16" s="206">
        <v>0</v>
      </c>
      <c r="O16" s="206">
        <v>0</v>
      </c>
      <c r="P16" s="206">
        <v>0</v>
      </c>
      <c r="Q16" s="206">
        <v>0</v>
      </c>
      <c r="R16" s="206">
        <v>0</v>
      </c>
      <c r="S16" s="206">
        <v>0</v>
      </c>
      <c r="T16" s="206">
        <v>0</v>
      </c>
      <c r="U16" s="206">
        <v>0</v>
      </c>
      <c r="V16" s="206">
        <v>0</v>
      </c>
      <c r="W16" s="206">
        <v>0</v>
      </c>
      <c r="X16" s="206">
        <v>0</v>
      </c>
      <c r="Y16" s="206">
        <v>0</v>
      </c>
      <c r="Z16" s="206">
        <v>0</v>
      </c>
      <c r="AA16" s="206">
        <v>0</v>
      </c>
      <c r="AB16" s="206">
        <v>0</v>
      </c>
      <c r="AC16" s="206">
        <v>0</v>
      </c>
      <c r="AD16" s="206">
        <v>0</v>
      </c>
      <c r="AE16" s="206">
        <v>0</v>
      </c>
      <c r="AF16" s="206">
        <v>0</v>
      </c>
      <c r="AG16" s="206">
        <v>0</v>
      </c>
      <c r="AH16" s="206">
        <v>0</v>
      </c>
      <c r="AI16" s="206">
        <v>0</v>
      </c>
      <c r="AJ16" s="206">
        <v>0</v>
      </c>
      <c r="AK16" s="206">
        <v>0</v>
      </c>
      <c r="AL16" s="206">
        <v>0</v>
      </c>
      <c r="AM16" s="206">
        <v>0</v>
      </c>
      <c r="AN16" s="206">
        <v>0</v>
      </c>
      <c r="AO16" s="206">
        <v>0</v>
      </c>
      <c r="AP16" s="206">
        <v>0</v>
      </c>
      <c r="AQ16" s="206">
        <v>0</v>
      </c>
      <c r="AR16" s="206">
        <v>0</v>
      </c>
      <c r="AS16" s="206">
        <v>0</v>
      </c>
      <c r="AT16" s="206">
        <v>0</v>
      </c>
      <c r="AU16" s="206">
        <v>0</v>
      </c>
      <c r="AV16" s="206">
        <v>0</v>
      </c>
      <c r="AW16" s="206">
        <v>0</v>
      </c>
    </row>
    <row r="17" spans="3:49" x14ac:dyDescent="0.3">
      <c r="C17" s="206">
        <v>24</v>
      </c>
      <c r="D17" s="206">
        <v>3</v>
      </c>
      <c r="E17" s="206">
        <v>1</v>
      </c>
      <c r="F17" s="206">
        <v>53.95</v>
      </c>
      <c r="G17" s="206">
        <v>0</v>
      </c>
      <c r="H17" s="206">
        <v>1</v>
      </c>
      <c r="I17" s="206">
        <v>0.95000000000000007</v>
      </c>
      <c r="J17" s="206">
        <v>0</v>
      </c>
      <c r="K17" s="206">
        <v>0</v>
      </c>
      <c r="L17" s="206">
        <v>0</v>
      </c>
      <c r="M17" s="206">
        <v>4.45</v>
      </c>
      <c r="N17" s="206">
        <v>6.65</v>
      </c>
      <c r="O17" s="206">
        <v>0</v>
      </c>
      <c r="P17" s="206">
        <v>0.4</v>
      </c>
      <c r="Q17" s="206">
        <v>20.6</v>
      </c>
      <c r="R17" s="206">
        <v>6.9</v>
      </c>
      <c r="S17" s="206">
        <v>0</v>
      </c>
      <c r="T17" s="206">
        <v>0</v>
      </c>
      <c r="U17" s="206">
        <v>0</v>
      </c>
      <c r="V17" s="206">
        <v>0</v>
      </c>
      <c r="W17" s="206">
        <v>0</v>
      </c>
      <c r="X17" s="206">
        <v>0</v>
      </c>
      <c r="Y17" s="206">
        <v>0</v>
      </c>
      <c r="Z17" s="206">
        <v>13</v>
      </c>
      <c r="AA17" s="206">
        <v>0</v>
      </c>
      <c r="AB17" s="206">
        <v>0</v>
      </c>
      <c r="AC17" s="206">
        <v>0</v>
      </c>
      <c r="AD17" s="206">
        <v>0</v>
      </c>
      <c r="AE17" s="206">
        <v>0</v>
      </c>
      <c r="AF17" s="206">
        <v>0</v>
      </c>
      <c r="AG17" s="206">
        <v>0</v>
      </c>
      <c r="AH17" s="206">
        <v>0</v>
      </c>
      <c r="AI17" s="206">
        <v>0</v>
      </c>
      <c r="AJ17" s="206">
        <v>0</v>
      </c>
      <c r="AK17" s="206">
        <v>0</v>
      </c>
      <c r="AL17" s="206">
        <v>0</v>
      </c>
      <c r="AM17" s="206">
        <v>0</v>
      </c>
      <c r="AN17" s="206">
        <v>0</v>
      </c>
      <c r="AO17" s="206">
        <v>0</v>
      </c>
      <c r="AP17" s="206">
        <v>0</v>
      </c>
      <c r="AQ17" s="206">
        <v>0</v>
      </c>
      <c r="AR17" s="206">
        <v>0</v>
      </c>
      <c r="AS17" s="206">
        <v>0</v>
      </c>
      <c r="AT17" s="206">
        <v>0</v>
      </c>
      <c r="AU17" s="206">
        <v>0</v>
      </c>
      <c r="AV17" s="206">
        <v>0</v>
      </c>
      <c r="AW17" s="206">
        <v>0</v>
      </c>
    </row>
    <row r="18" spans="3:49" x14ac:dyDescent="0.3">
      <c r="C18" s="206">
        <v>24</v>
      </c>
      <c r="D18" s="206">
        <v>3</v>
      </c>
      <c r="E18" s="206">
        <v>2</v>
      </c>
      <c r="F18" s="206">
        <v>9248.9</v>
      </c>
      <c r="G18" s="206">
        <v>0</v>
      </c>
      <c r="H18" s="206">
        <v>80</v>
      </c>
      <c r="I18" s="206">
        <v>173</v>
      </c>
      <c r="J18" s="206">
        <v>0</v>
      </c>
      <c r="K18" s="206">
        <v>0</v>
      </c>
      <c r="L18" s="206">
        <v>0</v>
      </c>
      <c r="M18" s="206">
        <v>762.3</v>
      </c>
      <c r="N18" s="206">
        <v>1199.5999999999999</v>
      </c>
      <c r="O18" s="206">
        <v>0</v>
      </c>
      <c r="P18" s="206">
        <v>72</v>
      </c>
      <c r="Q18" s="206">
        <v>3608</v>
      </c>
      <c r="R18" s="206">
        <v>1184</v>
      </c>
      <c r="S18" s="206">
        <v>0</v>
      </c>
      <c r="T18" s="206">
        <v>0</v>
      </c>
      <c r="U18" s="206">
        <v>0</v>
      </c>
      <c r="V18" s="206">
        <v>0</v>
      </c>
      <c r="W18" s="206">
        <v>0</v>
      </c>
      <c r="X18" s="206">
        <v>0</v>
      </c>
      <c r="Y18" s="206">
        <v>0</v>
      </c>
      <c r="Z18" s="206">
        <v>2170</v>
      </c>
      <c r="AA18" s="206">
        <v>0</v>
      </c>
      <c r="AB18" s="206">
        <v>0</v>
      </c>
      <c r="AC18" s="206">
        <v>0</v>
      </c>
      <c r="AD18" s="206">
        <v>0</v>
      </c>
      <c r="AE18" s="206">
        <v>0</v>
      </c>
      <c r="AF18" s="206">
        <v>0</v>
      </c>
      <c r="AG18" s="206">
        <v>0</v>
      </c>
      <c r="AH18" s="206">
        <v>0</v>
      </c>
      <c r="AI18" s="206">
        <v>0</v>
      </c>
      <c r="AJ18" s="206">
        <v>0</v>
      </c>
      <c r="AK18" s="206">
        <v>0</v>
      </c>
      <c r="AL18" s="206">
        <v>0</v>
      </c>
      <c r="AM18" s="206">
        <v>0</v>
      </c>
      <c r="AN18" s="206">
        <v>0</v>
      </c>
      <c r="AO18" s="206">
        <v>0</v>
      </c>
      <c r="AP18" s="206">
        <v>0</v>
      </c>
      <c r="AQ18" s="206">
        <v>0</v>
      </c>
      <c r="AR18" s="206">
        <v>0</v>
      </c>
      <c r="AS18" s="206">
        <v>0</v>
      </c>
      <c r="AT18" s="206">
        <v>0</v>
      </c>
      <c r="AU18" s="206">
        <v>0</v>
      </c>
      <c r="AV18" s="206">
        <v>0</v>
      </c>
      <c r="AW18" s="206">
        <v>0</v>
      </c>
    </row>
    <row r="19" spans="3:49" x14ac:dyDescent="0.3">
      <c r="C19" s="206">
        <v>24</v>
      </c>
      <c r="D19" s="206">
        <v>3</v>
      </c>
      <c r="E19" s="206">
        <v>5</v>
      </c>
      <c r="F19" s="206">
        <v>144.5</v>
      </c>
      <c r="G19" s="206">
        <v>0</v>
      </c>
      <c r="H19" s="206">
        <v>0</v>
      </c>
      <c r="I19" s="206">
        <v>46</v>
      </c>
      <c r="J19" s="206">
        <v>0</v>
      </c>
      <c r="K19" s="206">
        <v>0</v>
      </c>
      <c r="L19" s="206">
        <v>0</v>
      </c>
      <c r="M19" s="206">
        <v>98.5</v>
      </c>
      <c r="N19" s="206">
        <v>0</v>
      </c>
      <c r="O19" s="206">
        <v>0</v>
      </c>
      <c r="P19" s="206">
        <v>0</v>
      </c>
      <c r="Q19" s="206">
        <v>0</v>
      </c>
      <c r="R19" s="206">
        <v>0</v>
      </c>
      <c r="S19" s="206">
        <v>0</v>
      </c>
      <c r="T19" s="206">
        <v>0</v>
      </c>
      <c r="U19" s="206">
        <v>0</v>
      </c>
      <c r="V19" s="206">
        <v>0</v>
      </c>
      <c r="W19" s="206">
        <v>0</v>
      </c>
      <c r="X19" s="206">
        <v>0</v>
      </c>
      <c r="Y19" s="206">
        <v>0</v>
      </c>
      <c r="Z19" s="206">
        <v>0</v>
      </c>
      <c r="AA19" s="206">
        <v>0</v>
      </c>
      <c r="AB19" s="206">
        <v>0</v>
      </c>
      <c r="AC19" s="206">
        <v>0</v>
      </c>
      <c r="AD19" s="206">
        <v>0</v>
      </c>
      <c r="AE19" s="206">
        <v>0</v>
      </c>
      <c r="AF19" s="206">
        <v>0</v>
      </c>
      <c r="AG19" s="206">
        <v>0</v>
      </c>
      <c r="AH19" s="206">
        <v>0</v>
      </c>
      <c r="AI19" s="206">
        <v>0</v>
      </c>
      <c r="AJ19" s="206">
        <v>0</v>
      </c>
      <c r="AK19" s="206">
        <v>0</v>
      </c>
      <c r="AL19" s="206">
        <v>0</v>
      </c>
      <c r="AM19" s="206">
        <v>0</v>
      </c>
      <c r="AN19" s="206">
        <v>0</v>
      </c>
      <c r="AO19" s="206">
        <v>0</v>
      </c>
      <c r="AP19" s="206">
        <v>0</v>
      </c>
      <c r="AQ19" s="206">
        <v>0</v>
      </c>
      <c r="AR19" s="206">
        <v>0</v>
      </c>
      <c r="AS19" s="206">
        <v>0</v>
      </c>
      <c r="AT19" s="206">
        <v>0</v>
      </c>
      <c r="AU19" s="206">
        <v>0</v>
      </c>
      <c r="AV19" s="206">
        <v>0</v>
      </c>
      <c r="AW19" s="206">
        <v>0</v>
      </c>
    </row>
    <row r="20" spans="3:49" x14ac:dyDescent="0.3">
      <c r="C20" s="206">
        <v>24</v>
      </c>
      <c r="D20" s="206">
        <v>3</v>
      </c>
      <c r="E20" s="206">
        <v>6</v>
      </c>
      <c r="F20" s="206">
        <v>1841581</v>
      </c>
      <c r="G20" s="206">
        <v>0</v>
      </c>
      <c r="H20" s="206">
        <v>9026</v>
      </c>
      <c r="I20" s="206">
        <v>22986</v>
      </c>
      <c r="J20" s="206">
        <v>0</v>
      </c>
      <c r="K20" s="206">
        <v>0</v>
      </c>
      <c r="L20" s="206">
        <v>0</v>
      </c>
      <c r="M20" s="206">
        <v>163640</v>
      </c>
      <c r="N20" s="206">
        <v>413301</v>
      </c>
      <c r="O20" s="206">
        <v>0</v>
      </c>
      <c r="P20" s="206">
        <v>9268</v>
      </c>
      <c r="Q20" s="206">
        <v>611434</v>
      </c>
      <c r="R20" s="206">
        <v>252985</v>
      </c>
      <c r="S20" s="206">
        <v>0</v>
      </c>
      <c r="T20" s="206">
        <v>0</v>
      </c>
      <c r="U20" s="206">
        <v>0</v>
      </c>
      <c r="V20" s="206">
        <v>0</v>
      </c>
      <c r="W20" s="206">
        <v>0</v>
      </c>
      <c r="X20" s="206">
        <v>0</v>
      </c>
      <c r="Y20" s="206">
        <v>0</v>
      </c>
      <c r="Z20" s="206">
        <v>358941</v>
      </c>
      <c r="AA20" s="206">
        <v>0</v>
      </c>
      <c r="AB20" s="206">
        <v>0</v>
      </c>
      <c r="AC20" s="206">
        <v>0</v>
      </c>
      <c r="AD20" s="206">
        <v>0</v>
      </c>
      <c r="AE20" s="206">
        <v>0</v>
      </c>
      <c r="AF20" s="206">
        <v>0</v>
      </c>
      <c r="AG20" s="206">
        <v>0</v>
      </c>
      <c r="AH20" s="206">
        <v>0</v>
      </c>
      <c r="AI20" s="206">
        <v>0</v>
      </c>
      <c r="AJ20" s="206">
        <v>0</v>
      </c>
      <c r="AK20" s="206">
        <v>0</v>
      </c>
      <c r="AL20" s="206">
        <v>0</v>
      </c>
      <c r="AM20" s="206">
        <v>0</v>
      </c>
      <c r="AN20" s="206">
        <v>0</v>
      </c>
      <c r="AO20" s="206">
        <v>0</v>
      </c>
      <c r="AP20" s="206">
        <v>0</v>
      </c>
      <c r="AQ20" s="206">
        <v>0</v>
      </c>
      <c r="AR20" s="206">
        <v>0</v>
      </c>
      <c r="AS20" s="206">
        <v>0</v>
      </c>
      <c r="AT20" s="206">
        <v>0</v>
      </c>
      <c r="AU20" s="206">
        <v>0</v>
      </c>
      <c r="AV20" s="206">
        <v>0</v>
      </c>
      <c r="AW20" s="206">
        <v>0</v>
      </c>
    </row>
    <row r="21" spans="3:49" x14ac:dyDescent="0.3">
      <c r="C21" s="206">
        <v>24</v>
      </c>
      <c r="D21" s="206">
        <v>3</v>
      </c>
      <c r="E21" s="206">
        <v>9</v>
      </c>
      <c r="F21" s="206">
        <v>2500</v>
      </c>
      <c r="G21" s="206">
        <v>0</v>
      </c>
      <c r="H21" s="206">
        <v>0</v>
      </c>
      <c r="I21" s="206">
        <v>0</v>
      </c>
      <c r="J21" s="206">
        <v>0</v>
      </c>
      <c r="K21" s="206">
        <v>0</v>
      </c>
      <c r="L21" s="206">
        <v>0</v>
      </c>
      <c r="M21" s="206">
        <v>0</v>
      </c>
      <c r="N21" s="206">
        <v>0</v>
      </c>
      <c r="O21" s="206">
        <v>0</v>
      </c>
      <c r="P21" s="206">
        <v>0</v>
      </c>
      <c r="Q21" s="206">
        <v>2500</v>
      </c>
      <c r="R21" s="206">
        <v>0</v>
      </c>
      <c r="S21" s="206">
        <v>0</v>
      </c>
      <c r="T21" s="206">
        <v>0</v>
      </c>
      <c r="U21" s="206">
        <v>0</v>
      </c>
      <c r="V21" s="206">
        <v>0</v>
      </c>
      <c r="W21" s="206">
        <v>0</v>
      </c>
      <c r="X21" s="206">
        <v>0</v>
      </c>
      <c r="Y21" s="206">
        <v>0</v>
      </c>
      <c r="Z21" s="206">
        <v>0</v>
      </c>
      <c r="AA21" s="206">
        <v>0</v>
      </c>
      <c r="AB21" s="206">
        <v>0</v>
      </c>
      <c r="AC21" s="206">
        <v>0</v>
      </c>
      <c r="AD21" s="206">
        <v>0</v>
      </c>
      <c r="AE21" s="206">
        <v>0</v>
      </c>
      <c r="AF21" s="206">
        <v>0</v>
      </c>
      <c r="AG21" s="206">
        <v>0</v>
      </c>
      <c r="AH21" s="206">
        <v>0</v>
      </c>
      <c r="AI21" s="206">
        <v>0</v>
      </c>
      <c r="AJ21" s="206">
        <v>0</v>
      </c>
      <c r="AK21" s="206">
        <v>0</v>
      </c>
      <c r="AL21" s="206">
        <v>0</v>
      </c>
      <c r="AM21" s="206">
        <v>0</v>
      </c>
      <c r="AN21" s="206">
        <v>0</v>
      </c>
      <c r="AO21" s="206">
        <v>0</v>
      </c>
      <c r="AP21" s="206">
        <v>0</v>
      </c>
      <c r="AQ21" s="206">
        <v>0</v>
      </c>
      <c r="AR21" s="206">
        <v>0</v>
      </c>
      <c r="AS21" s="206">
        <v>0</v>
      </c>
      <c r="AT21" s="206">
        <v>0</v>
      </c>
      <c r="AU21" s="206">
        <v>0</v>
      </c>
      <c r="AV21" s="206">
        <v>0</v>
      </c>
      <c r="AW21" s="206">
        <v>0</v>
      </c>
    </row>
    <row r="22" spans="3:49" x14ac:dyDescent="0.3">
      <c r="C22" s="206">
        <v>24</v>
      </c>
      <c r="D22" s="206">
        <v>3</v>
      </c>
      <c r="E22" s="206">
        <v>11</v>
      </c>
      <c r="F22" s="206">
        <v>8583.5972562028128</v>
      </c>
      <c r="G22" s="206">
        <v>3583.5972562028123</v>
      </c>
      <c r="H22" s="206">
        <v>5000</v>
      </c>
      <c r="I22" s="206">
        <v>0</v>
      </c>
      <c r="J22" s="206">
        <v>0</v>
      </c>
      <c r="K22" s="206">
        <v>0</v>
      </c>
      <c r="L22" s="206">
        <v>0</v>
      </c>
      <c r="M22" s="206">
        <v>0</v>
      </c>
      <c r="N22" s="206">
        <v>0</v>
      </c>
      <c r="O22" s="206">
        <v>0</v>
      </c>
      <c r="P22" s="206">
        <v>0</v>
      </c>
      <c r="Q22" s="206">
        <v>0</v>
      </c>
      <c r="R22" s="206">
        <v>0</v>
      </c>
      <c r="S22" s="206">
        <v>0</v>
      </c>
      <c r="T22" s="206">
        <v>0</v>
      </c>
      <c r="U22" s="206">
        <v>0</v>
      </c>
      <c r="V22" s="206">
        <v>0</v>
      </c>
      <c r="W22" s="206">
        <v>0</v>
      </c>
      <c r="X22" s="206">
        <v>0</v>
      </c>
      <c r="Y22" s="206">
        <v>0</v>
      </c>
      <c r="Z22" s="206">
        <v>0</v>
      </c>
      <c r="AA22" s="206">
        <v>0</v>
      </c>
      <c r="AB22" s="206">
        <v>0</v>
      </c>
      <c r="AC22" s="206">
        <v>0</v>
      </c>
      <c r="AD22" s="206">
        <v>0</v>
      </c>
      <c r="AE22" s="206">
        <v>0</v>
      </c>
      <c r="AF22" s="206">
        <v>0</v>
      </c>
      <c r="AG22" s="206">
        <v>0</v>
      </c>
      <c r="AH22" s="206">
        <v>0</v>
      </c>
      <c r="AI22" s="206">
        <v>0</v>
      </c>
      <c r="AJ22" s="206">
        <v>0</v>
      </c>
      <c r="AK22" s="206">
        <v>0</v>
      </c>
      <c r="AL22" s="206">
        <v>0</v>
      </c>
      <c r="AM22" s="206">
        <v>0</v>
      </c>
      <c r="AN22" s="206">
        <v>0</v>
      </c>
      <c r="AO22" s="206">
        <v>0</v>
      </c>
      <c r="AP22" s="206">
        <v>0</v>
      </c>
      <c r="AQ22" s="206">
        <v>0</v>
      </c>
      <c r="AR22" s="206">
        <v>0</v>
      </c>
      <c r="AS22" s="206">
        <v>0</v>
      </c>
      <c r="AT22" s="206">
        <v>0</v>
      </c>
      <c r="AU22" s="206">
        <v>0</v>
      </c>
      <c r="AV22" s="206">
        <v>0</v>
      </c>
      <c r="AW22" s="206">
        <v>0</v>
      </c>
    </row>
    <row r="23" spans="3:49" x14ac:dyDescent="0.3">
      <c r="C23" s="206">
        <v>24</v>
      </c>
      <c r="D23" s="206">
        <v>4</v>
      </c>
      <c r="E23" s="206">
        <v>1</v>
      </c>
      <c r="F23" s="206">
        <v>53.4</v>
      </c>
      <c r="G23" s="206">
        <v>0</v>
      </c>
      <c r="H23" s="206">
        <v>1</v>
      </c>
      <c r="I23" s="206">
        <v>0.95000000000000007</v>
      </c>
      <c r="J23" s="206">
        <v>0</v>
      </c>
      <c r="K23" s="206">
        <v>0</v>
      </c>
      <c r="L23" s="206">
        <v>0</v>
      </c>
      <c r="M23" s="206">
        <v>3.9000000000000004</v>
      </c>
      <c r="N23" s="206">
        <v>6.65</v>
      </c>
      <c r="O23" s="206">
        <v>0</v>
      </c>
      <c r="P23" s="206">
        <v>0.4</v>
      </c>
      <c r="Q23" s="206">
        <v>20.6</v>
      </c>
      <c r="R23" s="206">
        <v>6.9</v>
      </c>
      <c r="S23" s="206">
        <v>0</v>
      </c>
      <c r="T23" s="206">
        <v>0</v>
      </c>
      <c r="U23" s="206">
        <v>0</v>
      </c>
      <c r="V23" s="206">
        <v>0</v>
      </c>
      <c r="W23" s="206">
        <v>0</v>
      </c>
      <c r="X23" s="206">
        <v>0</v>
      </c>
      <c r="Y23" s="206">
        <v>0</v>
      </c>
      <c r="Z23" s="206">
        <v>13</v>
      </c>
      <c r="AA23" s="206">
        <v>0</v>
      </c>
      <c r="AB23" s="206">
        <v>0</v>
      </c>
      <c r="AC23" s="206">
        <v>0</v>
      </c>
      <c r="AD23" s="206">
        <v>0</v>
      </c>
      <c r="AE23" s="206">
        <v>0</v>
      </c>
      <c r="AF23" s="206">
        <v>0</v>
      </c>
      <c r="AG23" s="206">
        <v>0</v>
      </c>
      <c r="AH23" s="206">
        <v>0</v>
      </c>
      <c r="AI23" s="206">
        <v>0</v>
      </c>
      <c r="AJ23" s="206">
        <v>0</v>
      </c>
      <c r="AK23" s="206">
        <v>0</v>
      </c>
      <c r="AL23" s="206">
        <v>0</v>
      </c>
      <c r="AM23" s="206">
        <v>0</v>
      </c>
      <c r="AN23" s="206">
        <v>0</v>
      </c>
      <c r="AO23" s="206">
        <v>0</v>
      </c>
      <c r="AP23" s="206">
        <v>0</v>
      </c>
      <c r="AQ23" s="206">
        <v>0</v>
      </c>
      <c r="AR23" s="206">
        <v>0</v>
      </c>
      <c r="AS23" s="206">
        <v>0</v>
      </c>
      <c r="AT23" s="206">
        <v>0</v>
      </c>
      <c r="AU23" s="206">
        <v>0</v>
      </c>
      <c r="AV23" s="206">
        <v>0</v>
      </c>
      <c r="AW23" s="206">
        <v>0</v>
      </c>
    </row>
    <row r="24" spans="3:49" x14ac:dyDescent="0.3">
      <c r="C24" s="206">
        <v>24</v>
      </c>
      <c r="D24" s="206">
        <v>4</v>
      </c>
      <c r="E24" s="206">
        <v>2</v>
      </c>
      <c r="F24" s="206">
        <v>7946.9</v>
      </c>
      <c r="G24" s="206">
        <v>0</v>
      </c>
      <c r="H24" s="206">
        <v>160</v>
      </c>
      <c r="I24" s="206">
        <v>144.30000000000001</v>
      </c>
      <c r="J24" s="206">
        <v>0</v>
      </c>
      <c r="K24" s="206">
        <v>0</v>
      </c>
      <c r="L24" s="206">
        <v>0</v>
      </c>
      <c r="M24" s="206">
        <v>594.20000000000005</v>
      </c>
      <c r="N24" s="206">
        <v>1010.8</v>
      </c>
      <c r="O24" s="206">
        <v>0</v>
      </c>
      <c r="P24" s="206">
        <v>64</v>
      </c>
      <c r="Q24" s="206">
        <v>3096</v>
      </c>
      <c r="R24" s="206">
        <v>944</v>
      </c>
      <c r="S24" s="206">
        <v>0</v>
      </c>
      <c r="T24" s="206">
        <v>0</v>
      </c>
      <c r="U24" s="206">
        <v>0</v>
      </c>
      <c r="V24" s="206">
        <v>0</v>
      </c>
      <c r="W24" s="206">
        <v>0</v>
      </c>
      <c r="X24" s="206">
        <v>0</v>
      </c>
      <c r="Y24" s="206">
        <v>0</v>
      </c>
      <c r="Z24" s="206">
        <v>1933.6</v>
      </c>
      <c r="AA24" s="206">
        <v>0</v>
      </c>
      <c r="AB24" s="206">
        <v>0</v>
      </c>
      <c r="AC24" s="206">
        <v>0</v>
      </c>
      <c r="AD24" s="206">
        <v>0</v>
      </c>
      <c r="AE24" s="206">
        <v>0</v>
      </c>
      <c r="AF24" s="206">
        <v>0</v>
      </c>
      <c r="AG24" s="206">
        <v>0</v>
      </c>
      <c r="AH24" s="206">
        <v>0</v>
      </c>
      <c r="AI24" s="206">
        <v>0</v>
      </c>
      <c r="AJ24" s="206">
        <v>0</v>
      </c>
      <c r="AK24" s="206">
        <v>0</v>
      </c>
      <c r="AL24" s="206">
        <v>0</v>
      </c>
      <c r="AM24" s="206">
        <v>0</v>
      </c>
      <c r="AN24" s="206">
        <v>0</v>
      </c>
      <c r="AO24" s="206">
        <v>0</v>
      </c>
      <c r="AP24" s="206">
        <v>0</v>
      </c>
      <c r="AQ24" s="206">
        <v>0</v>
      </c>
      <c r="AR24" s="206">
        <v>0</v>
      </c>
      <c r="AS24" s="206">
        <v>0</v>
      </c>
      <c r="AT24" s="206">
        <v>0</v>
      </c>
      <c r="AU24" s="206">
        <v>0</v>
      </c>
      <c r="AV24" s="206">
        <v>0</v>
      </c>
      <c r="AW24" s="206">
        <v>0</v>
      </c>
    </row>
    <row r="25" spans="3:49" x14ac:dyDescent="0.3">
      <c r="C25" s="206">
        <v>24</v>
      </c>
      <c r="D25" s="206">
        <v>4</v>
      </c>
      <c r="E25" s="206">
        <v>5</v>
      </c>
      <c r="F25" s="206">
        <v>115.5</v>
      </c>
      <c r="G25" s="206">
        <v>0</v>
      </c>
      <c r="H25" s="206">
        <v>0</v>
      </c>
      <c r="I25" s="206">
        <v>36</v>
      </c>
      <c r="J25" s="206">
        <v>0</v>
      </c>
      <c r="K25" s="206">
        <v>0</v>
      </c>
      <c r="L25" s="206">
        <v>0</v>
      </c>
      <c r="M25" s="206">
        <v>79.5</v>
      </c>
      <c r="N25" s="206">
        <v>0</v>
      </c>
      <c r="O25" s="206">
        <v>0</v>
      </c>
      <c r="P25" s="206">
        <v>0</v>
      </c>
      <c r="Q25" s="206">
        <v>0</v>
      </c>
      <c r="R25" s="206">
        <v>0</v>
      </c>
      <c r="S25" s="206">
        <v>0</v>
      </c>
      <c r="T25" s="206">
        <v>0</v>
      </c>
      <c r="U25" s="206">
        <v>0</v>
      </c>
      <c r="V25" s="206">
        <v>0</v>
      </c>
      <c r="W25" s="206">
        <v>0</v>
      </c>
      <c r="X25" s="206">
        <v>0</v>
      </c>
      <c r="Y25" s="206">
        <v>0</v>
      </c>
      <c r="Z25" s="206">
        <v>0</v>
      </c>
      <c r="AA25" s="206">
        <v>0</v>
      </c>
      <c r="AB25" s="206">
        <v>0</v>
      </c>
      <c r="AC25" s="206">
        <v>0</v>
      </c>
      <c r="AD25" s="206">
        <v>0</v>
      </c>
      <c r="AE25" s="206">
        <v>0</v>
      </c>
      <c r="AF25" s="206">
        <v>0</v>
      </c>
      <c r="AG25" s="206">
        <v>0</v>
      </c>
      <c r="AH25" s="206">
        <v>0</v>
      </c>
      <c r="AI25" s="206">
        <v>0</v>
      </c>
      <c r="AJ25" s="206">
        <v>0</v>
      </c>
      <c r="AK25" s="206">
        <v>0</v>
      </c>
      <c r="AL25" s="206">
        <v>0</v>
      </c>
      <c r="AM25" s="206">
        <v>0</v>
      </c>
      <c r="AN25" s="206">
        <v>0</v>
      </c>
      <c r="AO25" s="206">
        <v>0</v>
      </c>
      <c r="AP25" s="206">
        <v>0</v>
      </c>
      <c r="AQ25" s="206">
        <v>0</v>
      </c>
      <c r="AR25" s="206">
        <v>0</v>
      </c>
      <c r="AS25" s="206">
        <v>0</v>
      </c>
      <c r="AT25" s="206">
        <v>0</v>
      </c>
      <c r="AU25" s="206">
        <v>0</v>
      </c>
      <c r="AV25" s="206">
        <v>0</v>
      </c>
      <c r="AW25" s="206">
        <v>0</v>
      </c>
    </row>
    <row r="26" spans="3:49" x14ac:dyDescent="0.3">
      <c r="C26" s="206">
        <v>24</v>
      </c>
      <c r="D26" s="206">
        <v>4</v>
      </c>
      <c r="E26" s="206">
        <v>6</v>
      </c>
      <c r="F26" s="206">
        <v>1799878</v>
      </c>
      <c r="G26" s="206">
        <v>0</v>
      </c>
      <c r="H26" s="206">
        <v>16690</v>
      </c>
      <c r="I26" s="206">
        <v>23000</v>
      </c>
      <c r="J26" s="206">
        <v>0</v>
      </c>
      <c r="K26" s="206">
        <v>0</v>
      </c>
      <c r="L26" s="206">
        <v>0</v>
      </c>
      <c r="M26" s="206">
        <v>137249</v>
      </c>
      <c r="N26" s="206">
        <v>410268</v>
      </c>
      <c r="O26" s="206">
        <v>0</v>
      </c>
      <c r="P26" s="206">
        <v>9268</v>
      </c>
      <c r="Q26" s="206">
        <v>608880</v>
      </c>
      <c r="R26" s="206">
        <v>233647</v>
      </c>
      <c r="S26" s="206">
        <v>0</v>
      </c>
      <c r="T26" s="206">
        <v>0</v>
      </c>
      <c r="U26" s="206">
        <v>0</v>
      </c>
      <c r="V26" s="206">
        <v>0</v>
      </c>
      <c r="W26" s="206">
        <v>0</v>
      </c>
      <c r="X26" s="206">
        <v>0</v>
      </c>
      <c r="Y26" s="206">
        <v>0</v>
      </c>
      <c r="Z26" s="206">
        <v>360876</v>
      </c>
      <c r="AA26" s="206">
        <v>0</v>
      </c>
      <c r="AB26" s="206">
        <v>0</v>
      </c>
      <c r="AC26" s="206">
        <v>0</v>
      </c>
      <c r="AD26" s="206">
        <v>0</v>
      </c>
      <c r="AE26" s="206">
        <v>0</v>
      </c>
      <c r="AF26" s="206">
        <v>0</v>
      </c>
      <c r="AG26" s="206">
        <v>0</v>
      </c>
      <c r="AH26" s="206">
        <v>0</v>
      </c>
      <c r="AI26" s="206">
        <v>0</v>
      </c>
      <c r="AJ26" s="206">
        <v>0</v>
      </c>
      <c r="AK26" s="206">
        <v>0</v>
      </c>
      <c r="AL26" s="206">
        <v>0</v>
      </c>
      <c r="AM26" s="206">
        <v>0</v>
      </c>
      <c r="AN26" s="206">
        <v>0</v>
      </c>
      <c r="AO26" s="206">
        <v>0</v>
      </c>
      <c r="AP26" s="206">
        <v>0</v>
      </c>
      <c r="AQ26" s="206">
        <v>0</v>
      </c>
      <c r="AR26" s="206">
        <v>0</v>
      </c>
      <c r="AS26" s="206">
        <v>0</v>
      </c>
      <c r="AT26" s="206">
        <v>0</v>
      </c>
      <c r="AU26" s="206">
        <v>0</v>
      </c>
      <c r="AV26" s="206">
        <v>0</v>
      </c>
      <c r="AW26" s="206">
        <v>0</v>
      </c>
    </row>
    <row r="27" spans="3:49" x14ac:dyDescent="0.3">
      <c r="C27" s="206">
        <v>24</v>
      </c>
      <c r="D27" s="206">
        <v>4</v>
      </c>
      <c r="E27" s="206">
        <v>9</v>
      </c>
      <c r="F27" s="206">
        <v>12656</v>
      </c>
      <c r="G27" s="206">
        <v>0</v>
      </c>
      <c r="H27" s="206">
        <v>0</v>
      </c>
      <c r="I27" s="206">
        <v>1000</v>
      </c>
      <c r="J27" s="206">
        <v>0</v>
      </c>
      <c r="K27" s="206">
        <v>0</v>
      </c>
      <c r="L27" s="206">
        <v>0</v>
      </c>
      <c r="M27" s="206">
        <v>0</v>
      </c>
      <c r="N27" s="206">
        <v>0</v>
      </c>
      <c r="O27" s="206">
        <v>0</v>
      </c>
      <c r="P27" s="206">
        <v>0</v>
      </c>
      <c r="Q27" s="206">
        <v>4656</v>
      </c>
      <c r="R27" s="206">
        <v>7000</v>
      </c>
      <c r="S27" s="206">
        <v>0</v>
      </c>
      <c r="T27" s="206">
        <v>0</v>
      </c>
      <c r="U27" s="206">
        <v>0</v>
      </c>
      <c r="V27" s="206">
        <v>0</v>
      </c>
      <c r="W27" s="206">
        <v>0</v>
      </c>
      <c r="X27" s="206">
        <v>0</v>
      </c>
      <c r="Y27" s="206">
        <v>0</v>
      </c>
      <c r="Z27" s="206">
        <v>0</v>
      </c>
      <c r="AA27" s="206">
        <v>0</v>
      </c>
      <c r="AB27" s="206">
        <v>0</v>
      </c>
      <c r="AC27" s="206">
        <v>0</v>
      </c>
      <c r="AD27" s="206">
        <v>0</v>
      </c>
      <c r="AE27" s="206">
        <v>0</v>
      </c>
      <c r="AF27" s="206">
        <v>0</v>
      </c>
      <c r="AG27" s="206">
        <v>0</v>
      </c>
      <c r="AH27" s="206">
        <v>0</v>
      </c>
      <c r="AI27" s="206">
        <v>0</v>
      </c>
      <c r="AJ27" s="206">
        <v>0</v>
      </c>
      <c r="AK27" s="206">
        <v>0</v>
      </c>
      <c r="AL27" s="206">
        <v>0</v>
      </c>
      <c r="AM27" s="206">
        <v>0</v>
      </c>
      <c r="AN27" s="206">
        <v>0</v>
      </c>
      <c r="AO27" s="206">
        <v>0</v>
      </c>
      <c r="AP27" s="206">
        <v>0</v>
      </c>
      <c r="AQ27" s="206">
        <v>0</v>
      </c>
      <c r="AR27" s="206">
        <v>0</v>
      </c>
      <c r="AS27" s="206">
        <v>0</v>
      </c>
      <c r="AT27" s="206">
        <v>0</v>
      </c>
      <c r="AU27" s="206">
        <v>0</v>
      </c>
      <c r="AV27" s="206">
        <v>0</v>
      </c>
      <c r="AW27" s="206">
        <v>0</v>
      </c>
    </row>
    <row r="28" spans="3:49" x14ac:dyDescent="0.3">
      <c r="C28" s="206">
        <v>24</v>
      </c>
      <c r="D28" s="206">
        <v>4</v>
      </c>
      <c r="E28" s="206">
        <v>10</v>
      </c>
      <c r="F28" s="206">
        <v>2950</v>
      </c>
      <c r="G28" s="206">
        <v>2950</v>
      </c>
      <c r="H28" s="206">
        <v>0</v>
      </c>
      <c r="I28" s="206">
        <v>0</v>
      </c>
      <c r="J28" s="206">
        <v>0</v>
      </c>
      <c r="K28" s="206">
        <v>0</v>
      </c>
      <c r="L28" s="206">
        <v>0</v>
      </c>
      <c r="M28" s="206">
        <v>0</v>
      </c>
      <c r="N28" s="206">
        <v>0</v>
      </c>
      <c r="O28" s="206">
        <v>0</v>
      </c>
      <c r="P28" s="206">
        <v>0</v>
      </c>
      <c r="Q28" s="206">
        <v>0</v>
      </c>
      <c r="R28" s="206">
        <v>0</v>
      </c>
      <c r="S28" s="206">
        <v>0</v>
      </c>
      <c r="T28" s="206">
        <v>0</v>
      </c>
      <c r="U28" s="206">
        <v>0</v>
      </c>
      <c r="V28" s="206">
        <v>0</v>
      </c>
      <c r="W28" s="206">
        <v>0</v>
      </c>
      <c r="X28" s="206">
        <v>0</v>
      </c>
      <c r="Y28" s="206">
        <v>0</v>
      </c>
      <c r="Z28" s="206">
        <v>0</v>
      </c>
      <c r="AA28" s="206">
        <v>0</v>
      </c>
      <c r="AB28" s="206">
        <v>0</v>
      </c>
      <c r="AC28" s="206">
        <v>0</v>
      </c>
      <c r="AD28" s="206">
        <v>0</v>
      </c>
      <c r="AE28" s="206">
        <v>0</v>
      </c>
      <c r="AF28" s="206">
        <v>0</v>
      </c>
      <c r="AG28" s="206">
        <v>0</v>
      </c>
      <c r="AH28" s="206">
        <v>0</v>
      </c>
      <c r="AI28" s="206">
        <v>0</v>
      </c>
      <c r="AJ28" s="206">
        <v>0</v>
      </c>
      <c r="AK28" s="206">
        <v>0</v>
      </c>
      <c r="AL28" s="206">
        <v>0</v>
      </c>
      <c r="AM28" s="206">
        <v>0</v>
      </c>
      <c r="AN28" s="206">
        <v>0</v>
      </c>
      <c r="AO28" s="206">
        <v>0</v>
      </c>
      <c r="AP28" s="206">
        <v>0</v>
      </c>
      <c r="AQ28" s="206">
        <v>0</v>
      </c>
      <c r="AR28" s="206">
        <v>0</v>
      </c>
      <c r="AS28" s="206">
        <v>0</v>
      </c>
      <c r="AT28" s="206">
        <v>0</v>
      </c>
      <c r="AU28" s="206">
        <v>0</v>
      </c>
      <c r="AV28" s="206">
        <v>0</v>
      </c>
      <c r="AW28" s="206">
        <v>0</v>
      </c>
    </row>
    <row r="29" spans="3:49" x14ac:dyDescent="0.3">
      <c r="C29" s="206">
        <v>24</v>
      </c>
      <c r="D29" s="206">
        <v>4</v>
      </c>
      <c r="E29" s="206">
        <v>11</v>
      </c>
      <c r="F29" s="206">
        <v>8583.5972562028128</v>
      </c>
      <c r="G29" s="206">
        <v>3583.5972562028123</v>
      </c>
      <c r="H29" s="206">
        <v>5000</v>
      </c>
      <c r="I29" s="206">
        <v>0</v>
      </c>
      <c r="J29" s="206">
        <v>0</v>
      </c>
      <c r="K29" s="206">
        <v>0</v>
      </c>
      <c r="L29" s="206">
        <v>0</v>
      </c>
      <c r="M29" s="206">
        <v>0</v>
      </c>
      <c r="N29" s="206">
        <v>0</v>
      </c>
      <c r="O29" s="206">
        <v>0</v>
      </c>
      <c r="P29" s="206">
        <v>0</v>
      </c>
      <c r="Q29" s="206">
        <v>0</v>
      </c>
      <c r="R29" s="206">
        <v>0</v>
      </c>
      <c r="S29" s="206">
        <v>0</v>
      </c>
      <c r="T29" s="206">
        <v>0</v>
      </c>
      <c r="U29" s="206">
        <v>0</v>
      </c>
      <c r="V29" s="206">
        <v>0</v>
      </c>
      <c r="W29" s="206">
        <v>0</v>
      </c>
      <c r="X29" s="206">
        <v>0</v>
      </c>
      <c r="Y29" s="206">
        <v>0</v>
      </c>
      <c r="Z29" s="206">
        <v>0</v>
      </c>
      <c r="AA29" s="206">
        <v>0</v>
      </c>
      <c r="AB29" s="206">
        <v>0</v>
      </c>
      <c r="AC29" s="206">
        <v>0</v>
      </c>
      <c r="AD29" s="206">
        <v>0</v>
      </c>
      <c r="AE29" s="206">
        <v>0</v>
      </c>
      <c r="AF29" s="206">
        <v>0</v>
      </c>
      <c r="AG29" s="206">
        <v>0</v>
      </c>
      <c r="AH29" s="206">
        <v>0</v>
      </c>
      <c r="AI29" s="206">
        <v>0</v>
      </c>
      <c r="AJ29" s="206">
        <v>0</v>
      </c>
      <c r="AK29" s="206">
        <v>0</v>
      </c>
      <c r="AL29" s="206">
        <v>0</v>
      </c>
      <c r="AM29" s="206">
        <v>0</v>
      </c>
      <c r="AN29" s="206">
        <v>0</v>
      </c>
      <c r="AO29" s="206">
        <v>0</v>
      </c>
      <c r="AP29" s="206">
        <v>0</v>
      </c>
      <c r="AQ29" s="206">
        <v>0</v>
      </c>
      <c r="AR29" s="206">
        <v>0</v>
      </c>
      <c r="AS29" s="206">
        <v>0</v>
      </c>
      <c r="AT29" s="206">
        <v>0</v>
      </c>
      <c r="AU29" s="206">
        <v>0</v>
      </c>
      <c r="AV29" s="206">
        <v>0</v>
      </c>
      <c r="AW29" s="206">
        <v>0</v>
      </c>
    </row>
    <row r="30" spans="3:49" x14ac:dyDescent="0.3">
      <c r="C30" s="206">
        <v>24</v>
      </c>
      <c r="D30" s="206">
        <v>5</v>
      </c>
      <c r="E30" s="206">
        <v>1</v>
      </c>
      <c r="F30" s="206">
        <v>53.4</v>
      </c>
      <c r="G30" s="206">
        <v>0</v>
      </c>
      <c r="H30" s="206">
        <v>1</v>
      </c>
      <c r="I30" s="206">
        <v>0.95000000000000007</v>
      </c>
      <c r="J30" s="206">
        <v>0</v>
      </c>
      <c r="K30" s="206">
        <v>0</v>
      </c>
      <c r="L30" s="206">
        <v>0</v>
      </c>
      <c r="M30" s="206">
        <v>3.9000000000000004</v>
      </c>
      <c r="N30" s="206">
        <v>6.65</v>
      </c>
      <c r="O30" s="206">
        <v>0</v>
      </c>
      <c r="P30" s="206">
        <v>0.4</v>
      </c>
      <c r="Q30" s="206">
        <v>20.6</v>
      </c>
      <c r="R30" s="206">
        <v>6.9</v>
      </c>
      <c r="S30" s="206">
        <v>0</v>
      </c>
      <c r="T30" s="206">
        <v>0</v>
      </c>
      <c r="U30" s="206">
        <v>0</v>
      </c>
      <c r="V30" s="206">
        <v>0</v>
      </c>
      <c r="W30" s="206">
        <v>0</v>
      </c>
      <c r="X30" s="206">
        <v>0</v>
      </c>
      <c r="Y30" s="206">
        <v>0</v>
      </c>
      <c r="Z30" s="206">
        <v>13</v>
      </c>
      <c r="AA30" s="206">
        <v>0</v>
      </c>
      <c r="AB30" s="206">
        <v>0</v>
      </c>
      <c r="AC30" s="206">
        <v>0</v>
      </c>
      <c r="AD30" s="206">
        <v>0</v>
      </c>
      <c r="AE30" s="206">
        <v>0</v>
      </c>
      <c r="AF30" s="206">
        <v>0</v>
      </c>
      <c r="AG30" s="206">
        <v>0</v>
      </c>
      <c r="AH30" s="206">
        <v>0</v>
      </c>
      <c r="AI30" s="206">
        <v>0</v>
      </c>
      <c r="AJ30" s="206">
        <v>0</v>
      </c>
      <c r="AK30" s="206">
        <v>0</v>
      </c>
      <c r="AL30" s="206">
        <v>0</v>
      </c>
      <c r="AM30" s="206">
        <v>0</v>
      </c>
      <c r="AN30" s="206">
        <v>0</v>
      </c>
      <c r="AO30" s="206">
        <v>0</v>
      </c>
      <c r="AP30" s="206">
        <v>0</v>
      </c>
      <c r="AQ30" s="206">
        <v>0</v>
      </c>
      <c r="AR30" s="206">
        <v>0</v>
      </c>
      <c r="AS30" s="206">
        <v>0</v>
      </c>
      <c r="AT30" s="206">
        <v>0</v>
      </c>
      <c r="AU30" s="206">
        <v>0</v>
      </c>
      <c r="AV30" s="206">
        <v>0</v>
      </c>
      <c r="AW30" s="206">
        <v>0</v>
      </c>
    </row>
    <row r="31" spans="3:49" x14ac:dyDescent="0.3">
      <c r="C31" s="206">
        <v>24</v>
      </c>
      <c r="D31" s="206">
        <v>5</v>
      </c>
      <c r="E31" s="206">
        <v>2</v>
      </c>
      <c r="F31" s="206">
        <v>9101</v>
      </c>
      <c r="G31" s="206">
        <v>0</v>
      </c>
      <c r="H31" s="206">
        <v>184</v>
      </c>
      <c r="I31" s="206">
        <v>175.10000000000002</v>
      </c>
      <c r="J31" s="206">
        <v>0</v>
      </c>
      <c r="K31" s="206">
        <v>0</v>
      </c>
      <c r="L31" s="206">
        <v>0</v>
      </c>
      <c r="M31" s="206">
        <v>696.6</v>
      </c>
      <c r="N31" s="206">
        <v>1189.8000000000002</v>
      </c>
      <c r="O31" s="206">
        <v>0</v>
      </c>
      <c r="P31" s="206">
        <v>72</v>
      </c>
      <c r="Q31" s="206">
        <v>3545.5</v>
      </c>
      <c r="R31" s="206">
        <v>1069.5999999999999</v>
      </c>
      <c r="S31" s="206">
        <v>0</v>
      </c>
      <c r="T31" s="206">
        <v>0</v>
      </c>
      <c r="U31" s="206">
        <v>0</v>
      </c>
      <c r="V31" s="206">
        <v>0</v>
      </c>
      <c r="W31" s="206">
        <v>0</v>
      </c>
      <c r="X31" s="206">
        <v>0</v>
      </c>
      <c r="Y31" s="206">
        <v>0</v>
      </c>
      <c r="Z31" s="206">
        <v>2168.4</v>
      </c>
      <c r="AA31" s="206">
        <v>0</v>
      </c>
      <c r="AB31" s="206">
        <v>0</v>
      </c>
      <c r="AC31" s="206">
        <v>0</v>
      </c>
      <c r="AD31" s="206">
        <v>0</v>
      </c>
      <c r="AE31" s="206">
        <v>0</v>
      </c>
      <c r="AF31" s="206">
        <v>0</v>
      </c>
      <c r="AG31" s="206">
        <v>0</v>
      </c>
      <c r="AH31" s="206">
        <v>0</v>
      </c>
      <c r="AI31" s="206">
        <v>0</v>
      </c>
      <c r="AJ31" s="206">
        <v>0</v>
      </c>
      <c r="AK31" s="206">
        <v>0</v>
      </c>
      <c r="AL31" s="206">
        <v>0</v>
      </c>
      <c r="AM31" s="206">
        <v>0</v>
      </c>
      <c r="AN31" s="206">
        <v>0</v>
      </c>
      <c r="AO31" s="206">
        <v>0</v>
      </c>
      <c r="AP31" s="206">
        <v>0</v>
      </c>
      <c r="AQ31" s="206">
        <v>0</v>
      </c>
      <c r="AR31" s="206">
        <v>0</v>
      </c>
      <c r="AS31" s="206">
        <v>0</v>
      </c>
      <c r="AT31" s="206">
        <v>0</v>
      </c>
      <c r="AU31" s="206">
        <v>0</v>
      </c>
      <c r="AV31" s="206">
        <v>0</v>
      </c>
      <c r="AW31" s="206">
        <v>0</v>
      </c>
    </row>
    <row r="32" spans="3:49" x14ac:dyDescent="0.3">
      <c r="C32" s="206">
        <v>24</v>
      </c>
      <c r="D32" s="206">
        <v>5</v>
      </c>
      <c r="E32" s="206">
        <v>5</v>
      </c>
      <c r="F32" s="206">
        <v>111.5</v>
      </c>
      <c r="G32" s="206">
        <v>0</v>
      </c>
      <c r="H32" s="206">
        <v>0</v>
      </c>
      <c r="I32" s="206">
        <v>40</v>
      </c>
      <c r="J32" s="206">
        <v>0</v>
      </c>
      <c r="K32" s="206">
        <v>0</v>
      </c>
      <c r="L32" s="206">
        <v>0</v>
      </c>
      <c r="M32" s="206">
        <v>71.5</v>
      </c>
      <c r="N32" s="206">
        <v>0</v>
      </c>
      <c r="O32" s="206">
        <v>0</v>
      </c>
      <c r="P32" s="206">
        <v>0</v>
      </c>
      <c r="Q32" s="206">
        <v>0</v>
      </c>
      <c r="R32" s="206">
        <v>0</v>
      </c>
      <c r="S32" s="206">
        <v>0</v>
      </c>
      <c r="T32" s="206">
        <v>0</v>
      </c>
      <c r="U32" s="206">
        <v>0</v>
      </c>
      <c r="V32" s="206">
        <v>0</v>
      </c>
      <c r="W32" s="206">
        <v>0</v>
      </c>
      <c r="X32" s="206">
        <v>0</v>
      </c>
      <c r="Y32" s="206">
        <v>0</v>
      </c>
      <c r="Z32" s="206">
        <v>0</v>
      </c>
      <c r="AA32" s="206">
        <v>0</v>
      </c>
      <c r="AB32" s="206">
        <v>0</v>
      </c>
      <c r="AC32" s="206">
        <v>0</v>
      </c>
      <c r="AD32" s="206">
        <v>0</v>
      </c>
      <c r="AE32" s="206">
        <v>0</v>
      </c>
      <c r="AF32" s="206">
        <v>0</v>
      </c>
      <c r="AG32" s="206">
        <v>0</v>
      </c>
      <c r="AH32" s="206">
        <v>0</v>
      </c>
      <c r="AI32" s="206">
        <v>0</v>
      </c>
      <c r="AJ32" s="206">
        <v>0</v>
      </c>
      <c r="AK32" s="206">
        <v>0</v>
      </c>
      <c r="AL32" s="206">
        <v>0</v>
      </c>
      <c r="AM32" s="206">
        <v>0</v>
      </c>
      <c r="AN32" s="206">
        <v>0</v>
      </c>
      <c r="AO32" s="206">
        <v>0</v>
      </c>
      <c r="AP32" s="206">
        <v>0</v>
      </c>
      <c r="AQ32" s="206">
        <v>0</v>
      </c>
      <c r="AR32" s="206">
        <v>0</v>
      </c>
      <c r="AS32" s="206">
        <v>0</v>
      </c>
      <c r="AT32" s="206">
        <v>0</v>
      </c>
      <c r="AU32" s="206">
        <v>0</v>
      </c>
      <c r="AV32" s="206">
        <v>0</v>
      </c>
      <c r="AW32" s="206">
        <v>0</v>
      </c>
    </row>
    <row r="33" spans="3:49" x14ac:dyDescent="0.3">
      <c r="C33" s="206">
        <v>24</v>
      </c>
      <c r="D33" s="206">
        <v>5</v>
      </c>
      <c r="E33" s="206">
        <v>6</v>
      </c>
      <c r="F33" s="206">
        <v>1805244</v>
      </c>
      <c r="G33" s="206">
        <v>0</v>
      </c>
      <c r="H33" s="206">
        <v>16690</v>
      </c>
      <c r="I33" s="206">
        <v>23897</v>
      </c>
      <c r="J33" s="206">
        <v>0</v>
      </c>
      <c r="K33" s="206">
        <v>0</v>
      </c>
      <c r="L33" s="206">
        <v>0</v>
      </c>
      <c r="M33" s="206">
        <v>146876</v>
      </c>
      <c r="N33" s="206">
        <v>422886</v>
      </c>
      <c r="O33" s="206">
        <v>0</v>
      </c>
      <c r="P33" s="206">
        <v>9268</v>
      </c>
      <c r="Q33" s="206">
        <v>605729</v>
      </c>
      <c r="R33" s="206">
        <v>232924</v>
      </c>
      <c r="S33" s="206">
        <v>0</v>
      </c>
      <c r="T33" s="206">
        <v>0</v>
      </c>
      <c r="U33" s="206">
        <v>0</v>
      </c>
      <c r="V33" s="206">
        <v>0</v>
      </c>
      <c r="W33" s="206">
        <v>0</v>
      </c>
      <c r="X33" s="206">
        <v>0</v>
      </c>
      <c r="Y33" s="206">
        <v>0</v>
      </c>
      <c r="Z33" s="206">
        <v>346974</v>
      </c>
      <c r="AA33" s="206">
        <v>0</v>
      </c>
      <c r="AB33" s="206">
        <v>0</v>
      </c>
      <c r="AC33" s="206">
        <v>0</v>
      </c>
      <c r="AD33" s="206">
        <v>0</v>
      </c>
      <c r="AE33" s="206">
        <v>0</v>
      </c>
      <c r="AF33" s="206">
        <v>0</v>
      </c>
      <c r="AG33" s="206">
        <v>0</v>
      </c>
      <c r="AH33" s="206">
        <v>0</v>
      </c>
      <c r="AI33" s="206">
        <v>0</v>
      </c>
      <c r="AJ33" s="206">
        <v>0</v>
      </c>
      <c r="AK33" s="206">
        <v>0</v>
      </c>
      <c r="AL33" s="206">
        <v>0</v>
      </c>
      <c r="AM33" s="206">
        <v>0</v>
      </c>
      <c r="AN33" s="206">
        <v>0</v>
      </c>
      <c r="AO33" s="206">
        <v>0</v>
      </c>
      <c r="AP33" s="206">
        <v>0</v>
      </c>
      <c r="AQ33" s="206">
        <v>0</v>
      </c>
      <c r="AR33" s="206">
        <v>0</v>
      </c>
      <c r="AS33" s="206">
        <v>0</v>
      </c>
      <c r="AT33" s="206">
        <v>0</v>
      </c>
      <c r="AU33" s="206">
        <v>0</v>
      </c>
      <c r="AV33" s="206">
        <v>0</v>
      </c>
      <c r="AW33" s="206">
        <v>0</v>
      </c>
    </row>
    <row r="34" spans="3:49" x14ac:dyDescent="0.3">
      <c r="C34" s="206">
        <v>24</v>
      </c>
      <c r="D34" s="206">
        <v>5</v>
      </c>
      <c r="E34" s="206">
        <v>9</v>
      </c>
      <c r="F34" s="206">
        <v>34897</v>
      </c>
      <c r="G34" s="206">
        <v>0</v>
      </c>
      <c r="H34" s="206">
        <v>0</v>
      </c>
      <c r="I34" s="206">
        <v>1500</v>
      </c>
      <c r="J34" s="206">
        <v>0</v>
      </c>
      <c r="K34" s="206">
        <v>0</v>
      </c>
      <c r="L34" s="206">
        <v>0</v>
      </c>
      <c r="M34" s="206">
        <v>10581</v>
      </c>
      <c r="N34" s="206">
        <v>11660</v>
      </c>
      <c r="O34" s="206">
        <v>0</v>
      </c>
      <c r="P34" s="206">
        <v>0</v>
      </c>
      <c r="Q34" s="206">
        <v>3700</v>
      </c>
      <c r="R34" s="206">
        <v>7456</v>
      </c>
      <c r="S34" s="206">
        <v>0</v>
      </c>
      <c r="T34" s="206">
        <v>0</v>
      </c>
      <c r="U34" s="206">
        <v>0</v>
      </c>
      <c r="V34" s="206">
        <v>0</v>
      </c>
      <c r="W34" s="206">
        <v>0</v>
      </c>
      <c r="X34" s="206">
        <v>0</v>
      </c>
      <c r="Y34" s="206">
        <v>0</v>
      </c>
      <c r="Z34" s="206">
        <v>0</v>
      </c>
      <c r="AA34" s="206">
        <v>0</v>
      </c>
      <c r="AB34" s="206">
        <v>0</v>
      </c>
      <c r="AC34" s="206">
        <v>0</v>
      </c>
      <c r="AD34" s="206">
        <v>0</v>
      </c>
      <c r="AE34" s="206">
        <v>0</v>
      </c>
      <c r="AF34" s="206">
        <v>0</v>
      </c>
      <c r="AG34" s="206">
        <v>0</v>
      </c>
      <c r="AH34" s="206">
        <v>0</v>
      </c>
      <c r="AI34" s="206">
        <v>0</v>
      </c>
      <c r="AJ34" s="206">
        <v>0</v>
      </c>
      <c r="AK34" s="206">
        <v>0</v>
      </c>
      <c r="AL34" s="206">
        <v>0</v>
      </c>
      <c r="AM34" s="206">
        <v>0</v>
      </c>
      <c r="AN34" s="206">
        <v>0</v>
      </c>
      <c r="AO34" s="206">
        <v>0</v>
      </c>
      <c r="AP34" s="206">
        <v>0</v>
      </c>
      <c r="AQ34" s="206">
        <v>0</v>
      </c>
      <c r="AR34" s="206">
        <v>0</v>
      </c>
      <c r="AS34" s="206">
        <v>0</v>
      </c>
      <c r="AT34" s="206">
        <v>0</v>
      </c>
      <c r="AU34" s="206">
        <v>0</v>
      </c>
      <c r="AV34" s="206">
        <v>0</v>
      </c>
      <c r="AW34" s="206">
        <v>0</v>
      </c>
    </row>
    <row r="35" spans="3:49" x14ac:dyDescent="0.3">
      <c r="C35" s="206">
        <v>24</v>
      </c>
      <c r="D35" s="206">
        <v>5</v>
      </c>
      <c r="E35" s="206">
        <v>11</v>
      </c>
      <c r="F35" s="206">
        <v>8583.5972562028128</v>
      </c>
      <c r="G35" s="206">
        <v>3583.5972562028123</v>
      </c>
      <c r="H35" s="206">
        <v>5000</v>
      </c>
      <c r="I35" s="206">
        <v>0</v>
      </c>
      <c r="J35" s="206">
        <v>0</v>
      </c>
      <c r="K35" s="206">
        <v>0</v>
      </c>
      <c r="L35" s="206">
        <v>0</v>
      </c>
      <c r="M35" s="206">
        <v>0</v>
      </c>
      <c r="N35" s="206">
        <v>0</v>
      </c>
      <c r="O35" s="206">
        <v>0</v>
      </c>
      <c r="P35" s="206">
        <v>0</v>
      </c>
      <c r="Q35" s="206">
        <v>0</v>
      </c>
      <c r="R35" s="206">
        <v>0</v>
      </c>
      <c r="S35" s="206">
        <v>0</v>
      </c>
      <c r="T35" s="206">
        <v>0</v>
      </c>
      <c r="U35" s="206">
        <v>0</v>
      </c>
      <c r="V35" s="206">
        <v>0</v>
      </c>
      <c r="W35" s="206">
        <v>0</v>
      </c>
      <c r="X35" s="206">
        <v>0</v>
      </c>
      <c r="Y35" s="206">
        <v>0</v>
      </c>
      <c r="Z35" s="206">
        <v>0</v>
      </c>
      <c r="AA35" s="206">
        <v>0</v>
      </c>
      <c r="AB35" s="206">
        <v>0</v>
      </c>
      <c r="AC35" s="206">
        <v>0</v>
      </c>
      <c r="AD35" s="206">
        <v>0</v>
      </c>
      <c r="AE35" s="206">
        <v>0</v>
      </c>
      <c r="AF35" s="206">
        <v>0</v>
      </c>
      <c r="AG35" s="206">
        <v>0</v>
      </c>
      <c r="AH35" s="206">
        <v>0</v>
      </c>
      <c r="AI35" s="206">
        <v>0</v>
      </c>
      <c r="AJ35" s="206">
        <v>0</v>
      </c>
      <c r="AK35" s="206">
        <v>0</v>
      </c>
      <c r="AL35" s="206">
        <v>0</v>
      </c>
      <c r="AM35" s="206">
        <v>0</v>
      </c>
      <c r="AN35" s="206">
        <v>0</v>
      </c>
      <c r="AO35" s="206">
        <v>0</v>
      </c>
      <c r="AP35" s="206">
        <v>0</v>
      </c>
      <c r="AQ35" s="206">
        <v>0</v>
      </c>
      <c r="AR35" s="206">
        <v>0</v>
      </c>
      <c r="AS35" s="206">
        <v>0</v>
      </c>
      <c r="AT35" s="206">
        <v>0</v>
      </c>
      <c r="AU35" s="206">
        <v>0</v>
      </c>
      <c r="AV35" s="206">
        <v>0</v>
      </c>
      <c r="AW35" s="206">
        <v>0</v>
      </c>
    </row>
    <row r="36" spans="3:49" x14ac:dyDescent="0.3">
      <c r="C36" s="206">
        <v>24</v>
      </c>
      <c r="D36" s="206">
        <v>6</v>
      </c>
      <c r="E36" s="206">
        <v>1</v>
      </c>
      <c r="F36" s="206">
        <v>53.4</v>
      </c>
      <c r="G36" s="206">
        <v>0</v>
      </c>
      <c r="H36" s="206">
        <v>1</v>
      </c>
      <c r="I36" s="206">
        <v>0.95000000000000007</v>
      </c>
      <c r="J36" s="206">
        <v>0</v>
      </c>
      <c r="K36" s="206">
        <v>0</v>
      </c>
      <c r="L36" s="206">
        <v>0</v>
      </c>
      <c r="M36" s="206">
        <v>3.9000000000000004</v>
      </c>
      <c r="N36" s="206">
        <v>6.65</v>
      </c>
      <c r="O36" s="206">
        <v>0</v>
      </c>
      <c r="P36" s="206">
        <v>0.4</v>
      </c>
      <c r="Q36" s="206">
        <v>20.6</v>
      </c>
      <c r="R36" s="206">
        <v>6.9</v>
      </c>
      <c r="S36" s="206">
        <v>0</v>
      </c>
      <c r="T36" s="206">
        <v>0</v>
      </c>
      <c r="U36" s="206">
        <v>0</v>
      </c>
      <c r="V36" s="206">
        <v>0</v>
      </c>
      <c r="W36" s="206">
        <v>0</v>
      </c>
      <c r="X36" s="206">
        <v>0</v>
      </c>
      <c r="Y36" s="206">
        <v>0</v>
      </c>
      <c r="Z36" s="206">
        <v>13</v>
      </c>
      <c r="AA36" s="206">
        <v>0</v>
      </c>
      <c r="AB36" s="206">
        <v>0</v>
      </c>
      <c r="AC36" s="206">
        <v>0</v>
      </c>
      <c r="AD36" s="206">
        <v>0</v>
      </c>
      <c r="AE36" s="206">
        <v>0</v>
      </c>
      <c r="AF36" s="206">
        <v>0</v>
      </c>
      <c r="AG36" s="206">
        <v>0</v>
      </c>
      <c r="AH36" s="206">
        <v>0</v>
      </c>
      <c r="AI36" s="206">
        <v>0</v>
      </c>
      <c r="AJ36" s="206">
        <v>0</v>
      </c>
      <c r="AK36" s="206">
        <v>0</v>
      </c>
      <c r="AL36" s="206">
        <v>0</v>
      </c>
      <c r="AM36" s="206">
        <v>0</v>
      </c>
      <c r="AN36" s="206">
        <v>0</v>
      </c>
      <c r="AO36" s="206">
        <v>0</v>
      </c>
      <c r="AP36" s="206">
        <v>0</v>
      </c>
      <c r="AQ36" s="206">
        <v>0</v>
      </c>
      <c r="AR36" s="206">
        <v>0</v>
      </c>
      <c r="AS36" s="206">
        <v>0</v>
      </c>
      <c r="AT36" s="206">
        <v>0</v>
      </c>
      <c r="AU36" s="206">
        <v>0</v>
      </c>
      <c r="AV36" s="206">
        <v>0</v>
      </c>
      <c r="AW36" s="206">
        <v>0</v>
      </c>
    </row>
    <row r="37" spans="3:49" x14ac:dyDescent="0.3">
      <c r="C37" s="206">
        <v>24</v>
      </c>
      <c r="D37" s="206">
        <v>6</v>
      </c>
      <c r="E37" s="206">
        <v>2</v>
      </c>
      <c r="F37" s="206">
        <v>8320.5</v>
      </c>
      <c r="G37" s="206">
        <v>0</v>
      </c>
      <c r="H37" s="206">
        <v>176</v>
      </c>
      <c r="I37" s="206">
        <v>146.1</v>
      </c>
      <c r="J37" s="206">
        <v>0</v>
      </c>
      <c r="K37" s="206">
        <v>0</v>
      </c>
      <c r="L37" s="206">
        <v>0</v>
      </c>
      <c r="M37" s="206">
        <v>612.80000000000007</v>
      </c>
      <c r="N37" s="206">
        <v>993.60000000000014</v>
      </c>
      <c r="O37" s="206">
        <v>0</v>
      </c>
      <c r="P37" s="206">
        <v>72</v>
      </c>
      <c r="Q37" s="206">
        <v>3280</v>
      </c>
      <c r="R37" s="206">
        <v>1054.4000000000001</v>
      </c>
      <c r="S37" s="206">
        <v>0</v>
      </c>
      <c r="T37" s="206">
        <v>0</v>
      </c>
      <c r="U37" s="206">
        <v>0</v>
      </c>
      <c r="V37" s="206">
        <v>0</v>
      </c>
      <c r="W37" s="206">
        <v>0</v>
      </c>
      <c r="X37" s="206">
        <v>0</v>
      </c>
      <c r="Y37" s="206">
        <v>0</v>
      </c>
      <c r="Z37" s="206">
        <v>1985.6000000000001</v>
      </c>
      <c r="AA37" s="206">
        <v>0</v>
      </c>
      <c r="AB37" s="206">
        <v>0</v>
      </c>
      <c r="AC37" s="206">
        <v>0</v>
      </c>
      <c r="AD37" s="206">
        <v>0</v>
      </c>
      <c r="AE37" s="206">
        <v>0</v>
      </c>
      <c r="AF37" s="206">
        <v>0</v>
      </c>
      <c r="AG37" s="206">
        <v>0</v>
      </c>
      <c r="AH37" s="206">
        <v>0</v>
      </c>
      <c r="AI37" s="206">
        <v>0</v>
      </c>
      <c r="AJ37" s="206">
        <v>0</v>
      </c>
      <c r="AK37" s="206">
        <v>0</v>
      </c>
      <c r="AL37" s="206">
        <v>0</v>
      </c>
      <c r="AM37" s="206">
        <v>0</v>
      </c>
      <c r="AN37" s="206">
        <v>0</v>
      </c>
      <c r="AO37" s="206">
        <v>0</v>
      </c>
      <c r="AP37" s="206">
        <v>0</v>
      </c>
      <c r="AQ37" s="206">
        <v>0</v>
      </c>
      <c r="AR37" s="206">
        <v>0</v>
      </c>
      <c r="AS37" s="206">
        <v>0</v>
      </c>
      <c r="AT37" s="206">
        <v>0</v>
      </c>
      <c r="AU37" s="206">
        <v>0</v>
      </c>
      <c r="AV37" s="206">
        <v>0</v>
      </c>
      <c r="AW37" s="206">
        <v>0</v>
      </c>
    </row>
    <row r="38" spans="3:49" x14ac:dyDescent="0.3">
      <c r="C38" s="206">
        <v>24</v>
      </c>
      <c r="D38" s="206">
        <v>6</v>
      </c>
      <c r="E38" s="206">
        <v>5</v>
      </c>
      <c r="F38" s="206">
        <v>112</v>
      </c>
      <c r="G38" s="206">
        <v>0</v>
      </c>
      <c r="H38" s="206">
        <v>0</v>
      </c>
      <c r="I38" s="206">
        <v>42</v>
      </c>
      <c r="J38" s="206">
        <v>0</v>
      </c>
      <c r="K38" s="206">
        <v>0</v>
      </c>
      <c r="L38" s="206">
        <v>0</v>
      </c>
      <c r="M38" s="206">
        <v>70</v>
      </c>
      <c r="N38" s="206">
        <v>0</v>
      </c>
      <c r="O38" s="206">
        <v>0</v>
      </c>
      <c r="P38" s="206">
        <v>0</v>
      </c>
      <c r="Q38" s="206">
        <v>0</v>
      </c>
      <c r="R38" s="206">
        <v>0</v>
      </c>
      <c r="S38" s="206">
        <v>0</v>
      </c>
      <c r="T38" s="206">
        <v>0</v>
      </c>
      <c r="U38" s="206">
        <v>0</v>
      </c>
      <c r="V38" s="206">
        <v>0</v>
      </c>
      <c r="W38" s="206">
        <v>0</v>
      </c>
      <c r="X38" s="206">
        <v>0</v>
      </c>
      <c r="Y38" s="206">
        <v>0</v>
      </c>
      <c r="Z38" s="206">
        <v>0</v>
      </c>
      <c r="AA38" s="206">
        <v>0</v>
      </c>
      <c r="AB38" s="206">
        <v>0</v>
      </c>
      <c r="AC38" s="206">
        <v>0</v>
      </c>
      <c r="AD38" s="206">
        <v>0</v>
      </c>
      <c r="AE38" s="206">
        <v>0</v>
      </c>
      <c r="AF38" s="206">
        <v>0</v>
      </c>
      <c r="AG38" s="206">
        <v>0</v>
      </c>
      <c r="AH38" s="206">
        <v>0</v>
      </c>
      <c r="AI38" s="206">
        <v>0</v>
      </c>
      <c r="AJ38" s="206">
        <v>0</v>
      </c>
      <c r="AK38" s="206">
        <v>0</v>
      </c>
      <c r="AL38" s="206">
        <v>0</v>
      </c>
      <c r="AM38" s="206">
        <v>0</v>
      </c>
      <c r="AN38" s="206">
        <v>0</v>
      </c>
      <c r="AO38" s="206">
        <v>0</v>
      </c>
      <c r="AP38" s="206">
        <v>0</v>
      </c>
      <c r="AQ38" s="206">
        <v>0</v>
      </c>
      <c r="AR38" s="206">
        <v>0</v>
      </c>
      <c r="AS38" s="206">
        <v>0</v>
      </c>
      <c r="AT38" s="206">
        <v>0</v>
      </c>
      <c r="AU38" s="206">
        <v>0</v>
      </c>
      <c r="AV38" s="206">
        <v>0</v>
      </c>
      <c r="AW38" s="206">
        <v>0</v>
      </c>
    </row>
    <row r="39" spans="3:49" x14ac:dyDescent="0.3">
      <c r="C39" s="206">
        <v>24</v>
      </c>
      <c r="D39" s="206">
        <v>6</v>
      </c>
      <c r="E39" s="206">
        <v>6</v>
      </c>
      <c r="F39" s="206">
        <v>1819512</v>
      </c>
      <c r="G39" s="206">
        <v>0</v>
      </c>
      <c r="H39" s="206">
        <v>16690</v>
      </c>
      <c r="I39" s="206">
        <v>23470</v>
      </c>
      <c r="J39" s="206">
        <v>0</v>
      </c>
      <c r="K39" s="206">
        <v>0</v>
      </c>
      <c r="L39" s="206">
        <v>0</v>
      </c>
      <c r="M39" s="206">
        <v>136205</v>
      </c>
      <c r="N39" s="206">
        <v>415148</v>
      </c>
      <c r="O39" s="206">
        <v>0</v>
      </c>
      <c r="P39" s="206">
        <v>10268</v>
      </c>
      <c r="Q39" s="206">
        <v>604713</v>
      </c>
      <c r="R39" s="206">
        <v>253400</v>
      </c>
      <c r="S39" s="206">
        <v>0</v>
      </c>
      <c r="T39" s="206">
        <v>0</v>
      </c>
      <c r="U39" s="206">
        <v>0</v>
      </c>
      <c r="V39" s="206">
        <v>0</v>
      </c>
      <c r="W39" s="206">
        <v>0</v>
      </c>
      <c r="X39" s="206">
        <v>0</v>
      </c>
      <c r="Y39" s="206">
        <v>0</v>
      </c>
      <c r="Z39" s="206">
        <v>359618</v>
      </c>
      <c r="AA39" s="206">
        <v>0</v>
      </c>
      <c r="AB39" s="206">
        <v>0</v>
      </c>
      <c r="AC39" s="206">
        <v>0</v>
      </c>
      <c r="AD39" s="206">
        <v>0</v>
      </c>
      <c r="AE39" s="206">
        <v>0</v>
      </c>
      <c r="AF39" s="206">
        <v>0</v>
      </c>
      <c r="AG39" s="206">
        <v>0</v>
      </c>
      <c r="AH39" s="206">
        <v>0</v>
      </c>
      <c r="AI39" s="206">
        <v>0</v>
      </c>
      <c r="AJ39" s="206">
        <v>0</v>
      </c>
      <c r="AK39" s="206">
        <v>0</v>
      </c>
      <c r="AL39" s="206">
        <v>0</v>
      </c>
      <c r="AM39" s="206">
        <v>0</v>
      </c>
      <c r="AN39" s="206">
        <v>0</v>
      </c>
      <c r="AO39" s="206">
        <v>0</v>
      </c>
      <c r="AP39" s="206">
        <v>0</v>
      </c>
      <c r="AQ39" s="206">
        <v>0</v>
      </c>
      <c r="AR39" s="206">
        <v>0</v>
      </c>
      <c r="AS39" s="206">
        <v>0</v>
      </c>
      <c r="AT39" s="206">
        <v>0</v>
      </c>
      <c r="AU39" s="206">
        <v>0</v>
      </c>
      <c r="AV39" s="206">
        <v>0</v>
      </c>
      <c r="AW39" s="206">
        <v>0</v>
      </c>
    </row>
    <row r="40" spans="3:49" x14ac:dyDescent="0.3">
      <c r="C40" s="206">
        <v>24</v>
      </c>
      <c r="D40" s="206">
        <v>6</v>
      </c>
      <c r="E40" s="206">
        <v>9</v>
      </c>
      <c r="F40" s="206">
        <v>32080</v>
      </c>
      <c r="G40" s="206">
        <v>0</v>
      </c>
      <c r="H40" s="206">
        <v>0</v>
      </c>
      <c r="I40" s="206">
        <v>700</v>
      </c>
      <c r="J40" s="206">
        <v>0</v>
      </c>
      <c r="K40" s="206">
        <v>0</v>
      </c>
      <c r="L40" s="206">
        <v>0</v>
      </c>
      <c r="M40" s="206">
        <v>0</v>
      </c>
      <c r="N40" s="206">
        <v>0</v>
      </c>
      <c r="O40" s="206">
        <v>0</v>
      </c>
      <c r="P40" s="206">
        <v>0</v>
      </c>
      <c r="Q40" s="206">
        <v>9532</v>
      </c>
      <c r="R40" s="206">
        <v>1000</v>
      </c>
      <c r="S40" s="206">
        <v>0</v>
      </c>
      <c r="T40" s="206">
        <v>0</v>
      </c>
      <c r="U40" s="206">
        <v>0</v>
      </c>
      <c r="V40" s="206">
        <v>0</v>
      </c>
      <c r="W40" s="206">
        <v>0</v>
      </c>
      <c r="X40" s="206">
        <v>0</v>
      </c>
      <c r="Y40" s="206">
        <v>0</v>
      </c>
      <c r="Z40" s="206">
        <v>20848</v>
      </c>
      <c r="AA40" s="206">
        <v>0</v>
      </c>
      <c r="AB40" s="206">
        <v>0</v>
      </c>
      <c r="AC40" s="206">
        <v>0</v>
      </c>
      <c r="AD40" s="206">
        <v>0</v>
      </c>
      <c r="AE40" s="206">
        <v>0</v>
      </c>
      <c r="AF40" s="206">
        <v>0</v>
      </c>
      <c r="AG40" s="206">
        <v>0</v>
      </c>
      <c r="AH40" s="206">
        <v>0</v>
      </c>
      <c r="AI40" s="206">
        <v>0</v>
      </c>
      <c r="AJ40" s="206">
        <v>0</v>
      </c>
      <c r="AK40" s="206">
        <v>0</v>
      </c>
      <c r="AL40" s="206">
        <v>0</v>
      </c>
      <c r="AM40" s="206">
        <v>0</v>
      </c>
      <c r="AN40" s="206">
        <v>0</v>
      </c>
      <c r="AO40" s="206">
        <v>0</v>
      </c>
      <c r="AP40" s="206">
        <v>0</v>
      </c>
      <c r="AQ40" s="206">
        <v>0</v>
      </c>
      <c r="AR40" s="206">
        <v>0</v>
      </c>
      <c r="AS40" s="206">
        <v>0</v>
      </c>
      <c r="AT40" s="206">
        <v>0</v>
      </c>
      <c r="AU40" s="206">
        <v>0</v>
      </c>
      <c r="AV40" s="206">
        <v>0</v>
      </c>
      <c r="AW40" s="206">
        <v>0</v>
      </c>
    </row>
    <row r="41" spans="3:49" x14ac:dyDescent="0.3">
      <c r="C41" s="206">
        <v>24</v>
      </c>
      <c r="D41" s="206">
        <v>6</v>
      </c>
      <c r="E41" s="206">
        <v>10</v>
      </c>
      <c r="F41" s="206">
        <v>19800</v>
      </c>
      <c r="G41" s="206">
        <v>0</v>
      </c>
      <c r="H41" s="206">
        <v>19800</v>
      </c>
      <c r="I41" s="206">
        <v>0</v>
      </c>
      <c r="J41" s="206">
        <v>0</v>
      </c>
      <c r="K41" s="206">
        <v>0</v>
      </c>
      <c r="L41" s="206">
        <v>0</v>
      </c>
      <c r="M41" s="206">
        <v>0</v>
      </c>
      <c r="N41" s="206">
        <v>0</v>
      </c>
      <c r="O41" s="206">
        <v>0</v>
      </c>
      <c r="P41" s="206">
        <v>0</v>
      </c>
      <c r="Q41" s="206">
        <v>0</v>
      </c>
      <c r="R41" s="206">
        <v>0</v>
      </c>
      <c r="S41" s="206">
        <v>0</v>
      </c>
      <c r="T41" s="206">
        <v>0</v>
      </c>
      <c r="U41" s="206">
        <v>0</v>
      </c>
      <c r="V41" s="206">
        <v>0</v>
      </c>
      <c r="W41" s="206">
        <v>0</v>
      </c>
      <c r="X41" s="206">
        <v>0</v>
      </c>
      <c r="Y41" s="206">
        <v>0</v>
      </c>
      <c r="Z41" s="206">
        <v>0</v>
      </c>
      <c r="AA41" s="206">
        <v>0</v>
      </c>
      <c r="AB41" s="206">
        <v>0</v>
      </c>
      <c r="AC41" s="206">
        <v>0</v>
      </c>
      <c r="AD41" s="206">
        <v>0</v>
      </c>
      <c r="AE41" s="206">
        <v>0</v>
      </c>
      <c r="AF41" s="206">
        <v>0</v>
      </c>
      <c r="AG41" s="206">
        <v>0</v>
      </c>
      <c r="AH41" s="206">
        <v>0</v>
      </c>
      <c r="AI41" s="206">
        <v>0</v>
      </c>
      <c r="AJ41" s="206">
        <v>0</v>
      </c>
      <c r="AK41" s="206">
        <v>0</v>
      </c>
      <c r="AL41" s="206">
        <v>0</v>
      </c>
      <c r="AM41" s="206">
        <v>0</v>
      </c>
      <c r="AN41" s="206">
        <v>0</v>
      </c>
      <c r="AO41" s="206">
        <v>0</v>
      </c>
      <c r="AP41" s="206">
        <v>0</v>
      </c>
      <c r="AQ41" s="206">
        <v>0</v>
      </c>
      <c r="AR41" s="206">
        <v>0</v>
      </c>
      <c r="AS41" s="206">
        <v>0</v>
      </c>
      <c r="AT41" s="206">
        <v>0</v>
      </c>
      <c r="AU41" s="206">
        <v>0</v>
      </c>
      <c r="AV41" s="206">
        <v>0</v>
      </c>
      <c r="AW41" s="206">
        <v>0</v>
      </c>
    </row>
    <row r="42" spans="3:49" x14ac:dyDescent="0.3">
      <c r="C42" s="206">
        <v>24</v>
      </c>
      <c r="D42" s="206">
        <v>6</v>
      </c>
      <c r="E42" s="206">
        <v>11</v>
      </c>
      <c r="F42" s="206">
        <v>8583.5972562028128</v>
      </c>
      <c r="G42" s="206">
        <v>3583.5972562028123</v>
      </c>
      <c r="H42" s="206">
        <v>5000</v>
      </c>
      <c r="I42" s="206">
        <v>0</v>
      </c>
      <c r="J42" s="206">
        <v>0</v>
      </c>
      <c r="K42" s="206">
        <v>0</v>
      </c>
      <c r="L42" s="206">
        <v>0</v>
      </c>
      <c r="M42" s="206">
        <v>0</v>
      </c>
      <c r="N42" s="206">
        <v>0</v>
      </c>
      <c r="O42" s="206">
        <v>0</v>
      </c>
      <c r="P42" s="206">
        <v>0</v>
      </c>
      <c r="Q42" s="206">
        <v>0</v>
      </c>
      <c r="R42" s="206">
        <v>0</v>
      </c>
      <c r="S42" s="206">
        <v>0</v>
      </c>
      <c r="T42" s="206">
        <v>0</v>
      </c>
      <c r="U42" s="206">
        <v>0</v>
      </c>
      <c r="V42" s="206">
        <v>0</v>
      </c>
      <c r="W42" s="206">
        <v>0</v>
      </c>
      <c r="X42" s="206">
        <v>0</v>
      </c>
      <c r="Y42" s="206">
        <v>0</v>
      </c>
      <c r="Z42" s="206">
        <v>0</v>
      </c>
      <c r="AA42" s="206">
        <v>0</v>
      </c>
      <c r="AB42" s="206">
        <v>0</v>
      </c>
      <c r="AC42" s="206">
        <v>0</v>
      </c>
      <c r="AD42" s="206">
        <v>0</v>
      </c>
      <c r="AE42" s="206">
        <v>0</v>
      </c>
      <c r="AF42" s="206">
        <v>0</v>
      </c>
      <c r="AG42" s="206">
        <v>0</v>
      </c>
      <c r="AH42" s="206">
        <v>0</v>
      </c>
      <c r="AI42" s="206">
        <v>0</v>
      </c>
      <c r="AJ42" s="206">
        <v>0</v>
      </c>
      <c r="AK42" s="206">
        <v>0</v>
      </c>
      <c r="AL42" s="206">
        <v>0</v>
      </c>
      <c r="AM42" s="206">
        <v>0</v>
      </c>
      <c r="AN42" s="206">
        <v>0</v>
      </c>
      <c r="AO42" s="206">
        <v>0</v>
      </c>
      <c r="AP42" s="206">
        <v>0</v>
      </c>
      <c r="AQ42" s="206">
        <v>0</v>
      </c>
      <c r="AR42" s="206">
        <v>0</v>
      </c>
      <c r="AS42" s="206">
        <v>0</v>
      </c>
      <c r="AT42" s="206">
        <v>0</v>
      </c>
      <c r="AU42" s="206">
        <v>0</v>
      </c>
      <c r="AV42" s="206">
        <v>0</v>
      </c>
      <c r="AW42" s="206">
        <v>0</v>
      </c>
    </row>
    <row r="43" spans="3:49" x14ac:dyDescent="0.3">
      <c r="C43" s="206">
        <v>24</v>
      </c>
      <c r="D43" s="206">
        <v>7</v>
      </c>
      <c r="E43" s="206">
        <v>1</v>
      </c>
      <c r="F43" s="206">
        <v>53.300000000000004</v>
      </c>
      <c r="G43" s="206">
        <v>0</v>
      </c>
      <c r="H43" s="206">
        <v>1</v>
      </c>
      <c r="I43" s="206">
        <v>0.95000000000000007</v>
      </c>
      <c r="J43" s="206">
        <v>0</v>
      </c>
      <c r="K43" s="206">
        <v>0</v>
      </c>
      <c r="L43" s="206">
        <v>0</v>
      </c>
      <c r="M43" s="206">
        <v>3.8000000000000003</v>
      </c>
      <c r="N43" s="206">
        <v>6.65</v>
      </c>
      <c r="O43" s="206">
        <v>0</v>
      </c>
      <c r="P43" s="206">
        <v>0.4</v>
      </c>
      <c r="Q43" s="206">
        <v>20.6</v>
      </c>
      <c r="R43" s="206">
        <v>6.9</v>
      </c>
      <c r="S43" s="206">
        <v>0</v>
      </c>
      <c r="T43" s="206">
        <v>0</v>
      </c>
      <c r="U43" s="206">
        <v>0</v>
      </c>
      <c r="V43" s="206">
        <v>0</v>
      </c>
      <c r="W43" s="206">
        <v>0</v>
      </c>
      <c r="X43" s="206">
        <v>0</v>
      </c>
      <c r="Y43" s="206">
        <v>0</v>
      </c>
      <c r="Z43" s="206">
        <v>13</v>
      </c>
      <c r="AA43" s="206">
        <v>0</v>
      </c>
      <c r="AB43" s="206">
        <v>0</v>
      </c>
      <c r="AC43" s="206">
        <v>0</v>
      </c>
      <c r="AD43" s="206">
        <v>0</v>
      </c>
      <c r="AE43" s="206">
        <v>0</v>
      </c>
      <c r="AF43" s="206">
        <v>0</v>
      </c>
      <c r="AG43" s="206">
        <v>0</v>
      </c>
      <c r="AH43" s="206">
        <v>0</v>
      </c>
      <c r="AI43" s="206">
        <v>0</v>
      </c>
      <c r="AJ43" s="206">
        <v>0</v>
      </c>
      <c r="AK43" s="206">
        <v>0</v>
      </c>
      <c r="AL43" s="206">
        <v>0</v>
      </c>
      <c r="AM43" s="206">
        <v>0</v>
      </c>
      <c r="AN43" s="206">
        <v>0</v>
      </c>
      <c r="AO43" s="206">
        <v>0</v>
      </c>
      <c r="AP43" s="206">
        <v>0</v>
      </c>
      <c r="AQ43" s="206">
        <v>0</v>
      </c>
      <c r="AR43" s="206">
        <v>0</v>
      </c>
      <c r="AS43" s="206">
        <v>0</v>
      </c>
      <c r="AT43" s="206">
        <v>0</v>
      </c>
      <c r="AU43" s="206">
        <v>0</v>
      </c>
      <c r="AV43" s="206">
        <v>0</v>
      </c>
      <c r="AW43" s="206">
        <v>0</v>
      </c>
    </row>
    <row r="44" spans="3:49" x14ac:dyDescent="0.3">
      <c r="C44" s="206">
        <v>24</v>
      </c>
      <c r="D44" s="206">
        <v>7</v>
      </c>
      <c r="E44" s="206">
        <v>2</v>
      </c>
      <c r="F44" s="206">
        <v>5760.2</v>
      </c>
      <c r="G44" s="206">
        <v>0</v>
      </c>
      <c r="H44" s="206">
        <v>80</v>
      </c>
      <c r="I44" s="206">
        <v>89.300000000000011</v>
      </c>
      <c r="J44" s="206">
        <v>0</v>
      </c>
      <c r="K44" s="206">
        <v>0</v>
      </c>
      <c r="L44" s="206">
        <v>0</v>
      </c>
      <c r="M44" s="206">
        <v>437.50000000000006</v>
      </c>
      <c r="N44" s="206">
        <v>882.2</v>
      </c>
      <c r="O44" s="206">
        <v>0</v>
      </c>
      <c r="P44" s="206">
        <v>64</v>
      </c>
      <c r="Q44" s="206">
        <v>1968</v>
      </c>
      <c r="R44" s="206">
        <v>739.2</v>
      </c>
      <c r="S44" s="206">
        <v>0</v>
      </c>
      <c r="T44" s="206">
        <v>0</v>
      </c>
      <c r="U44" s="206">
        <v>0</v>
      </c>
      <c r="V44" s="206">
        <v>0</v>
      </c>
      <c r="W44" s="206">
        <v>0</v>
      </c>
      <c r="X44" s="206">
        <v>0</v>
      </c>
      <c r="Y44" s="206">
        <v>0</v>
      </c>
      <c r="Z44" s="206">
        <v>1500</v>
      </c>
      <c r="AA44" s="206">
        <v>0</v>
      </c>
      <c r="AB44" s="206">
        <v>0</v>
      </c>
      <c r="AC44" s="206">
        <v>0</v>
      </c>
      <c r="AD44" s="206">
        <v>0</v>
      </c>
      <c r="AE44" s="206">
        <v>0</v>
      </c>
      <c r="AF44" s="206">
        <v>0</v>
      </c>
      <c r="AG44" s="206">
        <v>0</v>
      </c>
      <c r="AH44" s="206">
        <v>0</v>
      </c>
      <c r="AI44" s="206">
        <v>0</v>
      </c>
      <c r="AJ44" s="206">
        <v>0</v>
      </c>
      <c r="AK44" s="206">
        <v>0</v>
      </c>
      <c r="AL44" s="206">
        <v>0</v>
      </c>
      <c r="AM44" s="206">
        <v>0</v>
      </c>
      <c r="AN44" s="206">
        <v>0</v>
      </c>
      <c r="AO44" s="206">
        <v>0</v>
      </c>
      <c r="AP44" s="206">
        <v>0</v>
      </c>
      <c r="AQ44" s="206">
        <v>0</v>
      </c>
      <c r="AR44" s="206">
        <v>0</v>
      </c>
      <c r="AS44" s="206">
        <v>0</v>
      </c>
      <c r="AT44" s="206">
        <v>0</v>
      </c>
      <c r="AU44" s="206">
        <v>0</v>
      </c>
      <c r="AV44" s="206">
        <v>0</v>
      </c>
      <c r="AW44" s="206">
        <v>0</v>
      </c>
    </row>
    <row r="45" spans="3:49" x14ac:dyDescent="0.3">
      <c r="C45" s="206">
        <v>24</v>
      </c>
      <c r="D45" s="206">
        <v>7</v>
      </c>
      <c r="E45" s="206">
        <v>5</v>
      </c>
      <c r="F45" s="206">
        <v>48</v>
      </c>
      <c r="G45" s="206">
        <v>0</v>
      </c>
      <c r="H45" s="206">
        <v>0</v>
      </c>
      <c r="I45" s="206">
        <v>18</v>
      </c>
      <c r="J45" s="206">
        <v>0</v>
      </c>
      <c r="K45" s="206">
        <v>0</v>
      </c>
      <c r="L45" s="206">
        <v>0</v>
      </c>
      <c r="M45" s="206">
        <v>30</v>
      </c>
      <c r="N45" s="206">
        <v>0</v>
      </c>
      <c r="O45" s="206">
        <v>0</v>
      </c>
      <c r="P45" s="206">
        <v>0</v>
      </c>
      <c r="Q45" s="206">
        <v>0</v>
      </c>
      <c r="R45" s="206">
        <v>0</v>
      </c>
      <c r="S45" s="206">
        <v>0</v>
      </c>
      <c r="T45" s="206">
        <v>0</v>
      </c>
      <c r="U45" s="206">
        <v>0</v>
      </c>
      <c r="V45" s="206">
        <v>0</v>
      </c>
      <c r="W45" s="206">
        <v>0</v>
      </c>
      <c r="X45" s="206">
        <v>0</v>
      </c>
      <c r="Y45" s="206">
        <v>0</v>
      </c>
      <c r="Z45" s="206">
        <v>0</v>
      </c>
      <c r="AA45" s="206">
        <v>0</v>
      </c>
      <c r="AB45" s="206">
        <v>0</v>
      </c>
      <c r="AC45" s="206">
        <v>0</v>
      </c>
      <c r="AD45" s="206">
        <v>0</v>
      </c>
      <c r="AE45" s="206">
        <v>0</v>
      </c>
      <c r="AF45" s="206">
        <v>0</v>
      </c>
      <c r="AG45" s="206">
        <v>0</v>
      </c>
      <c r="AH45" s="206">
        <v>0</v>
      </c>
      <c r="AI45" s="206">
        <v>0</v>
      </c>
      <c r="AJ45" s="206">
        <v>0</v>
      </c>
      <c r="AK45" s="206">
        <v>0</v>
      </c>
      <c r="AL45" s="206">
        <v>0</v>
      </c>
      <c r="AM45" s="206">
        <v>0</v>
      </c>
      <c r="AN45" s="206">
        <v>0</v>
      </c>
      <c r="AO45" s="206">
        <v>0</v>
      </c>
      <c r="AP45" s="206">
        <v>0</v>
      </c>
      <c r="AQ45" s="206">
        <v>0</v>
      </c>
      <c r="AR45" s="206">
        <v>0</v>
      </c>
      <c r="AS45" s="206">
        <v>0</v>
      </c>
      <c r="AT45" s="206">
        <v>0</v>
      </c>
      <c r="AU45" s="206">
        <v>0</v>
      </c>
      <c r="AV45" s="206">
        <v>0</v>
      </c>
      <c r="AW45" s="206">
        <v>0</v>
      </c>
    </row>
    <row r="46" spans="3:49" x14ac:dyDescent="0.3">
      <c r="C46" s="206">
        <v>24</v>
      </c>
      <c r="D46" s="206">
        <v>7</v>
      </c>
      <c r="E46" s="206">
        <v>6</v>
      </c>
      <c r="F46" s="206">
        <v>2536585</v>
      </c>
      <c r="G46" s="206">
        <v>0</v>
      </c>
      <c r="H46" s="206">
        <v>23424</v>
      </c>
      <c r="I46" s="206">
        <v>26724</v>
      </c>
      <c r="J46" s="206">
        <v>0</v>
      </c>
      <c r="K46" s="206">
        <v>0</v>
      </c>
      <c r="L46" s="206">
        <v>0</v>
      </c>
      <c r="M46" s="206">
        <v>179887</v>
      </c>
      <c r="N46" s="206">
        <v>669754</v>
      </c>
      <c r="O46" s="206">
        <v>0</v>
      </c>
      <c r="P46" s="206">
        <v>12604</v>
      </c>
      <c r="Q46" s="206">
        <v>802456</v>
      </c>
      <c r="R46" s="206">
        <v>347843</v>
      </c>
      <c r="S46" s="206">
        <v>0</v>
      </c>
      <c r="T46" s="206">
        <v>0</v>
      </c>
      <c r="U46" s="206">
        <v>0</v>
      </c>
      <c r="V46" s="206">
        <v>0</v>
      </c>
      <c r="W46" s="206">
        <v>0</v>
      </c>
      <c r="X46" s="206">
        <v>0</v>
      </c>
      <c r="Y46" s="206">
        <v>0</v>
      </c>
      <c r="Z46" s="206">
        <v>473893</v>
      </c>
      <c r="AA46" s="206">
        <v>0</v>
      </c>
      <c r="AB46" s="206">
        <v>0</v>
      </c>
      <c r="AC46" s="206">
        <v>0</v>
      </c>
      <c r="AD46" s="206">
        <v>0</v>
      </c>
      <c r="AE46" s="206">
        <v>0</v>
      </c>
      <c r="AF46" s="206">
        <v>0</v>
      </c>
      <c r="AG46" s="206">
        <v>0</v>
      </c>
      <c r="AH46" s="206">
        <v>0</v>
      </c>
      <c r="AI46" s="206">
        <v>0</v>
      </c>
      <c r="AJ46" s="206">
        <v>0</v>
      </c>
      <c r="AK46" s="206">
        <v>0</v>
      </c>
      <c r="AL46" s="206">
        <v>0</v>
      </c>
      <c r="AM46" s="206">
        <v>0</v>
      </c>
      <c r="AN46" s="206">
        <v>0</v>
      </c>
      <c r="AO46" s="206">
        <v>0</v>
      </c>
      <c r="AP46" s="206">
        <v>0</v>
      </c>
      <c r="AQ46" s="206">
        <v>0</v>
      </c>
      <c r="AR46" s="206">
        <v>0</v>
      </c>
      <c r="AS46" s="206">
        <v>0</v>
      </c>
      <c r="AT46" s="206">
        <v>0</v>
      </c>
      <c r="AU46" s="206">
        <v>0</v>
      </c>
      <c r="AV46" s="206">
        <v>0</v>
      </c>
      <c r="AW46" s="206">
        <v>0</v>
      </c>
    </row>
    <row r="47" spans="3:49" x14ac:dyDescent="0.3">
      <c r="C47" s="206">
        <v>24</v>
      </c>
      <c r="D47" s="206">
        <v>7</v>
      </c>
      <c r="E47" s="206">
        <v>9</v>
      </c>
      <c r="F47" s="206">
        <v>789721</v>
      </c>
      <c r="G47" s="206">
        <v>0</v>
      </c>
      <c r="H47" s="206">
        <v>6749</v>
      </c>
      <c r="I47" s="206">
        <v>5903</v>
      </c>
      <c r="J47" s="206">
        <v>0</v>
      </c>
      <c r="K47" s="206">
        <v>0</v>
      </c>
      <c r="L47" s="206">
        <v>0</v>
      </c>
      <c r="M47" s="206">
        <v>53864</v>
      </c>
      <c r="N47" s="206">
        <v>260775</v>
      </c>
      <c r="O47" s="206">
        <v>0</v>
      </c>
      <c r="P47" s="206">
        <v>2368</v>
      </c>
      <c r="Q47" s="206">
        <v>227444</v>
      </c>
      <c r="R47" s="206">
        <v>107578</v>
      </c>
      <c r="S47" s="206">
        <v>0</v>
      </c>
      <c r="T47" s="206">
        <v>0</v>
      </c>
      <c r="U47" s="206">
        <v>0</v>
      </c>
      <c r="V47" s="206">
        <v>0</v>
      </c>
      <c r="W47" s="206">
        <v>0</v>
      </c>
      <c r="X47" s="206">
        <v>0</v>
      </c>
      <c r="Y47" s="206">
        <v>0</v>
      </c>
      <c r="Z47" s="206">
        <v>125040</v>
      </c>
      <c r="AA47" s="206">
        <v>0</v>
      </c>
      <c r="AB47" s="206">
        <v>0</v>
      </c>
      <c r="AC47" s="206">
        <v>0</v>
      </c>
      <c r="AD47" s="206">
        <v>0</v>
      </c>
      <c r="AE47" s="206">
        <v>0</v>
      </c>
      <c r="AF47" s="206">
        <v>0</v>
      </c>
      <c r="AG47" s="206">
        <v>0</v>
      </c>
      <c r="AH47" s="206">
        <v>0</v>
      </c>
      <c r="AI47" s="206">
        <v>0</v>
      </c>
      <c r="AJ47" s="206">
        <v>0</v>
      </c>
      <c r="AK47" s="206">
        <v>0</v>
      </c>
      <c r="AL47" s="206">
        <v>0</v>
      </c>
      <c r="AM47" s="206">
        <v>0</v>
      </c>
      <c r="AN47" s="206">
        <v>0</v>
      </c>
      <c r="AO47" s="206">
        <v>0</v>
      </c>
      <c r="AP47" s="206">
        <v>0</v>
      </c>
      <c r="AQ47" s="206">
        <v>0</v>
      </c>
      <c r="AR47" s="206">
        <v>0</v>
      </c>
      <c r="AS47" s="206">
        <v>0</v>
      </c>
      <c r="AT47" s="206">
        <v>0</v>
      </c>
      <c r="AU47" s="206">
        <v>0</v>
      </c>
      <c r="AV47" s="206">
        <v>0</v>
      </c>
      <c r="AW47" s="206">
        <v>0</v>
      </c>
    </row>
    <row r="48" spans="3:49" x14ac:dyDescent="0.3">
      <c r="C48" s="206">
        <v>24</v>
      </c>
      <c r="D48" s="206">
        <v>7</v>
      </c>
      <c r="E48" s="206">
        <v>10</v>
      </c>
      <c r="F48" s="206">
        <v>19980</v>
      </c>
      <c r="G48" s="206">
        <v>0</v>
      </c>
      <c r="H48" s="206">
        <v>19980</v>
      </c>
      <c r="I48" s="206">
        <v>0</v>
      </c>
      <c r="J48" s="206">
        <v>0</v>
      </c>
      <c r="K48" s="206">
        <v>0</v>
      </c>
      <c r="L48" s="206">
        <v>0</v>
      </c>
      <c r="M48" s="206">
        <v>0</v>
      </c>
      <c r="N48" s="206">
        <v>0</v>
      </c>
      <c r="O48" s="206">
        <v>0</v>
      </c>
      <c r="P48" s="206">
        <v>0</v>
      </c>
      <c r="Q48" s="206">
        <v>0</v>
      </c>
      <c r="R48" s="206">
        <v>0</v>
      </c>
      <c r="S48" s="206">
        <v>0</v>
      </c>
      <c r="T48" s="206">
        <v>0</v>
      </c>
      <c r="U48" s="206">
        <v>0</v>
      </c>
      <c r="V48" s="206">
        <v>0</v>
      </c>
      <c r="W48" s="206">
        <v>0</v>
      </c>
      <c r="X48" s="206">
        <v>0</v>
      </c>
      <c r="Y48" s="206">
        <v>0</v>
      </c>
      <c r="Z48" s="206">
        <v>0</v>
      </c>
      <c r="AA48" s="206">
        <v>0</v>
      </c>
      <c r="AB48" s="206">
        <v>0</v>
      </c>
      <c r="AC48" s="206">
        <v>0</v>
      </c>
      <c r="AD48" s="206">
        <v>0</v>
      </c>
      <c r="AE48" s="206">
        <v>0</v>
      </c>
      <c r="AF48" s="206">
        <v>0</v>
      </c>
      <c r="AG48" s="206">
        <v>0</v>
      </c>
      <c r="AH48" s="206">
        <v>0</v>
      </c>
      <c r="AI48" s="206">
        <v>0</v>
      </c>
      <c r="AJ48" s="206">
        <v>0</v>
      </c>
      <c r="AK48" s="206">
        <v>0</v>
      </c>
      <c r="AL48" s="206">
        <v>0</v>
      </c>
      <c r="AM48" s="206">
        <v>0</v>
      </c>
      <c r="AN48" s="206">
        <v>0</v>
      </c>
      <c r="AO48" s="206">
        <v>0</v>
      </c>
      <c r="AP48" s="206">
        <v>0</v>
      </c>
      <c r="AQ48" s="206">
        <v>0</v>
      </c>
      <c r="AR48" s="206">
        <v>0</v>
      </c>
      <c r="AS48" s="206">
        <v>0</v>
      </c>
      <c r="AT48" s="206">
        <v>0</v>
      </c>
      <c r="AU48" s="206">
        <v>0</v>
      </c>
      <c r="AV48" s="206">
        <v>0</v>
      </c>
      <c r="AW48" s="206">
        <v>0</v>
      </c>
    </row>
    <row r="49" spans="3:49" x14ac:dyDescent="0.3">
      <c r="C49" s="206">
        <v>24</v>
      </c>
      <c r="D49" s="206">
        <v>7</v>
      </c>
      <c r="E49" s="206">
        <v>11</v>
      </c>
      <c r="F49" s="206">
        <v>8583.5972562028128</v>
      </c>
      <c r="G49" s="206">
        <v>3583.5972562028123</v>
      </c>
      <c r="H49" s="206">
        <v>5000</v>
      </c>
      <c r="I49" s="206">
        <v>0</v>
      </c>
      <c r="J49" s="206">
        <v>0</v>
      </c>
      <c r="K49" s="206">
        <v>0</v>
      </c>
      <c r="L49" s="206">
        <v>0</v>
      </c>
      <c r="M49" s="206">
        <v>0</v>
      </c>
      <c r="N49" s="206">
        <v>0</v>
      </c>
      <c r="O49" s="206">
        <v>0</v>
      </c>
      <c r="P49" s="206">
        <v>0</v>
      </c>
      <c r="Q49" s="206">
        <v>0</v>
      </c>
      <c r="R49" s="206">
        <v>0</v>
      </c>
      <c r="S49" s="206">
        <v>0</v>
      </c>
      <c r="T49" s="206">
        <v>0</v>
      </c>
      <c r="U49" s="206">
        <v>0</v>
      </c>
      <c r="V49" s="206">
        <v>0</v>
      </c>
      <c r="W49" s="206">
        <v>0</v>
      </c>
      <c r="X49" s="206">
        <v>0</v>
      </c>
      <c r="Y49" s="206">
        <v>0</v>
      </c>
      <c r="Z49" s="206">
        <v>0</v>
      </c>
      <c r="AA49" s="206">
        <v>0</v>
      </c>
      <c r="AB49" s="206">
        <v>0</v>
      </c>
      <c r="AC49" s="206">
        <v>0</v>
      </c>
      <c r="AD49" s="206">
        <v>0</v>
      </c>
      <c r="AE49" s="206">
        <v>0</v>
      </c>
      <c r="AF49" s="206">
        <v>0</v>
      </c>
      <c r="AG49" s="206">
        <v>0</v>
      </c>
      <c r="AH49" s="206">
        <v>0</v>
      </c>
      <c r="AI49" s="206">
        <v>0</v>
      </c>
      <c r="AJ49" s="206">
        <v>0</v>
      </c>
      <c r="AK49" s="206">
        <v>0</v>
      </c>
      <c r="AL49" s="206">
        <v>0</v>
      </c>
      <c r="AM49" s="206">
        <v>0</v>
      </c>
      <c r="AN49" s="206">
        <v>0</v>
      </c>
      <c r="AO49" s="206">
        <v>0</v>
      </c>
      <c r="AP49" s="206">
        <v>0</v>
      </c>
      <c r="AQ49" s="206">
        <v>0</v>
      </c>
      <c r="AR49" s="206">
        <v>0</v>
      </c>
      <c r="AS49" s="206">
        <v>0</v>
      </c>
      <c r="AT49" s="206">
        <v>0</v>
      </c>
      <c r="AU49" s="206">
        <v>0</v>
      </c>
      <c r="AV49" s="206">
        <v>0</v>
      </c>
      <c r="AW49" s="206">
        <v>0</v>
      </c>
    </row>
    <row r="50" spans="3:49" x14ac:dyDescent="0.3">
      <c r="C50" s="206">
        <v>24</v>
      </c>
      <c r="D50" s="206">
        <v>8</v>
      </c>
      <c r="E50" s="206">
        <v>1</v>
      </c>
      <c r="F50" s="206">
        <v>53.25</v>
      </c>
      <c r="G50" s="206">
        <v>0</v>
      </c>
      <c r="H50" s="206">
        <v>1</v>
      </c>
      <c r="I50" s="206">
        <v>0.95000000000000007</v>
      </c>
      <c r="J50" s="206">
        <v>0</v>
      </c>
      <c r="K50" s="206">
        <v>0</v>
      </c>
      <c r="L50" s="206">
        <v>0</v>
      </c>
      <c r="M50" s="206">
        <v>3.9000000000000004</v>
      </c>
      <c r="N50" s="206">
        <v>6.5</v>
      </c>
      <c r="O50" s="206">
        <v>0</v>
      </c>
      <c r="P50" s="206">
        <v>0.4</v>
      </c>
      <c r="Q50" s="206">
        <v>20.6</v>
      </c>
      <c r="R50" s="206">
        <v>6.9</v>
      </c>
      <c r="S50" s="206">
        <v>0</v>
      </c>
      <c r="T50" s="206">
        <v>0</v>
      </c>
      <c r="U50" s="206">
        <v>0</v>
      </c>
      <c r="V50" s="206">
        <v>0</v>
      </c>
      <c r="W50" s="206">
        <v>0</v>
      </c>
      <c r="X50" s="206">
        <v>0</v>
      </c>
      <c r="Y50" s="206">
        <v>0</v>
      </c>
      <c r="Z50" s="206">
        <v>13</v>
      </c>
      <c r="AA50" s="206">
        <v>0</v>
      </c>
      <c r="AB50" s="206">
        <v>0</v>
      </c>
      <c r="AC50" s="206">
        <v>0</v>
      </c>
      <c r="AD50" s="206">
        <v>0</v>
      </c>
      <c r="AE50" s="206">
        <v>0</v>
      </c>
      <c r="AF50" s="206">
        <v>0</v>
      </c>
      <c r="AG50" s="206">
        <v>0</v>
      </c>
      <c r="AH50" s="206">
        <v>0</v>
      </c>
      <c r="AI50" s="206">
        <v>0</v>
      </c>
      <c r="AJ50" s="206">
        <v>0</v>
      </c>
      <c r="AK50" s="206">
        <v>0</v>
      </c>
      <c r="AL50" s="206">
        <v>0</v>
      </c>
      <c r="AM50" s="206">
        <v>0</v>
      </c>
      <c r="AN50" s="206">
        <v>0</v>
      </c>
      <c r="AO50" s="206">
        <v>0</v>
      </c>
      <c r="AP50" s="206">
        <v>0</v>
      </c>
      <c r="AQ50" s="206">
        <v>0</v>
      </c>
      <c r="AR50" s="206">
        <v>0</v>
      </c>
      <c r="AS50" s="206">
        <v>0</v>
      </c>
      <c r="AT50" s="206">
        <v>0</v>
      </c>
      <c r="AU50" s="206">
        <v>0</v>
      </c>
      <c r="AV50" s="206">
        <v>0</v>
      </c>
      <c r="AW50" s="206">
        <v>0</v>
      </c>
    </row>
    <row r="51" spans="3:49" x14ac:dyDescent="0.3">
      <c r="C51" s="206">
        <v>24</v>
      </c>
      <c r="D51" s="206">
        <v>8</v>
      </c>
      <c r="E51" s="206">
        <v>2</v>
      </c>
      <c r="F51" s="206">
        <v>6401.3</v>
      </c>
      <c r="G51" s="206">
        <v>0</v>
      </c>
      <c r="H51" s="206">
        <v>144</v>
      </c>
      <c r="I51" s="206">
        <v>138.69999999999999</v>
      </c>
      <c r="J51" s="206">
        <v>0</v>
      </c>
      <c r="K51" s="206">
        <v>0</v>
      </c>
      <c r="L51" s="206">
        <v>0</v>
      </c>
      <c r="M51" s="206">
        <v>580</v>
      </c>
      <c r="N51" s="206">
        <v>861.8</v>
      </c>
      <c r="O51" s="206">
        <v>0</v>
      </c>
      <c r="P51" s="206">
        <v>40</v>
      </c>
      <c r="Q51" s="206">
        <v>2232</v>
      </c>
      <c r="R51" s="206">
        <v>805.6</v>
      </c>
      <c r="S51" s="206">
        <v>0</v>
      </c>
      <c r="T51" s="206">
        <v>0</v>
      </c>
      <c r="U51" s="206">
        <v>0</v>
      </c>
      <c r="V51" s="206">
        <v>0</v>
      </c>
      <c r="W51" s="206">
        <v>0</v>
      </c>
      <c r="X51" s="206">
        <v>0</v>
      </c>
      <c r="Y51" s="206">
        <v>0</v>
      </c>
      <c r="Z51" s="206">
        <v>1599.2</v>
      </c>
      <c r="AA51" s="206">
        <v>0</v>
      </c>
      <c r="AB51" s="206">
        <v>0</v>
      </c>
      <c r="AC51" s="206">
        <v>0</v>
      </c>
      <c r="AD51" s="206">
        <v>0</v>
      </c>
      <c r="AE51" s="206">
        <v>0</v>
      </c>
      <c r="AF51" s="206">
        <v>0</v>
      </c>
      <c r="AG51" s="206">
        <v>0</v>
      </c>
      <c r="AH51" s="206">
        <v>0</v>
      </c>
      <c r="AI51" s="206">
        <v>0</v>
      </c>
      <c r="AJ51" s="206">
        <v>0</v>
      </c>
      <c r="AK51" s="206">
        <v>0</v>
      </c>
      <c r="AL51" s="206">
        <v>0</v>
      </c>
      <c r="AM51" s="206">
        <v>0</v>
      </c>
      <c r="AN51" s="206">
        <v>0</v>
      </c>
      <c r="AO51" s="206">
        <v>0</v>
      </c>
      <c r="AP51" s="206">
        <v>0</v>
      </c>
      <c r="AQ51" s="206">
        <v>0</v>
      </c>
      <c r="AR51" s="206">
        <v>0</v>
      </c>
      <c r="AS51" s="206">
        <v>0</v>
      </c>
      <c r="AT51" s="206">
        <v>0</v>
      </c>
      <c r="AU51" s="206">
        <v>0</v>
      </c>
      <c r="AV51" s="206">
        <v>0</v>
      </c>
      <c r="AW51" s="206">
        <v>0</v>
      </c>
    </row>
    <row r="52" spans="3:49" x14ac:dyDescent="0.3">
      <c r="C52" s="206">
        <v>24</v>
      </c>
      <c r="D52" s="206">
        <v>8</v>
      </c>
      <c r="E52" s="206">
        <v>5</v>
      </c>
      <c r="F52" s="206">
        <v>70</v>
      </c>
      <c r="G52" s="206">
        <v>0</v>
      </c>
      <c r="H52" s="206">
        <v>0</v>
      </c>
      <c r="I52" s="206">
        <v>39</v>
      </c>
      <c r="J52" s="206">
        <v>0</v>
      </c>
      <c r="K52" s="206">
        <v>0</v>
      </c>
      <c r="L52" s="206">
        <v>0</v>
      </c>
      <c r="M52" s="206">
        <v>31</v>
      </c>
      <c r="N52" s="206">
        <v>0</v>
      </c>
      <c r="O52" s="206">
        <v>0</v>
      </c>
      <c r="P52" s="206">
        <v>0</v>
      </c>
      <c r="Q52" s="206">
        <v>0</v>
      </c>
      <c r="R52" s="206">
        <v>0</v>
      </c>
      <c r="S52" s="206">
        <v>0</v>
      </c>
      <c r="T52" s="206">
        <v>0</v>
      </c>
      <c r="U52" s="206">
        <v>0</v>
      </c>
      <c r="V52" s="206">
        <v>0</v>
      </c>
      <c r="W52" s="206">
        <v>0</v>
      </c>
      <c r="X52" s="206">
        <v>0</v>
      </c>
      <c r="Y52" s="206">
        <v>0</v>
      </c>
      <c r="Z52" s="206">
        <v>0</v>
      </c>
      <c r="AA52" s="206">
        <v>0</v>
      </c>
      <c r="AB52" s="206">
        <v>0</v>
      </c>
      <c r="AC52" s="206">
        <v>0</v>
      </c>
      <c r="AD52" s="206">
        <v>0</v>
      </c>
      <c r="AE52" s="206">
        <v>0</v>
      </c>
      <c r="AF52" s="206">
        <v>0</v>
      </c>
      <c r="AG52" s="206">
        <v>0</v>
      </c>
      <c r="AH52" s="206">
        <v>0</v>
      </c>
      <c r="AI52" s="206">
        <v>0</v>
      </c>
      <c r="AJ52" s="206">
        <v>0</v>
      </c>
      <c r="AK52" s="206">
        <v>0</v>
      </c>
      <c r="AL52" s="206">
        <v>0</v>
      </c>
      <c r="AM52" s="206">
        <v>0</v>
      </c>
      <c r="AN52" s="206">
        <v>0</v>
      </c>
      <c r="AO52" s="206">
        <v>0</v>
      </c>
      <c r="AP52" s="206">
        <v>0</v>
      </c>
      <c r="AQ52" s="206">
        <v>0</v>
      </c>
      <c r="AR52" s="206">
        <v>0</v>
      </c>
      <c r="AS52" s="206">
        <v>0</v>
      </c>
      <c r="AT52" s="206">
        <v>0</v>
      </c>
      <c r="AU52" s="206">
        <v>0</v>
      </c>
      <c r="AV52" s="206">
        <v>0</v>
      </c>
      <c r="AW52" s="206">
        <v>0</v>
      </c>
    </row>
    <row r="53" spans="3:49" x14ac:dyDescent="0.3">
      <c r="C53" s="206">
        <v>24</v>
      </c>
      <c r="D53" s="206">
        <v>8</v>
      </c>
      <c r="E53" s="206">
        <v>6</v>
      </c>
      <c r="F53" s="206">
        <v>1871478</v>
      </c>
      <c r="G53" s="206">
        <v>0</v>
      </c>
      <c r="H53" s="206">
        <v>17029</v>
      </c>
      <c r="I53" s="206">
        <v>22884</v>
      </c>
      <c r="J53" s="206">
        <v>0</v>
      </c>
      <c r="K53" s="206">
        <v>0</v>
      </c>
      <c r="L53" s="206">
        <v>0</v>
      </c>
      <c r="M53" s="206">
        <v>138269</v>
      </c>
      <c r="N53" s="206">
        <v>415368</v>
      </c>
      <c r="O53" s="206">
        <v>0</v>
      </c>
      <c r="P53" s="206">
        <v>9742</v>
      </c>
      <c r="Q53" s="206">
        <v>614872</v>
      </c>
      <c r="R53" s="206">
        <v>269198</v>
      </c>
      <c r="S53" s="206">
        <v>0</v>
      </c>
      <c r="T53" s="206">
        <v>0</v>
      </c>
      <c r="U53" s="206">
        <v>0</v>
      </c>
      <c r="V53" s="206">
        <v>0</v>
      </c>
      <c r="W53" s="206">
        <v>0</v>
      </c>
      <c r="X53" s="206">
        <v>0</v>
      </c>
      <c r="Y53" s="206">
        <v>0</v>
      </c>
      <c r="Z53" s="206">
        <v>384116</v>
      </c>
      <c r="AA53" s="206">
        <v>0</v>
      </c>
      <c r="AB53" s="206">
        <v>0</v>
      </c>
      <c r="AC53" s="206">
        <v>0</v>
      </c>
      <c r="AD53" s="206">
        <v>0</v>
      </c>
      <c r="AE53" s="206">
        <v>0</v>
      </c>
      <c r="AF53" s="206">
        <v>0</v>
      </c>
      <c r="AG53" s="206">
        <v>0</v>
      </c>
      <c r="AH53" s="206">
        <v>0</v>
      </c>
      <c r="AI53" s="206">
        <v>0</v>
      </c>
      <c r="AJ53" s="206">
        <v>0</v>
      </c>
      <c r="AK53" s="206">
        <v>0</v>
      </c>
      <c r="AL53" s="206">
        <v>0</v>
      </c>
      <c r="AM53" s="206">
        <v>0</v>
      </c>
      <c r="AN53" s="206">
        <v>0</v>
      </c>
      <c r="AO53" s="206">
        <v>0</v>
      </c>
      <c r="AP53" s="206">
        <v>0</v>
      </c>
      <c r="AQ53" s="206">
        <v>0</v>
      </c>
      <c r="AR53" s="206">
        <v>0</v>
      </c>
      <c r="AS53" s="206">
        <v>0</v>
      </c>
      <c r="AT53" s="206">
        <v>0</v>
      </c>
      <c r="AU53" s="206">
        <v>0</v>
      </c>
      <c r="AV53" s="206">
        <v>0</v>
      </c>
      <c r="AW53" s="206">
        <v>0</v>
      </c>
    </row>
    <row r="54" spans="3:49" x14ac:dyDescent="0.3">
      <c r="C54" s="206">
        <v>24</v>
      </c>
      <c r="D54" s="206">
        <v>8</v>
      </c>
      <c r="E54" s="206">
        <v>9</v>
      </c>
      <c r="F54" s="206">
        <v>12907</v>
      </c>
      <c r="G54" s="206">
        <v>0</v>
      </c>
      <c r="H54" s="206">
        <v>0</v>
      </c>
      <c r="I54" s="206">
        <v>0</v>
      </c>
      <c r="J54" s="206">
        <v>0</v>
      </c>
      <c r="K54" s="206">
        <v>0</v>
      </c>
      <c r="L54" s="206">
        <v>0</v>
      </c>
      <c r="M54" s="206">
        <v>9477</v>
      </c>
      <c r="N54" s="206">
        <v>0</v>
      </c>
      <c r="O54" s="206">
        <v>0</v>
      </c>
      <c r="P54" s="206">
        <v>0</v>
      </c>
      <c r="Q54" s="206">
        <v>0</v>
      </c>
      <c r="R54" s="206">
        <v>0</v>
      </c>
      <c r="S54" s="206">
        <v>0</v>
      </c>
      <c r="T54" s="206">
        <v>0</v>
      </c>
      <c r="U54" s="206">
        <v>0</v>
      </c>
      <c r="V54" s="206">
        <v>0</v>
      </c>
      <c r="W54" s="206">
        <v>0</v>
      </c>
      <c r="X54" s="206">
        <v>0</v>
      </c>
      <c r="Y54" s="206">
        <v>0</v>
      </c>
      <c r="Z54" s="206">
        <v>3430</v>
      </c>
      <c r="AA54" s="206">
        <v>0</v>
      </c>
      <c r="AB54" s="206">
        <v>0</v>
      </c>
      <c r="AC54" s="206">
        <v>0</v>
      </c>
      <c r="AD54" s="206">
        <v>0</v>
      </c>
      <c r="AE54" s="206">
        <v>0</v>
      </c>
      <c r="AF54" s="206">
        <v>0</v>
      </c>
      <c r="AG54" s="206">
        <v>0</v>
      </c>
      <c r="AH54" s="206">
        <v>0</v>
      </c>
      <c r="AI54" s="206">
        <v>0</v>
      </c>
      <c r="AJ54" s="206">
        <v>0</v>
      </c>
      <c r="AK54" s="206">
        <v>0</v>
      </c>
      <c r="AL54" s="206">
        <v>0</v>
      </c>
      <c r="AM54" s="206">
        <v>0</v>
      </c>
      <c r="AN54" s="206">
        <v>0</v>
      </c>
      <c r="AO54" s="206">
        <v>0</v>
      </c>
      <c r="AP54" s="206">
        <v>0</v>
      </c>
      <c r="AQ54" s="206">
        <v>0</v>
      </c>
      <c r="AR54" s="206">
        <v>0</v>
      </c>
      <c r="AS54" s="206">
        <v>0</v>
      </c>
      <c r="AT54" s="206">
        <v>0</v>
      </c>
      <c r="AU54" s="206">
        <v>0</v>
      </c>
      <c r="AV54" s="206">
        <v>0</v>
      </c>
      <c r="AW54" s="206">
        <v>0</v>
      </c>
    </row>
    <row r="55" spans="3:49" x14ac:dyDescent="0.3">
      <c r="C55" s="206">
        <v>24</v>
      </c>
      <c r="D55" s="206">
        <v>8</v>
      </c>
      <c r="E55" s="206">
        <v>10</v>
      </c>
      <c r="F55" s="206">
        <v>3300</v>
      </c>
      <c r="G55" s="206">
        <v>3300</v>
      </c>
      <c r="H55" s="206">
        <v>0</v>
      </c>
      <c r="I55" s="206">
        <v>0</v>
      </c>
      <c r="J55" s="206">
        <v>0</v>
      </c>
      <c r="K55" s="206">
        <v>0</v>
      </c>
      <c r="L55" s="206">
        <v>0</v>
      </c>
      <c r="M55" s="206">
        <v>0</v>
      </c>
      <c r="N55" s="206">
        <v>0</v>
      </c>
      <c r="O55" s="206">
        <v>0</v>
      </c>
      <c r="P55" s="206">
        <v>0</v>
      </c>
      <c r="Q55" s="206">
        <v>0</v>
      </c>
      <c r="R55" s="206">
        <v>0</v>
      </c>
      <c r="S55" s="206">
        <v>0</v>
      </c>
      <c r="T55" s="206">
        <v>0</v>
      </c>
      <c r="U55" s="206">
        <v>0</v>
      </c>
      <c r="V55" s="206">
        <v>0</v>
      </c>
      <c r="W55" s="206">
        <v>0</v>
      </c>
      <c r="X55" s="206">
        <v>0</v>
      </c>
      <c r="Y55" s="206">
        <v>0</v>
      </c>
      <c r="Z55" s="206">
        <v>0</v>
      </c>
      <c r="AA55" s="206">
        <v>0</v>
      </c>
      <c r="AB55" s="206">
        <v>0</v>
      </c>
      <c r="AC55" s="206">
        <v>0</v>
      </c>
      <c r="AD55" s="206">
        <v>0</v>
      </c>
      <c r="AE55" s="206">
        <v>0</v>
      </c>
      <c r="AF55" s="206">
        <v>0</v>
      </c>
      <c r="AG55" s="206">
        <v>0</v>
      </c>
      <c r="AH55" s="206">
        <v>0</v>
      </c>
      <c r="AI55" s="206">
        <v>0</v>
      </c>
      <c r="AJ55" s="206">
        <v>0</v>
      </c>
      <c r="AK55" s="206">
        <v>0</v>
      </c>
      <c r="AL55" s="206">
        <v>0</v>
      </c>
      <c r="AM55" s="206">
        <v>0</v>
      </c>
      <c r="AN55" s="206">
        <v>0</v>
      </c>
      <c r="AO55" s="206">
        <v>0</v>
      </c>
      <c r="AP55" s="206">
        <v>0</v>
      </c>
      <c r="AQ55" s="206">
        <v>0</v>
      </c>
      <c r="AR55" s="206">
        <v>0</v>
      </c>
      <c r="AS55" s="206">
        <v>0</v>
      </c>
      <c r="AT55" s="206">
        <v>0</v>
      </c>
      <c r="AU55" s="206">
        <v>0</v>
      </c>
      <c r="AV55" s="206">
        <v>0</v>
      </c>
      <c r="AW55" s="206">
        <v>0</v>
      </c>
    </row>
    <row r="56" spans="3:49" x14ac:dyDescent="0.3">
      <c r="C56" s="206">
        <v>24</v>
      </c>
      <c r="D56" s="206">
        <v>8</v>
      </c>
      <c r="E56" s="206">
        <v>11</v>
      </c>
      <c r="F56" s="206">
        <v>8583.5972562028128</v>
      </c>
      <c r="G56" s="206">
        <v>3583.5972562028123</v>
      </c>
      <c r="H56" s="206">
        <v>5000</v>
      </c>
      <c r="I56" s="206">
        <v>0</v>
      </c>
      <c r="J56" s="206">
        <v>0</v>
      </c>
      <c r="K56" s="206">
        <v>0</v>
      </c>
      <c r="L56" s="206">
        <v>0</v>
      </c>
      <c r="M56" s="206">
        <v>0</v>
      </c>
      <c r="N56" s="206">
        <v>0</v>
      </c>
      <c r="O56" s="206">
        <v>0</v>
      </c>
      <c r="P56" s="206">
        <v>0</v>
      </c>
      <c r="Q56" s="206">
        <v>0</v>
      </c>
      <c r="R56" s="206">
        <v>0</v>
      </c>
      <c r="S56" s="206">
        <v>0</v>
      </c>
      <c r="T56" s="206">
        <v>0</v>
      </c>
      <c r="U56" s="206">
        <v>0</v>
      </c>
      <c r="V56" s="206">
        <v>0</v>
      </c>
      <c r="W56" s="206">
        <v>0</v>
      </c>
      <c r="X56" s="206">
        <v>0</v>
      </c>
      <c r="Y56" s="206">
        <v>0</v>
      </c>
      <c r="Z56" s="206">
        <v>0</v>
      </c>
      <c r="AA56" s="206">
        <v>0</v>
      </c>
      <c r="AB56" s="206">
        <v>0</v>
      </c>
      <c r="AC56" s="206">
        <v>0</v>
      </c>
      <c r="AD56" s="206">
        <v>0</v>
      </c>
      <c r="AE56" s="206">
        <v>0</v>
      </c>
      <c r="AF56" s="206">
        <v>0</v>
      </c>
      <c r="AG56" s="206">
        <v>0</v>
      </c>
      <c r="AH56" s="206">
        <v>0</v>
      </c>
      <c r="AI56" s="206">
        <v>0</v>
      </c>
      <c r="AJ56" s="206">
        <v>0</v>
      </c>
      <c r="AK56" s="206">
        <v>0</v>
      </c>
      <c r="AL56" s="206">
        <v>0</v>
      </c>
      <c r="AM56" s="206">
        <v>0</v>
      </c>
      <c r="AN56" s="206">
        <v>0</v>
      </c>
      <c r="AO56" s="206">
        <v>0</v>
      </c>
      <c r="AP56" s="206">
        <v>0</v>
      </c>
      <c r="AQ56" s="206">
        <v>0</v>
      </c>
      <c r="AR56" s="206">
        <v>0</v>
      </c>
      <c r="AS56" s="206">
        <v>0</v>
      </c>
      <c r="AT56" s="206">
        <v>0</v>
      </c>
      <c r="AU56" s="206">
        <v>0</v>
      </c>
      <c r="AV56" s="206">
        <v>0</v>
      </c>
      <c r="AW56" s="206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3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4" customWidth="1" collapsed="1"/>
    <col min="2" max="2" width="7.77734375" style="91" hidden="1" customWidth="1" outlineLevel="1"/>
    <col min="3" max="4" width="5.44140625" style="114" hidden="1" customWidth="1"/>
    <col min="5" max="5" width="7.77734375" style="91" customWidth="1"/>
    <col min="6" max="6" width="7.77734375" style="91" hidden="1" customWidth="1"/>
    <col min="7" max="7" width="5.44140625" style="114" hidden="1" customWidth="1"/>
    <col min="8" max="8" width="7.77734375" style="91" customWidth="1" collapsed="1"/>
    <col min="9" max="9" width="7.77734375" style="192" hidden="1" customWidth="1" outlineLevel="1"/>
    <col min="10" max="10" width="7.77734375" style="192" customWidth="1" collapsed="1"/>
    <col min="11" max="12" width="7.77734375" style="91" hidden="1" customWidth="1"/>
    <col min="13" max="13" width="5.44140625" style="114" hidden="1" customWidth="1"/>
    <col min="14" max="14" width="7.77734375" style="91" customWidth="1"/>
    <col min="15" max="15" width="7.77734375" style="91" hidden="1" customWidth="1"/>
    <col min="16" max="16" width="5.44140625" style="114" hidden="1" customWidth="1"/>
    <col min="17" max="17" width="7.77734375" style="91" customWidth="1" collapsed="1"/>
    <col min="18" max="18" width="7.77734375" style="192" hidden="1" customWidth="1" outlineLevel="1"/>
    <col min="19" max="19" width="7.77734375" style="192" customWidth="1" collapsed="1"/>
    <col min="20" max="21" width="7.77734375" style="91" hidden="1" customWidth="1"/>
    <col min="22" max="22" width="5" style="114" hidden="1" customWidth="1"/>
    <col min="23" max="23" width="7.77734375" style="91" customWidth="1"/>
    <col min="24" max="24" width="7.77734375" style="91" hidden="1" customWidth="1"/>
    <col min="25" max="25" width="5" style="114" hidden="1" customWidth="1"/>
    <col min="26" max="26" width="7.77734375" style="91" customWidth="1" collapsed="1"/>
    <col min="27" max="27" width="7.77734375" style="192" hidden="1" customWidth="1" outlineLevel="1"/>
    <col min="28" max="28" width="7.77734375" style="192" customWidth="1" collapsed="1"/>
    <col min="29" max="16384" width="8.88671875" style="114"/>
  </cols>
  <sheetData>
    <row r="1" spans="1:28" ht="18.600000000000001" customHeight="1" thickBot="1" x14ac:dyDescent="0.4">
      <c r="A1" s="378" t="s">
        <v>1579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</row>
    <row r="2" spans="1:28" ht="14.4" customHeight="1" thickBot="1" x14ac:dyDescent="0.35">
      <c r="A2" s="210" t="s">
        <v>233</v>
      </c>
      <c r="B2" s="96"/>
      <c r="C2" s="96"/>
      <c r="D2" s="96"/>
      <c r="E2" s="96"/>
      <c r="F2" s="96"/>
      <c r="G2" s="96"/>
      <c r="H2" s="96"/>
      <c r="I2" s="204"/>
      <c r="J2" s="204"/>
      <c r="K2" s="96"/>
      <c r="L2" s="96"/>
      <c r="M2" s="96"/>
      <c r="N2" s="96"/>
      <c r="O2" s="96"/>
      <c r="P2" s="96"/>
      <c r="Q2" s="96"/>
      <c r="R2" s="204"/>
      <c r="S2" s="204"/>
      <c r="T2" s="96"/>
      <c r="U2" s="96"/>
      <c r="V2" s="96"/>
      <c r="W2" s="96"/>
      <c r="X2" s="96"/>
      <c r="Y2" s="96"/>
      <c r="Z2" s="96"/>
      <c r="AA2" s="204"/>
      <c r="AB2" s="204"/>
    </row>
    <row r="3" spans="1:28" ht="14.4" customHeight="1" thickBot="1" x14ac:dyDescent="0.35">
      <c r="A3" s="198" t="s">
        <v>108</v>
      </c>
      <c r="B3" s="199">
        <f>SUBTOTAL(9,B6:B1048576)/4</f>
        <v>12757182.310000002</v>
      </c>
      <c r="C3" s="200">
        <f t="shared" ref="C3:Z3" si="0">SUBTOTAL(9,C6:C1048576)</f>
        <v>13</v>
      </c>
      <c r="D3" s="200"/>
      <c r="E3" s="200">
        <f>SUBTOTAL(9,E6:E1048576)/4</f>
        <v>12410393.239999996</v>
      </c>
      <c r="F3" s="200"/>
      <c r="G3" s="200">
        <f t="shared" si="0"/>
        <v>13</v>
      </c>
      <c r="H3" s="200">
        <f>SUBTOTAL(9,H6:H1048576)/4</f>
        <v>12177920.069999997</v>
      </c>
      <c r="I3" s="203">
        <f>IF(B3&lt;&gt;0,H3/B3,"")</f>
        <v>0.9545932459124663</v>
      </c>
      <c r="J3" s="201">
        <f>IF(E3&lt;&gt;0,H3/E3,"")</f>
        <v>0.98126786432111479</v>
      </c>
      <c r="K3" s="202">
        <f t="shared" si="0"/>
        <v>3456414</v>
      </c>
      <c r="L3" s="202"/>
      <c r="M3" s="200">
        <f t="shared" si="0"/>
        <v>3.7318037546857323</v>
      </c>
      <c r="N3" s="200">
        <f t="shared" si="0"/>
        <v>2763108</v>
      </c>
      <c r="O3" s="200"/>
      <c r="P3" s="200">
        <f t="shared" si="0"/>
        <v>3</v>
      </c>
      <c r="Q3" s="200">
        <f t="shared" si="0"/>
        <v>3463742</v>
      </c>
      <c r="R3" s="203">
        <f>IF(K3&lt;&gt;0,Q3/K3,"")</f>
        <v>1.0021201163980935</v>
      </c>
      <c r="S3" s="203">
        <f>IF(N3&lt;&gt;0,Q3/N3,"")</f>
        <v>1.2535673596544181</v>
      </c>
      <c r="T3" s="199">
        <f t="shared" si="0"/>
        <v>0</v>
      </c>
      <c r="U3" s="202"/>
      <c r="V3" s="200">
        <f t="shared" si="0"/>
        <v>0</v>
      </c>
      <c r="W3" s="200">
        <f t="shared" si="0"/>
        <v>0</v>
      </c>
      <c r="X3" s="200"/>
      <c r="Y3" s="200">
        <f t="shared" si="0"/>
        <v>0</v>
      </c>
      <c r="Z3" s="200">
        <f t="shared" si="0"/>
        <v>0</v>
      </c>
      <c r="AA3" s="203" t="str">
        <f>IF(T3&lt;&gt;0,Z3/T3,"")</f>
        <v/>
      </c>
      <c r="AB3" s="201" t="str">
        <f>IF(W3&lt;&gt;0,Z3/W3,"")</f>
        <v/>
      </c>
    </row>
    <row r="4" spans="1:28" ht="14.4" customHeight="1" x14ac:dyDescent="0.3">
      <c r="A4" s="379" t="s">
        <v>194</v>
      </c>
      <c r="B4" s="380" t="s">
        <v>85</v>
      </c>
      <c r="C4" s="381"/>
      <c r="D4" s="382"/>
      <c r="E4" s="381"/>
      <c r="F4" s="382"/>
      <c r="G4" s="381"/>
      <c r="H4" s="381"/>
      <c r="I4" s="382"/>
      <c r="J4" s="383"/>
      <c r="K4" s="380" t="s">
        <v>86</v>
      </c>
      <c r="L4" s="382"/>
      <c r="M4" s="381"/>
      <c r="N4" s="381"/>
      <c r="O4" s="382"/>
      <c r="P4" s="381"/>
      <c r="Q4" s="381"/>
      <c r="R4" s="382"/>
      <c r="S4" s="383"/>
      <c r="T4" s="380" t="s">
        <v>87</v>
      </c>
      <c r="U4" s="382"/>
      <c r="V4" s="381"/>
      <c r="W4" s="381"/>
      <c r="X4" s="382"/>
      <c r="Y4" s="381"/>
      <c r="Z4" s="381"/>
      <c r="AA4" s="382"/>
      <c r="AB4" s="383"/>
    </row>
    <row r="5" spans="1:28" ht="14.4" customHeight="1" thickBot="1" x14ac:dyDescent="0.35">
      <c r="A5" s="497"/>
      <c r="B5" s="498">
        <v>2015</v>
      </c>
      <c r="C5" s="499"/>
      <c r="D5" s="499"/>
      <c r="E5" s="499">
        <v>2016</v>
      </c>
      <c r="F5" s="499"/>
      <c r="G5" s="499"/>
      <c r="H5" s="499">
        <v>2017</v>
      </c>
      <c r="I5" s="500" t="s">
        <v>220</v>
      </c>
      <c r="J5" s="501" t="s">
        <v>2</v>
      </c>
      <c r="K5" s="498">
        <v>2015</v>
      </c>
      <c r="L5" s="499"/>
      <c r="M5" s="499"/>
      <c r="N5" s="499">
        <v>2016</v>
      </c>
      <c r="O5" s="499"/>
      <c r="P5" s="499"/>
      <c r="Q5" s="499">
        <v>2017</v>
      </c>
      <c r="R5" s="500" t="s">
        <v>220</v>
      </c>
      <c r="S5" s="501" t="s">
        <v>2</v>
      </c>
      <c r="T5" s="498">
        <v>2015</v>
      </c>
      <c r="U5" s="499"/>
      <c r="V5" s="499"/>
      <c r="W5" s="499">
        <v>2016</v>
      </c>
      <c r="X5" s="499"/>
      <c r="Y5" s="499"/>
      <c r="Z5" s="499">
        <v>2017</v>
      </c>
      <c r="AA5" s="500" t="s">
        <v>220</v>
      </c>
      <c r="AB5" s="501" t="s">
        <v>2</v>
      </c>
    </row>
    <row r="6" spans="1:28" ht="14.4" customHeight="1" x14ac:dyDescent="0.3">
      <c r="A6" s="502" t="s">
        <v>1576</v>
      </c>
      <c r="B6" s="503">
        <v>12757182.309999999</v>
      </c>
      <c r="C6" s="504">
        <v>1</v>
      </c>
      <c r="D6" s="504">
        <v>1.0279434392846043</v>
      </c>
      <c r="E6" s="503">
        <v>12410393.239999995</v>
      </c>
      <c r="F6" s="504">
        <v>0.97281617040714663</v>
      </c>
      <c r="G6" s="504">
        <v>1</v>
      </c>
      <c r="H6" s="503">
        <v>12177920.07</v>
      </c>
      <c r="I6" s="504">
        <v>0.95459324591246686</v>
      </c>
      <c r="J6" s="504">
        <v>0.98126786432111524</v>
      </c>
      <c r="K6" s="503">
        <v>1728207</v>
      </c>
      <c r="L6" s="504">
        <v>1</v>
      </c>
      <c r="M6" s="504">
        <v>1.2509152736700846</v>
      </c>
      <c r="N6" s="503">
        <v>1381554</v>
      </c>
      <c r="O6" s="504">
        <v>0.7994146534529718</v>
      </c>
      <c r="P6" s="504">
        <v>1</v>
      </c>
      <c r="Q6" s="503">
        <v>1731871</v>
      </c>
      <c r="R6" s="504">
        <v>1.0021201163980935</v>
      </c>
      <c r="S6" s="504">
        <v>1.2535673596544181</v>
      </c>
      <c r="T6" s="503"/>
      <c r="U6" s="504"/>
      <c r="V6" s="504"/>
      <c r="W6" s="503"/>
      <c r="X6" s="504"/>
      <c r="Y6" s="504"/>
      <c r="Z6" s="503"/>
      <c r="AA6" s="504"/>
      <c r="AB6" s="505"/>
    </row>
    <row r="7" spans="1:28" ht="14.4" customHeight="1" x14ac:dyDescent="0.3">
      <c r="A7" s="512" t="s">
        <v>1577</v>
      </c>
      <c r="B7" s="506">
        <v>8775390.049999997</v>
      </c>
      <c r="C7" s="507">
        <v>1</v>
      </c>
      <c r="D7" s="507">
        <v>1.0397467896987624</v>
      </c>
      <c r="E7" s="506">
        <v>8439929.929999996</v>
      </c>
      <c r="F7" s="507">
        <v>0.96177262570795918</v>
      </c>
      <c r="G7" s="507">
        <v>1</v>
      </c>
      <c r="H7" s="506">
        <v>8259283.3899999997</v>
      </c>
      <c r="I7" s="507">
        <v>0.94118704045525614</v>
      </c>
      <c r="J7" s="507">
        <v>0.97859620381943191</v>
      </c>
      <c r="K7" s="506">
        <v>1094055</v>
      </c>
      <c r="L7" s="507">
        <v>1</v>
      </c>
      <c r="M7" s="507">
        <v>1.5281933304838291</v>
      </c>
      <c r="N7" s="506">
        <v>715914</v>
      </c>
      <c r="O7" s="507">
        <v>0.65436746781468935</v>
      </c>
      <c r="P7" s="507">
        <v>1</v>
      </c>
      <c r="Q7" s="506">
        <v>1046907</v>
      </c>
      <c r="R7" s="507">
        <v>0.95690527441490603</v>
      </c>
      <c r="S7" s="507">
        <v>1.4623362582656576</v>
      </c>
      <c r="T7" s="506"/>
      <c r="U7" s="507"/>
      <c r="V7" s="507"/>
      <c r="W7" s="506"/>
      <c r="X7" s="507"/>
      <c r="Y7" s="507"/>
      <c r="Z7" s="506"/>
      <c r="AA7" s="507"/>
      <c r="AB7" s="508"/>
    </row>
    <row r="8" spans="1:28" ht="14.4" customHeight="1" thickBot="1" x14ac:dyDescent="0.35">
      <c r="A8" s="513" t="s">
        <v>1578</v>
      </c>
      <c r="B8" s="509">
        <v>3981792.2600000021</v>
      </c>
      <c r="C8" s="510">
        <v>1</v>
      </c>
      <c r="D8" s="510">
        <v>1.0028533068096788</v>
      </c>
      <c r="E8" s="509">
        <v>3970463.3099999996</v>
      </c>
      <c r="F8" s="510">
        <v>0.99715481138636741</v>
      </c>
      <c r="G8" s="510">
        <v>1</v>
      </c>
      <c r="H8" s="509">
        <v>3918636.6800000011</v>
      </c>
      <c r="I8" s="510">
        <v>0.98413890633259682</v>
      </c>
      <c r="J8" s="510">
        <v>0.98694695657570541</v>
      </c>
      <c r="K8" s="509">
        <v>634152</v>
      </c>
      <c r="L8" s="510">
        <v>1</v>
      </c>
      <c r="M8" s="510">
        <v>0.95269515053181897</v>
      </c>
      <c r="N8" s="509">
        <v>665640</v>
      </c>
      <c r="O8" s="510">
        <v>1.049653710782273</v>
      </c>
      <c r="P8" s="510">
        <v>1</v>
      </c>
      <c r="Q8" s="509">
        <v>684964</v>
      </c>
      <c r="R8" s="510">
        <v>1.0801259004150425</v>
      </c>
      <c r="S8" s="510">
        <v>1.0290307072892253</v>
      </c>
      <c r="T8" s="509"/>
      <c r="U8" s="510"/>
      <c r="V8" s="510"/>
      <c r="W8" s="509"/>
      <c r="X8" s="510"/>
      <c r="Y8" s="510"/>
      <c r="Z8" s="509"/>
      <c r="AA8" s="510"/>
      <c r="AB8" s="511"/>
    </row>
    <row r="9" spans="1:28" ht="14.4" customHeight="1" thickBot="1" x14ac:dyDescent="0.35"/>
    <row r="10" spans="1:28" ht="14.4" customHeight="1" x14ac:dyDescent="0.3">
      <c r="A10" s="502" t="s">
        <v>426</v>
      </c>
      <c r="B10" s="503">
        <v>838033.36000000022</v>
      </c>
      <c r="C10" s="504">
        <v>1</v>
      </c>
      <c r="D10" s="504">
        <v>1.2752585837654573</v>
      </c>
      <c r="E10" s="503">
        <v>657147.79</v>
      </c>
      <c r="F10" s="504">
        <v>0.78415469045289543</v>
      </c>
      <c r="G10" s="504">
        <v>1</v>
      </c>
      <c r="H10" s="503">
        <v>709638.87</v>
      </c>
      <c r="I10" s="504">
        <v>0.84679071725736532</v>
      </c>
      <c r="J10" s="505">
        <v>1.0798771308353634</v>
      </c>
    </row>
    <row r="11" spans="1:28" ht="14.4" customHeight="1" x14ac:dyDescent="0.3">
      <c r="A11" s="512" t="s">
        <v>1580</v>
      </c>
      <c r="B11" s="506">
        <v>838033.36000000022</v>
      </c>
      <c r="C11" s="507">
        <v>1</v>
      </c>
      <c r="D11" s="507">
        <v>1.2752585837654573</v>
      </c>
      <c r="E11" s="506">
        <v>657147.79</v>
      </c>
      <c r="F11" s="507">
        <v>0.78415469045289543</v>
      </c>
      <c r="G11" s="507">
        <v>1</v>
      </c>
      <c r="H11" s="506">
        <v>709638.87</v>
      </c>
      <c r="I11" s="507">
        <v>0.84679071725736532</v>
      </c>
      <c r="J11" s="508">
        <v>1.0798771308353634</v>
      </c>
    </row>
    <row r="12" spans="1:28" ht="14.4" customHeight="1" x14ac:dyDescent="0.3">
      <c r="A12" s="514" t="s">
        <v>1581</v>
      </c>
      <c r="B12" s="515">
        <v>3981792.2600000016</v>
      </c>
      <c r="C12" s="516">
        <v>1</v>
      </c>
      <c r="D12" s="516">
        <v>1.0028533068096788</v>
      </c>
      <c r="E12" s="515">
        <v>3970463.3099999991</v>
      </c>
      <c r="F12" s="516">
        <v>0.99715481138636741</v>
      </c>
      <c r="G12" s="516">
        <v>1</v>
      </c>
      <c r="H12" s="515">
        <v>3918636.6800000011</v>
      </c>
      <c r="I12" s="516">
        <v>0.98413890633259693</v>
      </c>
      <c r="J12" s="517">
        <v>0.98694695657570553</v>
      </c>
    </row>
    <row r="13" spans="1:28" ht="14.4" customHeight="1" x14ac:dyDescent="0.3">
      <c r="A13" s="512" t="s">
        <v>1580</v>
      </c>
      <c r="B13" s="506">
        <v>3981792.2600000016</v>
      </c>
      <c r="C13" s="507">
        <v>1</v>
      </c>
      <c r="D13" s="507">
        <v>1.0028533068096788</v>
      </c>
      <c r="E13" s="506">
        <v>3970463.3099999991</v>
      </c>
      <c r="F13" s="507">
        <v>0.99715481138636741</v>
      </c>
      <c r="G13" s="507">
        <v>1</v>
      </c>
      <c r="H13" s="506">
        <v>3918636.6800000011</v>
      </c>
      <c r="I13" s="507">
        <v>0.98413890633259693</v>
      </c>
      <c r="J13" s="508">
        <v>0.98694695657570553</v>
      </c>
    </row>
    <row r="14" spans="1:28" ht="14.4" customHeight="1" x14ac:dyDescent="0.3">
      <c r="A14" s="514" t="s">
        <v>1582</v>
      </c>
      <c r="B14" s="515">
        <v>2229045.5299999993</v>
      </c>
      <c r="C14" s="516">
        <v>1</v>
      </c>
      <c r="D14" s="516">
        <v>1.0652592593332444</v>
      </c>
      <c r="E14" s="515">
        <v>2092491.110000001</v>
      </c>
      <c r="F14" s="516">
        <v>0.93873861338310194</v>
      </c>
      <c r="G14" s="516">
        <v>1</v>
      </c>
      <c r="H14" s="515">
        <v>1813172.2300000004</v>
      </c>
      <c r="I14" s="516">
        <v>0.81342987641889974</v>
      </c>
      <c r="J14" s="517">
        <v>0.86651370767352964</v>
      </c>
    </row>
    <row r="15" spans="1:28" ht="14.4" customHeight="1" x14ac:dyDescent="0.3">
      <c r="A15" s="512" t="s">
        <v>1580</v>
      </c>
      <c r="B15" s="506">
        <v>2229045.5299999993</v>
      </c>
      <c r="C15" s="507">
        <v>1</v>
      </c>
      <c r="D15" s="507">
        <v>1.0652592593332444</v>
      </c>
      <c r="E15" s="506">
        <v>2092491.110000001</v>
      </c>
      <c r="F15" s="507">
        <v>0.93873861338310194</v>
      </c>
      <c r="G15" s="507">
        <v>1</v>
      </c>
      <c r="H15" s="506">
        <v>1813172.2300000004</v>
      </c>
      <c r="I15" s="507">
        <v>0.81342987641889974</v>
      </c>
      <c r="J15" s="508">
        <v>0.86651370767352964</v>
      </c>
    </row>
    <row r="16" spans="1:28" ht="14.4" customHeight="1" x14ac:dyDescent="0.3">
      <c r="A16" s="514" t="s">
        <v>1583</v>
      </c>
      <c r="B16" s="515">
        <v>1923050.0600000005</v>
      </c>
      <c r="C16" s="516">
        <v>1</v>
      </c>
      <c r="D16" s="516">
        <v>0.84097009563260361</v>
      </c>
      <c r="E16" s="515">
        <v>2286704.4500000002</v>
      </c>
      <c r="F16" s="516">
        <v>1.1891029243409292</v>
      </c>
      <c r="G16" s="516">
        <v>1</v>
      </c>
      <c r="H16" s="515">
        <v>2444892.2699999996</v>
      </c>
      <c r="I16" s="516">
        <v>1.2713617397978703</v>
      </c>
      <c r="J16" s="517">
        <v>1.0691772039014484</v>
      </c>
    </row>
    <row r="17" spans="1:10" ht="14.4" customHeight="1" x14ac:dyDescent="0.3">
      <c r="A17" s="512" t="s">
        <v>1580</v>
      </c>
      <c r="B17" s="506">
        <v>1923050.0600000005</v>
      </c>
      <c r="C17" s="507">
        <v>1</v>
      </c>
      <c r="D17" s="507">
        <v>0.84097009563260361</v>
      </c>
      <c r="E17" s="506">
        <v>2286704.4500000002</v>
      </c>
      <c r="F17" s="507">
        <v>1.1891029243409292</v>
      </c>
      <c r="G17" s="507">
        <v>1</v>
      </c>
      <c r="H17" s="506">
        <v>2444892.2699999996</v>
      </c>
      <c r="I17" s="507">
        <v>1.2713617397978703</v>
      </c>
      <c r="J17" s="508">
        <v>1.0691772039014484</v>
      </c>
    </row>
    <row r="18" spans="1:10" ht="14.4" customHeight="1" x14ac:dyDescent="0.3">
      <c r="A18" s="514" t="s">
        <v>1584</v>
      </c>
      <c r="B18" s="515">
        <v>3785261.0999999996</v>
      </c>
      <c r="C18" s="516">
        <v>1</v>
      </c>
      <c r="D18" s="516">
        <v>1.1121389190575544</v>
      </c>
      <c r="E18" s="515">
        <v>3403586.580000001</v>
      </c>
      <c r="F18" s="516">
        <v>0.89916824495937708</v>
      </c>
      <c r="G18" s="516">
        <v>1</v>
      </c>
      <c r="H18" s="515">
        <v>3291580.0199999996</v>
      </c>
      <c r="I18" s="516">
        <v>0.86957806424502659</v>
      </c>
      <c r="J18" s="517">
        <v>0.96709160840562447</v>
      </c>
    </row>
    <row r="19" spans="1:10" ht="14.4" customHeight="1" thickBot="1" x14ac:dyDescent="0.35">
      <c r="A19" s="513" t="s">
        <v>1580</v>
      </c>
      <c r="B19" s="509">
        <v>3785261.0999999996</v>
      </c>
      <c r="C19" s="510">
        <v>1</v>
      </c>
      <c r="D19" s="510">
        <v>1.1121389190575544</v>
      </c>
      <c r="E19" s="509">
        <v>3403586.580000001</v>
      </c>
      <c r="F19" s="510">
        <v>0.89916824495937708</v>
      </c>
      <c r="G19" s="510">
        <v>1</v>
      </c>
      <c r="H19" s="509">
        <v>3291580.0199999996</v>
      </c>
      <c r="I19" s="510">
        <v>0.86957806424502659</v>
      </c>
      <c r="J19" s="511">
        <v>0.96709160840562447</v>
      </c>
    </row>
    <row r="20" spans="1:10" ht="14.4" customHeight="1" x14ac:dyDescent="0.3">
      <c r="A20" s="518" t="s">
        <v>1585</v>
      </c>
    </row>
    <row r="21" spans="1:10" ht="14.4" customHeight="1" x14ac:dyDescent="0.3">
      <c r="A21" s="519" t="s">
        <v>1586</v>
      </c>
    </row>
    <row r="22" spans="1:10" ht="14.4" customHeight="1" x14ac:dyDescent="0.3">
      <c r="A22" s="518" t="s">
        <v>1587</v>
      </c>
    </row>
    <row r="23" spans="1:10" ht="14.4" customHeight="1" x14ac:dyDescent="0.3">
      <c r="A23" s="518" t="s">
        <v>1588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4" bestFit="1" customWidth="1"/>
    <col min="2" max="2" width="7.77734375" style="189" hidden="1" customWidth="1" outlineLevel="1"/>
    <col min="3" max="3" width="7.77734375" style="189" customWidth="1" collapsed="1"/>
    <col min="4" max="4" width="7.77734375" style="189" customWidth="1"/>
    <col min="5" max="5" width="7.77734375" style="91" hidden="1" customWidth="1" outlineLevel="1"/>
    <col min="6" max="6" width="7.77734375" style="91" customWidth="1" collapsed="1"/>
    <col min="7" max="7" width="7.77734375" style="91" customWidth="1"/>
    <col min="8" max="16384" width="8.88671875" style="114"/>
  </cols>
  <sheetData>
    <row r="1" spans="1:7" ht="18.600000000000001" customHeight="1" thickBot="1" x14ac:dyDescent="0.4">
      <c r="A1" s="378" t="s">
        <v>1589</v>
      </c>
      <c r="B1" s="320"/>
      <c r="C1" s="320"/>
      <c r="D1" s="320"/>
      <c r="E1" s="320"/>
      <c r="F1" s="320"/>
      <c r="G1" s="320"/>
    </row>
    <row r="2" spans="1:7" ht="14.4" customHeight="1" thickBot="1" x14ac:dyDescent="0.35">
      <c r="A2" s="210" t="s">
        <v>233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293" t="s">
        <v>108</v>
      </c>
      <c r="B3" s="275">
        <f t="shared" ref="B3:G3" si="0">SUBTOTAL(9,B6:B1048576)</f>
        <v>49867</v>
      </c>
      <c r="C3" s="276">
        <f t="shared" si="0"/>
        <v>51435</v>
      </c>
      <c r="D3" s="292">
        <f t="shared" si="0"/>
        <v>52561</v>
      </c>
      <c r="E3" s="202">
        <f t="shared" si="0"/>
        <v>12757182.310000006</v>
      </c>
      <c r="F3" s="200">
        <f t="shared" si="0"/>
        <v>12410393.240000002</v>
      </c>
      <c r="G3" s="277">
        <f t="shared" si="0"/>
        <v>12177920.070000004</v>
      </c>
    </row>
    <row r="4" spans="1:7" ht="14.4" customHeight="1" x14ac:dyDescent="0.3">
      <c r="A4" s="379" t="s">
        <v>116</v>
      </c>
      <c r="B4" s="384" t="s">
        <v>192</v>
      </c>
      <c r="C4" s="382"/>
      <c r="D4" s="385"/>
      <c r="E4" s="384" t="s">
        <v>85</v>
      </c>
      <c r="F4" s="382"/>
      <c r="G4" s="385"/>
    </row>
    <row r="5" spans="1:7" ht="14.4" customHeight="1" thickBot="1" x14ac:dyDescent="0.35">
      <c r="A5" s="497"/>
      <c r="B5" s="498">
        <v>2015</v>
      </c>
      <c r="C5" s="499">
        <v>2016</v>
      </c>
      <c r="D5" s="520">
        <v>2017</v>
      </c>
      <c r="E5" s="498">
        <v>2015</v>
      </c>
      <c r="F5" s="499">
        <v>2016</v>
      </c>
      <c r="G5" s="520">
        <v>2017</v>
      </c>
    </row>
    <row r="6" spans="1:7" ht="14.4" customHeight="1" thickBot="1" x14ac:dyDescent="0.35">
      <c r="A6" s="523" t="s">
        <v>1580</v>
      </c>
      <c r="B6" s="464">
        <v>49867</v>
      </c>
      <c r="C6" s="464">
        <v>51435</v>
      </c>
      <c r="D6" s="464">
        <v>52561</v>
      </c>
      <c r="E6" s="521">
        <v>12757182.310000006</v>
      </c>
      <c r="F6" s="521">
        <v>12410393.240000002</v>
      </c>
      <c r="G6" s="522">
        <v>12177920.070000004</v>
      </c>
    </row>
    <row r="7" spans="1:7" ht="14.4" customHeight="1" x14ac:dyDescent="0.3">
      <c r="A7" s="518" t="s">
        <v>1585</v>
      </c>
    </row>
    <row r="8" spans="1:7" ht="14.4" customHeight="1" x14ac:dyDescent="0.3">
      <c r="A8" s="519" t="s">
        <v>1586</v>
      </c>
    </row>
    <row r="9" spans="1:7" ht="14.4" customHeight="1" x14ac:dyDescent="0.3">
      <c r="A9" s="518" t="s">
        <v>1587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04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4" customWidth="1"/>
    <col min="2" max="2" width="8.6640625" style="114" bestFit="1" customWidth="1"/>
    <col min="3" max="3" width="6.109375" style="114" customWidth="1"/>
    <col min="4" max="4" width="2.109375" style="114" bestFit="1" customWidth="1"/>
    <col min="5" max="5" width="8" style="114" customWidth="1"/>
    <col min="6" max="6" width="50.88671875" style="114" bestFit="1" customWidth="1" collapsed="1"/>
    <col min="7" max="8" width="11.109375" style="189" hidden="1" customWidth="1" outlineLevel="1"/>
    <col min="9" max="10" width="9.33203125" style="114" hidden="1" customWidth="1"/>
    <col min="11" max="12" width="11.109375" style="189" customWidth="1"/>
    <col min="13" max="14" width="9.33203125" style="114" hidden="1" customWidth="1"/>
    <col min="15" max="16" width="11.109375" style="189" customWidth="1"/>
    <col min="17" max="17" width="11.109375" style="192" customWidth="1"/>
    <col min="18" max="18" width="11.109375" style="189" customWidth="1"/>
    <col min="19" max="16384" width="8.88671875" style="114"/>
  </cols>
  <sheetData>
    <row r="1" spans="1:18" ht="18.600000000000001" customHeight="1" thickBot="1" x14ac:dyDescent="0.4">
      <c r="A1" s="320" t="s">
        <v>1836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</row>
    <row r="2" spans="1:18" ht="14.4" customHeight="1" thickBot="1" x14ac:dyDescent="0.35">
      <c r="A2" s="210" t="s">
        <v>233</v>
      </c>
      <c r="B2" s="179"/>
      <c r="C2" s="179"/>
      <c r="D2" s="96"/>
      <c r="E2" s="96"/>
      <c r="F2" s="96"/>
      <c r="G2" s="205"/>
      <c r="H2" s="205"/>
      <c r="I2" s="96"/>
      <c r="J2" s="96"/>
      <c r="K2" s="205"/>
      <c r="L2" s="205"/>
      <c r="M2" s="96"/>
      <c r="N2" s="96"/>
      <c r="O2" s="205"/>
      <c r="P2" s="205"/>
      <c r="Q2" s="204"/>
      <c r="R2" s="205"/>
    </row>
    <row r="3" spans="1:18" ht="14.4" customHeight="1" thickBot="1" x14ac:dyDescent="0.35">
      <c r="F3" s="73" t="s">
        <v>108</v>
      </c>
      <c r="G3" s="88">
        <f t="shared" ref="G3:P3" si="0">SUBTOTAL(9,G6:G1048576)</f>
        <v>52179</v>
      </c>
      <c r="H3" s="89">
        <f t="shared" si="0"/>
        <v>14485389.309999995</v>
      </c>
      <c r="I3" s="66"/>
      <c r="J3" s="66"/>
      <c r="K3" s="89">
        <f t="shared" si="0"/>
        <v>53369</v>
      </c>
      <c r="L3" s="89">
        <f t="shared" si="0"/>
        <v>13791947.240000006</v>
      </c>
      <c r="M3" s="66"/>
      <c r="N3" s="66"/>
      <c r="O3" s="89">
        <f t="shared" si="0"/>
        <v>54849</v>
      </c>
      <c r="P3" s="89">
        <f t="shared" si="0"/>
        <v>13909791.069999998</v>
      </c>
      <c r="Q3" s="67">
        <f>IF(L3=0,0,P3/L3)</f>
        <v>1.0085443939096734</v>
      </c>
      <c r="R3" s="90">
        <f>IF(O3=0,0,P3/O3)</f>
        <v>253.60154369268352</v>
      </c>
    </row>
    <row r="4" spans="1:18" ht="14.4" customHeight="1" x14ac:dyDescent="0.3">
      <c r="A4" s="386" t="s">
        <v>221</v>
      </c>
      <c r="B4" s="386" t="s">
        <v>82</v>
      </c>
      <c r="C4" s="394" t="s">
        <v>0</v>
      </c>
      <c r="D4" s="388" t="s">
        <v>83</v>
      </c>
      <c r="E4" s="393" t="s">
        <v>58</v>
      </c>
      <c r="F4" s="389" t="s">
        <v>57</v>
      </c>
      <c r="G4" s="390">
        <v>2015</v>
      </c>
      <c r="H4" s="391"/>
      <c r="I4" s="87"/>
      <c r="J4" s="87"/>
      <c r="K4" s="390">
        <v>2016</v>
      </c>
      <c r="L4" s="391"/>
      <c r="M4" s="87"/>
      <c r="N4" s="87"/>
      <c r="O4" s="390">
        <v>2017</v>
      </c>
      <c r="P4" s="391"/>
      <c r="Q4" s="392" t="s">
        <v>2</v>
      </c>
      <c r="R4" s="387" t="s">
        <v>84</v>
      </c>
    </row>
    <row r="5" spans="1:18" ht="14.4" customHeight="1" thickBot="1" x14ac:dyDescent="0.35">
      <c r="A5" s="524"/>
      <c r="B5" s="524"/>
      <c r="C5" s="525"/>
      <c r="D5" s="526"/>
      <c r="E5" s="527"/>
      <c r="F5" s="528"/>
      <c r="G5" s="529" t="s">
        <v>59</v>
      </c>
      <c r="H5" s="530" t="s">
        <v>14</v>
      </c>
      <c r="I5" s="531"/>
      <c r="J5" s="531"/>
      <c r="K5" s="529" t="s">
        <v>59</v>
      </c>
      <c r="L5" s="530" t="s">
        <v>14</v>
      </c>
      <c r="M5" s="531"/>
      <c r="N5" s="531"/>
      <c r="O5" s="529" t="s">
        <v>59</v>
      </c>
      <c r="P5" s="530" t="s">
        <v>14</v>
      </c>
      <c r="Q5" s="532"/>
      <c r="R5" s="533"/>
    </row>
    <row r="6" spans="1:18" ht="14.4" customHeight="1" x14ac:dyDescent="0.3">
      <c r="A6" s="436"/>
      <c r="B6" s="437" t="s">
        <v>1590</v>
      </c>
      <c r="C6" s="437" t="s">
        <v>426</v>
      </c>
      <c r="D6" s="437" t="s">
        <v>1591</v>
      </c>
      <c r="E6" s="437" t="s">
        <v>1592</v>
      </c>
      <c r="F6" s="437"/>
      <c r="G6" s="441"/>
      <c r="H6" s="441"/>
      <c r="I6" s="437"/>
      <c r="J6" s="437"/>
      <c r="K6" s="441"/>
      <c r="L6" s="441"/>
      <c r="M6" s="437"/>
      <c r="N6" s="437"/>
      <c r="O6" s="441">
        <v>1</v>
      </c>
      <c r="P6" s="441">
        <v>277</v>
      </c>
      <c r="Q6" s="462"/>
      <c r="R6" s="442">
        <v>277</v>
      </c>
    </row>
    <row r="7" spans="1:18" ht="14.4" customHeight="1" x14ac:dyDescent="0.3">
      <c r="A7" s="443"/>
      <c r="B7" s="444" t="s">
        <v>1590</v>
      </c>
      <c r="C7" s="444" t="s">
        <v>426</v>
      </c>
      <c r="D7" s="444" t="s">
        <v>1591</v>
      </c>
      <c r="E7" s="444" t="s">
        <v>1593</v>
      </c>
      <c r="F7" s="444"/>
      <c r="G7" s="448">
        <v>1</v>
      </c>
      <c r="H7" s="448">
        <v>333</v>
      </c>
      <c r="I7" s="444"/>
      <c r="J7" s="444">
        <v>333</v>
      </c>
      <c r="K7" s="448"/>
      <c r="L7" s="448"/>
      <c r="M7" s="444"/>
      <c r="N7" s="444"/>
      <c r="O7" s="448">
        <v>1</v>
      </c>
      <c r="P7" s="448">
        <v>333</v>
      </c>
      <c r="Q7" s="471"/>
      <c r="R7" s="449">
        <v>333</v>
      </c>
    </row>
    <row r="8" spans="1:18" ht="14.4" customHeight="1" x14ac:dyDescent="0.3">
      <c r="A8" s="443"/>
      <c r="B8" s="444" t="s">
        <v>1590</v>
      </c>
      <c r="C8" s="444" t="s">
        <v>426</v>
      </c>
      <c r="D8" s="444" t="s">
        <v>1591</v>
      </c>
      <c r="E8" s="444" t="s">
        <v>1594</v>
      </c>
      <c r="F8" s="444"/>
      <c r="G8" s="448">
        <v>59</v>
      </c>
      <c r="H8" s="448">
        <v>6667</v>
      </c>
      <c r="I8" s="444">
        <v>0.64130434782608692</v>
      </c>
      <c r="J8" s="444">
        <v>113</v>
      </c>
      <c r="K8" s="448">
        <v>92</v>
      </c>
      <c r="L8" s="448">
        <v>10396</v>
      </c>
      <c r="M8" s="444">
        <v>1</v>
      </c>
      <c r="N8" s="444">
        <v>113</v>
      </c>
      <c r="O8" s="448">
        <v>111</v>
      </c>
      <c r="P8" s="448">
        <v>12543</v>
      </c>
      <c r="Q8" s="471">
        <v>1.2065217391304348</v>
      </c>
      <c r="R8" s="449">
        <v>113</v>
      </c>
    </row>
    <row r="9" spans="1:18" ht="14.4" customHeight="1" x14ac:dyDescent="0.3">
      <c r="A9" s="443"/>
      <c r="B9" s="444" t="s">
        <v>1590</v>
      </c>
      <c r="C9" s="444" t="s">
        <v>426</v>
      </c>
      <c r="D9" s="444" t="s">
        <v>1591</v>
      </c>
      <c r="E9" s="444" t="s">
        <v>1595</v>
      </c>
      <c r="F9" s="444"/>
      <c r="G9" s="448"/>
      <c r="H9" s="448"/>
      <c r="I9" s="444"/>
      <c r="J9" s="444"/>
      <c r="K9" s="448">
        <v>1</v>
      </c>
      <c r="L9" s="448">
        <v>132</v>
      </c>
      <c r="M9" s="444">
        <v>1</v>
      </c>
      <c r="N9" s="444">
        <v>132</v>
      </c>
      <c r="O9" s="448">
        <v>1</v>
      </c>
      <c r="P9" s="448">
        <v>132</v>
      </c>
      <c r="Q9" s="471">
        <v>1</v>
      </c>
      <c r="R9" s="449">
        <v>132</v>
      </c>
    </row>
    <row r="10" spans="1:18" ht="14.4" customHeight="1" x14ac:dyDescent="0.3">
      <c r="A10" s="443"/>
      <c r="B10" s="444" t="s">
        <v>1590</v>
      </c>
      <c r="C10" s="444" t="s">
        <v>426</v>
      </c>
      <c r="D10" s="444" t="s">
        <v>1591</v>
      </c>
      <c r="E10" s="444" t="s">
        <v>1596</v>
      </c>
      <c r="F10" s="444"/>
      <c r="G10" s="448"/>
      <c r="H10" s="448"/>
      <c r="I10" s="444"/>
      <c r="J10" s="444"/>
      <c r="K10" s="448"/>
      <c r="L10" s="448"/>
      <c r="M10" s="444"/>
      <c r="N10" s="444"/>
      <c r="O10" s="448">
        <v>1</v>
      </c>
      <c r="P10" s="448">
        <v>156</v>
      </c>
      <c r="Q10" s="471"/>
      <c r="R10" s="449">
        <v>156</v>
      </c>
    </row>
    <row r="11" spans="1:18" ht="14.4" customHeight="1" x14ac:dyDescent="0.3">
      <c r="A11" s="443"/>
      <c r="B11" s="444" t="s">
        <v>1590</v>
      </c>
      <c r="C11" s="444" t="s">
        <v>426</v>
      </c>
      <c r="D11" s="444" t="s">
        <v>1591</v>
      </c>
      <c r="E11" s="444" t="s">
        <v>1597</v>
      </c>
      <c r="F11" s="444"/>
      <c r="G11" s="448">
        <v>13</v>
      </c>
      <c r="H11" s="448">
        <v>2847</v>
      </c>
      <c r="I11" s="444">
        <v>1.4444444444444444</v>
      </c>
      <c r="J11" s="444">
        <v>219</v>
      </c>
      <c r="K11" s="448">
        <v>9</v>
      </c>
      <c r="L11" s="448">
        <v>1971</v>
      </c>
      <c r="M11" s="444">
        <v>1</v>
      </c>
      <c r="N11" s="444">
        <v>219</v>
      </c>
      <c r="O11" s="448">
        <v>10</v>
      </c>
      <c r="P11" s="448">
        <v>2190</v>
      </c>
      <c r="Q11" s="471">
        <v>1.1111111111111112</v>
      </c>
      <c r="R11" s="449">
        <v>219</v>
      </c>
    </row>
    <row r="12" spans="1:18" ht="14.4" customHeight="1" x14ac:dyDescent="0.3">
      <c r="A12" s="443"/>
      <c r="B12" s="444" t="s">
        <v>1590</v>
      </c>
      <c r="C12" s="444" t="s">
        <v>426</v>
      </c>
      <c r="D12" s="444" t="s">
        <v>1591</v>
      </c>
      <c r="E12" s="444" t="s">
        <v>1598</v>
      </c>
      <c r="F12" s="444"/>
      <c r="G12" s="448">
        <v>11</v>
      </c>
      <c r="H12" s="448">
        <v>2596</v>
      </c>
      <c r="I12" s="444">
        <v>1.1000000000000001</v>
      </c>
      <c r="J12" s="444">
        <v>236</v>
      </c>
      <c r="K12" s="448">
        <v>10</v>
      </c>
      <c r="L12" s="448">
        <v>2360</v>
      </c>
      <c r="M12" s="444">
        <v>1</v>
      </c>
      <c r="N12" s="444">
        <v>236</v>
      </c>
      <c r="O12" s="448">
        <v>8</v>
      </c>
      <c r="P12" s="448">
        <v>1888</v>
      </c>
      <c r="Q12" s="471">
        <v>0.8</v>
      </c>
      <c r="R12" s="449">
        <v>236</v>
      </c>
    </row>
    <row r="13" spans="1:18" ht="14.4" customHeight="1" x14ac:dyDescent="0.3">
      <c r="A13" s="443"/>
      <c r="B13" s="444" t="s">
        <v>1590</v>
      </c>
      <c r="C13" s="444" t="s">
        <v>426</v>
      </c>
      <c r="D13" s="444" t="s">
        <v>1591</v>
      </c>
      <c r="E13" s="444" t="s">
        <v>1599</v>
      </c>
      <c r="F13" s="444"/>
      <c r="G13" s="448">
        <v>23</v>
      </c>
      <c r="H13" s="448">
        <v>3588</v>
      </c>
      <c r="I13" s="444">
        <v>0.71875</v>
      </c>
      <c r="J13" s="444">
        <v>156</v>
      </c>
      <c r="K13" s="448">
        <v>32</v>
      </c>
      <c r="L13" s="448">
        <v>4992</v>
      </c>
      <c r="M13" s="444">
        <v>1</v>
      </c>
      <c r="N13" s="444">
        <v>156</v>
      </c>
      <c r="O13" s="448">
        <v>39</v>
      </c>
      <c r="P13" s="448">
        <v>6084</v>
      </c>
      <c r="Q13" s="471">
        <v>1.21875</v>
      </c>
      <c r="R13" s="449">
        <v>156</v>
      </c>
    </row>
    <row r="14" spans="1:18" ht="14.4" customHeight="1" x14ac:dyDescent="0.3">
      <c r="A14" s="443"/>
      <c r="B14" s="444" t="s">
        <v>1590</v>
      </c>
      <c r="C14" s="444" t="s">
        <v>426</v>
      </c>
      <c r="D14" s="444" t="s">
        <v>1591</v>
      </c>
      <c r="E14" s="444" t="s">
        <v>1600</v>
      </c>
      <c r="F14" s="444"/>
      <c r="G14" s="448">
        <v>12</v>
      </c>
      <c r="H14" s="448">
        <v>2280</v>
      </c>
      <c r="I14" s="444">
        <v>1.2</v>
      </c>
      <c r="J14" s="444">
        <v>190</v>
      </c>
      <c r="K14" s="448">
        <v>10</v>
      </c>
      <c r="L14" s="448">
        <v>1900</v>
      </c>
      <c r="M14" s="444">
        <v>1</v>
      </c>
      <c r="N14" s="444">
        <v>190</v>
      </c>
      <c r="O14" s="448">
        <v>21</v>
      </c>
      <c r="P14" s="448">
        <v>3990</v>
      </c>
      <c r="Q14" s="471">
        <v>2.1</v>
      </c>
      <c r="R14" s="449">
        <v>190</v>
      </c>
    </row>
    <row r="15" spans="1:18" ht="14.4" customHeight="1" x14ac:dyDescent="0.3">
      <c r="A15" s="443"/>
      <c r="B15" s="444" t="s">
        <v>1590</v>
      </c>
      <c r="C15" s="444" t="s">
        <v>426</v>
      </c>
      <c r="D15" s="444" t="s">
        <v>1591</v>
      </c>
      <c r="E15" s="444" t="s">
        <v>1601</v>
      </c>
      <c r="F15" s="444"/>
      <c r="G15" s="448">
        <v>10</v>
      </c>
      <c r="H15" s="448">
        <v>840</v>
      </c>
      <c r="I15" s="444">
        <v>5</v>
      </c>
      <c r="J15" s="444">
        <v>84</v>
      </c>
      <c r="K15" s="448">
        <v>2</v>
      </c>
      <c r="L15" s="448">
        <v>168</v>
      </c>
      <c r="M15" s="444">
        <v>1</v>
      </c>
      <c r="N15" s="444">
        <v>84</v>
      </c>
      <c r="O15" s="448">
        <v>4</v>
      </c>
      <c r="P15" s="448">
        <v>336</v>
      </c>
      <c r="Q15" s="471">
        <v>2</v>
      </c>
      <c r="R15" s="449">
        <v>84</v>
      </c>
    </row>
    <row r="16" spans="1:18" ht="14.4" customHeight="1" x14ac:dyDescent="0.3">
      <c r="A16" s="443"/>
      <c r="B16" s="444" t="s">
        <v>1590</v>
      </c>
      <c r="C16" s="444" t="s">
        <v>426</v>
      </c>
      <c r="D16" s="444" t="s">
        <v>1591</v>
      </c>
      <c r="E16" s="444" t="s">
        <v>1602</v>
      </c>
      <c r="F16" s="444"/>
      <c r="G16" s="448">
        <v>7</v>
      </c>
      <c r="H16" s="448">
        <v>735</v>
      </c>
      <c r="I16" s="444"/>
      <c r="J16" s="444">
        <v>105</v>
      </c>
      <c r="K16" s="448"/>
      <c r="L16" s="448"/>
      <c r="M16" s="444"/>
      <c r="N16" s="444"/>
      <c r="O16" s="448">
        <v>13</v>
      </c>
      <c r="P16" s="448">
        <v>1365</v>
      </c>
      <c r="Q16" s="471"/>
      <c r="R16" s="449">
        <v>105</v>
      </c>
    </row>
    <row r="17" spans="1:18" ht="14.4" customHeight="1" x14ac:dyDescent="0.3">
      <c r="A17" s="443"/>
      <c r="B17" s="444" t="s">
        <v>1590</v>
      </c>
      <c r="C17" s="444" t="s">
        <v>426</v>
      </c>
      <c r="D17" s="444" t="s">
        <v>1591</v>
      </c>
      <c r="E17" s="444" t="s">
        <v>1603</v>
      </c>
      <c r="F17" s="444"/>
      <c r="G17" s="448">
        <v>56</v>
      </c>
      <c r="H17" s="448">
        <v>33376</v>
      </c>
      <c r="I17" s="444">
        <v>1.75</v>
      </c>
      <c r="J17" s="444">
        <v>596</v>
      </c>
      <c r="K17" s="448">
        <v>32</v>
      </c>
      <c r="L17" s="448">
        <v>19072</v>
      </c>
      <c r="M17" s="444">
        <v>1</v>
      </c>
      <c r="N17" s="444">
        <v>596</v>
      </c>
      <c r="O17" s="448">
        <v>7</v>
      </c>
      <c r="P17" s="448">
        <v>4172</v>
      </c>
      <c r="Q17" s="471">
        <v>0.21875</v>
      </c>
      <c r="R17" s="449">
        <v>596</v>
      </c>
    </row>
    <row r="18" spans="1:18" ht="14.4" customHeight="1" x14ac:dyDescent="0.3">
      <c r="A18" s="443"/>
      <c r="B18" s="444" t="s">
        <v>1590</v>
      </c>
      <c r="C18" s="444" t="s">
        <v>426</v>
      </c>
      <c r="D18" s="444" t="s">
        <v>1591</v>
      </c>
      <c r="E18" s="444" t="s">
        <v>1604</v>
      </c>
      <c r="F18" s="444"/>
      <c r="G18" s="448">
        <v>7</v>
      </c>
      <c r="H18" s="448">
        <v>4662</v>
      </c>
      <c r="I18" s="444">
        <v>2.3333333333333335</v>
      </c>
      <c r="J18" s="444">
        <v>666</v>
      </c>
      <c r="K18" s="448">
        <v>3</v>
      </c>
      <c r="L18" s="448">
        <v>1998</v>
      </c>
      <c r="M18" s="444">
        <v>1</v>
      </c>
      <c r="N18" s="444">
        <v>666</v>
      </c>
      <c r="O18" s="448">
        <v>3</v>
      </c>
      <c r="P18" s="448">
        <v>1998</v>
      </c>
      <c r="Q18" s="471">
        <v>1</v>
      </c>
      <c r="R18" s="449">
        <v>666</v>
      </c>
    </row>
    <row r="19" spans="1:18" ht="14.4" customHeight="1" x14ac:dyDescent="0.3">
      <c r="A19" s="443"/>
      <c r="B19" s="444" t="s">
        <v>1590</v>
      </c>
      <c r="C19" s="444" t="s">
        <v>426</v>
      </c>
      <c r="D19" s="444" t="s">
        <v>1591</v>
      </c>
      <c r="E19" s="444" t="s">
        <v>1605</v>
      </c>
      <c r="F19" s="444"/>
      <c r="G19" s="448">
        <v>44</v>
      </c>
      <c r="H19" s="448">
        <v>51568</v>
      </c>
      <c r="I19" s="444">
        <v>4</v>
      </c>
      <c r="J19" s="444">
        <v>1172</v>
      </c>
      <c r="K19" s="448">
        <v>11</v>
      </c>
      <c r="L19" s="448">
        <v>12892</v>
      </c>
      <c r="M19" s="444">
        <v>1</v>
      </c>
      <c r="N19" s="444">
        <v>1172</v>
      </c>
      <c r="O19" s="448">
        <v>13</v>
      </c>
      <c r="P19" s="448">
        <v>15236</v>
      </c>
      <c r="Q19" s="471">
        <v>1.1818181818181819</v>
      </c>
      <c r="R19" s="449">
        <v>1172</v>
      </c>
    </row>
    <row r="20" spans="1:18" ht="14.4" customHeight="1" x14ac:dyDescent="0.3">
      <c r="A20" s="443"/>
      <c r="B20" s="444" t="s">
        <v>1590</v>
      </c>
      <c r="C20" s="444" t="s">
        <v>426</v>
      </c>
      <c r="D20" s="444" t="s">
        <v>1591</v>
      </c>
      <c r="E20" s="444" t="s">
        <v>1606</v>
      </c>
      <c r="F20" s="444"/>
      <c r="G20" s="448">
        <v>38</v>
      </c>
      <c r="H20" s="448">
        <v>30400</v>
      </c>
      <c r="I20" s="444">
        <v>1.9</v>
      </c>
      <c r="J20" s="444">
        <v>800</v>
      </c>
      <c r="K20" s="448">
        <v>20</v>
      </c>
      <c r="L20" s="448">
        <v>16000</v>
      </c>
      <c r="M20" s="444">
        <v>1</v>
      </c>
      <c r="N20" s="444">
        <v>800</v>
      </c>
      <c r="O20" s="448">
        <v>26</v>
      </c>
      <c r="P20" s="448">
        <v>20800</v>
      </c>
      <c r="Q20" s="471">
        <v>1.3</v>
      </c>
      <c r="R20" s="449">
        <v>800</v>
      </c>
    </row>
    <row r="21" spans="1:18" ht="14.4" customHeight="1" x14ac:dyDescent="0.3">
      <c r="A21" s="443"/>
      <c r="B21" s="444" t="s">
        <v>1590</v>
      </c>
      <c r="C21" s="444" t="s">
        <v>426</v>
      </c>
      <c r="D21" s="444" t="s">
        <v>1591</v>
      </c>
      <c r="E21" s="444" t="s">
        <v>1607</v>
      </c>
      <c r="F21" s="444"/>
      <c r="G21" s="448">
        <v>9</v>
      </c>
      <c r="H21" s="448">
        <v>6705</v>
      </c>
      <c r="I21" s="444">
        <v>3</v>
      </c>
      <c r="J21" s="444">
        <v>745</v>
      </c>
      <c r="K21" s="448">
        <v>3</v>
      </c>
      <c r="L21" s="448">
        <v>2235</v>
      </c>
      <c r="M21" s="444">
        <v>1</v>
      </c>
      <c r="N21" s="444">
        <v>745</v>
      </c>
      <c r="O21" s="448">
        <v>1</v>
      </c>
      <c r="P21" s="448">
        <v>745</v>
      </c>
      <c r="Q21" s="471">
        <v>0.33333333333333331</v>
      </c>
      <c r="R21" s="449">
        <v>745</v>
      </c>
    </row>
    <row r="22" spans="1:18" ht="14.4" customHeight="1" x14ac:dyDescent="0.3">
      <c r="A22" s="443"/>
      <c r="B22" s="444" t="s">
        <v>1590</v>
      </c>
      <c r="C22" s="444" t="s">
        <v>426</v>
      </c>
      <c r="D22" s="444" t="s">
        <v>1591</v>
      </c>
      <c r="E22" s="444" t="s">
        <v>1608</v>
      </c>
      <c r="F22" s="444"/>
      <c r="G22" s="448">
        <v>39</v>
      </c>
      <c r="H22" s="448">
        <v>29055</v>
      </c>
      <c r="I22" s="444">
        <v>1.0540540540540539</v>
      </c>
      <c r="J22" s="444">
        <v>745</v>
      </c>
      <c r="K22" s="448">
        <v>37</v>
      </c>
      <c r="L22" s="448">
        <v>27565</v>
      </c>
      <c r="M22" s="444">
        <v>1</v>
      </c>
      <c r="N22" s="444">
        <v>745</v>
      </c>
      <c r="O22" s="448">
        <v>62</v>
      </c>
      <c r="P22" s="448">
        <v>46190</v>
      </c>
      <c r="Q22" s="471">
        <v>1.6756756756756757</v>
      </c>
      <c r="R22" s="449">
        <v>745</v>
      </c>
    </row>
    <row r="23" spans="1:18" ht="14.4" customHeight="1" x14ac:dyDescent="0.3">
      <c r="A23" s="443"/>
      <c r="B23" s="444" t="s">
        <v>1590</v>
      </c>
      <c r="C23" s="444" t="s">
        <v>426</v>
      </c>
      <c r="D23" s="444" t="s">
        <v>1591</v>
      </c>
      <c r="E23" s="444" t="s">
        <v>1609</v>
      </c>
      <c r="F23" s="444"/>
      <c r="G23" s="448">
        <v>10</v>
      </c>
      <c r="H23" s="448">
        <v>5920</v>
      </c>
      <c r="I23" s="444">
        <v>2.5</v>
      </c>
      <c r="J23" s="444">
        <v>592</v>
      </c>
      <c r="K23" s="448">
        <v>4</v>
      </c>
      <c r="L23" s="448">
        <v>2368</v>
      </c>
      <c r="M23" s="444">
        <v>1</v>
      </c>
      <c r="N23" s="444">
        <v>592</v>
      </c>
      <c r="O23" s="448">
        <v>7</v>
      </c>
      <c r="P23" s="448">
        <v>4144</v>
      </c>
      <c r="Q23" s="471">
        <v>1.75</v>
      </c>
      <c r="R23" s="449">
        <v>592</v>
      </c>
    </row>
    <row r="24" spans="1:18" ht="14.4" customHeight="1" x14ac:dyDescent="0.3">
      <c r="A24" s="443"/>
      <c r="B24" s="444" t="s">
        <v>1590</v>
      </c>
      <c r="C24" s="444" t="s">
        <v>426</v>
      </c>
      <c r="D24" s="444" t="s">
        <v>1591</v>
      </c>
      <c r="E24" s="444" t="s">
        <v>1610</v>
      </c>
      <c r="F24" s="444"/>
      <c r="G24" s="448">
        <v>106</v>
      </c>
      <c r="H24" s="448">
        <v>59466</v>
      </c>
      <c r="I24" s="444">
        <v>1.2183908045977012</v>
      </c>
      <c r="J24" s="444">
        <v>561</v>
      </c>
      <c r="K24" s="448">
        <v>87</v>
      </c>
      <c r="L24" s="448">
        <v>48807</v>
      </c>
      <c r="M24" s="444">
        <v>1</v>
      </c>
      <c r="N24" s="444">
        <v>561</v>
      </c>
      <c r="O24" s="448">
        <v>71</v>
      </c>
      <c r="P24" s="448">
        <v>39831</v>
      </c>
      <c r="Q24" s="471">
        <v>0.81609195402298851</v>
      </c>
      <c r="R24" s="449">
        <v>561</v>
      </c>
    </row>
    <row r="25" spans="1:18" ht="14.4" customHeight="1" x14ac:dyDescent="0.3">
      <c r="A25" s="443"/>
      <c r="B25" s="444" t="s">
        <v>1590</v>
      </c>
      <c r="C25" s="444" t="s">
        <v>426</v>
      </c>
      <c r="D25" s="444" t="s">
        <v>1591</v>
      </c>
      <c r="E25" s="444" t="s">
        <v>1611</v>
      </c>
      <c r="F25" s="444"/>
      <c r="G25" s="448">
        <v>111</v>
      </c>
      <c r="H25" s="448">
        <v>57609</v>
      </c>
      <c r="I25" s="444">
        <v>2.8461538461538463</v>
      </c>
      <c r="J25" s="444">
        <v>519</v>
      </c>
      <c r="K25" s="448">
        <v>39</v>
      </c>
      <c r="L25" s="448">
        <v>20241</v>
      </c>
      <c r="M25" s="444">
        <v>1</v>
      </c>
      <c r="N25" s="444">
        <v>519</v>
      </c>
      <c r="O25" s="448">
        <v>93</v>
      </c>
      <c r="P25" s="448">
        <v>48267</v>
      </c>
      <c r="Q25" s="471">
        <v>2.3846153846153846</v>
      </c>
      <c r="R25" s="449">
        <v>519</v>
      </c>
    </row>
    <row r="26" spans="1:18" ht="14.4" customHeight="1" x14ac:dyDescent="0.3">
      <c r="A26" s="443"/>
      <c r="B26" s="444" t="s">
        <v>1590</v>
      </c>
      <c r="C26" s="444" t="s">
        <v>426</v>
      </c>
      <c r="D26" s="444" t="s">
        <v>1591</v>
      </c>
      <c r="E26" s="444" t="s">
        <v>1612</v>
      </c>
      <c r="F26" s="444"/>
      <c r="G26" s="448">
        <v>6</v>
      </c>
      <c r="H26" s="448">
        <v>1926</v>
      </c>
      <c r="I26" s="444">
        <v>2</v>
      </c>
      <c r="J26" s="444">
        <v>321</v>
      </c>
      <c r="K26" s="448">
        <v>3</v>
      </c>
      <c r="L26" s="448">
        <v>963</v>
      </c>
      <c r="M26" s="444">
        <v>1</v>
      </c>
      <c r="N26" s="444">
        <v>321</v>
      </c>
      <c r="O26" s="448">
        <v>1</v>
      </c>
      <c r="P26" s="448">
        <v>321</v>
      </c>
      <c r="Q26" s="471">
        <v>0.33333333333333331</v>
      </c>
      <c r="R26" s="449">
        <v>321</v>
      </c>
    </row>
    <row r="27" spans="1:18" ht="14.4" customHeight="1" x14ac:dyDescent="0.3">
      <c r="A27" s="443"/>
      <c r="B27" s="444" t="s">
        <v>1590</v>
      </c>
      <c r="C27" s="444" t="s">
        <v>426</v>
      </c>
      <c r="D27" s="444" t="s">
        <v>1591</v>
      </c>
      <c r="E27" s="444" t="s">
        <v>1613</v>
      </c>
      <c r="F27" s="444"/>
      <c r="G27" s="448">
        <v>10</v>
      </c>
      <c r="H27" s="448">
        <v>3210</v>
      </c>
      <c r="I27" s="444">
        <v>3.3333333333333335</v>
      </c>
      <c r="J27" s="444">
        <v>321</v>
      </c>
      <c r="K27" s="448">
        <v>3</v>
      </c>
      <c r="L27" s="448">
        <v>963</v>
      </c>
      <c r="M27" s="444">
        <v>1</v>
      </c>
      <c r="N27" s="444">
        <v>321</v>
      </c>
      <c r="O27" s="448">
        <v>4</v>
      </c>
      <c r="P27" s="448">
        <v>1284</v>
      </c>
      <c r="Q27" s="471">
        <v>1.3333333333333333</v>
      </c>
      <c r="R27" s="449">
        <v>321</v>
      </c>
    </row>
    <row r="28" spans="1:18" ht="14.4" customHeight="1" x14ac:dyDescent="0.3">
      <c r="A28" s="443"/>
      <c r="B28" s="444" t="s">
        <v>1590</v>
      </c>
      <c r="C28" s="444" t="s">
        <v>426</v>
      </c>
      <c r="D28" s="444" t="s">
        <v>1591</v>
      </c>
      <c r="E28" s="444" t="s">
        <v>1614</v>
      </c>
      <c r="F28" s="444"/>
      <c r="G28" s="448">
        <v>62</v>
      </c>
      <c r="H28" s="448">
        <v>19902</v>
      </c>
      <c r="I28" s="444">
        <v>2.2142857142857144</v>
      </c>
      <c r="J28" s="444">
        <v>321</v>
      </c>
      <c r="K28" s="448">
        <v>28</v>
      </c>
      <c r="L28" s="448">
        <v>8988</v>
      </c>
      <c r="M28" s="444">
        <v>1</v>
      </c>
      <c r="N28" s="444">
        <v>321</v>
      </c>
      <c r="O28" s="448">
        <v>69</v>
      </c>
      <c r="P28" s="448">
        <v>22149</v>
      </c>
      <c r="Q28" s="471">
        <v>2.4642857142857144</v>
      </c>
      <c r="R28" s="449">
        <v>321</v>
      </c>
    </row>
    <row r="29" spans="1:18" ht="14.4" customHeight="1" x14ac:dyDescent="0.3">
      <c r="A29" s="443"/>
      <c r="B29" s="444" t="s">
        <v>1590</v>
      </c>
      <c r="C29" s="444" t="s">
        <v>426</v>
      </c>
      <c r="D29" s="444" t="s">
        <v>1591</v>
      </c>
      <c r="E29" s="444" t="s">
        <v>1615</v>
      </c>
      <c r="F29" s="444"/>
      <c r="G29" s="448">
        <v>2</v>
      </c>
      <c r="H29" s="448">
        <v>2460</v>
      </c>
      <c r="I29" s="444"/>
      <c r="J29" s="444">
        <v>1230</v>
      </c>
      <c r="K29" s="448"/>
      <c r="L29" s="448"/>
      <c r="M29" s="444"/>
      <c r="N29" s="444"/>
      <c r="O29" s="448">
        <v>4</v>
      </c>
      <c r="P29" s="448">
        <v>4920</v>
      </c>
      <c r="Q29" s="471"/>
      <c r="R29" s="449">
        <v>1230</v>
      </c>
    </row>
    <row r="30" spans="1:18" ht="14.4" customHeight="1" x14ac:dyDescent="0.3">
      <c r="A30" s="443"/>
      <c r="B30" s="444" t="s">
        <v>1590</v>
      </c>
      <c r="C30" s="444" t="s">
        <v>426</v>
      </c>
      <c r="D30" s="444" t="s">
        <v>1591</v>
      </c>
      <c r="E30" s="444" t="s">
        <v>1616</v>
      </c>
      <c r="F30" s="444"/>
      <c r="G30" s="448">
        <v>97</v>
      </c>
      <c r="H30" s="448">
        <v>27354</v>
      </c>
      <c r="I30" s="444">
        <v>1.4923076923076923</v>
      </c>
      <c r="J30" s="444">
        <v>282</v>
      </c>
      <c r="K30" s="448">
        <v>65</v>
      </c>
      <c r="L30" s="448">
        <v>18330</v>
      </c>
      <c r="M30" s="444">
        <v>1</v>
      </c>
      <c r="N30" s="444">
        <v>282</v>
      </c>
      <c r="O30" s="448">
        <v>66</v>
      </c>
      <c r="P30" s="448">
        <v>18612</v>
      </c>
      <c r="Q30" s="471">
        <v>1.0153846153846153</v>
      </c>
      <c r="R30" s="449">
        <v>282</v>
      </c>
    </row>
    <row r="31" spans="1:18" ht="14.4" customHeight="1" x14ac:dyDescent="0.3">
      <c r="A31" s="443"/>
      <c r="B31" s="444" t="s">
        <v>1590</v>
      </c>
      <c r="C31" s="444" t="s">
        <v>426</v>
      </c>
      <c r="D31" s="444" t="s">
        <v>1591</v>
      </c>
      <c r="E31" s="444" t="s">
        <v>1617</v>
      </c>
      <c r="F31" s="444"/>
      <c r="G31" s="448">
        <v>38</v>
      </c>
      <c r="H31" s="448">
        <v>25802</v>
      </c>
      <c r="I31" s="444">
        <v>1.5833333333333333</v>
      </c>
      <c r="J31" s="444">
        <v>679</v>
      </c>
      <c r="K31" s="448">
        <v>24</v>
      </c>
      <c r="L31" s="448">
        <v>16296</v>
      </c>
      <c r="M31" s="444">
        <v>1</v>
      </c>
      <c r="N31" s="444">
        <v>679</v>
      </c>
      <c r="O31" s="448">
        <v>27</v>
      </c>
      <c r="P31" s="448">
        <v>18333</v>
      </c>
      <c r="Q31" s="471">
        <v>1.125</v>
      </c>
      <c r="R31" s="449">
        <v>679</v>
      </c>
    </row>
    <row r="32" spans="1:18" ht="14.4" customHeight="1" x14ac:dyDescent="0.3">
      <c r="A32" s="443"/>
      <c r="B32" s="444" t="s">
        <v>1590</v>
      </c>
      <c r="C32" s="444" t="s">
        <v>426</v>
      </c>
      <c r="D32" s="444" t="s">
        <v>1591</v>
      </c>
      <c r="E32" s="444" t="s">
        <v>1618</v>
      </c>
      <c r="F32" s="444"/>
      <c r="G32" s="448">
        <v>23</v>
      </c>
      <c r="H32" s="448">
        <v>21367</v>
      </c>
      <c r="I32" s="444">
        <v>1.7692307692307692</v>
      </c>
      <c r="J32" s="444">
        <v>929</v>
      </c>
      <c r="K32" s="448">
        <v>13</v>
      </c>
      <c r="L32" s="448">
        <v>12077</v>
      </c>
      <c r="M32" s="444">
        <v>1</v>
      </c>
      <c r="N32" s="444">
        <v>929</v>
      </c>
      <c r="O32" s="448">
        <v>20</v>
      </c>
      <c r="P32" s="448">
        <v>18580</v>
      </c>
      <c r="Q32" s="471">
        <v>1.5384615384615385</v>
      </c>
      <c r="R32" s="449">
        <v>929</v>
      </c>
    </row>
    <row r="33" spans="1:18" ht="14.4" customHeight="1" x14ac:dyDescent="0.3">
      <c r="A33" s="443"/>
      <c r="B33" s="444" t="s">
        <v>1590</v>
      </c>
      <c r="C33" s="444" t="s">
        <v>426</v>
      </c>
      <c r="D33" s="444" t="s">
        <v>1591</v>
      </c>
      <c r="E33" s="444" t="s">
        <v>1619</v>
      </c>
      <c r="F33" s="444"/>
      <c r="G33" s="448">
        <v>2</v>
      </c>
      <c r="H33" s="448">
        <v>416</v>
      </c>
      <c r="I33" s="444">
        <v>2</v>
      </c>
      <c r="J33" s="444">
        <v>208</v>
      </c>
      <c r="K33" s="448">
        <v>1</v>
      </c>
      <c r="L33" s="448">
        <v>208</v>
      </c>
      <c r="M33" s="444">
        <v>1</v>
      </c>
      <c r="N33" s="444">
        <v>208</v>
      </c>
      <c r="O33" s="448"/>
      <c r="P33" s="448"/>
      <c r="Q33" s="471"/>
      <c r="R33" s="449"/>
    </row>
    <row r="34" spans="1:18" ht="14.4" customHeight="1" x14ac:dyDescent="0.3">
      <c r="A34" s="443"/>
      <c r="B34" s="444" t="s">
        <v>1590</v>
      </c>
      <c r="C34" s="444" t="s">
        <v>426</v>
      </c>
      <c r="D34" s="444" t="s">
        <v>1591</v>
      </c>
      <c r="E34" s="444" t="s">
        <v>1620</v>
      </c>
      <c r="F34" s="444"/>
      <c r="G34" s="448">
        <v>1</v>
      </c>
      <c r="H34" s="448">
        <v>508</v>
      </c>
      <c r="I34" s="444"/>
      <c r="J34" s="444">
        <v>508</v>
      </c>
      <c r="K34" s="448"/>
      <c r="L34" s="448"/>
      <c r="M34" s="444"/>
      <c r="N34" s="444"/>
      <c r="O34" s="448"/>
      <c r="P34" s="448"/>
      <c r="Q34" s="471"/>
      <c r="R34" s="449"/>
    </row>
    <row r="35" spans="1:18" ht="14.4" customHeight="1" x14ac:dyDescent="0.3">
      <c r="A35" s="443"/>
      <c r="B35" s="444" t="s">
        <v>1590</v>
      </c>
      <c r="C35" s="444" t="s">
        <v>426</v>
      </c>
      <c r="D35" s="444" t="s">
        <v>1591</v>
      </c>
      <c r="E35" s="444" t="s">
        <v>1621</v>
      </c>
      <c r="F35" s="444"/>
      <c r="G35" s="448">
        <v>49</v>
      </c>
      <c r="H35" s="448">
        <v>85260</v>
      </c>
      <c r="I35" s="444">
        <v>2.4500000000000002</v>
      </c>
      <c r="J35" s="444">
        <v>1740</v>
      </c>
      <c r="K35" s="448">
        <v>20</v>
      </c>
      <c r="L35" s="448">
        <v>34800</v>
      </c>
      <c r="M35" s="444">
        <v>1</v>
      </c>
      <c r="N35" s="444">
        <v>1740</v>
      </c>
      <c r="O35" s="448">
        <v>44</v>
      </c>
      <c r="P35" s="448">
        <v>88000</v>
      </c>
      <c r="Q35" s="471">
        <v>2.5287356321839081</v>
      </c>
      <c r="R35" s="449">
        <v>2000</v>
      </c>
    </row>
    <row r="36" spans="1:18" ht="14.4" customHeight="1" x14ac:dyDescent="0.3">
      <c r="A36" s="443"/>
      <c r="B36" s="444" t="s">
        <v>1590</v>
      </c>
      <c r="C36" s="444" t="s">
        <v>426</v>
      </c>
      <c r="D36" s="444" t="s">
        <v>1591</v>
      </c>
      <c r="E36" s="444" t="s">
        <v>1622</v>
      </c>
      <c r="F36" s="444"/>
      <c r="G36" s="448">
        <v>19</v>
      </c>
      <c r="H36" s="448">
        <v>38456</v>
      </c>
      <c r="I36" s="444">
        <v>1.5833333333333333</v>
      </c>
      <c r="J36" s="444">
        <v>2024</v>
      </c>
      <c r="K36" s="448">
        <v>12</v>
      </c>
      <c r="L36" s="448">
        <v>24288</v>
      </c>
      <c r="M36" s="444">
        <v>1</v>
      </c>
      <c r="N36" s="444">
        <v>2024</v>
      </c>
      <c r="O36" s="448">
        <v>16</v>
      </c>
      <c r="P36" s="448">
        <v>32384</v>
      </c>
      <c r="Q36" s="471">
        <v>1.3333333333333333</v>
      </c>
      <c r="R36" s="449">
        <v>2024</v>
      </c>
    </row>
    <row r="37" spans="1:18" ht="14.4" customHeight="1" x14ac:dyDescent="0.3">
      <c r="A37" s="443"/>
      <c r="B37" s="444" t="s">
        <v>1590</v>
      </c>
      <c r="C37" s="444" t="s">
        <v>426</v>
      </c>
      <c r="D37" s="444" t="s">
        <v>1591</v>
      </c>
      <c r="E37" s="444" t="s">
        <v>1623</v>
      </c>
      <c r="F37" s="444"/>
      <c r="G37" s="448">
        <v>9</v>
      </c>
      <c r="H37" s="448">
        <v>17880</v>
      </c>
      <c r="I37" s="444">
        <v>2.9651741293532337</v>
      </c>
      <c r="J37" s="444">
        <v>1986.6666666666667</v>
      </c>
      <c r="K37" s="448">
        <v>3</v>
      </c>
      <c r="L37" s="448">
        <v>6030</v>
      </c>
      <c r="M37" s="444">
        <v>1</v>
      </c>
      <c r="N37" s="444">
        <v>2010</v>
      </c>
      <c r="O37" s="448">
        <v>1</v>
      </c>
      <c r="P37" s="448">
        <v>2010</v>
      </c>
      <c r="Q37" s="471">
        <v>0.33333333333333331</v>
      </c>
      <c r="R37" s="449">
        <v>2010</v>
      </c>
    </row>
    <row r="38" spans="1:18" ht="14.4" customHeight="1" x14ac:dyDescent="0.3">
      <c r="A38" s="443"/>
      <c r="B38" s="444" t="s">
        <v>1590</v>
      </c>
      <c r="C38" s="444" t="s">
        <v>426</v>
      </c>
      <c r="D38" s="444" t="s">
        <v>1591</v>
      </c>
      <c r="E38" s="444" t="s">
        <v>1624</v>
      </c>
      <c r="F38" s="444"/>
      <c r="G38" s="448">
        <v>8</v>
      </c>
      <c r="H38" s="448">
        <v>17168</v>
      </c>
      <c r="I38" s="444">
        <v>2</v>
      </c>
      <c r="J38" s="444">
        <v>2146</v>
      </c>
      <c r="K38" s="448">
        <v>4</v>
      </c>
      <c r="L38" s="448">
        <v>8584</v>
      </c>
      <c r="M38" s="444">
        <v>1</v>
      </c>
      <c r="N38" s="444">
        <v>2146</v>
      </c>
      <c r="O38" s="448">
        <v>5</v>
      </c>
      <c r="P38" s="448">
        <v>10730</v>
      </c>
      <c r="Q38" s="471">
        <v>1.25</v>
      </c>
      <c r="R38" s="449">
        <v>2146</v>
      </c>
    </row>
    <row r="39" spans="1:18" ht="14.4" customHeight="1" x14ac:dyDescent="0.3">
      <c r="A39" s="443"/>
      <c r="B39" s="444" t="s">
        <v>1590</v>
      </c>
      <c r="C39" s="444" t="s">
        <v>426</v>
      </c>
      <c r="D39" s="444" t="s">
        <v>1591</v>
      </c>
      <c r="E39" s="444" t="s">
        <v>1625</v>
      </c>
      <c r="F39" s="444"/>
      <c r="G39" s="448">
        <v>3</v>
      </c>
      <c r="H39" s="448">
        <v>3738</v>
      </c>
      <c r="I39" s="444">
        <v>0.6</v>
      </c>
      <c r="J39" s="444">
        <v>1246</v>
      </c>
      <c r="K39" s="448">
        <v>5</v>
      </c>
      <c r="L39" s="448">
        <v>6230</v>
      </c>
      <c r="M39" s="444">
        <v>1</v>
      </c>
      <c r="N39" s="444">
        <v>1246</v>
      </c>
      <c r="O39" s="448">
        <v>1</v>
      </c>
      <c r="P39" s="448">
        <v>1246</v>
      </c>
      <c r="Q39" s="471">
        <v>0.2</v>
      </c>
      <c r="R39" s="449">
        <v>1246</v>
      </c>
    </row>
    <row r="40" spans="1:18" ht="14.4" customHeight="1" x14ac:dyDescent="0.3">
      <c r="A40" s="443"/>
      <c r="B40" s="444" t="s">
        <v>1590</v>
      </c>
      <c r="C40" s="444" t="s">
        <v>426</v>
      </c>
      <c r="D40" s="444" t="s">
        <v>1591</v>
      </c>
      <c r="E40" s="444" t="s">
        <v>1626</v>
      </c>
      <c r="F40" s="444"/>
      <c r="G40" s="448">
        <v>2</v>
      </c>
      <c r="H40" s="448">
        <v>2690</v>
      </c>
      <c r="I40" s="444"/>
      <c r="J40" s="444">
        <v>1345</v>
      </c>
      <c r="K40" s="448"/>
      <c r="L40" s="448"/>
      <c r="M40" s="444"/>
      <c r="N40" s="444"/>
      <c r="O40" s="448">
        <v>1</v>
      </c>
      <c r="P40" s="448">
        <v>1345</v>
      </c>
      <c r="Q40" s="471"/>
      <c r="R40" s="449">
        <v>1345</v>
      </c>
    </row>
    <row r="41" spans="1:18" ht="14.4" customHeight="1" x14ac:dyDescent="0.3">
      <c r="A41" s="443"/>
      <c r="B41" s="444" t="s">
        <v>1590</v>
      </c>
      <c r="C41" s="444" t="s">
        <v>426</v>
      </c>
      <c r="D41" s="444" t="s">
        <v>1591</v>
      </c>
      <c r="E41" s="444" t="s">
        <v>1627</v>
      </c>
      <c r="F41" s="444"/>
      <c r="G41" s="448">
        <v>76</v>
      </c>
      <c r="H41" s="448">
        <v>270104</v>
      </c>
      <c r="I41" s="444">
        <v>1.3818181818181818</v>
      </c>
      <c r="J41" s="444">
        <v>3554</v>
      </c>
      <c r="K41" s="448">
        <v>55</v>
      </c>
      <c r="L41" s="448">
        <v>195470</v>
      </c>
      <c r="M41" s="444">
        <v>1</v>
      </c>
      <c r="N41" s="444">
        <v>3554</v>
      </c>
      <c r="O41" s="448">
        <v>80</v>
      </c>
      <c r="P41" s="448">
        <v>312000</v>
      </c>
      <c r="Q41" s="471">
        <v>1.5961528623318155</v>
      </c>
      <c r="R41" s="449">
        <v>3900</v>
      </c>
    </row>
    <row r="42" spans="1:18" ht="14.4" customHeight="1" x14ac:dyDescent="0.3">
      <c r="A42" s="443"/>
      <c r="B42" s="444" t="s">
        <v>1590</v>
      </c>
      <c r="C42" s="444" t="s">
        <v>426</v>
      </c>
      <c r="D42" s="444" t="s">
        <v>1591</v>
      </c>
      <c r="E42" s="444" t="s">
        <v>1628</v>
      </c>
      <c r="F42" s="444"/>
      <c r="G42" s="448">
        <v>46</v>
      </c>
      <c r="H42" s="448">
        <v>166382</v>
      </c>
      <c r="I42" s="444">
        <v>1.2777777777777777</v>
      </c>
      <c r="J42" s="444">
        <v>3617</v>
      </c>
      <c r="K42" s="448">
        <v>36</v>
      </c>
      <c r="L42" s="448">
        <v>130212</v>
      </c>
      <c r="M42" s="444">
        <v>1</v>
      </c>
      <c r="N42" s="444">
        <v>3617</v>
      </c>
      <c r="O42" s="448">
        <v>56</v>
      </c>
      <c r="P42" s="448">
        <v>218400</v>
      </c>
      <c r="Q42" s="471">
        <v>1.6772647682241268</v>
      </c>
      <c r="R42" s="449">
        <v>3900</v>
      </c>
    </row>
    <row r="43" spans="1:18" ht="14.4" customHeight="1" x14ac:dyDescent="0.3">
      <c r="A43" s="443"/>
      <c r="B43" s="444" t="s">
        <v>1590</v>
      </c>
      <c r="C43" s="444" t="s">
        <v>426</v>
      </c>
      <c r="D43" s="444" t="s">
        <v>1591</v>
      </c>
      <c r="E43" s="444" t="s">
        <v>1629</v>
      </c>
      <c r="F43" s="444"/>
      <c r="G43" s="448">
        <v>4</v>
      </c>
      <c r="H43" s="448">
        <v>5404</v>
      </c>
      <c r="I43" s="444">
        <v>4</v>
      </c>
      <c r="J43" s="444">
        <v>1351</v>
      </c>
      <c r="K43" s="448">
        <v>1</v>
      </c>
      <c r="L43" s="448">
        <v>1351</v>
      </c>
      <c r="M43" s="444">
        <v>1</v>
      </c>
      <c r="N43" s="444">
        <v>1351</v>
      </c>
      <c r="O43" s="448">
        <v>7</v>
      </c>
      <c r="P43" s="448">
        <v>9457</v>
      </c>
      <c r="Q43" s="471">
        <v>7</v>
      </c>
      <c r="R43" s="449">
        <v>1351</v>
      </c>
    </row>
    <row r="44" spans="1:18" ht="14.4" customHeight="1" x14ac:dyDescent="0.3">
      <c r="A44" s="443"/>
      <c r="B44" s="444" t="s">
        <v>1590</v>
      </c>
      <c r="C44" s="444" t="s">
        <v>426</v>
      </c>
      <c r="D44" s="444" t="s">
        <v>1591</v>
      </c>
      <c r="E44" s="444" t="s">
        <v>1630</v>
      </c>
      <c r="F44" s="444"/>
      <c r="G44" s="448">
        <v>10</v>
      </c>
      <c r="H44" s="448">
        <v>1640</v>
      </c>
      <c r="I44" s="444">
        <v>1</v>
      </c>
      <c r="J44" s="444">
        <v>164</v>
      </c>
      <c r="K44" s="448">
        <v>10</v>
      </c>
      <c r="L44" s="448">
        <v>1640</v>
      </c>
      <c r="M44" s="444">
        <v>1</v>
      </c>
      <c r="N44" s="444">
        <v>164</v>
      </c>
      <c r="O44" s="448">
        <v>10</v>
      </c>
      <c r="P44" s="448">
        <v>1640</v>
      </c>
      <c r="Q44" s="471">
        <v>1</v>
      </c>
      <c r="R44" s="449">
        <v>164</v>
      </c>
    </row>
    <row r="45" spans="1:18" ht="14.4" customHeight="1" x14ac:dyDescent="0.3">
      <c r="A45" s="443"/>
      <c r="B45" s="444" t="s">
        <v>1590</v>
      </c>
      <c r="C45" s="444" t="s">
        <v>426</v>
      </c>
      <c r="D45" s="444" t="s">
        <v>1591</v>
      </c>
      <c r="E45" s="444" t="s">
        <v>1631</v>
      </c>
      <c r="F45" s="444"/>
      <c r="G45" s="448">
        <v>40</v>
      </c>
      <c r="H45" s="448">
        <v>9000</v>
      </c>
      <c r="I45" s="444">
        <v>1.1428571428571428</v>
      </c>
      <c r="J45" s="444">
        <v>225</v>
      </c>
      <c r="K45" s="448">
        <v>35</v>
      </c>
      <c r="L45" s="448">
        <v>7875</v>
      </c>
      <c r="M45" s="444">
        <v>1</v>
      </c>
      <c r="N45" s="444">
        <v>225</v>
      </c>
      <c r="O45" s="448">
        <v>40</v>
      </c>
      <c r="P45" s="448">
        <v>9000</v>
      </c>
      <c r="Q45" s="471">
        <v>1.1428571428571428</v>
      </c>
      <c r="R45" s="449">
        <v>225</v>
      </c>
    </row>
    <row r="46" spans="1:18" ht="14.4" customHeight="1" x14ac:dyDescent="0.3">
      <c r="A46" s="443"/>
      <c r="B46" s="444" t="s">
        <v>1590</v>
      </c>
      <c r="C46" s="444" t="s">
        <v>426</v>
      </c>
      <c r="D46" s="444" t="s">
        <v>1591</v>
      </c>
      <c r="E46" s="444" t="s">
        <v>1632</v>
      </c>
      <c r="F46" s="444"/>
      <c r="G46" s="448">
        <v>15</v>
      </c>
      <c r="H46" s="448">
        <v>5445</v>
      </c>
      <c r="I46" s="444">
        <v>0.9375</v>
      </c>
      <c r="J46" s="444">
        <v>363</v>
      </c>
      <c r="K46" s="448">
        <v>16</v>
      </c>
      <c r="L46" s="448">
        <v>5808</v>
      </c>
      <c r="M46" s="444">
        <v>1</v>
      </c>
      <c r="N46" s="444">
        <v>363</v>
      </c>
      <c r="O46" s="448">
        <v>14</v>
      </c>
      <c r="P46" s="448">
        <v>5082</v>
      </c>
      <c r="Q46" s="471">
        <v>0.875</v>
      </c>
      <c r="R46" s="449">
        <v>363</v>
      </c>
    </row>
    <row r="47" spans="1:18" ht="14.4" customHeight="1" x14ac:dyDescent="0.3">
      <c r="A47" s="443"/>
      <c r="B47" s="444" t="s">
        <v>1590</v>
      </c>
      <c r="C47" s="444" t="s">
        <v>426</v>
      </c>
      <c r="D47" s="444" t="s">
        <v>1591</v>
      </c>
      <c r="E47" s="444" t="s">
        <v>1633</v>
      </c>
      <c r="F47" s="444"/>
      <c r="G47" s="448">
        <v>24</v>
      </c>
      <c r="H47" s="448">
        <v>14088</v>
      </c>
      <c r="I47" s="444">
        <v>1.3333333333333333</v>
      </c>
      <c r="J47" s="444">
        <v>587</v>
      </c>
      <c r="K47" s="448">
        <v>18</v>
      </c>
      <c r="L47" s="448">
        <v>10566</v>
      </c>
      <c r="M47" s="444">
        <v>1</v>
      </c>
      <c r="N47" s="444">
        <v>587</v>
      </c>
      <c r="O47" s="448">
        <v>15</v>
      </c>
      <c r="P47" s="448">
        <v>8805</v>
      </c>
      <c r="Q47" s="471">
        <v>0.83333333333333337</v>
      </c>
      <c r="R47" s="449">
        <v>587</v>
      </c>
    </row>
    <row r="48" spans="1:18" ht="14.4" customHeight="1" x14ac:dyDescent="0.3">
      <c r="A48" s="443"/>
      <c r="B48" s="444" t="s">
        <v>1590</v>
      </c>
      <c r="C48" s="444" t="s">
        <v>426</v>
      </c>
      <c r="D48" s="444" t="s">
        <v>1591</v>
      </c>
      <c r="E48" s="444" t="s">
        <v>1634</v>
      </c>
      <c r="F48" s="444"/>
      <c r="G48" s="448">
        <v>5</v>
      </c>
      <c r="H48" s="448">
        <v>3000</v>
      </c>
      <c r="I48" s="444">
        <v>2.5</v>
      </c>
      <c r="J48" s="444">
        <v>600</v>
      </c>
      <c r="K48" s="448">
        <v>2</v>
      </c>
      <c r="L48" s="448">
        <v>1200</v>
      </c>
      <c r="M48" s="444">
        <v>1</v>
      </c>
      <c r="N48" s="444">
        <v>600</v>
      </c>
      <c r="O48" s="448">
        <v>4</v>
      </c>
      <c r="P48" s="448">
        <v>2400</v>
      </c>
      <c r="Q48" s="471">
        <v>2</v>
      </c>
      <c r="R48" s="449">
        <v>600</v>
      </c>
    </row>
    <row r="49" spans="1:18" ht="14.4" customHeight="1" x14ac:dyDescent="0.3">
      <c r="A49" s="443"/>
      <c r="B49" s="444" t="s">
        <v>1590</v>
      </c>
      <c r="C49" s="444" t="s">
        <v>426</v>
      </c>
      <c r="D49" s="444" t="s">
        <v>1591</v>
      </c>
      <c r="E49" s="444" t="s">
        <v>1635</v>
      </c>
      <c r="F49" s="444"/>
      <c r="G49" s="448">
        <v>3</v>
      </c>
      <c r="H49" s="448">
        <v>12693</v>
      </c>
      <c r="I49" s="444">
        <v>3</v>
      </c>
      <c r="J49" s="444">
        <v>4231</v>
      </c>
      <c r="K49" s="448">
        <v>1</v>
      </c>
      <c r="L49" s="448">
        <v>4231</v>
      </c>
      <c r="M49" s="444">
        <v>1</v>
      </c>
      <c r="N49" s="444">
        <v>4231</v>
      </c>
      <c r="O49" s="448"/>
      <c r="P49" s="448"/>
      <c r="Q49" s="471"/>
      <c r="R49" s="449"/>
    </row>
    <row r="50" spans="1:18" ht="14.4" customHeight="1" x14ac:dyDescent="0.3">
      <c r="A50" s="443"/>
      <c r="B50" s="444" t="s">
        <v>1590</v>
      </c>
      <c r="C50" s="444" t="s">
        <v>426</v>
      </c>
      <c r="D50" s="444" t="s">
        <v>1591</v>
      </c>
      <c r="E50" s="444" t="s">
        <v>1636</v>
      </c>
      <c r="F50" s="444"/>
      <c r="G50" s="448">
        <v>1</v>
      </c>
      <c r="H50" s="448">
        <v>4359</v>
      </c>
      <c r="I50" s="444">
        <v>0.5</v>
      </c>
      <c r="J50" s="444">
        <v>4359</v>
      </c>
      <c r="K50" s="448">
        <v>2</v>
      </c>
      <c r="L50" s="448">
        <v>8718</v>
      </c>
      <c r="M50" s="444">
        <v>1</v>
      </c>
      <c r="N50" s="444">
        <v>4359</v>
      </c>
      <c r="O50" s="448">
        <v>1</v>
      </c>
      <c r="P50" s="448">
        <v>4359</v>
      </c>
      <c r="Q50" s="471">
        <v>0.5</v>
      </c>
      <c r="R50" s="449">
        <v>4359</v>
      </c>
    </row>
    <row r="51" spans="1:18" ht="14.4" customHeight="1" x14ac:dyDescent="0.3">
      <c r="A51" s="443"/>
      <c r="B51" s="444" t="s">
        <v>1590</v>
      </c>
      <c r="C51" s="444" t="s">
        <v>426</v>
      </c>
      <c r="D51" s="444" t="s">
        <v>1591</v>
      </c>
      <c r="E51" s="444" t="s">
        <v>1637</v>
      </c>
      <c r="F51" s="444"/>
      <c r="G51" s="448"/>
      <c r="H51" s="448"/>
      <c r="I51" s="444"/>
      <c r="J51" s="444"/>
      <c r="K51" s="448"/>
      <c r="L51" s="448"/>
      <c r="M51" s="444"/>
      <c r="N51" s="444"/>
      <c r="O51" s="448">
        <v>1</v>
      </c>
      <c r="P51" s="448">
        <v>1008</v>
      </c>
      <c r="Q51" s="471"/>
      <c r="R51" s="449">
        <v>1008</v>
      </c>
    </row>
    <row r="52" spans="1:18" ht="14.4" customHeight="1" x14ac:dyDescent="0.3">
      <c r="A52" s="443"/>
      <c r="B52" s="444" t="s">
        <v>1590</v>
      </c>
      <c r="C52" s="444" t="s">
        <v>426</v>
      </c>
      <c r="D52" s="444" t="s">
        <v>1591</v>
      </c>
      <c r="E52" s="444" t="s">
        <v>1638</v>
      </c>
      <c r="F52" s="444"/>
      <c r="G52" s="448"/>
      <c r="H52" s="448"/>
      <c r="I52" s="444"/>
      <c r="J52" s="444"/>
      <c r="K52" s="448"/>
      <c r="L52" s="448"/>
      <c r="M52" s="444"/>
      <c r="N52" s="444"/>
      <c r="O52" s="448">
        <v>2</v>
      </c>
      <c r="P52" s="448">
        <v>1490</v>
      </c>
      <c r="Q52" s="471"/>
      <c r="R52" s="449">
        <v>745</v>
      </c>
    </row>
    <row r="53" spans="1:18" ht="14.4" customHeight="1" x14ac:dyDescent="0.3">
      <c r="A53" s="443"/>
      <c r="B53" s="444" t="s">
        <v>1590</v>
      </c>
      <c r="C53" s="444" t="s">
        <v>426</v>
      </c>
      <c r="D53" s="444" t="s">
        <v>1591</v>
      </c>
      <c r="E53" s="444" t="s">
        <v>1639</v>
      </c>
      <c r="F53" s="444"/>
      <c r="G53" s="448">
        <v>3</v>
      </c>
      <c r="H53" s="448">
        <v>1683</v>
      </c>
      <c r="I53" s="444">
        <v>0.25</v>
      </c>
      <c r="J53" s="444">
        <v>561</v>
      </c>
      <c r="K53" s="448">
        <v>12</v>
      </c>
      <c r="L53" s="448">
        <v>6732</v>
      </c>
      <c r="M53" s="444">
        <v>1</v>
      </c>
      <c r="N53" s="444">
        <v>561</v>
      </c>
      <c r="O53" s="448">
        <v>5</v>
      </c>
      <c r="P53" s="448">
        <v>2805</v>
      </c>
      <c r="Q53" s="471">
        <v>0.41666666666666669</v>
      </c>
      <c r="R53" s="449">
        <v>561</v>
      </c>
    </row>
    <row r="54" spans="1:18" ht="14.4" customHeight="1" x14ac:dyDescent="0.3">
      <c r="A54" s="443"/>
      <c r="B54" s="444" t="s">
        <v>1590</v>
      </c>
      <c r="C54" s="444" t="s">
        <v>426</v>
      </c>
      <c r="D54" s="444" t="s">
        <v>1591</v>
      </c>
      <c r="E54" s="444" t="s">
        <v>1640</v>
      </c>
      <c r="F54" s="444"/>
      <c r="G54" s="448"/>
      <c r="H54" s="448"/>
      <c r="I54" s="444"/>
      <c r="J54" s="444"/>
      <c r="K54" s="448">
        <v>1</v>
      </c>
      <c r="L54" s="448">
        <v>1122</v>
      </c>
      <c r="M54" s="444">
        <v>1</v>
      </c>
      <c r="N54" s="444">
        <v>1122</v>
      </c>
      <c r="O54" s="448">
        <v>1</v>
      </c>
      <c r="P54" s="448">
        <v>1122</v>
      </c>
      <c r="Q54" s="471">
        <v>1</v>
      </c>
      <c r="R54" s="449">
        <v>1122</v>
      </c>
    </row>
    <row r="55" spans="1:18" ht="14.4" customHeight="1" x14ac:dyDescent="0.3">
      <c r="A55" s="443"/>
      <c r="B55" s="444" t="s">
        <v>1590</v>
      </c>
      <c r="C55" s="444" t="s">
        <v>426</v>
      </c>
      <c r="D55" s="444" t="s">
        <v>1591</v>
      </c>
      <c r="E55" s="444" t="s">
        <v>1641</v>
      </c>
      <c r="F55" s="444"/>
      <c r="G55" s="448">
        <v>7</v>
      </c>
      <c r="H55" s="448">
        <v>6069</v>
      </c>
      <c r="I55" s="444">
        <v>1.75</v>
      </c>
      <c r="J55" s="444">
        <v>867</v>
      </c>
      <c r="K55" s="448">
        <v>4</v>
      </c>
      <c r="L55" s="448">
        <v>3468</v>
      </c>
      <c r="M55" s="444">
        <v>1</v>
      </c>
      <c r="N55" s="444">
        <v>867</v>
      </c>
      <c r="O55" s="448">
        <v>10</v>
      </c>
      <c r="P55" s="448">
        <v>8670</v>
      </c>
      <c r="Q55" s="471">
        <v>2.5</v>
      </c>
      <c r="R55" s="449">
        <v>867</v>
      </c>
    </row>
    <row r="56" spans="1:18" ht="14.4" customHeight="1" x14ac:dyDescent="0.3">
      <c r="A56" s="443"/>
      <c r="B56" s="444" t="s">
        <v>1590</v>
      </c>
      <c r="C56" s="444" t="s">
        <v>426</v>
      </c>
      <c r="D56" s="444" t="s">
        <v>1591</v>
      </c>
      <c r="E56" s="444" t="s">
        <v>1642</v>
      </c>
      <c r="F56" s="444"/>
      <c r="G56" s="448">
        <v>3</v>
      </c>
      <c r="H56" s="448">
        <v>1650</v>
      </c>
      <c r="I56" s="444">
        <v>0.42857142857142855</v>
      </c>
      <c r="J56" s="444">
        <v>550</v>
      </c>
      <c r="K56" s="448">
        <v>7</v>
      </c>
      <c r="L56" s="448">
        <v>3850</v>
      </c>
      <c r="M56" s="444">
        <v>1</v>
      </c>
      <c r="N56" s="444">
        <v>550</v>
      </c>
      <c r="O56" s="448">
        <v>2</v>
      </c>
      <c r="P56" s="448">
        <v>1100</v>
      </c>
      <c r="Q56" s="471">
        <v>0.2857142857142857</v>
      </c>
      <c r="R56" s="449">
        <v>550</v>
      </c>
    </row>
    <row r="57" spans="1:18" ht="14.4" customHeight="1" x14ac:dyDescent="0.3">
      <c r="A57" s="443"/>
      <c r="B57" s="444" t="s">
        <v>1590</v>
      </c>
      <c r="C57" s="444" t="s">
        <v>426</v>
      </c>
      <c r="D57" s="444" t="s">
        <v>1591</v>
      </c>
      <c r="E57" s="444" t="s">
        <v>1643</v>
      </c>
      <c r="F57" s="444"/>
      <c r="G57" s="448">
        <v>1</v>
      </c>
      <c r="H57" s="448">
        <v>1395</v>
      </c>
      <c r="I57" s="444"/>
      <c r="J57" s="444">
        <v>1395</v>
      </c>
      <c r="K57" s="448"/>
      <c r="L57" s="448"/>
      <c r="M57" s="444"/>
      <c r="N57" s="444"/>
      <c r="O57" s="448">
        <v>2</v>
      </c>
      <c r="P57" s="448">
        <v>2790</v>
      </c>
      <c r="Q57" s="471"/>
      <c r="R57" s="449">
        <v>1395</v>
      </c>
    </row>
    <row r="58" spans="1:18" ht="14.4" customHeight="1" x14ac:dyDescent="0.3">
      <c r="A58" s="443"/>
      <c r="B58" s="444" t="s">
        <v>1590</v>
      </c>
      <c r="C58" s="444" t="s">
        <v>426</v>
      </c>
      <c r="D58" s="444" t="s">
        <v>1591</v>
      </c>
      <c r="E58" s="444" t="s">
        <v>1644</v>
      </c>
      <c r="F58" s="444"/>
      <c r="G58" s="448">
        <v>2</v>
      </c>
      <c r="H58" s="448">
        <v>1038</v>
      </c>
      <c r="I58" s="444">
        <v>2</v>
      </c>
      <c r="J58" s="444">
        <v>519</v>
      </c>
      <c r="K58" s="448">
        <v>1</v>
      </c>
      <c r="L58" s="448">
        <v>519</v>
      </c>
      <c r="M58" s="444">
        <v>1</v>
      </c>
      <c r="N58" s="444">
        <v>519</v>
      </c>
      <c r="O58" s="448"/>
      <c r="P58" s="448"/>
      <c r="Q58" s="471"/>
      <c r="R58" s="449"/>
    </row>
    <row r="59" spans="1:18" ht="14.4" customHeight="1" x14ac:dyDescent="0.3">
      <c r="A59" s="443"/>
      <c r="B59" s="444" t="s">
        <v>1590</v>
      </c>
      <c r="C59" s="444" t="s">
        <v>426</v>
      </c>
      <c r="D59" s="444" t="s">
        <v>1591</v>
      </c>
      <c r="E59" s="444" t="s">
        <v>1645</v>
      </c>
      <c r="F59" s="444"/>
      <c r="G59" s="448">
        <v>1</v>
      </c>
      <c r="H59" s="448">
        <v>1326</v>
      </c>
      <c r="I59" s="444">
        <v>0.16666666666666666</v>
      </c>
      <c r="J59" s="444">
        <v>1326</v>
      </c>
      <c r="K59" s="448">
        <v>6</v>
      </c>
      <c r="L59" s="448">
        <v>7956</v>
      </c>
      <c r="M59" s="444">
        <v>1</v>
      </c>
      <c r="N59" s="444">
        <v>1326</v>
      </c>
      <c r="O59" s="448">
        <v>3</v>
      </c>
      <c r="P59" s="448">
        <v>3978</v>
      </c>
      <c r="Q59" s="471">
        <v>0.5</v>
      </c>
      <c r="R59" s="449">
        <v>1326</v>
      </c>
    </row>
    <row r="60" spans="1:18" ht="14.4" customHeight="1" x14ac:dyDescent="0.3">
      <c r="A60" s="443"/>
      <c r="B60" s="444" t="s">
        <v>1590</v>
      </c>
      <c r="C60" s="444" t="s">
        <v>426</v>
      </c>
      <c r="D60" s="444" t="s">
        <v>1591</v>
      </c>
      <c r="E60" s="444" t="s">
        <v>1646</v>
      </c>
      <c r="F60" s="444"/>
      <c r="G60" s="448">
        <v>1</v>
      </c>
      <c r="H60" s="448">
        <v>0</v>
      </c>
      <c r="I60" s="444"/>
      <c r="J60" s="444">
        <v>0</v>
      </c>
      <c r="K60" s="448"/>
      <c r="L60" s="448"/>
      <c r="M60" s="444"/>
      <c r="N60" s="444"/>
      <c r="O60" s="448"/>
      <c r="P60" s="448"/>
      <c r="Q60" s="471"/>
      <c r="R60" s="449"/>
    </row>
    <row r="61" spans="1:18" ht="14.4" customHeight="1" x14ac:dyDescent="0.3">
      <c r="A61" s="443"/>
      <c r="B61" s="444" t="s">
        <v>1590</v>
      </c>
      <c r="C61" s="444" t="s">
        <v>426</v>
      </c>
      <c r="D61" s="444" t="s">
        <v>1591</v>
      </c>
      <c r="E61" s="444" t="s">
        <v>1647</v>
      </c>
      <c r="F61" s="444"/>
      <c r="G61" s="448">
        <v>3</v>
      </c>
      <c r="H61" s="448">
        <v>1215</v>
      </c>
      <c r="I61" s="444"/>
      <c r="J61" s="444">
        <v>405</v>
      </c>
      <c r="K61" s="448"/>
      <c r="L61" s="448"/>
      <c r="M61" s="444"/>
      <c r="N61" s="444"/>
      <c r="O61" s="448">
        <v>1</v>
      </c>
      <c r="P61" s="448">
        <v>405</v>
      </c>
      <c r="Q61" s="471"/>
      <c r="R61" s="449">
        <v>405</v>
      </c>
    </row>
    <row r="62" spans="1:18" ht="14.4" customHeight="1" x14ac:dyDescent="0.3">
      <c r="A62" s="443"/>
      <c r="B62" s="444" t="s">
        <v>1590</v>
      </c>
      <c r="C62" s="444" t="s">
        <v>426</v>
      </c>
      <c r="D62" s="444" t="s">
        <v>1591</v>
      </c>
      <c r="E62" s="444" t="s">
        <v>1648</v>
      </c>
      <c r="F62" s="444"/>
      <c r="G62" s="448">
        <v>11</v>
      </c>
      <c r="H62" s="448">
        <v>6050</v>
      </c>
      <c r="I62" s="444">
        <v>1.5714285714285714</v>
      </c>
      <c r="J62" s="444">
        <v>550</v>
      </c>
      <c r="K62" s="448">
        <v>7</v>
      </c>
      <c r="L62" s="448">
        <v>3850</v>
      </c>
      <c r="M62" s="444">
        <v>1</v>
      </c>
      <c r="N62" s="444">
        <v>550</v>
      </c>
      <c r="O62" s="448">
        <v>6</v>
      </c>
      <c r="P62" s="448">
        <v>3300</v>
      </c>
      <c r="Q62" s="471">
        <v>0.8571428571428571</v>
      </c>
      <c r="R62" s="449">
        <v>550</v>
      </c>
    </row>
    <row r="63" spans="1:18" ht="14.4" customHeight="1" x14ac:dyDescent="0.3">
      <c r="A63" s="443"/>
      <c r="B63" s="444" t="s">
        <v>1590</v>
      </c>
      <c r="C63" s="444" t="s">
        <v>426</v>
      </c>
      <c r="D63" s="444" t="s">
        <v>1591</v>
      </c>
      <c r="E63" s="444" t="s">
        <v>1649</v>
      </c>
      <c r="F63" s="444"/>
      <c r="G63" s="448">
        <v>1</v>
      </c>
      <c r="H63" s="448">
        <v>1260</v>
      </c>
      <c r="I63" s="444">
        <v>1</v>
      </c>
      <c r="J63" s="444">
        <v>1260</v>
      </c>
      <c r="K63" s="448">
        <v>1</v>
      </c>
      <c r="L63" s="448">
        <v>1260</v>
      </c>
      <c r="M63" s="444">
        <v>1</v>
      </c>
      <c r="N63" s="444">
        <v>1260</v>
      </c>
      <c r="O63" s="448">
        <v>1</v>
      </c>
      <c r="P63" s="448">
        <v>1260</v>
      </c>
      <c r="Q63" s="471">
        <v>1</v>
      </c>
      <c r="R63" s="449">
        <v>1260</v>
      </c>
    </row>
    <row r="64" spans="1:18" ht="14.4" customHeight="1" x14ac:dyDescent="0.3">
      <c r="A64" s="443"/>
      <c r="B64" s="444" t="s">
        <v>1590</v>
      </c>
      <c r="C64" s="444" t="s">
        <v>426</v>
      </c>
      <c r="D64" s="444" t="s">
        <v>1591</v>
      </c>
      <c r="E64" s="444" t="s">
        <v>1650</v>
      </c>
      <c r="F64" s="444"/>
      <c r="G64" s="448">
        <v>1</v>
      </c>
      <c r="H64" s="448">
        <v>1281</v>
      </c>
      <c r="I64" s="444"/>
      <c r="J64" s="444">
        <v>1281</v>
      </c>
      <c r="K64" s="448"/>
      <c r="L64" s="448"/>
      <c r="M64" s="444"/>
      <c r="N64" s="444"/>
      <c r="O64" s="448"/>
      <c r="P64" s="448"/>
      <c r="Q64" s="471"/>
      <c r="R64" s="449"/>
    </row>
    <row r="65" spans="1:18" ht="14.4" customHeight="1" x14ac:dyDescent="0.3">
      <c r="A65" s="443"/>
      <c r="B65" s="444" t="s">
        <v>1590</v>
      </c>
      <c r="C65" s="444" t="s">
        <v>426</v>
      </c>
      <c r="D65" s="444" t="s">
        <v>1591</v>
      </c>
      <c r="E65" s="444" t="s">
        <v>1651</v>
      </c>
      <c r="F65" s="444"/>
      <c r="G65" s="448">
        <v>8</v>
      </c>
      <c r="H65" s="448">
        <v>6024</v>
      </c>
      <c r="I65" s="444"/>
      <c r="J65" s="444">
        <v>753</v>
      </c>
      <c r="K65" s="448"/>
      <c r="L65" s="448"/>
      <c r="M65" s="444"/>
      <c r="N65" s="444"/>
      <c r="O65" s="448"/>
      <c r="P65" s="448"/>
      <c r="Q65" s="471"/>
      <c r="R65" s="449"/>
    </row>
    <row r="66" spans="1:18" ht="14.4" customHeight="1" x14ac:dyDescent="0.3">
      <c r="A66" s="443"/>
      <c r="B66" s="444" t="s">
        <v>1590</v>
      </c>
      <c r="C66" s="444" t="s">
        <v>426</v>
      </c>
      <c r="D66" s="444" t="s">
        <v>1591</v>
      </c>
      <c r="E66" s="444" t="s">
        <v>1652</v>
      </c>
      <c r="F66" s="444"/>
      <c r="G66" s="448">
        <v>1</v>
      </c>
      <c r="H66" s="448">
        <v>0</v>
      </c>
      <c r="I66" s="444"/>
      <c r="J66" s="444">
        <v>0</v>
      </c>
      <c r="K66" s="448"/>
      <c r="L66" s="448"/>
      <c r="M66" s="444"/>
      <c r="N66" s="444"/>
      <c r="O66" s="448"/>
      <c r="P66" s="448"/>
      <c r="Q66" s="471"/>
      <c r="R66" s="449"/>
    </row>
    <row r="67" spans="1:18" ht="14.4" customHeight="1" x14ac:dyDescent="0.3">
      <c r="A67" s="443"/>
      <c r="B67" s="444" t="s">
        <v>1590</v>
      </c>
      <c r="C67" s="444" t="s">
        <v>426</v>
      </c>
      <c r="D67" s="444" t="s">
        <v>1591</v>
      </c>
      <c r="E67" s="444" t="s">
        <v>1653</v>
      </c>
      <c r="F67" s="444"/>
      <c r="G67" s="448"/>
      <c r="H67" s="448"/>
      <c r="I67" s="444"/>
      <c r="J67" s="444"/>
      <c r="K67" s="448">
        <v>1</v>
      </c>
      <c r="L67" s="448">
        <v>353</v>
      </c>
      <c r="M67" s="444">
        <v>1</v>
      </c>
      <c r="N67" s="444">
        <v>353</v>
      </c>
      <c r="O67" s="448"/>
      <c r="P67" s="448"/>
      <c r="Q67" s="471"/>
      <c r="R67" s="449"/>
    </row>
    <row r="68" spans="1:18" ht="14.4" customHeight="1" x14ac:dyDescent="0.3">
      <c r="A68" s="443"/>
      <c r="B68" s="444" t="s">
        <v>1590</v>
      </c>
      <c r="C68" s="444" t="s">
        <v>426</v>
      </c>
      <c r="D68" s="444" t="s">
        <v>1591</v>
      </c>
      <c r="E68" s="444" t="s">
        <v>1654</v>
      </c>
      <c r="F68" s="444"/>
      <c r="G68" s="448"/>
      <c r="H68" s="448"/>
      <c r="I68" s="444"/>
      <c r="J68" s="444"/>
      <c r="K68" s="448">
        <v>1</v>
      </c>
      <c r="L68" s="448">
        <v>745</v>
      </c>
      <c r="M68" s="444">
        <v>1</v>
      </c>
      <c r="N68" s="444">
        <v>745</v>
      </c>
      <c r="O68" s="448"/>
      <c r="P68" s="448"/>
      <c r="Q68" s="471"/>
      <c r="R68" s="449"/>
    </row>
    <row r="69" spans="1:18" ht="14.4" customHeight="1" x14ac:dyDescent="0.3">
      <c r="A69" s="443"/>
      <c r="B69" s="444" t="s">
        <v>1590</v>
      </c>
      <c r="C69" s="444" t="s">
        <v>426</v>
      </c>
      <c r="D69" s="444" t="s">
        <v>1591</v>
      </c>
      <c r="E69" s="444" t="s">
        <v>1655</v>
      </c>
      <c r="F69" s="444"/>
      <c r="G69" s="448"/>
      <c r="H69" s="448"/>
      <c r="I69" s="444"/>
      <c r="J69" s="444"/>
      <c r="K69" s="448"/>
      <c r="L69" s="448"/>
      <c r="M69" s="444"/>
      <c r="N69" s="444"/>
      <c r="O69" s="448">
        <v>7</v>
      </c>
      <c r="P69" s="448">
        <v>0</v>
      </c>
      <c r="Q69" s="471"/>
      <c r="R69" s="449">
        <v>0</v>
      </c>
    </row>
    <row r="70" spans="1:18" ht="14.4" customHeight="1" x14ac:dyDescent="0.3">
      <c r="A70" s="443"/>
      <c r="B70" s="444" t="s">
        <v>1590</v>
      </c>
      <c r="C70" s="444" t="s">
        <v>426</v>
      </c>
      <c r="D70" s="444" t="s">
        <v>1591</v>
      </c>
      <c r="E70" s="444" t="s">
        <v>1656</v>
      </c>
      <c r="F70" s="444"/>
      <c r="G70" s="448"/>
      <c r="H70" s="448"/>
      <c r="I70" s="444"/>
      <c r="J70" s="444"/>
      <c r="K70" s="448"/>
      <c r="L70" s="448"/>
      <c r="M70" s="444"/>
      <c r="N70" s="444"/>
      <c r="O70" s="448">
        <v>1</v>
      </c>
      <c r="P70" s="448">
        <v>1014</v>
      </c>
      <c r="Q70" s="471"/>
      <c r="R70" s="449">
        <v>1014</v>
      </c>
    </row>
    <row r="71" spans="1:18" ht="14.4" customHeight="1" x14ac:dyDescent="0.3">
      <c r="A71" s="443"/>
      <c r="B71" s="444" t="s">
        <v>1590</v>
      </c>
      <c r="C71" s="444" t="s">
        <v>426</v>
      </c>
      <c r="D71" s="444" t="s">
        <v>1591</v>
      </c>
      <c r="E71" s="444" t="s">
        <v>1657</v>
      </c>
      <c r="F71" s="444"/>
      <c r="G71" s="448"/>
      <c r="H71" s="448"/>
      <c r="I71" s="444"/>
      <c r="J71" s="444"/>
      <c r="K71" s="448"/>
      <c r="L71" s="448"/>
      <c r="M71" s="444"/>
      <c r="N71" s="444"/>
      <c r="O71" s="448">
        <v>1</v>
      </c>
      <c r="P71" s="448">
        <v>3900</v>
      </c>
      <c r="Q71" s="471"/>
      <c r="R71" s="449">
        <v>3900</v>
      </c>
    </row>
    <row r="72" spans="1:18" ht="14.4" customHeight="1" x14ac:dyDescent="0.3">
      <c r="A72" s="443"/>
      <c r="B72" s="444" t="s">
        <v>1590</v>
      </c>
      <c r="C72" s="444" t="s">
        <v>426</v>
      </c>
      <c r="D72" s="444" t="s">
        <v>1591</v>
      </c>
      <c r="E72" s="444" t="s">
        <v>1658</v>
      </c>
      <c r="F72" s="444"/>
      <c r="G72" s="448">
        <v>2</v>
      </c>
      <c r="H72" s="448">
        <v>1880</v>
      </c>
      <c r="I72" s="444">
        <v>1</v>
      </c>
      <c r="J72" s="444">
        <v>940</v>
      </c>
      <c r="K72" s="448">
        <v>2</v>
      </c>
      <c r="L72" s="448">
        <v>1880</v>
      </c>
      <c r="M72" s="444">
        <v>1</v>
      </c>
      <c r="N72" s="444">
        <v>940</v>
      </c>
      <c r="O72" s="448"/>
      <c r="P72" s="448"/>
      <c r="Q72" s="471"/>
      <c r="R72" s="449"/>
    </row>
    <row r="73" spans="1:18" ht="14.4" customHeight="1" x14ac:dyDescent="0.3">
      <c r="A73" s="443"/>
      <c r="B73" s="444" t="s">
        <v>1590</v>
      </c>
      <c r="C73" s="444" t="s">
        <v>426</v>
      </c>
      <c r="D73" s="444" t="s">
        <v>1591</v>
      </c>
      <c r="E73" s="444" t="s">
        <v>1659</v>
      </c>
      <c r="F73" s="444"/>
      <c r="G73" s="448"/>
      <c r="H73" s="448"/>
      <c r="I73" s="444"/>
      <c r="J73" s="444"/>
      <c r="K73" s="448"/>
      <c r="L73" s="448"/>
      <c r="M73" s="444"/>
      <c r="N73" s="444"/>
      <c r="O73" s="448">
        <v>1</v>
      </c>
      <c r="P73" s="448">
        <v>0</v>
      </c>
      <c r="Q73" s="471"/>
      <c r="R73" s="449">
        <v>0</v>
      </c>
    </row>
    <row r="74" spans="1:18" ht="14.4" customHeight="1" x14ac:dyDescent="0.3">
      <c r="A74" s="443"/>
      <c r="B74" s="444" t="s">
        <v>1590</v>
      </c>
      <c r="C74" s="444" t="s">
        <v>426</v>
      </c>
      <c r="D74" s="444" t="s">
        <v>1591</v>
      </c>
      <c r="E74" s="444" t="s">
        <v>1660</v>
      </c>
      <c r="F74" s="444"/>
      <c r="G74" s="448"/>
      <c r="H74" s="448"/>
      <c r="I74" s="444"/>
      <c r="J74" s="444"/>
      <c r="K74" s="448"/>
      <c r="L74" s="448"/>
      <c r="M74" s="444"/>
      <c r="N74" s="444"/>
      <c r="O74" s="448">
        <v>1</v>
      </c>
      <c r="P74" s="448">
        <v>0</v>
      </c>
      <c r="Q74" s="471"/>
      <c r="R74" s="449">
        <v>0</v>
      </c>
    </row>
    <row r="75" spans="1:18" ht="14.4" customHeight="1" x14ac:dyDescent="0.3">
      <c r="A75" s="443"/>
      <c r="B75" s="444" t="s">
        <v>1590</v>
      </c>
      <c r="C75" s="444" t="s">
        <v>426</v>
      </c>
      <c r="D75" s="444" t="s">
        <v>1661</v>
      </c>
      <c r="E75" s="444" t="s">
        <v>1662</v>
      </c>
      <c r="F75" s="444" t="s">
        <v>1663</v>
      </c>
      <c r="G75" s="448">
        <v>3</v>
      </c>
      <c r="H75" s="448">
        <v>1326.67</v>
      </c>
      <c r="I75" s="444">
        <v>0.55794480565906013</v>
      </c>
      <c r="J75" s="444">
        <v>442.22333333333336</v>
      </c>
      <c r="K75" s="448">
        <v>5</v>
      </c>
      <c r="L75" s="448">
        <v>2377.7800000000002</v>
      </c>
      <c r="M75" s="444">
        <v>1</v>
      </c>
      <c r="N75" s="444">
        <v>475.55600000000004</v>
      </c>
      <c r="O75" s="448"/>
      <c r="P75" s="448"/>
      <c r="Q75" s="471"/>
      <c r="R75" s="449"/>
    </row>
    <row r="76" spans="1:18" ht="14.4" customHeight="1" x14ac:dyDescent="0.3">
      <c r="A76" s="443"/>
      <c r="B76" s="444" t="s">
        <v>1590</v>
      </c>
      <c r="C76" s="444" t="s">
        <v>426</v>
      </c>
      <c r="D76" s="444" t="s">
        <v>1661</v>
      </c>
      <c r="E76" s="444" t="s">
        <v>1662</v>
      </c>
      <c r="F76" s="444" t="s">
        <v>1664</v>
      </c>
      <c r="G76" s="448">
        <v>1</v>
      </c>
      <c r="H76" s="448">
        <v>442.22</v>
      </c>
      <c r="I76" s="444"/>
      <c r="J76" s="444">
        <v>442.22</v>
      </c>
      <c r="K76" s="448"/>
      <c r="L76" s="448"/>
      <c r="M76" s="444"/>
      <c r="N76" s="444"/>
      <c r="O76" s="448"/>
      <c r="P76" s="448"/>
      <c r="Q76" s="471"/>
      <c r="R76" s="449"/>
    </row>
    <row r="77" spans="1:18" ht="14.4" customHeight="1" x14ac:dyDescent="0.3">
      <c r="A77" s="443"/>
      <c r="B77" s="444" t="s">
        <v>1590</v>
      </c>
      <c r="C77" s="444" t="s">
        <v>426</v>
      </c>
      <c r="D77" s="444" t="s">
        <v>1661</v>
      </c>
      <c r="E77" s="444" t="s">
        <v>1665</v>
      </c>
      <c r="F77" s="444" t="s">
        <v>1666</v>
      </c>
      <c r="G77" s="448">
        <v>45</v>
      </c>
      <c r="H77" s="448">
        <v>20500.010000000002</v>
      </c>
      <c r="I77" s="444">
        <v>1.216216488802508</v>
      </c>
      <c r="J77" s="444">
        <v>455.55577777777785</v>
      </c>
      <c r="K77" s="448">
        <v>37</v>
      </c>
      <c r="L77" s="448">
        <v>16855.560000000001</v>
      </c>
      <c r="M77" s="444">
        <v>1</v>
      </c>
      <c r="N77" s="444">
        <v>455.55567567567573</v>
      </c>
      <c r="O77" s="448">
        <v>42</v>
      </c>
      <c r="P77" s="448">
        <v>21000</v>
      </c>
      <c r="Q77" s="471">
        <v>1.2458796978563749</v>
      </c>
      <c r="R77" s="449">
        <v>500</v>
      </c>
    </row>
    <row r="78" spans="1:18" ht="14.4" customHeight="1" x14ac:dyDescent="0.3">
      <c r="A78" s="443"/>
      <c r="B78" s="444" t="s">
        <v>1590</v>
      </c>
      <c r="C78" s="444" t="s">
        <v>426</v>
      </c>
      <c r="D78" s="444" t="s">
        <v>1661</v>
      </c>
      <c r="E78" s="444" t="s">
        <v>1667</v>
      </c>
      <c r="F78" s="444" t="s">
        <v>1668</v>
      </c>
      <c r="G78" s="448">
        <v>607</v>
      </c>
      <c r="H78" s="448">
        <v>47211.11</v>
      </c>
      <c r="I78" s="444">
        <v>0.80079147751289281</v>
      </c>
      <c r="J78" s="444">
        <v>77.777775947281711</v>
      </c>
      <c r="K78" s="448">
        <v>758</v>
      </c>
      <c r="L78" s="448">
        <v>58955.56</v>
      </c>
      <c r="M78" s="444">
        <v>1</v>
      </c>
      <c r="N78" s="444">
        <v>77.777783641160951</v>
      </c>
      <c r="O78" s="448">
        <v>880</v>
      </c>
      <c r="P78" s="448">
        <v>68444.44</v>
      </c>
      <c r="Q78" s="471">
        <v>1.1609497051677569</v>
      </c>
      <c r="R78" s="449">
        <v>77.777772727272733</v>
      </c>
    </row>
    <row r="79" spans="1:18" ht="14.4" customHeight="1" x14ac:dyDescent="0.3">
      <c r="A79" s="443"/>
      <c r="B79" s="444" t="s">
        <v>1590</v>
      </c>
      <c r="C79" s="444" t="s">
        <v>426</v>
      </c>
      <c r="D79" s="444" t="s">
        <v>1661</v>
      </c>
      <c r="E79" s="444" t="s">
        <v>1669</v>
      </c>
      <c r="F79" s="444" t="s">
        <v>1670</v>
      </c>
      <c r="G79" s="448"/>
      <c r="H79" s="448"/>
      <c r="I79" s="444"/>
      <c r="J79" s="444"/>
      <c r="K79" s="448">
        <v>3</v>
      </c>
      <c r="L79" s="448">
        <v>750</v>
      </c>
      <c r="M79" s="444">
        <v>1</v>
      </c>
      <c r="N79" s="444">
        <v>250</v>
      </c>
      <c r="O79" s="448">
        <v>18</v>
      </c>
      <c r="P79" s="448">
        <v>4500</v>
      </c>
      <c r="Q79" s="471">
        <v>6</v>
      </c>
      <c r="R79" s="449">
        <v>250</v>
      </c>
    </row>
    <row r="80" spans="1:18" ht="14.4" customHeight="1" x14ac:dyDescent="0.3">
      <c r="A80" s="443"/>
      <c r="B80" s="444" t="s">
        <v>1590</v>
      </c>
      <c r="C80" s="444" t="s">
        <v>426</v>
      </c>
      <c r="D80" s="444" t="s">
        <v>1661</v>
      </c>
      <c r="E80" s="444" t="s">
        <v>1671</v>
      </c>
      <c r="F80" s="444" t="s">
        <v>1672</v>
      </c>
      <c r="G80" s="448"/>
      <c r="H80" s="448"/>
      <c r="I80" s="444"/>
      <c r="J80" s="444"/>
      <c r="K80" s="448">
        <v>1</v>
      </c>
      <c r="L80" s="448">
        <v>300</v>
      </c>
      <c r="M80" s="444">
        <v>1</v>
      </c>
      <c r="N80" s="444">
        <v>300</v>
      </c>
      <c r="O80" s="448">
        <v>0</v>
      </c>
      <c r="P80" s="448">
        <v>0</v>
      </c>
      <c r="Q80" s="471">
        <v>0</v>
      </c>
      <c r="R80" s="449"/>
    </row>
    <row r="81" spans="1:18" ht="14.4" customHeight="1" x14ac:dyDescent="0.3">
      <c r="A81" s="443"/>
      <c r="B81" s="444" t="s">
        <v>1590</v>
      </c>
      <c r="C81" s="444" t="s">
        <v>426</v>
      </c>
      <c r="D81" s="444" t="s">
        <v>1661</v>
      </c>
      <c r="E81" s="444" t="s">
        <v>1673</v>
      </c>
      <c r="F81" s="444" t="s">
        <v>1674</v>
      </c>
      <c r="G81" s="448">
        <v>255</v>
      </c>
      <c r="H81" s="448">
        <v>28333.339999999997</v>
      </c>
      <c r="I81" s="444">
        <v>0.94130697674418595</v>
      </c>
      <c r="J81" s="444">
        <v>111.11113725490195</v>
      </c>
      <c r="K81" s="448">
        <v>258</v>
      </c>
      <c r="L81" s="448">
        <v>30100</v>
      </c>
      <c r="M81" s="444">
        <v>1</v>
      </c>
      <c r="N81" s="444">
        <v>116.66666666666667</v>
      </c>
      <c r="O81" s="448">
        <v>242</v>
      </c>
      <c r="P81" s="448">
        <v>28233.33</v>
      </c>
      <c r="Q81" s="471">
        <v>0.93798438538205986</v>
      </c>
      <c r="R81" s="449">
        <v>116.66665289256198</v>
      </c>
    </row>
    <row r="82" spans="1:18" ht="14.4" customHeight="1" x14ac:dyDescent="0.3">
      <c r="A82" s="443"/>
      <c r="B82" s="444" t="s">
        <v>1590</v>
      </c>
      <c r="C82" s="444" t="s">
        <v>426</v>
      </c>
      <c r="D82" s="444" t="s">
        <v>1661</v>
      </c>
      <c r="E82" s="444" t="s">
        <v>1675</v>
      </c>
      <c r="F82" s="444" t="s">
        <v>1676</v>
      </c>
      <c r="G82" s="448">
        <v>441</v>
      </c>
      <c r="H82" s="448">
        <v>118580</v>
      </c>
      <c r="I82" s="444">
        <v>3.3783475783475785</v>
      </c>
      <c r="J82" s="444">
        <v>268.88888888888891</v>
      </c>
      <c r="K82" s="448">
        <v>117</v>
      </c>
      <c r="L82" s="448">
        <v>35100</v>
      </c>
      <c r="M82" s="444">
        <v>1</v>
      </c>
      <c r="N82" s="444">
        <v>300</v>
      </c>
      <c r="O82" s="448">
        <v>227</v>
      </c>
      <c r="P82" s="448">
        <v>68100</v>
      </c>
      <c r="Q82" s="471">
        <v>1.9401709401709402</v>
      </c>
      <c r="R82" s="449">
        <v>300</v>
      </c>
    </row>
    <row r="83" spans="1:18" ht="14.4" customHeight="1" x14ac:dyDescent="0.3">
      <c r="A83" s="443"/>
      <c r="B83" s="444" t="s">
        <v>1590</v>
      </c>
      <c r="C83" s="444" t="s">
        <v>426</v>
      </c>
      <c r="D83" s="444" t="s">
        <v>1661</v>
      </c>
      <c r="E83" s="444" t="s">
        <v>1677</v>
      </c>
      <c r="F83" s="444" t="s">
        <v>1678</v>
      </c>
      <c r="G83" s="448">
        <v>52</v>
      </c>
      <c r="H83" s="448">
        <v>15311.099999999999</v>
      </c>
      <c r="I83" s="444">
        <v>4.3333465409303429</v>
      </c>
      <c r="J83" s="444">
        <v>294.44423076923073</v>
      </c>
      <c r="K83" s="448">
        <v>12</v>
      </c>
      <c r="L83" s="448">
        <v>3533.32</v>
      </c>
      <c r="M83" s="444">
        <v>1</v>
      </c>
      <c r="N83" s="444">
        <v>294.44333333333333</v>
      </c>
      <c r="O83" s="448">
        <v>13</v>
      </c>
      <c r="P83" s="448">
        <v>3827.77</v>
      </c>
      <c r="Q83" s="471">
        <v>1.0833352201329061</v>
      </c>
      <c r="R83" s="449">
        <v>294.44384615384615</v>
      </c>
    </row>
    <row r="84" spans="1:18" ht="14.4" customHeight="1" x14ac:dyDescent="0.3">
      <c r="A84" s="443"/>
      <c r="B84" s="444" t="s">
        <v>1590</v>
      </c>
      <c r="C84" s="444" t="s">
        <v>426</v>
      </c>
      <c r="D84" s="444" t="s">
        <v>1661</v>
      </c>
      <c r="E84" s="444" t="s">
        <v>1679</v>
      </c>
      <c r="F84" s="444" t="s">
        <v>1680</v>
      </c>
      <c r="G84" s="448">
        <v>80</v>
      </c>
      <c r="H84" s="448">
        <v>888.89999999999986</v>
      </c>
      <c r="I84" s="444"/>
      <c r="J84" s="444">
        <v>11.111249999999998</v>
      </c>
      <c r="K84" s="448"/>
      <c r="L84" s="448"/>
      <c r="M84" s="444"/>
      <c r="N84" s="444"/>
      <c r="O84" s="448">
        <v>8</v>
      </c>
      <c r="P84" s="448">
        <v>266.65999999999997</v>
      </c>
      <c r="Q84" s="471"/>
      <c r="R84" s="449">
        <v>33.332499999999996</v>
      </c>
    </row>
    <row r="85" spans="1:18" ht="14.4" customHeight="1" x14ac:dyDescent="0.3">
      <c r="A85" s="443"/>
      <c r="B85" s="444" t="s">
        <v>1590</v>
      </c>
      <c r="C85" s="444" t="s">
        <v>426</v>
      </c>
      <c r="D85" s="444" t="s">
        <v>1661</v>
      </c>
      <c r="E85" s="444" t="s">
        <v>1681</v>
      </c>
      <c r="F85" s="444" t="s">
        <v>1666</v>
      </c>
      <c r="G85" s="448">
        <v>555</v>
      </c>
      <c r="H85" s="448">
        <v>207200.00000000003</v>
      </c>
      <c r="I85" s="444">
        <v>1.5122617275459058</v>
      </c>
      <c r="J85" s="444">
        <v>373.33333333333337</v>
      </c>
      <c r="K85" s="448">
        <v>367</v>
      </c>
      <c r="L85" s="448">
        <v>137013.32</v>
      </c>
      <c r="M85" s="444">
        <v>1</v>
      </c>
      <c r="N85" s="444">
        <v>373.33329700272481</v>
      </c>
      <c r="O85" s="448">
        <v>186</v>
      </c>
      <c r="P85" s="448">
        <v>77706.66</v>
      </c>
      <c r="Q85" s="471">
        <v>0.56714675624238575</v>
      </c>
      <c r="R85" s="449">
        <v>417.7777419354839</v>
      </c>
    </row>
    <row r="86" spans="1:18" ht="14.4" customHeight="1" x14ac:dyDescent="0.3">
      <c r="A86" s="443"/>
      <c r="B86" s="444" t="s">
        <v>1590</v>
      </c>
      <c r="C86" s="444" t="s">
        <v>426</v>
      </c>
      <c r="D86" s="444" t="s">
        <v>1661</v>
      </c>
      <c r="E86" s="444" t="s">
        <v>1682</v>
      </c>
      <c r="F86" s="444" t="s">
        <v>1683</v>
      </c>
      <c r="G86" s="448">
        <v>235</v>
      </c>
      <c r="H86" s="448">
        <v>43866.67</v>
      </c>
      <c r="I86" s="444">
        <v>0.92763162764023432</v>
      </c>
      <c r="J86" s="444">
        <v>186.66668085106383</v>
      </c>
      <c r="K86" s="448">
        <v>224</v>
      </c>
      <c r="L86" s="448">
        <v>47288.89</v>
      </c>
      <c r="M86" s="444">
        <v>1</v>
      </c>
      <c r="N86" s="444">
        <v>211.11111607142857</v>
      </c>
      <c r="O86" s="448">
        <v>184</v>
      </c>
      <c r="P86" s="448">
        <v>38844.449999999997</v>
      </c>
      <c r="Q86" s="471">
        <v>0.82142866960928873</v>
      </c>
      <c r="R86" s="449">
        <v>211.1111413043478</v>
      </c>
    </row>
    <row r="87" spans="1:18" ht="14.4" customHeight="1" x14ac:dyDescent="0.3">
      <c r="A87" s="443"/>
      <c r="B87" s="444" t="s">
        <v>1590</v>
      </c>
      <c r="C87" s="444" t="s">
        <v>426</v>
      </c>
      <c r="D87" s="444" t="s">
        <v>1661</v>
      </c>
      <c r="E87" s="444" t="s">
        <v>1684</v>
      </c>
      <c r="F87" s="444" t="s">
        <v>1685</v>
      </c>
      <c r="G87" s="448">
        <v>33</v>
      </c>
      <c r="H87" s="448">
        <v>19249.989999999998</v>
      </c>
      <c r="I87" s="444">
        <v>0.76744125782292127</v>
      </c>
      <c r="J87" s="444">
        <v>583.33303030303023</v>
      </c>
      <c r="K87" s="448">
        <v>43</v>
      </c>
      <c r="L87" s="448">
        <v>25083.340000000004</v>
      </c>
      <c r="M87" s="444">
        <v>1</v>
      </c>
      <c r="N87" s="444">
        <v>583.33348837209314</v>
      </c>
      <c r="O87" s="448">
        <v>65</v>
      </c>
      <c r="P87" s="448">
        <v>37916.67</v>
      </c>
      <c r="Q87" s="471">
        <v>1.5116276381056108</v>
      </c>
      <c r="R87" s="449">
        <v>583.3333846153846</v>
      </c>
    </row>
    <row r="88" spans="1:18" ht="14.4" customHeight="1" x14ac:dyDescent="0.3">
      <c r="A88" s="443"/>
      <c r="B88" s="444" t="s">
        <v>1590</v>
      </c>
      <c r="C88" s="444" t="s">
        <v>426</v>
      </c>
      <c r="D88" s="444" t="s">
        <v>1661</v>
      </c>
      <c r="E88" s="444" t="s">
        <v>1686</v>
      </c>
      <c r="F88" s="444" t="s">
        <v>1687</v>
      </c>
      <c r="G88" s="448">
        <v>82</v>
      </c>
      <c r="H88" s="448">
        <v>38266.67</v>
      </c>
      <c r="I88" s="444">
        <v>1.5769236475064965</v>
      </c>
      <c r="J88" s="444">
        <v>466.66670731707313</v>
      </c>
      <c r="K88" s="448">
        <v>52</v>
      </c>
      <c r="L88" s="448">
        <v>24266.66</v>
      </c>
      <c r="M88" s="444">
        <v>1</v>
      </c>
      <c r="N88" s="444">
        <v>466.66653846153844</v>
      </c>
      <c r="O88" s="448">
        <v>101</v>
      </c>
      <c r="P88" s="448">
        <v>47133.33</v>
      </c>
      <c r="Q88" s="471">
        <v>1.9423080885461783</v>
      </c>
      <c r="R88" s="449">
        <v>466.66663366336633</v>
      </c>
    </row>
    <row r="89" spans="1:18" ht="14.4" customHeight="1" x14ac:dyDescent="0.3">
      <c r="A89" s="443"/>
      <c r="B89" s="444" t="s">
        <v>1590</v>
      </c>
      <c r="C89" s="444" t="s">
        <v>426</v>
      </c>
      <c r="D89" s="444" t="s">
        <v>1661</v>
      </c>
      <c r="E89" s="444" t="s">
        <v>1688</v>
      </c>
      <c r="F89" s="444" t="s">
        <v>1689</v>
      </c>
      <c r="G89" s="448">
        <v>84</v>
      </c>
      <c r="H89" s="448">
        <v>4200</v>
      </c>
      <c r="I89" s="444">
        <v>1.9090909090909092</v>
      </c>
      <c r="J89" s="444">
        <v>50</v>
      </c>
      <c r="K89" s="448">
        <v>44</v>
      </c>
      <c r="L89" s="448">
        <v>2200</v>
      </c>
      <c r="M89" s="444">
        <v>1</v>
      </c>
      <c r="N89" s="444">
        <v>50</v>
      </c>
      <c r="O89" s="448">
        <v>46</v>
      </c>
      <c r="P89" s="448">
        <v>2300</v>
      </c>
      <c r="Q89" s="471">
        <v>1.0454545454545454</v>
      </c>
      <c r="R89" s="449">
        <v>50</v>
      </c>
    </row>
    <row r="90" spans="1:18" ht="14.4" customHeight="1" x14ac:dyDescent="0.3">
      <c r="A90" s="443"/>
      <c r="B90" s="444" t="s">
        <v>1590</v>
      </c>
      <c r="C90" s="444" t="s">
        <v>426</v>
      </c>
      <c r="D90" s="444" t="s">
        <v>1661</v>
      </c>
      <c r="E90" s="444" t="s">
        <v>1690</v>
      </c>
      <c r="F90" s="444" t="s">
        <v>1691</v>
      </c>
      <c r="G90" s="448">
        <v>219</v>
      </c>
      <c r="H90" s="448">
        <v>22143.33</v>
      </c>
      <c r="I90" s="444">
        <v>1.671756174715282</v>
      </c>
      <c r="J90" s="444">
        <v>101.11109589041097</v>
      </c>
      <c r="K90" s="448">
        <v>131</v>
      </c>
      <c r="L90" s="448">
        <v>13245.55</v>
      </c>
      <c r="M90" s="444">
        <v>1</v>
      </c>
      <c r="N90" s="444">
        <v>101.11106870229007</v>
      </c>
      <c r="O90" s="448">
        <v>150</v>
      </c>
      <c r="P90" s="448">
        <v>15166.68</v>
      </c>
      <c r="Q90" s="471">
        <v>1.1450396548274704</v>
      </c>
      <c r="R90" s="449">
        <v>101.1112</v>
      </c>
    </row>
    <row r="91" spans="1:18" ht="14.4" customHeight="1" x14ac:dyDescent="0.3">
      <c r="A91" s="443"/>
      <c r="B91" s="444" t="s">
        <v>1590</v>
      </c>
      <c r="C91" s="444" t="s">
        <v>426</v>
      </c>
      <c r="D91" s="444" t="s">
        <v>1661</v>
      </c>
      <c r="E91" s="444" t="s">
        <v>1692</v>
      </c>
      <c r="F91" s="444" t="s">
        <v>1693</v>
      </c>
      <c r="G91" s="448">
        <v>63</v>
      </c>
      <c r="H91" s="448">
        <v>4829.99</v>
      </c>
      <c r="I91" s="444">
        <v>1.968748598843205</v>
      </c>
      <c r="J91" s="444">
        <v>76.666507936507927</v>
      </c>
      <c r="K91" s="448">
        <v>32</v>
      </c>
      <c r="L91" s="448">
        <v>2453.33</v>
      </c>
      <c r="M91" s="444">
        <v>1</v>
      </c>
      <c r="N91" s="444">
        <v>76.666562499999998</v>
      </c>
      <c r="O91" s="448">
        <v>75</v>
      </c>
      <c r="P91" s="448">
        <v>5750</v>
      </c>
      <c r="Q91" s="471">
        <v>2.3437531844472614</v>
      </c>
      <c r="R91" s="449">
        <v>76.666666666666671</v>
      </c>
    </row>
    <row r="92" spans="1:18" ht="14.4" customHeight="1" x14ac:dyDescent="0.3">
      <c r="A92" s="443"/>
      <c r="B92" s="444" t="s">
        <v>1590</v>
      </c>
      <c r="C92" s="444" t="s">
        <v>426</v>
      </c>
      <c r="D92" s="444" t="s">
        <v>1661</v>
      </c>
      <c r="E92" s="444" t="s">
        <v>1694</v>
      </c>
      <c r="F92" s="444" t="s">
        <v>1695</v>
      </c>
      <c r="G92" s="448">
        <v>787</v>
      </c>
      <c r="H92" s="448">
        <v>0</v>
      </c>
      <c r="I92" s="444"/>
      <c r="J92" s="444">
        <v>0</v>
      </c>
      <c r="K92" s="448">
        <v>645</v>
      </c>
      <c r="L92" s="448">
        <v>0</v>
      </c>
      <c r="M92" s="444"/>
      <c r="N92" s="444">
        <v>0</v>
      </c>
      <c r="O92" s="448">
        <v>780</v>
      </c>
      <c r="P92" s="448">
        <v>0</v>
      </c>
      <c r="Q92" s="471"/>
      <c r="R92" s="449">
        <v>0</v>
      </c>
    </row>
    <row r="93" spans="1:18" ht="14.4" customHeight="1" x14ac:dyDescent="0.3">
      <c r="A93" s="443"/>
      <c r="B93" s="444" t="s">
        <v>1590</v>
      </c>
      <c r="C93" s="444" t="s">
        <v>426</v>
      </c>
      <c r="D93" s="444" t="s">
        <v>1661</v>
      </c>
      <c r="E93" s="444" t="s">
        <v>1696</v>
      </c>
      <c r="F93" s="444" t="s">
        <v>1697</v>
      </c>
      <c r="G93" s="448">
        <v>251</v>
      </c>
      <c r="H93" s="448">
        <v>76694.45</v>
      </c>
      <c r="I93" s="444">
        <v>1.2009568576310594</v>
      </c>
      <c r="J93" s="444">
        <v>305.55557768924302</v>
      </c>
      <c r="K93" s="448">
        <v>209</v>
      </c>
      <c r="L93" s="448">
        <v>63861.119999999995</v>
      </c>
      <c r="M93" s="444">
        <v>1</v>
      </c>
      <c r="N93" s="444">
        <v>305.55559808612441</v>
      </c>
      <c r="O93" s="448">
        <v>208</v>
      </c>
      <c r="P93" s="448">
        <v>63555.54</v>
      </c>
      <c r="Q93" s="471">
        <v>0.99521492889570373</v>
      </c>
      <c r="R93" s="449">
        <v>305.55548076923077</v>
      </c>
    </row>
    <row r="94" spans="1:18" ht="14.4" customHeight="1" x14ac:dyDescent="0.3">
      <c r="A94" s="443"/>
      <c r="B94" s="444" t="s">
        <v>1590</v>
      </c>
      <c r="C94" s="444" t="s">
        <v>426</v>
      </c>
      <c r="D94" s="444" t="s">
        <v>1661</v>
      </c>
      <c r="E94" s="444" t="s">
        <v>1698</v>
      </c>
      <c r="F94" s="444" t="s">
        <v>1699</v>
      </c>
      <c r="G94" s="448">
        <v>186</v>
      </c>
      <c r="H94" s="448">
        <v>4633.33</v>
      </c>
      <c r="I94" s="444">
        <v>1.3113210484160833</v>
      </c>
      <c r="J94" s="444">
        <v>24.910376344086021</v>
      </c>
      <c r="K94" s="448">
        <v>106</v>
      </c>
      <c r="L94" s="448">
        <v>3533.33</v>
      </c>
      <c r="M94" s="444">
        <v>1</v>
      </c>
      <c r="N94" s="444">
        <v>33.333301886792455</v>
      </c>
      <c r="O94" s="448">
        <v>182</v>
      </c>
      <c r="P94" s="448">
        <v>6066.66</v>
      </c>
      <c r="Q94" s="471">
        <v>1.7169808650762879</v>
      </c>
      <c r="R94" s="449">
        <v>33.333296703296703</v>
      </c>
    </row>
    <row r="95" spans="1:18" ht="14.4" customHeight="1" x14ac:dyDescent="0.3">
      <c r="A95" s="443"/>
      <c r="B95" s="444" t="s">
        <v>1590</v>
      </c>
      <c r="C95" s="444" t="s">
        <v>426</v>
      </c>
      <c r="D95" s="444" t="s">
        <v>1661</v>
      </c>
      <c r="E95" s="444" t="s">
        <v>1700</v>
      </c>
      <c r="F95" s="444" t="s">
        <v>1701</v>
      </c>
      <c r="G95" s="448">
        <v>239</v>
      </c>
      <c r="H95" s="448">
        <v>108877.79</v>
      </c>
      <c r="I95" s="444">
        <v>0.85663092053501178</v>
      </c>
      <c r="J95" s="444">
        <v>455.55560669456065</v>
      </c>
      <c r="K95" s="448">
        <v>279</v>
      </c>
      <c r="L95" s="448">
        <v>127100</v>
      </c>
      <c r="M95" s="444">
        <v>1</v>
      </c>
      <c r="N95" s="444">
        <v>455.55555555555554</v>
      </c>
      <c r="O95" s="448">
        <v>273</v>
      </c>
      <c r="P95" s="448">
        <v>124366.66</v>
      </c>
      <c r="Q95" s="471">
        <v>0.97849457120377659</v>
      </c>
      <c r="R95" s="449">
        <v>455.55553113553117</v>
      </c>
    </row>
    <row r="96" spans="1:18" ht="14.4" customHeight="1" x14ac:dyDescent="0.3">
      <c r="A96" s="443"/>
      <c r="B96" s="444" t="s">
        <v>1590</v>
      </c>
      <c r="C96" s="444" t="s">
        <v>426</v>
      </c>
      <c r="D96" s="444" t="s">
        <v>1661</v>
      </c>
      <c r="E96" s="444" t="s">
        <v>1702</v>
      </c>
      <c r="F96" s="444" t="s">
        <v>1703</v>
      </c>
      <c r="G96" s="448">
        <v>263</v>
      </c>
      <c r="H96" s="448">
        <v>20455.54</v>
      </c>
      <c r="I96" s="444">
        <v>1.2523802555878074</v>
      </c>
      <c r="J96" s="444">
        <v>77.777718631178715</v>
      </c>
      <c r="K96" s="448">
        <v>210</v>
      </c>
      <c r="L96" s="448">
        <v>16333.329999999998</v>
      </c>
      <c r="M96" s="444">
        <v>1</v>
      </c>
      <c r="N96" s="444">
        <v>77.777761904761903</v>
      </c>
      <c r="O96" s="448">
        <v>210</v>
      </c>
      <c r="P96" s="448">
        <v>16333.339999999998</v>
      </c>
      <c r="Q96" s="471">
        <v>1.0000006122450229</v>
      </c>
      <c r="R96" s="449">
        <v>77.777809523809509</v>
      </c>
    </row>
    <row r="97" spans="1:18" ht="14.4" customHeight="1" x14ac:dyDescent="0.3">
      <c r="A97" s="443"/>
      <c r="B97" s="444" t="s">
        <v>1590</v>
      </c>
      <c r="C97" s="444" t="s">
        <v>426</v>
      </c>
      <c r="D97" s="444" t="s">
        <v>1661</v>
      </c>
      <c r="E97" s="444" t="s">
        <v>1704</v>
      </c>
      <c r="F97" s="444" t="s">
        <v>1705</v>
      </c>
      <c r="G97" s="448">
        <v>0</v>
      </c>
      <c r="H97" s="448">
        <v>0</v>
      </c>
      <c r="I97" s="444"/>
      <c r="J97" s="444"/>
      <c r="K97" s="448"/>
      <c r="L97" s="448"/>
      <c r="M97" s="444"/>
      <c r="N97" s="444"/>
      <c r="O97" s="448"/>
      <c r="P97" s="448"/>
      <c r="Q97" s="471"/>
      <c r="R97" s="449"/>
    </row>
    <row r="98" spans="1:18" ht="14.4" customHeight="1" x14ac:dyDescent="0.3">
      <c r="A98" s="443"/>
      <c r="B98" s="444" t="s">
        <v>1590</v>
      </c>
      <c r="C98" s="444" t="s">
        <v>426</v>
      </c>
      <c r="D98" s="444" t="s">
        <v>1661</v>
      </c>
      <c r="E98" s="444" t="s">
        <v>1706</v>
      </c>
      <c r="F98" s="444" t="s">
        <v>1707</v>
      </c>
      <c r="G98" s="448">
        <v>1</v>
      </c>
      <c r="H98" s="448">
        <v>270</v>
      </c>
      <c r="I98" s="444">
        <v>1</v>
      </c>
      <c r="J98" s="444">
        <v>270</v>
      </c>
      <c r="K98" s="448">
        <v>1</v>
      </c>
      <c r="L98" s="448">
        <v>270</v>
      </c>
      <c r="M98" s="444">
        <v>1</v>
      </c>
      <c r="N98" s="444">
        <v>270</v>
      </c>
      <c r="O98" s="448">
        <v>13</v>
      </c>
      <c r="P98" s="448">
        <v>3510</v>
      </c>
      <c r="Q98" s="471">
        <v>13</v>
      </c>
      <c r="R98" s="449">
        <v>270</v>
      </c>
    </row>
    <row r="99" spans="1:18" ht="14.4" customHeight="1" x14ac:dyDescent="0.3">
      <c r="A99" s="443"/>
      <c r="B99" s="444" t="s">
        <v>1590</v>
      </c>
      <c r="C99" s="444" t="s">
        <v>426</v>
      </c>
      <c r="D99" s="444" t="s">
        <v>1661</v>
      </c>
      <c r="E99" s="444" t="s">
        <v>1708</v>
      </c>
      <c r="F99" s="444" t="s">
        <v>1709</v>
      </c>
      <c r="G99" s="448">
        <v>434</v>
      </c>
      <c r="H99" s="448">
        <v>38577.780000000006</v>
      </c>
      <c r="I99" s="444">
        <v>1.0237354163045485</v>
      </c>
      <c r="J99" s="444">
        <v>88.8888940092166</v>
      </c>
      <c r="K99" s="448">
        <v>399</v>
      </c>
      <c r="L99" s="448">
        <v>37683.35</v>
      </c>
      <c r="M99" s="444">
        <v>1</v>
      </c>
      <c r="N99" s="444">
        <v>94.444486215538845</v>
      </c>
      <c r="O99" s="448">
        <v>547</v>
      </c>
      <c r="P99" s="448">
        <v>51661.119999999995</v>
      </c>
      <c r="Q99" s="471">
        <v>1.3709269478430128</v>
      </c>
      <c r="R99" s="449">
        <v>94.44446069469835</v>
      </c>
    </row>
    <row r="100" spans="1:18" ht="14.4" customHeight="1" x14ac:dyDescent="0.3">
      <c r="A100" s="443"/>
      <c r="B100" s="444" t="s">
        <v>1590</v>
      </c>
      <c r="C100" s="444" t="s">
        <v>426</v>
      </c>
      <c r="D100" s="444" t="s">
        <v>1661</v>
      </c>
      <c r="E100" s="444" t="s">
        <v>1710</v>
      </c>
      <c r="F100" s="444" t="s">
        <v>1711</v>
      </c>
      <c r="G100" s="448">
        <v>204</v>
      </c>
      <c r="H100" s="448">
        <v>8840</v>
      </c>
      <c r="I100" s="444">
        <v>1.467624274903957</v>
      </c>
      <c r="J100" s="444">
        <v>43.333333333333336</v>
      </c>
      <c r="K100" s="448">
        <v>139</v>
      </c>
      <c r="L100" s="448">
        <v>6023.34</v>
      </c>
      <c r="M100" s="444">
        <v>1</v>
      </c>
      <c r="N100" s="444">
        <v>43.333381294964028</v>
      </c>
      <c r="O100" s="448">
        <v>181</v>
      </c>
      <c r="P100" s="448">
        <v>7843.33</v>
      </c>
      <c r="Q100" s="471">
        <v>1.3021562787423588</v>
      </c>
      <c r="R100" s="449">
        <v>43.333314917127069</v>
      </c>
    </row>
    <row r="101" spans="1:18" ht="14.4" customHeight="1" x14ac:dyDescent="0.3">
      <c r="A101" s="443"/>
      <c r="B101" s="444" t="s">
        <v>1590</v>
      </c>
      <c r="C101" s="444" t="s">
        <v>426</v>
      </c>
      <c r="D101" s="444" t="s">
        <v>1661</v>
      </c>
      <c r="E101" s="444" t="s">
        <v>1712</v>
      </c>
      <c r="F101" s="444" t="s">
        <v>1713</v>
      </c>
      <c r="G101" s="448">
        <v>2</v>
      </c>
      <c r="H101" s="448">
        <v>193.34</v>
      </c>
      <c r="I101" s="444"/>
      <c r="J101" s="444">
        <v>96.67</v>
      </c>
      <c r="K101" s="448"/>
      <c r="L101" s="448"/>
      <c r="M101" s="444"/>
      <c r="N101" s="444"/>
      <c r="O101" s="448">
        <v>4</v>
      </c>
      <c r="P101" s="448">
        <v>386.67</v>
      </c>
      <c r="Q101" s="471"/>
      <c r="R101" s="449">
        <v>96.667500000000004</v>
      </c>
    </row>
    <row r="102" spans="1:18" ht="14.4" customHeight="1" x14ac:dyDescent="0.3">
      <c r="A102" s="443"/>
      <c r="B102" s="444" t="s">
        <v>1590</v>
      </c>
      <c r="C102" s="444" t="s">
        <v>426</v>
      </c>
      <c r="D102" s="444" t="s">
        <v>1661</v>
      </c>
      <c r="E102" s="444" t="s">
        <v>1714</v>
      </c>
      <c r="F102" s="444" t="s">
        <v>1715</v>
      </c>
      <c r="G102" s="448"/>
      <c r="H102" s="448"/>
      <c r="I102" s="444"/>
      <c r="J102" s="444"/>
      <c r="K102" s="448"/>
      <c r="L102" s="448"/>
      <c r="M102" s="444"/>
      <c r="N102" s="444"/>
      <c r="O102" s="448">
        <v>2</v>
      </c>
      <c r="P102" s="448">
        <v>402.22</v>
      </c>
      <c r="Q102" s="471"/>
      <c r="R102" s="449">
        <v>201.11</v>
      </c>
    </row>
    <row r="103" spans="1:18" ht="14.4" customHeight="1" x14ac:dyDescent="0.3">
      <c r="A103" s="443"/>
      <c r="B103" s="444" t="s">
        <v>1590</v>
      </c>
      <c r="C103" s="444" t="s">
        <v>426</v>
      </c>
      <c r="D103" s="444" t="s">
        <v>1661</v>
      </c>
      <c r="E103" s="444" t="s">
        <v>1716</v>
      </c>
      <c r="F103" s="444" t="s">
        <v>1717</v>
      </c>
      <c r="G103" s="448">
        <v>5</v>
      </c>
      <c r="H103" s="448">
        <v>700</v>
      </c>
      <c r="I103" s="444">
        <v>0.71590746384667303</v>
      </c>
      <c r="J103" s="444">
        <v>140</v>
      </c>
      <c r="K103" s="448">
        <v>5</v>
      </c>
      <c r="L103" s="448">
        <v>977.78000000000009</v>
      </c>
      <c r="M103" s="444">
        <v>1</v>
      </c>
      <c r="N103" s="444">
        <v>195.55600000000001</v>
      </c>
      <c r="O103" s="448">
        <v>10</v>
      </c>
      <c r="P103" s="448">
        <v>1955.5600000000002</v>
      </c>
      <c r="Q103" s="471">
        <v>2</v>
      </c>
      <c r="R103" s="449">
        <v>195.55600000000001</v>
      </c>
    </row>
    <row r="104" spans="1:18" ht="14.4" customHeight="1" x14ac:dyDescent="0.3">
      <c r="A104" s="443"/>
      <c r="B104" s="444" t="s">
        <v>1590</v>
      </c>
      <c r="C104" s="444" t="s">
        <v>426</v>
      </c>
      <c r="D104" s="444" t="s">
        <v>1661</v>
      </c>
      <c r="E104" s="444" t="s">
        <v>1718</v>
      </c>
      <c r="F104" s="444" t="s">
        <v>1719</v>
      </c>
      <c r="G104" s="448">
        <v>4</v>
      </c>
      <c r="H104" s="448">
        <v>466.67</v>
      </c>
      <c r="I104" s="444">
        <v>3.9999142881631955</v>
      </c>
      <c r="J104" s="444">
        <v>116.6675</v>
      </c>
      <c r="K104" s="448">
        <v>1</v>
      </c>
      <c r="L104" s="448">
        <v>116.67</v>
      </c>
      <c r="M104" s="444">
        <v>1</v>
      </c>
      <c r="N104" s="444">
        <v>116.67</v>
      </c>
      <c r="O104" s="448">
        <v>3</v>
      </c>
      <c r="P104" s="448">
        <v>350.01</v>
      </c>
      <c r="Q104" s="471">
        <v>3</v>
      </c>
      <c r="R104" s="449">
        <v>116.67</v>
      </c>
    </row>
    <row r="105" spans="1:18" ht="14.4" customHeight="1" x14ac:dyDescent="0.3">
      <c r="A105" s="443"/>
      <c r="B105" s="444" t="s">
        <v>1590</v>
      </c>
      <c r="C105" s="444" t="s">
        <v>426</v>
      </c>
      <c r="D105" s="444" t="s">
        <v>1661</v>
      </c>
      <c r="E105" s="444" t="s">
        <v>1720</v>
      </c>
      <c r="F105" s="444" t="s">
        <v>1721</v>
      </c>
      <c r="G105" s="448">
        <v>29</v>
      </c>
      <c r="H105" s="448">
        <v>1417.78</v>
      </c>
      <c r="I105" s="444">
        <v>1.8124848190429923</v>
      </c>
      <c r="J105" s="444">
        <v>48.888965517241381</v>
      </c>
      <c r="K105" s="448">
        <v>16</v>
      </c>
      <c r="L105" s="448">
        <v>782.23</v>
      </c>
      <c r="M105" s="444">
        <v>1</v>
      </c>
      <c r="N105" s="444">
        <v>48.889375000000001</v>
      </c>
      <c r="O105" s="448">
        <v>23</v>
      </c>
      <c r="P105" s="448">
        <v>1124.4499999999998</v>
      </c>
      <c r="Q105" s="471">
        <v>1.4374928090203647</v>
      </c>
      <c r="R105" s="449">
        <v>48.889130434782601</v>
      </c>
    </row>
    <row r="106" spans="1:18" ht="14.4" customHeight="1" x14ac:dyDescent="0.3">
      <c r="A106" s="443"/>
      <c r="B106" s="444" t="s">
        <v>1590</v>
      </c>
      <c r="C106" s="444" t="s">
        <v>426</v>
      </c>
      <c r="D106" s="444" t="s">
        <v>1661</v>
      </c>
      <c r="E106" s="444" t="s">
        <v>1722</v>
      </c>
      <c r="F106" s="444" t="s">
        <v>1723</v>
      </c>
      <c r="G106" s="448">
        <v>3</v>
      </c>
      <c r="H106" s="448">
        <v>983.33999999999992</v>
      </c>
      <c r="I106" s="444"/>
      <c r="J106" s="444">
        <v>327.78</v>
      </c>
      <c r="K106" s="448"/>
      <c r="L106" s="448"/>
      <c r="M106" s="444"/>
      <c r="N106" s="444"/>
      <c r="O106" s="448">
        <v>9</v>
      </c>
      <c r="P106" s="448">
        <v>3099.9900000000002</v>
      </c>
      <c r="Q106" s="471"/>
      <c r="R106" s="449">
        <v>344.44333333333338</v>
      </c>
    </row>
    <row r="107" spans="1:18" ht="14.4" customHeight="1" x14ac:dyDescent="0.3">
      <c r="A107" s="443"/>
      <c r="B107" s="444" t="s">
        <v>1590</v>
      </c>
      <c r="C107" s="444" t="s">
        <v>426</v>
      </c>
      <c r="D107" s="444" t="s">
        <v>1661</v>
      </c>
      <c r="E107" s="444" t="s">
        <v>1724</v>
      </c>
      <c r="F107" s="444" t="s">
        <v>1725</v>
      </c>
      <c r="G107" s="448">
        <v>11</v>
      </c>
      <c r="H107" s="448">
        <v>3214.45</v>
      </c>
      <c r="I107" s="444">
        <v>5.5000513311888293</v>
      </c>
      <c r="J107" s="444">
        <v>292.22272727272724</v>
      </c>
      <c r="K107" s="448">
        <v>2</v>
      </c>
      <c r="L107" s="448">
        <v>584.44000000000005</v>
      </c>
      <c r="M107" s="444">
        <v>1</v>
      </c>
      <c r="N107" s="444">
        <v>292.22000000000003</v>
      </c>
      <c r="O107" s="448">
        <v>1</v>
      </c>
      <c r="P107" s="448">
        <v>292.22000000000003</v>
      </c>
      <c r="Q107" s="471">
        <v>0.5</v>
      </c>
      <c r="R107" s="449">
        <v>292.22000000000003</v>
      </c>
    </row>
    <row r="108" spans="1:18" ht="14.4" customHeight="1" x14ac:dyDescent="0.3">
      <c r="A108" s="443"/>
      <c r="B108" s="444" t="s">
        <v>1590</v>
      </c>
      <c r="C108" s="444" t="s">
        <v>426</v>
      </c>
      <c r="D108" s="444" t="s">
        <v>1661</v>
      </c>
      <c r="E108" s="444" t="s">
        <v>1726</v>
      </c>
      <c r="F108" s="444" t="s">
        <v>1727</v>
      </c>
      <c r="G108" s="448"/>
      <c r="H108" s="448"/>
      <c r="I108" s="444"/>
      <c r="J108" s="444"/>
      <c r="K108" s="448"/>
      <c r="L108" s="448"/>
      <c r="M108" s="444"/>
      <c r="N108" s="444"/>
      <c r="O108" s="448">
        <v>39</v>
      </c>
      <c r="P108" s="448">
        <v>8666.66</v>
      </c>
      <c r="Q108" s="471"/>
      <c r="R108" s="449">
        <v>222.22205128205127</v>
      </c>
    </row>
    <row r="109" spans="1:18" ht="14.4" customHeight="1" x14ac:dyDescent="0.3">
      <c r="A109" s="443"/>
      <c r="B109" s="444" t="s">
        <v>1590</v>
      </c>
      <c r="C109" s="444" t="s">
        <v>426</v>
      </c>
      <c r="D109" s="444" t="s">
        <v>1661</v>
      </c>
      <c r="E109" s="444" t="s">
        <v>1728</v>
      </c>
      <c r="F109" s="444" t="s">
        <v>1729</v>
      </c>
      <c r="G109" s="448"/>
      <c r="H109" s="448"/>
      <c r="I109" s="444"/>
      <c r="J109" s="444"/>
      <c r="K109" s="448">
        <v>0</v>
      </c>
      <c r="L109" s="448">
        <v>0</v>
      </c>
      <c r="M109" s="444"/>
      <c r="N109" s="444"/>
      <c r="O109" s="448">
        <v>1</v>
      </c>
      <c r="P109" s="448">
        <v>116.67</v>
      </c>
      <c r="Q109" s="471"/>
      <c r="R109" s="449">
        <v>116.67</v>
      </c>
    </row>
    <row r="110" spans="1:18" ht="14.4" customHeight="1" x14ac:dyDescent="0.3">
      <c r="A110" s="443"/>
      <c r="B110" s="444" t="s">
        <v>1590</v>
      </c>
      <c r="C110" s="444" t="s">
        <v>426</v>
      </c>
      <c r="D110" s="444" t="s">
        <v>1661</v>
      </c>
      <c r="E110" s="444" t="s">
        <v>1730</v>
      </c>
      <c r="F110" s="444" t="s">
        <v>1731</v>
      </c>
      <c r="G110" s="448">
        <v>1</v>
      </c>
      <c r="H110" s="448">
        <v>358.89</v>
      </c>
      <c r="I110" s="444">
        <v>1</v>
      </c>
      <c r="J110" s="444">
        <v>358.89</v>
      </c>
      <c r="K110" s="448">
        <v>1</v>
      </c>
      <c r="L110" s="448">
        <v>358.89</v>
      </c>
      <c r="M110" s="444">
        <v>1</v>
      </c>
      <c r="N110" s="444">
        <v>358.89</v>
      </c>
      <c r="O110" s="448">
        <v>2</v>
      </c>
      <c r="P110" s="448">
        <v>717.78</v>
      </c>
      <c r="Q110" s="471">
        <v>2</v>
      </c>
      <c r="R110" s="449">
        <v>358.89</v>
      </c>
    </row>
    <row r="111" spans="1:18" ht="14.4" customHeight="1" x14ac:dyDescent="0.3">
      <c r="A111" s="443"/>
      <c r="B111" s="444" t="s">
        <v>1590</v>
      </c>
      <c r="C111" s="444" t="s">
        <v>1582</v>
      </c>
      <c r="D111" s="444" t="s">
        <v>1591</v>
      </c>
      <c r="E111" s="444" t="s">
        <v>1594</v>
      </c>
      <c r="F111" s="444"/>
      <c r="G111" s="448"/>
      <c r="H111" s="448"/>
      <c r="I111" s="444"/>
      <c r="J111" s="444"/>
      <c r="K111" s="448">
        <v>2</v>
      </c>
      <c r="L111" s="448">
        <v>226</v>
      </c>
      <c r="M111" s="444">
        <v>1</v>
      </c>
      <c r="N111" s="444">
        <v>113</v>
      </c>
      <c r="O111" s="448">
        <v>13</v>
      </c>
      <c r="P111" s="448">
        <v>1469</v>
      </c>
      <c r="Q111" s="471">
        <v>6.5</v>
      </c>
      <c r="R111" s="449">
        <v>113</v>
      </c>
    </row>
    <row r="112" spans="1:18" ht="14.4" customHeight="1" x14ac:dyDescent="0.3">
      <c r="A112" s="443"/>
      <c r="B112" s="444" t="s">
        <v>1590</v>
      </c>
      <c r="C112" s="444" t="s">
        <v>1582</v>
      </c>
      <c r="D112" s="444" t="s">
        <v>1591</v>
      </c>
      <c r="E112" s="444" t="s">
        <v>1606</v>
      </c>
      <c r="F112" s="444"/>
      <c r="G112" s="448"/>
      <c r="H112" s="448"/>
      <c r="I112" s="444"/>
      <c r="J112" s="444"/>
      <c r="K112" s="448">
        <v>2</v>
      </c>
      <c r="L112" s="448">
        <v>1600</v>
      </c>
      <c r="M112" s="444">
        <v>1</v>
      </c>
      <c r="N112" s="444">
        <v>800</v>
      </c>
      <c r="O112" s="448"/>
      <c r="P112" s="448"/>
      <c r="Q112" s="471"/>
      <c r="R112" s="449"/>
    </row>
    <row r="113" spans="1:18" ht="14.4" customHeight="1" x14ac:dyDescent="0.3">
      <c r="A113" s="443"/>
      <c r="B113" s="444" t="s">
        <v>1590</v>
      </c>
      <c r="C113" s="444" t="s">
        <v>1582</v>
      </c>
      <c r="D113" s="444" t="s">
        <v>1591</v>
      </c>
      <c r="E113" s="444" t="s">
        <v>1617</v>
      </c>
      <c r="F113" s="444"/>
      <c r="G113" s="448">
        <v>1</v>
      </c>
      <c r="H113" s="448">
        <v>679</v>
      </c>
      <c r="I113" s="444"/>
      <c r="J113" s="444">
        <v>679</v>
      </c>
      <c r="K113" s="448"/>
      <c r="L113" s="448"/>
      <c r="M113" s="444"/>
      <c r="N113" s="444"/>
      <c r="O113" s="448"/>
      <c r="P113" s="448"/>
      <c r="Q113" s="471"/>
      <c r="R113" s="449"/>
    </row>
    <row r="114" spans="1:18" ht="14.4" customHeight="1" x14ac:dyDescent="0.3">
      <c r="A114" s="443"/>
      <c r="B114" s="444" t="s">
        <v>1590</v>
      </c>
      <c r="C114" s="444" t="s">
        <v>1582</v>
      </c>
      <c r="D114" s="444" t="s">
        <v>1591</v>
      </c>
      <c r="E114" s="444" t="s">
        <v>1633</v>
      </c>
      <c r="F114" s="444"/>
      <c r="G114" s="448"/>
      <c r="H114" s="448"/>
      <c r="I114" s="444"/>
      <c r="J114" s="444"/>
      <c r="K114" s="448"/>
      <c r="L114" s="448"/>
      <c r="M114" s="444"/>
      <c r="N114" s="444"/>
      <c r="O114" s="448">
        <v>1</v>
      </c>
      <c r="P114" s="448">
        <v>587</v>
      </c>
      <c r="Q114" s="471"/>
      <c r="R114" s="449">
        <v>587</v>
      </c>
    </row>
    <row r="115" spans="1:18" ht="14.4" customHeight="1" x14ac:dyDescent="0.3">
      <c r="A115" s="443"/>
      <c r="B115" s="444" t="s">
        <v>1590</v>
      </c>
      <c r="C115" s="444" t="s">
        <v>1582</v>
      </c>
      <c r="D115" s="444" t="s">
        <v>1661</v>
      </c>
      <c r="E115" s="444" t="s">
        <v>1662</v>
      </c>
      <c r="F115" s="444" t="s">
        <v>1663</v>
      </c>
      <c r="G115" s="448">
        <v>15</v>
      </c>
      <c r="H115" s="448">
        <v>6633.33</v>
      </c>
      <c r="I115" s="444">
        <v>0.34871481877509564</v>
      </c>
      <c r="J115" s="444">
        <v>442.22199999999998</v>
      </c>
      <c r="K115" s="448">
        <v>40</v>
      </c>
      <c r="L115" s="448">
        <v>19022.22</v>
      </c>
      <c r="M115" s="444">
        <v>1</v>
      </c>
      <c r="N115" s="444">
        <v>475.55550000000005</v>
      </c>
      <c r="O115" s="448">
        <v>20</v>
      </c>
      <c r="P115" s="448">
        <v>10177.779999999999</v>
      </c>
      <c r="Q115" s="471">
        <v>0.53504690829987234</v>
      </c>
      <c r="R115" s="449">
        <v>508.88899999999995</v>
      </c>
    </row>
    <row r="116" spans="1:18" ht="14.4" customHeight="1" x14ac:dyDescent="0.3">
      <c r="A116" s="443"/>
      <c r="B116" s="444" t="s">
        <v>1590</v>
      </c>
      <c r="C116" s="444" t="s">
        <v>1582</v>
      </c>
      <c r="D116" s="444" t="s">
        <v>1661</v>
      </c>
      <c r="E116" s="444" t="s">
        <v>1662</v>
      </c>
      <c r="F116" s="444" t="s">
        <v>1664</v>
      </c>
      <c r="G116" s="448">
        <v>2</v>
      </c>
      <c r="H116" s="448">
        <v>884.44</v>
      </c>
      <c r="I116" s="444"/>
      <c r="J116" s="444">
        <v>442.22</v>
      </c>
      <c r="K116" s="448"/>
      <c r="L116" s="448"/>
      <c r="M116" s="444"/>
      <c r="N116" s="444"/>
      <c r="O116" s="448"/>
      <c r="P116" s="448"/>
      <c r="Q116" s="471"/>
      <c r="R116" s="449"/>
    </row>
    <row r="117" spans="1:18" ht="14.4" customHeight="1" x14ac:dyDescent="0.3">
      <c r="A117" s="443"/>
      <c r="B117" s="444" t="s">
        <v>1590</v>
      </c>
      <c r="C117" s="444" t="s">
        <v>1582</v>
      </c>
      <c r="D117" s="444" t="s">
        <v>1661</v>
      </c>
      <c r="E117" s="444" t="s">
        <v>1665</v>
      </c>
      <c r="F117" s="444" t="s">
        <v>1666</v>
      </c>
      <c r="G117" s="448">
        <v>592</v>
      </c>
      <c r="H117" s="448">
        <v>269688.88</v>
      </c>
      <c r="I117" s="444">
        <v>1.3393664421285409</v>
      </c>
      <c r="J117" s="444">
        <v>455.55554054054056</v>
      </c>
      <c r="K117" s="448">
        <v>442</v>
      </c>
      <c r="L117" s="448">
        <v>201355.56000000003</v>
      </c>
      <c r="M117" s="444">
        <v>1</v>
      </c>
      <c r="N117" s="444">
        <v>455.55556561085979</v>
      </c>
      <c r="O117" s="448">
        <v>389</v>
      </c>
      <c r="P117" s="448">
        <v>194500</v>
      </c>
      <c r="Q117" s="471">
        <v>0.9659529640005966</v>
      </c>
      <c r="R117" s="449">
        <v>500</v>
      </c>
    </row>
    <row r="118" spans="1:18" ht="14.4" customHeight="1" x14ac:dyDescent="0.3">
      <c r="A118" s="443"/>
      <c r="B118" s="444" t="s">
        <v>1590</v>
      </c>
      <c r="C118" s="444" t="s">
        <v>1582</v>
      </c>
      <c r="D118" s="444" t="s">
        <v>1661</v>
      </c>
      <c r="E118" s="444" t="s">
        <v>1732</v>
      </c>
      <c r="F118" s="444" t="s">
        <v>1733</v>
      </c>
      <c r="G118" s="448">
        <v>152</v>
      </c>
      <c r="H118" s="448">
        <v>16044.44</v>
      </c>
      <c r="I118" s="444">
        <v>1.7272720421923395</v>
      </c>
      <c r="J118" s="444">
        <v>105.55552631578948</v>
      </c>
      <c r="K118" s="448">
        <v>88</v>
      </c>
      <c r="L118" s="448">
        <v>9288.89</v>
      </c>
      <c r="M118" s="444">
        <v>1</v>
      </c>
      <c r="N118" s="444">
        <v>105.55556818181817</v>
      </c>
      <c r="O118" s="448">
        <v>95</v>
      </c>
      <c r="P118" s="448">
        <v>10027.779999999999</v>
      </c>
      <c r="Q118" s="471">
        <v>1.0795455646476597</v>
      </c>
      <c r="R118" s="449">
        <v>105.5555789473684</v>
      </c>
    </row>
    <row r="119" spans="1:18" ht="14.4" customHeight="1" x14ac:dyDescent="0.3">
      <c r="A119" s="443"/>
      <c r="B119" s="444" t="s">
        <v>1590</v>
      </c>
      <c r="C119" s="444" t="s">
        <v>1582</v>
      </c>
      <c r="D119" s="444" t="s">
        <v>1661</v>
      </c>
      <c r="E119" s="444" t="s">
        <v>1667</v>
      </c>
      <c r="F119" s="444" t="s">
        <v>1668</v>
      </c>
      <c r="G119" s="448">
        <v>3045</v>
      </c>
      <c r="H119" s="448">
        <v>236833.33</v>
      </c>
      <c r="I119" s="444">
        <v>0.87878786641929496</v>
      </c>
      <c r="J119" s="444">
        <v>77.777776683087026</v>
      </c>
      <c r="K119" s="448">
        <v>3465</v>
      </c>
      <c r="L119" s="448">
        <v>269500</v>
      </c>
      <c r="M119" s="444">
        <v>1</v>
      </c>
      <c r="N119" s="444">
        <v>77.777777777777771</v>
      </c>
      <c r="O119" s="448">
        <v>3231</v>
      </c>
      <c r="P119" s="448">
        <v>251300</v>
      </c>
      <c r="Q119" s="471">
        <v>0.93246753246753245</v>
      </c>
      <c r="R119" s="449">
        <v>77.777777777777771</v>
      </c>
    </row>
    <row r="120" spans="1:18" ht="14.4" customHeight="1" x14ac:dyDescent="0.3">
      <c r="A120" s="443"/>
      <c r="B120" s="444" t="s">
        <v>1590</v>
      </c>
      <c r="C120" s="444" t="s">
        <v>1582</v>
      </c>
      <c r="D120" s="444" t="s">
        <v>1661</v>
      </c>
      <c r="E120" s="444" t="s">
        <v>1669</v>
      </c>
      <c r="F120" s="444" t="s">
        <v>1670</v>
      </c>
      <c r="G120" s="448">
        <v>7</v>
      </c>
      <c r="H120" s="448">
        <v>1750</v>
      </c>
      <c r="I120" s="444">
        <v>7</v>
      </c>
      <c r="J120" s="444">
        <v>250</v>
      </c>
      <c r="K120" s="448">
        <v>1</v>
      </c>
      <c r="L120" s="448">
        <v>250</v>
      </c>
      <c r="M120" s="444">
        <v>1</v>
      </c>
      <c r="N120" s="444">
        <v>250</v>
      </c>
      <c r="O120" s="448">
        <v>2</v>
      </c>
      <c r="P120" s="448">
        <v>500</v>
      </c>
      <c r="Q120" s="471">
        <v>2</v>
      </c>
      <c r="R120" s="449">
        <v>250</v>
      </c>
    </row>
    <row r="121" spans="1:18" ht="14.4" customHeight="1" x14ac:dyDescent="0.3">
      <c r="A121" s="443"/>
      <c r="B121" s="444" t="s">
        <v>1590</v>
      </c>
      <c r="C121" s="444" t="s">
        <v>1582</v>
      </c>
      <c r="D121" s="444" t="s">
        <v>1661</v>
      </c>
      <c r="E121" s="444" t="s">
        <v>1673</v>
      </c>
      <c r="F121" s="444" t="s">
        <v>1674</v>
      </c>
      <c r="G121" s="448">
        <v>1043</v>
      </c>
      <c r="H121" s="448">
        <v>115888.89</v>
      </c>
      <c r="I121" s="444">
        <v>0.81487556979079889</v>
      </c>
      <c r="J121" s="444">
        <v>111.1111121764142</v>
      </c>
      <c r="K121" s="448">
        <v>1219</v>
      </c>
      <c r="L121" s="448">
        <v>142216.66999999998</v>
      </c>
      <c r="M121" s="444">
        <v>1</v>
      </c>
      <c r="N121" s="444">
        <v>116.66666940114847</v>
      </c>
      <c r="O121" s="448">
        <v>998</v>
      </c>
      <c r="P121" s="448">
        <v>116433.32</v>
      </c>
      <c r="Q121" s="471">
        <v>0.81870374267657953</v>
      </c>
      <c r="R121" s="449">
        <v>116.66665330661323</v>
      </c>
    </row>
    <row r="122" spans="1:18" ht="14.4" customHeight="1" x14ac:dyDescent="0.3">
      <c r="A122" s="443"/>
      <c r="B122" s="444" t="s">
        <v>1590</v>
      </c>
      <c r="C122" s="444" t="s">
        <v>1582</v>
      </c>
      <c r="D122" s="444" t="s">
        <v>1661</v>
      </c>
      <c r="E122" s="444" t="s">
        <v>1734</v>
      </c>
      <c r="F122" s="444" t="s">
        <v>1735</v>
      </c>
      <c r="G122" s="448">
        <v>13</v>
      </c>
      <c r="H122" s="448">
        <v>4550</v>
      </c>
      <c r="I122" s="444">
        <v>5.8499832857620406</v>
      </c>
      <c r="J122" s="444">
        <v>350</v>
      </c>
      <c r="K122" s="448">
        <v>2</v>
      </c>
      <c r="L122" s="448">
        <v>777.78</v>
      </c>
      <c r="M122" s="444">
        <v>1</v>
      </c>
      <c r="N122" s="444">
        <v>388.89</v>
      </c>
      <c r="O122" s="448">
        <v>1</v>
      </c>
      <c r="P122" s="448">
        <v>388.89</v>
      </c>
      <c r="Q122" s="471">
        <v>0.5</v>
      </c>
      <c r="R122" s="449">
        <v>388.89</v>
      </c>
    </row>
    <row r="123" spans="1:18" ht="14.4" customHeight="1" x14ac:dyDescent="0.3">
      <c r="A123" s="443"/>
      <c r="B123" s="444" t="s">
        <v>1590</v>
      </c>
      <c r="C123" s="444" t="s">
        <v>1582</v>
      </c>
      <c r="D123" s="444" t="s">
        <v>1661</v>
      </c>
      <c r="E123" s="444" t="s">
        <v>1675</v>
      </c>
      <c r="F123" s="444" t="s">
        <v>1676</v>
      </c>
      <c r="G123" s="448">
        <v>1387</v>
      </c>
      <c r="H123" s="448">
        <v>372948.89</v>
      </c>
      <c r="I123" s="444">
        <v>0.96369222222222228</v>
      </c>
      <c r="J123" s="444">
        <v>268.88888968997838</v>
      </c>
      <c r="K123" s="448">
        <v>1290</v>
      </c>
      <c r="L123" s="448">
        <v>387000</v>
      </c>
      <c r="M123" s="444">
        <v>1</v>
      </c>
      <c r="N123" s="444">
        <v>300</v>
      </c>
      <c r="O123" s="448">
        <v>969</v>
      </c>
      <c r="P123" s="448">
        <v>290700</v>
      </c>
      <c r="Q123" s="471">
        <v>0.75116279069767444</v>
      </c>
      <c r="R123" s="449">
        <v>300</v>
      </c>
    </row>
    <row r="124" spans="1:18" ht="14.4" customHeight="1" x14ac:dyDescent="0.3">
      <c r="A124" s="443"/>
      <c r="B124" s="444" t="s">
        <v>1590</v>
      </c>
      <c r="C124" s="444" t="s">
        <v>1582</v>
      </c>
      <c r="D124" s="444" t="s">
        <v>1661</v>
      </c>
      <c r="E124" s="444" t="s">
        <v>1677</v>
      </c>
      <c r="F124" s="444" t="s">
        <v>1678</v>
      </c>
      <c r="G124" s="448">
        <v>483</v>
      </c>
      <c r="H124" s="448">
        <v>142216.66999999998</v>
      </c>
      <c r="I124" s="444">
        <v>1.4815951096007047</v>
      </c>
      <c r="J124" s="444">
        <v>294.44445134575568</v>
      </c>
      <c r="K124" s="448">
        <v>326</v>
      </c>
      <c r="L124" s="448">
        <v>95988.89</v>
      </c>
      <c r="M124" s="444">
        <v>1</v>
      </c>
      <c r="N124" s="444">
        <v>294.44444785276073</v>
      </c>
      <c r="O124" s="448">
        <v>218</v>
      </c>
      <c r="P124" s="448">
        <v>64188.899999999994</v>
      </c>
      <c r="Q124" s="471">
        <v>0.6687117644552405</v>
      </c>
      <c r="R124" s="449">
        <v>294.44449541284399</v>
      </c>
    </row>
    <row r="125" spans="1:18" ht="14.4" customHeight="1" x14ac:dyDescent="0.3">
      <c r="A125" s="443"/>
      <c r="B125" s="444" t="s">
        <v>1590</v>
      </c>
      <c r="C125" s="444" t="s">
        <v>1582</v>
      </c>
      <c r="D125" s="444" t="s">
        <v>1661</v>
      </c>
      <c r="E125" s="444" t="s">
        <v>1679</v>
      </c>
      <c r="F125" s="444" t="s">
        <v>1680</v>
      </c>
      <c r="G125" s="448">
        <v>10</v>
      </c>
      <c r="H125" s="448">
        <v>111.1</v>
      </c>
      <c r="I125" s="444">
        <v>1.6666666666666667</v>
      </c>
      <c r="J125" s="444">
        <v>11.11</v>
      </c>
      <c r="K125" s="448">
        <v>2</v>
      </c>
      <c r="L125" s="448">
        <v>66.66</v>
      </c>
      <c r="M125" s="444">
        <v>1</v>
      </c>
      <c r="N125" s="444">
        <v>33.33</v>
      </c>
      <c r="O125" s="448"/>
      <c r="P125" s="448"/>
      <c r="Q125" s="471"/>
      <c r="R125" s="449"/>
    </row>
    <row r="126" spans="1:18" ht="14.4" customHeight="1" x14ac:dyDescent="0.3">
      <c r="A126" s="443"/>
      <c r="B126" s="444" t="s">
        <v>1590</v>
      </c>
      <c r="C126" s="444" t="s">
        <v>1582</v>
      </c>
      <c r="D126" s="444" t="s">
        <v>1661</v>
      </c>
      <c r="E126" s="444" t="s">
        <v>1681</v>
      </c>
      <c r="F126" s="444" t="s">
        <v>1666</v>
      </c>
      <c r="G126" s="448">
        <v>877</v>
      </c>
      <c r="H126" s="448">
        <v>327413.33</v>
      </c>
      <c r="I126" s="444">
        <v>1.3227752504848094</v>
      </c>
      <c r="J126" s="444">
        <v>373.33332953249715</v>
      </c>
      <c r="K126" s="448">
        <v>663</v>
      </c>
      <c r="L126" s="448">
        <v>247520</v>
      </c>
      <c r="M126" s="444">
        <v>1</v>
      </c>
      <c r="N126" s="444">
        <v>373.33333333333331</v>
      </c>
      <c r="O126" s="448">
        <v>666</v>
      </c>
      <c r="P126" s="448">
        <v>278240</v>
      </c>
      <c r="Q126" s="471">
        <v>1.1241111829347123</v>
      </c>
      <c r="R126" s="449">
        <v>417.77777777777777</v>
      </c>
    </row>
    <row r="127" spans="1:18" ht="14.4" customHeight="1" x14ac:dyDescent="0.3">
      <c r="A127" s="443"/>
      <c r="B127" s="444" t="s">
        <v>1590</v>
      </c>
      <c r="C127" s="444" t="s">
        <v>1582</v>
      </c>
      <c r="D127" s="444" t="s">
        <v>1661</v>
      </c>
      <c r="E127" s="444" t="s">
        <v>1682</v>
      </c>
      <c r="F127" s="444" t="s">
        <v>1683</v>
      </c>
      <c r="G127" s="448">
        <v>63</v>
      </c>
      <c r="H127" s="448">
        <v>11760</v>
      </c>
      <c r="I127" s="444">
        <v>0.92842154127449539</v>
      </c>
      <c r="J127" s="444">
        <v>186.66666666666666</v>
      </c>
      <c r="K127" s="448">
        <v>60</v>
      </c>
      <c r="L127" s="448">
        <v>12666.66</v>
      </c>
      <c r="M127" s="444">
        <v>1</v>
      </c>
      <c r="N127" s="444">
        <v>211.11099999999999</v>
      </c>
      <c r="O127" s="448">
        <v>68</v>
      </c>
      <c r="P127" s="448">
        <v>14355.55</v>
      </c>
      <c r="Q127" s="471">
        <v>1.1333334912281532</v>
      </c>
      <c r="R127" s="449">
        <v>211.11102941176469</v>
      </c>
    </row>
    <row r="128" spans="1:18" ht="14.4" customHeight="1" x14ac:dyDescent="0.3">
      <c r="A128" s="443"/>
      <c r="B128" s="444" t="s">
        <v>1590</v>
      </c>
      <c r="C128" s="444" t="s">
        <v>1582</v>
      </c>
      <c r="D128" s="444" t="s">
        <v>1661</v>
      </c>
      <c r="E128" s="444" t="s">
        <v>1684</v>
      </c>
      <c r="F128" s="444" t="s">
        <v>1685</v>
      </c>
      <c r="G128" s="448">
        <v>34</v>
      </c>
      <c r="H128" s="448">
        <v>19833.339999999997</v>
      </c>
      <c r="I128" s="444">
        <v>0.61818209020073656</v>
      </c>
      <c r="J128" s="444">
        <v>583.33352941176463</v>
      </c>
      <c r="K128" s="448">
        <v>55</v>
      </c>
      <c r="L128" s="448">
        <v>32083.33</v>
      </c>
      <c r="M128" s="444">
        <v>1</v>
      </c>
      <c r="N128" s="444">
        <v>583.33327272727274</v>
      </c>
      <c r="O128" s="448">
        <v>43</v>
      </c>
      <c r="P128" s="448">
        <v>25083.33</v>
      </c>
      <c r="Q128" s="471">
        <v>0.78181815914993857</v>
      </c>
      <c r="R128" s="449">
        <v>583.33325581395354</v>
      </c>
    </row>
    <row r="129" spans="1:18" ht="14.4" customHeight="1" x14ac:dyDescent="0.3">
      <c r="A129" s="443"/>
      <c r="B129" s="444" t="s">
        <v>1590</v>
      </c>
      <c r="C129" s="444" t="s">
        <v>1582</v>
      </c>
      <c r="D129" s="444" t="s">
        <v>1661</v>
      </c>
      <c r="E129" s="444" t="s">
        <v>1686</v>
      </c>
      <c r="F129" s="444" t="s">
        <v>1687</v>
      </c>
      <c r="G129" s="448">
        <v>206</v>
      </c>
      <c r="H129" s="448">
        <v>96133.33</v>
      </c>
      <c r="I129" s="444">
        <v>0.8306450846402601</v>
      </c>
      <c r="J129" s="444">
        <v>466.66665048543689</v>
      </c>
      <c r="K129" s="448">
        <v>248</v>
      </c>
      <c r="L129" s="448">
        <v>115733.34</v>
      </c>
      <c r="M129" s="444">
        <v>1</v>
      </c>
      <c r="N129" s="444">
        <v>466.66669354838706</v>
      </c>
      <c r="O129" s="448">
        <v>151</v>
      </c>
      <c r="P129" s="448">
        <v>70466.66</v>
      </c>
      <c r="Q129" s="471">
        <v>0.60887087506504178</v>
      </c>
      <c r="R129" s="449">
        <v>466.66662251655629</v>
      </c>
    </row>
    <row r="130" spans="1:18" ht="14.4" customHeight="1" x14ac:dyDescent="0.3">
      <c r="A130" s="443"/>
      <c r="B130" s="444" t="s">
        <v>1590</v>
      </c>
      <c r="C130" s="444" t="s">
        <v>1582</v>
      </c>
      <c r="D130" s="444" t="s">
        <v>1661</v>
      </c>
      <c r="E130" s="444" t="s">
        <v>1688</v>
      </c>
      <c r="F130" s="444" t="s">
        <v>1689</v>
      </c>
      <c r="G130" s="448">
        <v>57</v>
      </c>
      <c r="H130" s="448">
        <v>2850</v>
      </c>
      <c r="I130" s="444">
        <v>0.68674698795180722</v>
      </c>
      <c r="J130" s="444">
        <v>50</v>
      </c>
      <c r="K130" s="448">
        <v>83</v>
      </c>
      <c r="L130" s="448">
        <v>4150</v>
      </c>
      <c r="M130" s="444">
        <v>1</v>
      </c>
      <c r="N130" s="444">
        <v>50</v>
      </c>
      <c r="O130" s="448">
        <v>54</v>
      </c>
      <c r="P130" s="448">
        <v>2700</v>
      </c>
      <c r="Q130" s="471">
        <v>0.6506024096385542</v>
      </c>
      <c r="R130" s="449">
        <v>50</v>
      </c>
    </row>
    <row r="131" spans="1:18" ht="14.4" customHeight="1" x14ac:dyDescent="0.3">
      <c r="A131" s="443"/>
      <c r="B131" s="444" t="s">
        <v>1590</v>
      </c>
      <c r="C131" s="444" t="s">
        <v>1582</v>
      </c>
      <c r="D131" s="444" t="s">
        <v>1661</v>
      </c>
      <c r="E131" s="444" t="s">
        <v>1690</v>
      </c>
      <c r="F131" s="444" t="s">
        <v>1691</v>
      </c>
      <c r="G131" s="448">
        <v>24</v>
      </c>
      <c r="H131" s="448">
        <v>2426.6600000000003</v>
      </c>
      <c r="I131" s="444">
        <v>1.84615501658501</v>
      </c>
      <c r="J131" s="444">
        <v>101.11083333333335</v>
      </c>
      <c r="K131" s="448">
        <v>13</v>
      </c>
      <c r="L131" s="448">
        <v>1314.4399999999998</v>
      </c>
      <c r="M131" s="444">
        <v>1</v>
      </c>
      <c r="N131" s="444">
        <v>101.11076923076922</v>
      </c>
      <c r="O131" s="448">
        <v>7</v>
      </c>
      <c r="P131" s="448">
        <v>707.77</v>
      </c>
      <c r="Q131" s="471">
        <v>0.53845744195246648</v>
      </c>
      <c r="R131" s="449">
        <v>101.11</v>
      </c>
    </row>
    <row r="132" spans="1:18" ht="14.4" customHeight="1" x14ac:dyDescent="0.3">
      <c r="A132" s="443"/>
      <c r="B132" s="444" t="s">
        <v>1590</v>
      </c>
      <c r="C132" s="444" t="s">
        <v>1582</v>
      </c>
      <c r="D132" s="444" t="s">
        <v>1661</v>
      </c>
      <c r="E132" s="444" t="s">
        <v>1692</v>
      </c>
      <c r="F132" s="444" t="s">
        <v>1693</v>
      </c>
      <c r="G132" s="448">
        <v>1</v>
      </c>
      <c r="H132" s="448">
        <v>76.67</v>
      </c>
      <c r="I132" s="444">
        <v>0.25000815208530341</v>
      </c>
      <c r="J132" s="444">
        <v>76.67</v>
      </c>
      <c r="K132" s="448">
        <v>4</v>
      </c>
      <c r="L132" s="448">
        <v>306.67</v>
      </c>
      <c r="M132" s="444">
        <v>1</v>
      </c>
      <c r="N132" s="444">
        <v>76.667500000000004</v>
      </c>
      <c r="O132" s="448"/>
      <c r="P132" s="448"/>
      <c r="Q132" s="471"/>
      <c r="R132" s="449"/>
    </row>
    <row r="133" spans="1:18" ht="14.4" customHeight="1" x14ac:dyDescent="0.3">
      <c r="A133" s="443"/>
      <c r="B133" s="444" t="s">
        <v>1590</v>
      </c>
      <c r="C133" s="444" t="s">
        <v>1582</v>
      </c>
      <c r="D133" s="444" t="s">
        <v>1661</v>
      </c>
      <c r="E133" s="444" t="s">
        <v>1694</v>
      </c>
      <c r="F133" s="444" t="s">
        <v>1695</v>
      </c>
      <c r="G133" s="448">
        <v>1</v>
      </c>
      <c r="H133" s="448">
        <v>0</v>
      </c>
      <c r="I133" s="444"/>
      <c r="J133" s="444">
        <v>0</v>
      </c>
      <c r="K133" s="448">
        <v>2</v>
      </c>
      <c r="L133" s="448">
        <v>0</v>
      </c>
      <c r="M133" s="444"/>
      <c r="N133" s="444">
        <v>0</v>
      </c>
      <c r="O133" s="448">
        <v>5</v>
      </c>
      <c r="P133" s="448">
        <v>0</v>
      </c>
      <c r="Q133" s="471"/>
      <c r="R133" s="449">
        <v>0</v>
      </c>
    </row>
    <row r="134" spans="1:18" ht="14.4" customHeight="1" x14ac:dyDescent="0.3">
      <c r="A134" s="443"/>
      <c r="B134" s="444" t="s">
        <v>1590</v>
      </c>
      <c r="C134" s="444" t="s">
        <v>1582</v>
      </c>
      <c r="D134" s="444" t="s">
        <v>1661</v>
      </c>
      <c r="E134" s="444" t="s">
        <v>1696</v>
      </c>
      <c r="F134" s="444" t="s">
        <v>1697</v>
      </c>
      <c r="G134" s="448">
        <v>442</v>
      </c>
      <c r="H134" s="448">
        <v>135055.54999999999</v>
      </c>
      <c r="I134" s="444">
        <v>0.9671772646701261</v>
      </c>
      <c r="J134" s="444">
        <v>305.55554298642534</v>
      </c>
      <c r="K134" s="448">
        <v>457</v>
      </c>
      <c r="L134" s="448">
        <v>139638.88</v>
      </c>
      <c r="M134" s="444">
        <v>1</v>
      </c>
      <c r="N134" s="444">
        <v>305.55553610503284</v>
      </c>
      <c r="O134" s="448">
        <v>430</v>
      </c>
      <c r="P134" s="448">
        <v>131388.88</v>
      </c>
      <c r="Q134" s="471">
        <v>0.94091903343825156</v>
      </c>
      <c r="R134" s="449">
        <v>305.55553488372095</v>
      </c>
    </row>
    <row r="135" spans="1:18" ht="14.4" customHeight="1" x14ac:dyDescent="0.3">
      <c r="A135" s="443"/>
      <c r="B135" s="444" t="s">
        <v>1590</v>
      </c>
      <c r="C135" s="444" t="s">
        <v>1582</v>
      </c>
      <c r="D135" s="444" t="s">
        <v>1661</v>
      </c>
      <c r="E135" s="444" t="s">
        <v>1698</v>
      </c>
      <c r="F135" s="444" t="s">
        <v>1699</v>
      </c>
      <c r="G135" s="448">
        <v>656</v>
      </c>
      <c r="H135" s="448">
        <v>12366.67</v>
      </c>
      <c r="I135" s="444">
        <v>0.73465424527068934</v>
      </c>
      <c r="J135" s="444">
        <v>18.851631097560976</v>
      </c>
      <c r="K135" s="448">
        <v>505</v>
      </c>
      <c r="L135" s="448">
        <v>16833.32</v>
      </c>
      <c r="M135" s="444">
        <v>1</v>
      </c>
      <c r="N135" s="444">
        <v>33.33330693069307</v>
      </c>
      <c r="O135" s="448">
        <v>404</v>
      </c>
      <c r="P135" s="448">
        <v>13466.67</v>
      </c>
      <c r="Q135" s="471">
        <v>0.80000083168382707</v>
      </c>
      <c r="R135" s="449">
        <v>33.333341584158418</v>
      </c>
    </row>
    <row r="136" spans="1:18" ht="14.4" customHeight="1" x14ac:dyDescent="0.3">
      <c r="A136" s="443"/>
      <c r="B136" s="444" t="s">
        <v>1590</v>
      </c>
      <c r="C136" s="444" t="s">
        <v>1582</v>
      </c>
      <c r="D136" s="444" t="s">
        <v>1661</v>
      </c>
      <c r="E136" s="444" t="s">
        <v>1700</v>
      </c>
      <c r="F136" s="444" t="s">
        <v>1701</v>
      </c>
      <c r="G136" s="448">
        <v>692</v>
      </c>
      <c r="H136" s="448">
        <v>315244.44</v>
      </c>
      <c r="I136" s="444">
        <v>1.1400329007906527</v>
      </c>
      <c r="J136" s="444">
        <v>455.55554913294799</v>
      </c>
      <c r="K136" s="448">
        <v>607</v>
      </c>
      <c r="L136" s="448">
        <v>276522.23</v>
      </c>
      <c r="M136" s="444">
        <v>1</v>
      </c>
      <c r="N136" s="444">
        <v>455.55556836902798</v>
      </c>
      <c r="O136" s="448">
        <v>521</v>
      </c>
      <c r="P136" s="448">
        <v>237344.45</v>
      </c>
      <c r="Q136" s="471">
        <v>0.85831960056158962</v>
      </c>
      <c r="R136" s="449">
        <v>455.55556621880999</v>
      </c>
    </row>
    <row r="137" spans="1:18" ht="14.4" customHeight="1" x14ac:dyDescent="0.3">
      <c r="A137" s="443"/>
      <c r="B137" s="444" t="s">
        <v>1590</v>
      </c>
      <c r="C137" s="444" t="s">
        <v>1582</v>
      </c>
      <c r="D137" s="444" t="s">
        <v>1661</v>
      </c>
      <c r="E137" s="444" t="s">
        <v>1736</v>
      </c>
      <c r="F137" s="444" t="s">
        <v>1737</v>
      </c>
      <c r="G137" s="448"/>
      <c r="H137" s="448"/>
      <c r="I137" s="444"/>
      <c r="J137" s="444"/>
      <c r="K137" s="448">
        <v>2</v>
      </c>
      <c r="L137" s="448">
        <v>0</v>
      </c>
      <c r="M137" s="444"/>
      <c r="N137" s="444">
        <v>0</v>
      </c>
      <c r="O137" s="448"/>
      <c r="P137" s="448"/>
      <c r="Q137" s="471"/>
      <c r="R137" s="449"/>
    </row>
    <row r="138" spans="1:18" ht="14.4" customHeight="1" x14ac:dyDescent="0.3">
      <c r="A138" s="443"/>
      <c r="B138" s="444" t="s">
        <v>1590</v>
      </c>
      <c r="C138" s="444" t="s">
        <v>1582</v>
      </c>
      <c r="D138" s="444" t="s">
        <v>1661</v>
      </c>
      <c r="E138" s="444" t="s">
        <v>1738</v>
      </c>
      <c r="F138" s="444" t="s">
        <v>1739</v>
      </c>
      <c r="G138" s="448">
        <v>1</v>
      </c>
      <c r="H138" s="448">
        <v>58.89</v>
      </c>
      <c r="I138" s="444"/>
      <c r="J138" s="444">
        <v>58.89</v>
      </c>
      <c r="K138" s="448"/>
      <c r="L138" s="448"/>
      <c r="M138" s="444"/>
      <c r="N138" s="444"/>
      <c r="O138" s="448"/>
      <c r="P138" s="448"/>
      <c r="Q138" s="471"/>
      <c r="R138" s="449"/>
    </row>
    <row r="139" spans="1:18" ht="14.4" customHeight="1" x14ac:dyDescent="0.3">
      <c r="A139" s="443"/>
      <c r="B139" s="444" t="s">
        <v>1590</v>
      </c>
      <c r="C139" s="444" t="s">
        <v>1582</v>
      </c>
      <c r="D139" s="444" t="s">
        <v>1661</v>
      </c>
      <c r="E139" s="444" t="s">
        <v>1702</v>
      </c>
      <c r="F139" s="444" t="s">
        <v>1703</v>
      </c>
      <c r="G139" s="448">
        <v>452</v>
      </c>
      <c r="H139" s="448">
        <v>35155.56</v>
      </c>
      <c r="I139" s="444">
        <v>0.99340668780512753</v>
      </c>
      <c r="J139" s="444">
        <v>77.77778761061947</v>
      </c>
      <c r="K139" s="448">
        <v>455</v>
      </c>
      <c r="L139" s="448">
        <v>35388.89</v>
      </c>
      <c r="M139" s="444">
        <v>1</v>
      </c>
      <c r="N139" s="444">
        <v>77.777780219780212</v>
      </c>
      <c r="O139" s="448">
        <v>437</v>
      </c>
      <c r="P139" s="448">
        <v>33988.89</v>
      </c>
      <c r="Q139" s="471">
        <v>0.96043956168164646</v>
      </c>
      <c r="R139" s="449">
        <v>77.777780320366134</v>
      </c>
    </row>
    <row r="140" spans="1:18" ht="14.4" customHeight="1" x14ac:dyDescent="0.3">
      <c r="A140" s="443"/>
      <c r="B140" s="444" t="s">
        <v>1590</v>
      </c>
      <c r="C140" s="444" t="s">
        <v>1582</v>
      </c>
      <c r="D140" s="444" t="s">
        <v>1661</v>
      </c>
      <c r="E140" s="444" t="s">
        <v>1706</v>
      </c>
      <c r="F140" s="444" t="s">
        <v>1707</v>
      </c>
      <c r="G140" s="448">
        <v>8</v>
      </c>
      <c r="H140" s="448">
        <v>2160</v>
      </c>
      <c r="I140" s="444">
        <v>0.72727272727272729</v>
      </c>
      <c r="J140" s="444">
        <v>270</v>
      </c>
      <c r="K140" s="448">
        <v>11</v>
      </c>
      <c r="L140" s="448">
        <v>2970</v>
      </c>
      <c r="M140" s="444">
        <v>1</v>
      </c>
      <c r="N140" s="444">
        <v>270</v>
      </c>
      <c r="O140" s="448"/>
      <c r="P140" s="448"/>
      <c r="Q140" s="471"/>
      <c r="R140" s="449"/>
    </row>
    <row r="141" spans="1:18" ht="14.4" customHeight="1" x14ac:dyDescent="0.3">
      <c r="A141" s="443"/>
      <c r="B141" s="444" t="s">
        <v>1590</v>
      </c>
      <c r="C141" s="444" t="s">
        <v>1582</v>
      </c>
      <c r="D141" s="444" t="s">
        <v>1661</v>
      </c>
      <c r="E141" s="444" t="s">
        <v>1708</v>
      </c>
      <c r="F141" s="444" t="s">
        <v>1709</v>
      </c>
      <c r="G141" s="448">
        <v>679</v>
      </c>
      <c r="H141" s="448">
        <v>60355.56</v>
      </c>
      <c r="I141" s="444">
        <v>0.80791244883078983</v>
      </c>
      <c r="J141" s="444">
        <v>88.888895434462441</v>
      </c>
      <c r="K141" s="448">
        <v>791</v>
      </c>
      <c r="L141" s="448">
        <v>74705.570000000007</v>
      </c>
      <c r="M141" s="444">
        <v>1</v>
      </c>
      <c r="N141" s="444">
        <v>94.444462705436166</v>
      </c>
      <c r="O141" s="448">
        <v>632</v>
      </c>
      <c r="P141" s="448">
        <v>59688.89</v>
      </c>
      <c r="Q141" s="471">
        <v>0.79898848238491449</v>
      </c>
      <c r="R141" s="449">
        <v>94.444446202531651</v>
      </c>
    </row>
    <row r="142" spans="1:18" ht="14.4" customHeight="1" x14ac:dyDescent="0.3">
      <c r="A142" s="443"/>
      <c r="B142" s="444" t="s">
        <v>1590</v>
      </c>
      <c r="C142" s="444" t="s">
        <v>1582</v>
      </c>
      <c r="D142" s="444" t="s">
        <v>1661</v>
      </c>
      <c r="E142" s="444" t="s">
        <v>1710</v>
      </c>
      <c r="F142" s="444" t="s">
        <v>1711</v>
      </c>
      <c r="G142" s="448"/>
      <c r="H142" s="448"/>
      <c r="I142" s="444"/>
      <c r="J142" s="444"/>
      <c r="K142" s="448">
        <v>1</v>
      </c>
      <c r="L142" s="448">
        <v>43.33</v>
      </c>
      <c r="M142" s="444">
        <v>1</v>
      </c>
      <c r="N142" s="444">
        <v>43.33</v>
      </c>
      <c r="O142" s="448"/>
      <c r="P142" s="448"/>
      <c r="Q142" s="471"/>
      <c r="R142" s="449"/>
    </row>
    <row r="143" spans="1:18" ht="14.4" customHeight="1" x14ac:dyDescent="0.3">
      <c r="A143" s="443"/>
      <c r="B143" s="444" t="s">
        <v>1590</v>
      </c>
      <c r="C143" s="444" t="s">
        <v>1582</v>
      </c>
      <c r="D143" s="444" t="s">
        <v>1661</v>
      </c>
      <c r="E143" s="444" t="s">
        <v>1712</v>
      </c>
      <c r="F143" s="444" t="s">
        <v>1713</v>
      </c>
      <c r="G143" s="448">
        <v>90</v>
      </c>
      <c r="H143" s="448">
        <v>8699.99</v>
      </c>
      <c r="I143" s="444">
        <v>89.996793214027093</v>
      </c>
      <c r="J143" s="444">
        <v>96.666555555555547</v>
      </c>
      <c r="K143" s="448">
        <v>1</v>
      </c>
      <c r="L143" s="448">
        <v>96.67</v>
      </c>
      <c r="M143" s="444">
        <v>1</v>
      </c>
      <c r="N143" s="444">
        <v>96.67</v>
      </c>
      <c r="O143" s="448"/>
      <c r="P143" s="448"/>
      <c r="Q143" s="471"/>
      <c r="R143" s="449"/>
    </row>
    <row r="144" spans="1:18" ht="14.4" customHeight="1" x14ac:dyDescent="0.3">
      <c r="A144" s="443"/>
      <c r="B144" s="444" t="s">
        <v>1590</v>
      </c>
      <c r="C144" s="444" t="s">
        <v>1582</v>
      </c>
      <c r="D144" s="444" t="s">
        <v>1661</v>
      </c>
      <c r="E144" s="444" t="s">
        <v>1714</v>
      </c>
      <c r="F144" s="444" t="s">
        <v>1715</v>
      </c>
      <c r="G144" s="448"/>
      <c r="H144" s="448"/>
      <c r="I144" s="444"/>
      <c r="J144" s="444"/>
      <c r="K144" s="448"/>
      <c r="L144" s="448"/>
      <c r="M144" s="444"/>
      <c r="N144" s="444"/>
      <c r="O144" s="448">
        <v>1</v>
      </c>
      <c r="P144" s="448">
        <v>201.11</v>
      </c>
      <c r="Q144" s="471"/>
      <c r="R144" s="449">
        <v>201.11</v>
      </c>
    </row>
    <row r="145" spans="1:18" ht="14.4" customHeight="1" x14ac:dyDescent="0.3">
      <c r="A145" s="443"/>
      <c r="B145" s="444" t="s">
        <v>1590</v>
      </c>
      <c r="C145" s="444" t="s">
        <v>1582</v>
      </c>
      <c r="D145" s="444" t="s">
        <v>1661</v>
      </c>
      <c r="E145" s="444" t="s">
        <v>1716</v>
      </c>
      <c r="F145" s="444" t="s">
        <v>1717</v>
      </c>
      <c r="G145" s="448">
        <v>121</v>
      </c>
      <c r="H145" s="448">
        <v>16940</v>
      </c>
      <c r="I145" s="444">
        <v>43.31151564737165</v>
      </c>
      <c r="J145" s="444">
        <v>140</v>
      </c>
      <c r="K145" s="448">
        <v>2</v>
      </c>
      <c r="L145" s="448">
        <v>391.12</v>
      </c>
      <c r="M145" s="444">
        <v>1</v>
      </c>
      <c r="N145" s="444">
        <v>195.56</v>
      </c>
      <c r="O145" s="448">
        <v>3</v>
      </c>
      <c r="P145" s="448">
        <v>586.67000000000007</v>
      </c>
      <c r="Q145" s="471">
        <v>1.4999744323992639</v>
      </c>
      <c r="R145" s="449">
        <v>195.5566666666667</v>
      </c>
    </row>
    <row r="146" spans="1:18" ht="14.4" customHeight="1" x14ac:dyDescent="0.3">
      <c r="A146" s="443"/>
      <c r="B146" s="444" t="s">
        <v>1590</v>
      </c>
      <c r="C146" s="444" t="s">
        <v>1582</v>
      </c>
      <c r="D146" s="444" t="s">
        <v>1661</v>
      </c>
      <c r="E146" s="444" t="s">
        <v>1740</v>
      </c>
      <c r="F146" s="444" t="s">
        <v>1741</v>
      </c>
      <c r="G146" s="448">
        <v>83</v>
      </c>
      <c r="H146" s="448">
        <v>6271.119999999999</v>
      </c>
      <c r="I146" s="444"/>
      <c r="J146" s="444">
        <v>75.5556626506024</v>
      </c>
      <c r="K146" s="448"/>
      <c r="L146" s="448"/>
      <c r="M146" s="444"/>
      <c r="N146" s="444"/>
      <c r="O146" s="448">
        <v>2</v>
      </c>
      <c r="P146" s="448">
        <v>151.12</v>
      </c>
      <c r="Q146" s="471"/>
      <c r="R146" s="449">
        <v>75.56</v>
      </c>
    </row>
    <row r="147" spans="1:18" ht="14.4" customHeight="1" x14ac:dyDescent="0.3">
      <c r="A147" s="443"/>
      <c r="B147" s="444" t="s">
        <v>1590</v>
      </c>
      <c r="C147" s="444" t="s">
        <v>1582</v>
      </c>
      <c r="D147" s="444" t="s">
        <v>1661</v>
      </c>
      <c r="E147" s="444" t="s">
        <v>1718</v>
      </c>
      <c r="F147" s="444" t="s">
        <v>1719</v>
      </c>
      <c r="G147" s="448">
        <v>12</v>
      </c>
      <c r="H147" s="448">
        <v>1400</v>
      </c>
      <c r="I147" s="444">
        <v>0.85714460641756418</v>
      </c>
      <c r="J147" s="444">
        <v>116.66666666666667</v>
      </c>
      <c r="K147" s="448">
        <v>14</v>
      </c>
      <c r="L147" s="448">
        <v>1633.33</v>
      </c>
      <c r="M147" s="444">
        <v>1</v>
      </c>
      <c r="N147" s="444">
        <v>116.66642857142857</v>
      </c>
      <c r="O147" s="448">
        <v>13</v>
      </c>
      <c r="P147" s="448">
        <v>1516.68</v>
      </c>
      <c r="Q147" s="471">
        <v>0.92858148690099374</v>
      </c>
      <c r="R147" s="449">
        <v>116.66769230769231</v>
      </c>
    </row>
    <row r="148" spans="1:18" ht="14.4" customHeight="1" x14ac:dyDescent="0.3">
      <c r="A148" s="443"/>
      <c r="B148" s="444" t="s">
        <v>1590</v>
      </c>
      <c r="C148" s="444" t="s">
        <v>1582</v>
      </c>
      <c r="D148" s="444" t="s">
        <v>1661</v>
      </c>
      <c r="E148" s="444" t="s">
        <v>1720</v>
      </c>
      <c r="F148" s="444" t="s">
        <v>1721</v>
      </c>
      <c r="G148" s="448"/>
      <c r="H148" s="448"/>
      <c r="I148" s="444"/>
      <c r="J148" s="444"/>
      <c r="K148" s="448">
        <v>17</v>
      </c>
      <c r="L148" s="448">
        <v>831.1099999999999</v>
      </c>
      <c r="M148" s="444">
        <v>1</v>
      </c>
      <c r="N148" s="444">
        <v>48.888823529411759</v>
      </c>
      <c r="O148" s="448">
        <v>20</v>
      </c>
      <c r="P148" s="448">
        <v>977.78</v>
      </c>
      <c r="Q148" s="471">
        <v>1.176474834859405</v>
      </c>
      <c r="R148" s="449">
        <v>48.888999999999996</v>
      </c>
    </row>
    <row r="149" spans="1:18" ht="14.4" customHeight="1" x14ac:dyDescent="0.3">
      <c r="A149" s="443"/>
      <c r="B149" s="444" t="s">
        <v>1590</v>
      </c>
      <c r="C149" s="444" t="s">
        <v>1582</v>
      </c>
      <c r="D149" s="444" t="s">
        <v>1661</v>
      </c>
      <c r="E149" s="444" t="s">
        <v>1722</v>
      </c>
      <c r="F149" s="444" t="s">
        <v>1723</v>
      </c>
      <c r="G149" s="448">
        <v>3</v>
      </c>
      <c r="H149" s="448">
        <v>983.33999999999992</v>
      </c>
      <c r="I149" s="444">
        <v>1.427426729956887</v>
      </c>
      <c r="J149" s="444">
        <v>327.78</v>
      </c>
      <c r="K149" s="448">
        <v>2</v>
      </c>
      <c r="L149" s="448">
        <v>688.89</v>
      </c>
      <c r="M149" s="444">
        <v>1</v>
      </c>
      <c r="N149" s="444">
        <v>344.44499999999999</v>
      </c>
      <c r="O149" s="448"/>
      <c r="P149" s="448"/>
      <c r="Q149" s="471"/>
      <c r="R149" s="449"/>
    </row>
    <row r="150" spans="1:18" ht="14.4" customHeight="1" x14ac:dyDescent="0.3">
      <c r="A150" s="443"/>
      <c r="B150" s="444" t="s">
        <v>1590</v>
      </c>
      <c r="C150" s="444" t="s">
        <v>1582</v>
      </c>
      <c r="D150" s="444" t="s">
        <v>1661</v>
      </c>
      <c r="E150" s="444" t="s">
        <v>1724</v>
      </c>
      <c r="F150" s="444" t="s">
        <v>1725</v>
      </c>
      <c r="G150" s="448">
        <v>13</v>
      </c>
      <c r="H150" s="448">
        <v>3798.88</v>
      </c>
      <c r="I150" s="444">
        <v>1.0833328580472585</v>
      </c>
      <c r="J150" s="444">
        <v>292.22153846153844</v>
      </c>
      <c r="K150" s="448">
        <v>12</v>
      </c>
      <c r="L150" s="448">
        <v>3506.6600000000003</v>
      </c>
      <c r="M150" s="444">
        <v>1</v>
      </c>
      <c r="N150" s="444">
        <v>292.22166666666669</v>
      </c>
      <c r="O150" s="448">
        <v>14</v>
      </c>
      <c r="P150" s="448">
        <v>4091.11</v>
      </c>
      <c r="Q150" s="471">
        <v>1.1666685678109654</v>
      </c>
      <c r="R150" s="449">
        <v>292.22214285714284</v>
      </c>
    </row>
    <row r="151" spans="1:18" ht="14.4" customHeight="1" x14ac:dyDescent="0.3">
      <c r="A151" s="443"/>
      <c r="B151" s="444" t="s">
        <v>1590</v>
      </c>
      <c r="C151" s="444" t="s">
        <v>1582</v>
      </c>
      <c r="D151" s="444" t="s">
        <v>1661</v>
      </c>
      <c r="E151" s="444" t="s">
        <v>1730</v>
      </c>
      <c r="F151" s="444" t="s">
        <v>1731</v>
      </c>
      <c r="G151" s="448">
        <v>7</v>
      </c>
      <c r="H151" s="448">
        <v>2512.23</v>
      </c>
      <c r="I151" s="444"/>
      <c r="J151" s="444">
        <v>358.89</v>
      </c>
      <c r="K151" s="448"/>
      <c r="L151" s="448"/>
      <c r="M151" s="444"/>
      <c r="N151" s="444"/>
      <c r="O151" s="448"/>
      <c r="P151" s="448"/>
      <c r="Q151" s="471"/>
      <c r="R151" s="449"/>
    </row>
    <row r="152" spans="1:18" ht="14.4" customHeight="1" x14ac:dyDescent="0.3">
      <c r="A152" s="443"/>
      <c r="B152" s="444" t="s">
        <v>1590</v>
      </c>
      <c r="C152" s="444" t="s">
        <v>1583</v>
      </c>
      <c r="D152" s="444" t="s">
        <v>1591</v>
      </c>
      <c r="E152" s="444" t="s">
        <v>1742</v>
      </c>
      <c r="F152" s="444"/>
      <c r="G152" s="448">
        <v>1</v>
      </c>
      <c r="H152" s="448">
        <v>1657</v>
      </c>
      <c r="I152" s="444">
        <v>1</v>
      </c>
      <c r="J152" s="444">
        <v>1657</v>
      </c>
      <c r="K152" s="448">
        <v>1</v>
      </c>
      <c r="L152" s="448">
        <v>1657</v>
      </c>
      <c r="M152" s="444">
        <v>1</v>
      </c>
      <c r="N152" s="444">
        <v>1657</v>
      </c>
      <c r="O152" s="448">
        <v>1</v>
      </c>
      <c r="P152" s="448">
        <v>1657</v>
      </c>
      <c r="Q152" s="471">
        <v>1</v>
      </c>
      <c r="R152" s="449">
        <v>1657</v>
      </c>
    </row>
    <row r="153" spans="1:18" ht="14.4" customHeight="1" x14ac:dyDescent="0.3">
      <c r="A153" s="443"/>
      <c r="B153" s="444" t="s">
        <v>1590</v>
      </c>
      <c r="C153" s="444" t="s">
        <v>1583</v>
      </c>
      <c r="D153" s="444" t="s">
        <v>1591</v>
      </c>
      <c r="E153" s="444" t="s">
        <v>1743</v>
      </c>
      <c r="F153" s="444"/>
      <c r="G153" s="448"/>
      <c r="H153" s="448"/>
      <c r="I153" s="444"/>
      <c r="J153" s="444"/>
      <c r="K153" s="448"/>
      <c r="L153" s="448"/>
      <c r="M153" s="444"/>
      <c r="N153" s="444"/>
      <c r="O153" s="448">
        <v>1</v>
      </c>
      <c r="P153" s="448">
        <v>1179</v>
      </c>
      <c r="Q153" s="471"/>
      <c r="R153" s="449">
        <v>1179</v>
      </c>
    </row>
    <row r="154" spans="1:18" ht="14.4" customHeight="1" x14ac:dyDescent="0.3">
      <c r="A154" s="443"/>
      <c r="B154" s="444" t="s">
        <v>1590</v>
      </c>
      <c r="C154" s="444" t="s">
        <v>1583</v>
      </c>
      <c r="D154" s="444" t="s">
        <v>1591</v>
      </c>
      <c r="E154" s="444" t="s">
        <v>1744</v>
      </c>
      <c r="F154" s="444"/>
      <c r="G154" s="448">
        <v>1</v>
      </c>
      <c r="H154" s="448">
        <v>185</v>
      </c>
      <c r="I154" s="444"/>
      <c r="J154" s="444">
        <v>185</v>
      </c>
      <c r="K154" s="448"/>
      <c r="L154" s="448"/>
      <c r="M154" s="444"/>
      <c r="N154" s="444"/>
      <c r="O154" s="448"/>
      <c r="P154" s="448"/>
      <c r="Q154" s="471"/>
      <c r="R154" s="449"/>
    </row>
    <row r="155" spans="1:18" ht="14.4" customHeight="1" x14ac:dyDescent="0.3">
      <c r="A155" s="443"/>
      <c r="B155" s="444" t="s">
        <v>1590</v>
      </c>
      <c r="C155" s="444" t="s">
        <v>1583</v>
      </c>
      <c r="D155" s="444" t="s">
        <v>1591</v>
      </c>
      <c r="E155" s="444" t="s">
        <v>1745</v>
      </c>
      <c r="F155" s="444"/>
      <c r="G155" s="448">
        <v>1</v>
      </c>
      <c r="H155" s="448">
        <v>1281</v>
      </c>
      <c r="I155" s="444">
        <v>1</v>
      </c>
      <c r="J155" s="444">
        <v>1281</v>
      </c>
      <c r="K155" s="448">
        <v>1</v>
      </c>
      <c r="L155" s="448">
        <v>1281</v>
      </c>
      <c r="M155" s="444">
        <v>1</v>
      </c>
      <c r="N155" s="444">
        <v>1281</v>
      </c>
      <c r="O155" s="448">
        <v>1</v>
      </c>
      <c r="P155" s="448">
        <v>1281</v>
      </c>
      <c r="Q155" s="471">
        <v>1</v>
      </c>
      <c r="R155" s="449">
        <v>1281</v>
      </c>
    </row>
    <row r="156" spans="1:18" ht="14.4" customHeight="1" x14ac:dyDescent="0.3">
      <c r="A156" s="443"/>
      <c r="B156" s="444" t="s">
        <v>1590</v>
      </c>
      <c r="C156" s="444" t="s">
        <v>1583</v>
      </c>
      <c r="D156" s="444" t="s">
        <v>1591</v>
      </c>
      <c r="E156" s="444" t="s">
        <v>1746</v>
      </c>
      <c r="F156" s="444"/>
      <c r="G156" s="448"/>
      <c r="H156" s="448"/>
      <c r="I156" s="444"/>
      <c r="J156" s="444"/>
      <c r="K156" s="448"/>
      <c r="L156" s="448"/>
      <c r="M156" s="444"/>
      <c r="N156" s="444"/>
      <c r="O156" s="448">
        <v>1</v>
      </c>
      <c r="P156" s="448">
        <v>1008</v>
      </c>
      <c r="Q156" s="471"/>
      <c r="R156" s="449">
        <v>1008</v>
      </c>
    </row>
    <row r="157" spans="1:18" ht="14.4" customHeight="1" x14ac:dyDescent="0.3">
      <c r="A157" s="443"/>
      <c r="B157" s="444" t="s">
        <v>1590</v>
      </c>
      <c r="C157" s="444" t="s">
        <v>1583</v>
      </c>
      <c r="D157" s="444" t="s">
        <v>1591</v>
      </c>
      <c r="E157" s="444" t="s">
        <v>1597</v>
      </c>
      <c r="F157" s="444"/>
      <c r="G157" s="448"/>
      <c r="H157" s="448"/>
      <c r="I157" s="444"/>
      <c r="J157" s="444"/>
      <c r="K157" s="448"/>
      <c r="L157" s="448"/>
      <c r="M157" s="444"/>
      <c r="N157" s="444"/>
      <c r="O157" s="448">
        <v>1</v>
      </c>
      <c r="P157" s="448">
        <v>219</v>
      </c>
      <c r="Q157" s="471"/>
      <c r="R157" s="449">
        <v>219</v>
      </c>
    </row>
    <row r="158" spans="1:18" ht="14.4" customHeight="1" x14ac:dyDescent="0.3">
      <c r="A158" s="443"/>
      <c r="B158" s="444" t="s">
        <v>1590</v>
      </c>
      <c r="C158" s="444" t="s">
        <v>1583</v>
      </c>
      <c r="D158" s="444" t="s">
        <v>1591</v>
      </c>
      <c r="E158" s="444" t="s">
        <v>1621</v>
      </c>
      <c r="F158" s="444"/>
      <c r="G158" s="448"/>
      <c r="H158" s="448"/>
      <c r="I158" s="444"/>
      <c r="J158" s="444"/>
      <c r="K158" s="448"/>
      <c r="L158" s="448"/>
      <c r="M158" s="444"/>
      <c r="N158" s="444"/>
      <c r="O158" s="448">
        <v>1</v>
      </c>
      <c r="P158" s="448">
        <v>2000</v>
      </c>
      <c r="Q158" s="471"/>
      <c r="R158" s="449">
        <v>2000</v>
      </c>
    </row>
    <row r="159" spans="1:18" ht="14.4" customHeight="1" x14ac:dyDescent="0.3">
      <c r="A159" s="443"/>
      <c r="B159" s="444" t="s">
        <v>1590</v>
      </c>
      <c r="C159" s="444" t="s">
        <v>1583</v>
      </c>
      <c r="D159" s="444" t="s">
        <v>1591</v>
      </c>
      <c r="E159" s="444" t="s">
        <v>1631</v>
      </c>
      <c r="F159" s="444"/>
      <c r="G159" s="448">
        <v>1</v>
      </c>
      <c r="H159" s="448">
        <v>225</v>
      </c>
      <c r="I159" s="444"/>
      <c r="J159" s="444">
        <v>225</v>
      </c>
      <c r="K159" s="448"/>
      <c r="L159" s="448"/>
      <c r="M159" s="444"/>
      <c r="N159" s="444"/>
      <c r="O159" s="448"/>
      <c r="P159" s="448"/>
      <c r="Q159" s="471"/>
      <c r="R159" s="449"/>
    </row>
    <row r="160" spans="1:18" ht="14.4" customHeight="1" x14ac:dyDescent="0.3">
      <c r="A160" s="443"/>
      <c r="B160" s="444" t="s">
        <v>1590</v>
      </c>
      <c r="C160" s="444" t="s">
        <v>1583</v>
      </c>
      <c r="D160" s="444" t="s">
        <v>1591</v>
      </c>
      <c r="E160" s="444" t="s">
        <v>1747</v>
      </c>
      <c r="F160" s="444"/>
      <c r="G160" s="448">
        <v>1</v>
      </c>
      <c r="H160" s="448">
        <v>258</v>
      </c>
      <c r="I160" s="444"/>
      <c r="J160" s="444">
        <v>258</v>
      </c>
      <c r="K160" s="448"/>
      <c r="L160" s="448"/>
      <c r="M160" s="444"/>
      <c r="N160" s="444"/>
      <c r="O160" s="448"/>
      <c r="P160" s="448"/>
      <c r="Q160" s="471"/>
      <c r="R160" s="449"/>
    </row>
    <row r="161" spans="1:18" ht="14.4" customHeight="1" x14ac:dyDescent="0.3">
      <c r="A161" s="443"/>
      <c r="B161" s="444" t="s">
        <v>1590</v>
      </c>
      <c r="C161" s="444" t="s">
        <v>1583</v>
      </c>
      <c r="D161" s="444" t="s">
        <v>1591</v>
      </c>
      <c r="E161" s="444" t="s">
        <v>1654</v>
      </c>
      <c r="F161" s="444"/>
      <c r="G161" s="448"/>
      <c r="H161" s="448"/>
      <c r="I161" s="444"/>
      <c r="J161" s="444"/>
      <c r="K161" s="448">
        <v>2</v>
      </c>
      <c r="L161" s="448">
        <v>1490</v>
      </c>
      <c r="M161" s="444">
        <v>1</v>
      </c>
      <c r="N161" s="444">
        <v>745</v>
      </c>
      <c r="O161" s="448"/>
      <c r="P161" s="448"/>
      <c r="Q161" s="471"/>
      <c r="R161" s="449"/>
    </row>
    <row r="162" spans="1:18" ht="14.4" customHeight="1" x14ac:dyDescent="0.3">
      <c r="A162" s="443"/>
      <c r="B162" s="444" t="s">
        <v>1590</v>
      </c>
      <c r="C162" s="444" t="s">
        <v>1583</v>
      </c>
      <c r="D162" s="444" t="s">
        <v>1591</v>
      </c>
      <c r="E162" s="444" t="s">
        <v>1748</v>
      </c>
      <c r="F162" s="444"/>
      <c r="G162" s="448"/>
      <c r="H162" s="448"/>
      <c r="I162" s="444"/>
      <c r="J162" s="444"/>
      <c r="K162" s="448"/>
      <c r="L162" s="448"/>
      <c r="M162" s="444"/>
      <c r="N162" s="444"/>
      <c r="O162" s="448">
        <v>1</v>
      </c>
      <c r="P162" s="448">
        <v>2931</v>
      </c>
      <c r="Q162" s="471"/>
      <c r="R162" s="449">
        <v>2931</v>
      </c>
    </row>
    <row r="163" spans="1:18" ht="14.4" customHeight="1" x14ac:dyDescent="0.3">
      <c r="A163" s="443"/>
      <c r="B163" s="444" t="s">
        <v>1590</v>
      </c>
      <c r="C163" s="444" t="s">
        <v>1583</v>
      </c>
      <c r="D163" s="444" t="s">
        <v>1661</v>
      </c>
      <c r="E163" s="444" t="s">
        <v>1662</v>
      </c>
      <c r="F163" s="444" t="s">
        <v>1663</v>
      </c>
      <c r="G163" s="448">
        <v>95</v>
      </c>
      <c r="H163" s="448">
        <v>42011.12</v>
      </c>
      <c r="I163" s="444">
        <v>1.0643511165508142</v>
      </c>
      <c r="J163" s="444">
        <v>442.22231578947373</v>
      </c>
      <c r="K163" s="448">
        <v>83</v>
      </c>
      <c r="L163" s="448">
        <v>39471.11</v>
      </c>
      <c r="M163" s="444">
        <v>1</v>
      </c>
      <c r="N163" s="444">
        <v>475.55554216867472</v>
      </c>
      <c r="O163" s="448">
        <v>56</v>
      </c>
      <c r="P163" s="448">
        <v>28497.78</v>
      </c>
      <c r="Q163" s="471">
        <v>0.72199084342953612</v>
      </c>
      <c r="R163" s="449">
        <v>508.88892857142855</v>
      </c>
    </row>
    <row r="164" spans="1:18" ht="14.4" customHeight="1" x14ac:dyDescent="0.3">
      <c r="A164" s="443"/>
      <c r="B164" s="444" t="s">
        <v>1590</v>
      </c>
      <c r="C164" s="444" t="s">
        <v>1583</v>
      </c>
      <c r="D164" s="444" t="s">
        <v>1661</v>
      </c>
      <c r="E164" s="444" t="s">
        <v>1662</v>
      </c>
      <c r="F164" s="444" t="s">
        <v>1664</v>
      </c>
      <c r="G164" s="448">
        <v>4</v>
      </c>
      <c r="H164" s="448">
        <v>1768.89</v>
      </c>
      <c r="I164" s="444">
        <v>0.37196250283878241</v>
      </c>
      <c r="J164" s="444">
        <v>442.22250000000003</v>
      </c>
      <c r="K164" s="448">
        <v>10</v>
      </c>
      <c r="L164" s="448">
        <v>4755.5600000000004</v>
      </c>
      <c r="M164" s="444">
        <v>1</v>
      </c>
      <c r="N164" s="444">
        <v>475.55600000000004</v>
      </c>
      <c r="O164" s="448">
        <v>3</v>
      </c>
      <c r="P164" s="448">
        <v>1526.67</v>
      </c>
      <c r="Q164" s="471">
        <v>0.32102843829117916</v>
      </c>
      <c r="R164" s="449">
        <v>508.89000000000004</v>
      </c>
    </row>
    <row r="165" spans="1:18" ht="14.4" customHeight="1" x14ac:dyDescent="0.3">
      <c r="A165" s="443"/>
      <c r="B165" s="444" t="s">
        <v>1590</v>
      </c>
      <c r="C165" s="444" t="s">
        <v>1583</v>
      </c>
      <c r="D165" s="444" t="s">
        <v>1661</v>
      </c>
      <c r="E165" s="444" t="s">
        <v>1665</v>
      </c>
      <c r="F165" s="444" t="s">
        <v>1666</v>
      </c>
      <c r="G165" s="448">
        <v>134</v>
      </c>
      <c r="H165" s="448">
        <v>61044.45</v>
      </c>
      <c r="I165" s="444">
        <v>0.58771933287165168</v>
      </c>
      <c r="J165" s="444">
        <v>455.55559701492535</v>
      </c>
      <c r="K165" s="448">
        <v>228</v>
      </c>
      <c r="L165" s="448">
        <v>103866.67</v>
      </c>
      <c r="M165" s="444">
        <v>1</v>
      </c>
      <c r="N165" s="444">
        <v>455.55557017543856</v>
      </c>
      <c r="O165" s="448">
        <v>92</v>
      </c>
      <c r="P165" s="448">
        <v>46000</v>
      </c>
      <c r="Q165" s="471">
        <v>0.44287546717344456</v>
      </c>
      <c r="R165" s="449">
        <v>500</v>
      </c>
    </row>
    <row r="166" spans="1:18" ht="14.4" customHeight="1" x14ac:dyDescent="0.3">
      <c r="A166" s="443"/>
      <c r="B166" s="444" t="s">
        <v>1590</v>
      </c>
      <c r="C166" s="444" t="s">
        <v>1583</v>
      </c>
      <c r="D166" s="444" t="s">
        <v>1661</v>
      </c>
      <c r="E166" s="444" t="s">
        <v>1732</v>
      </c>
      <c r="F166" s="444" t="s">
        <v>1733</v>
      </c>
      <c r="G166" s="448">
        <v>659</v>
      </c>
      <c r="H166" s="448">
        <v>69561.119999999995</v>
      </c>
      <c r="I166" s="444">
        <v>0.87983991117756877</v>
      </c>
      <c r="J166" s="444">
        <v>105.55556904400606</v>
      </c>
      <c r="K166" s="448">
        <v>749</v>
      </c>
      <c r="L166" s="448">
        <v>79061.11</v>
      </c>
      <c r="M166" s="444">
        <v>1</v>
      </c>
      <c r="N166" s="444">
        <v>105.55555407209613</v>
      </c>
      <c r="O166" s="448">
        <v>765</v>
      </c>
      <c r="P166" s="448">
        <v>80750</v>
      </c>
      <c r="Q166" s="471">
        <v>1.0213618301083807</v>
      </c>
      <c r="R166" s="449">
        <v>105.55555555555556</v>
      </c>
    </row>
    <row r="167" spans="1:18" ht="14.4" customHeight="1" x14ac:dyDescent="0.3">
      <c r="A167" s="443"/>
      <c r="B167" s="444" t="s">
        <v>1590</v>
      </c>
      <c r="C167" s="444" t="s">
        <v>1583</v>
      </c>
      <c r="D167" s="444" t="s">
        <v>1661</v>
      </c>
      <c r="E167" s="444" t="s">
        <v>1667</v>
      </c>
      <c r="F167" s="444" t="s">
        <v>1668</v>
      </c>
      <c r="G167" s="448">
        <v>274</v>
      </c>
      <c r="H167" s="448">
        <v>21311.11</v>
      </c>
      <c r="I167" s="444">
        <v>0.79651145406786472</v>
      </c>
      <c r="J167" s="444">
        <v>77.777773722627742</v>
      </c>
      <c r="K167" s="448">
        <v>344</v>
      </c>
      <c r="L167" s="448">
        <v>26755.56</v>
      </c>
      <c r="M167" s="444">
        <v>1</v>
      </c>
      <c r="N167" s="444">
        <v>77.777790697674419</v>
      </c>
      <c r="O167" s="448">
        <v>506</v>
      </c>
      <c r="P167" s="448">
        <v>39355.569999999992</v>
      </c>
      <c r="Q167" s="471">
        <v>1.4709305280846294</v>
      </c>
      <c r="R167" s="449">
        <v>77.777806324110657</v>
      </c>
    </row>
    <row r="168" spans="1:18" ht="14.4" customHeight="1" x14ac:dyDescent="0.3">
      <c r="A168" s="443"/>
      <c r="B168" s="444" t="s">
        <v>1590</v>
      </c>
      <c r="C168" s="444" t="s">
        <v>1583</v>
      </c>
      <c r="D168" s="444" t="s">
        <v>1661</v>
      </c>
      <c r="E168" s="444" t="s">
        <v>1673</v>
      </c>
      <c r="F168" s="444" t="s">
        <v>1674</v>
      </c>
      <c r="G168" s="448">
        <v>384</v>
      </c>
      <c r="H168" s="448">
        <v>42666.68</v>
      </c>
      <c r="I168" s="444">
        <v>1.0215487664084224</v>
      </c>
      <c r="J168" s="444">
        <v>111.11114583333334</v>
      </c>
      <c r="K168" s="448">
        <v>358</v>
      </c>
      <c r="L168" s="448">
        <v>41766.660000000003</v>
      </c>
      <c r="M168" s="444">
        <v>1</v>
      </c>
      <c r="N168" s="444">
        <v>116.66664804469275</v>
      </c>
      <c r="O168" s="448">
        <v>377</v>
      </c>
      <c r="P168" s="448">
        <v>43983.34</v>
      </c>
      <c r="Q168" s="471">
        <v>1.0530729534035039</v>
      </c>
      <c r="R168" s="449">
        <v>116.66668435013261</v>
      </c>
    </row>
    <row r="169" spans="1:18" ht="14.4" customHeight="1" x14ac:dyDescent="0.3">
      <c r="A169" s="443"/>
      <c r="B169" s="444" t="s">
        <v>1590</v>
      </c>
      <c r="C169" s="444" t="s">
        <v>1583</v>
      </c>
      <c r="D169" s="444" t="s">
        <v>1661</v>
      </c>
      <c r="E169" s="444" t="s">
        <v>1734</v>
      </c>
      <c r="F169" s="444" t="s">
        <v>1735</v>
      </c>
      <c r="G169" s="448">
        <v>87</v>
      </c>
      <c r="H169" s="448">
        <v>30450</v>
      </c>
      <c r="I169" s="444">
        <v>1.0302630029679696</v>
      </c>
      <c r="J169" s="444">
        <v>350</v>
      </c>
      <c r="K169" s="448">
        <v>76</v>
      </c>
      <c r="L169" s="448">
        <v>29555.559999999998</v>
      </c>
      <c r="M169" s="444">
        <v>1</v>
      </c>
      <c r="N169" s="444">
        <v>388.88894736842104</v>
      </c>
      <c r="O169" s="448">
        <v>94</v>
      </c>
      <c r="P169" s="448">
        <v>36555.56</v>
      </c>
      <c r="Q169" s="471">
        <v>1.2368420696478091</v>
      </c>
      <c r="R169" s="449">
        <v>388.88893617021273</v>
      </c>
    </row>
    <row r="170" spans="1:18" ht="14.4" customHeight="1" x14ac:dyDescent="0.3">
      <c r="A170" s="443"/>
      <c r="B170" s="444" t="s">
        <v>1590</v>
      </c>
      <c r="C170" s="444" t="s">
        <v>1583</v>
      </c>
      <c r="D170" s="444" t="s">
        <v>1661</v>
      </c>
      <c r="E170" s="444" t="s">
        <v>1675</v>
      </c>
      <c r="F170" s="444" t="s">
        <v>1676</v>
      </c>
      <c r="G170" s="448">
        <v>641</v>
      </c>
      <c r="H170" s="448">
        <v>172357.78999999998</v>
      </c>
      <c r="I170" s="444">
        <v>0.49528100574712636</v>
      </c>
      <c r="J170" s="444">
        <v>268.88890795631823</v>
      </c>
      <c r="K170" s="448">
        <v>1160</v>
      </c>
      <c r="L170" s="448">
        <v>348000</v>
      </c>
      <c r="M170" s="444">
        <v>1</v>
      </c>
      <c r="N170" s="444">
        <v>300</v>
      </c>
      <c r="O170" s="448">
        <v>971</v>
      </c>
      <c r="P170" s="448">
        <v>291300</v>
      </c>
      <c r="Q170" s="471">
        <v>0.83706896551724141</v>
      </c>
      <c r="R170" s="449">
        <v>300</v>
      </c>
    </row>
    <row r="171" spans="1:18" ht="14.4" customHeight="1" x14ac:dyDescent="0.3">
      <c r="A171" s="443"/>
      <c r="B171" s="444" t="s">
        <v>1590</v>
      </c>
      <c r="C171" s="444" t="s">
        <v>1583</v>
      </c>
      <c r="D171" s="444" t="s">
        <v>1661</v>
      </c>
      <c r="E171" s="444" t="s">
        <v>1677</v>
      </c>
      <c r="F171" s="444" t="s">
        <v>1678</v>
      </c>
      <c r="G171" s="448">
        <v>35</v>
      </c>
      <c r="H171" s="448">
        <v>10305.550000000001</v>
      </c>
      <c r="I171" s="444">
        <v>1.2499984838285152</v>
      </c>
      <c r="J171" s="444">
        <v>294.44428571428574</v>
      </c>
      <c r="K171" s="448">
        <v>28</v>
      </c>
      <c r="L171" s="448">
        <v>8244.4499999999989</v>
      </c>
      <c r="M171" s="444">
        <v>1</v>
      </c>
      <c r="N171" s="444">
        <v>294.44464285714281</v>
      </c>
      <c r="O171" s="448">
        <v>16</v>
      </c>
      <c r="P171" s="448">
        <v>4711.1100000000006</v>
      </c>
      <c r="Q171" s="471">
        <v>0.57142805159834809</v>
      </c>
      <c r="R171" s="449">
        <v>294.44437500000004</v>
      </c>
    </row>
    <row r="172" spans="1:18" ht="14.4" customHeight="1" x14ac:dyDescent="0.3">
      <c r="A172" s="443"/>
      <c r="B172" s="444" t="s">
        <v>1590</v>
      </c>
      <c r="C172" s="444" t="s">
        <v>1583</v>
      </c>
      <c r="D172" s="444" t="s">
        <v>1661</v>
      </c>
      <c r="E172" s="444" t="s">
        <v>1749</v>
      </c>
      <c r="F172" s="444" t="s">
        <v>1750</v>
      </c>
      <c r="G172" s="448"/>
      <c r="H172" s="448"/>
      <c r="I172" s="444"/>
      <c r="J172" s="444"/>
      <c r="K172" s="448"/>
      <c r="L172" s="448"/>
      <c r="M172" s="444"/>
      <c r="N172" s="444"/>
      <c r="O172" s="448">
        <v>1</v>
      </c>
      <c r="P172" s="448">
        <v>93.33</v>
      </c>
      <c r="Q172" s="471"/>
      <c r="R172" s="449">
        <v>93.33</v>
      </c>
    </row>
    <row r="173" spans="1:18" ht="14.4" customHeight="1" x14ac:dyDescent="0.3">
      <c r="A173" s="443"/>
      <c r="B173" s="444" t="s">
        <v>1590</v>
      </c>
      <c r="C173" s="444" t="s">
        <v>1583</v>
      </c>
      <c r="D173" s="444" t="s">
        <v>1661</v>
      </c>
      <c r="E173" s="444" t="s">
        <v>1679</v>
      </c>
      <c r="F173" s="444" t="s">
        <v>1680</v>
      </c>
      <c r="G173" s="448"/>
      <c r="H173" s="448"/>
      <c r="I173" s="444"/>
      <c r="J173" s="444"/>
      <c r="K173" s="448">
        <v>17</v>
      </c>
      <c r="L173" s="448">
        <v>566.67000000000007</v>
      </c>
      <c r="M173" s="444">
        <v>1</v>
      </c>
      <c r="N173" s="444">
        <v>33.333529411764708</v>
      </c>
      <c r="O173" s="448">
        <v>13</v>
      </c>
      <c r="P173" s="448">
        <v>433.34</v>
      </c>
      <c r="Q173" s="471">
        <v>0.76471314874618368</v>
      </c>
      <c r="R173" s="449">
        <v>33.333846153846153</v>
      </c>
    </row>
    <row r="174" spans="1:18" ht="14.4" customHeight="1" x14ac:dyDescent="0.3">
      <c r="A174" s="443"/>
      <c r="B174" s="444" t="s">
        <v>1590</v>
      </c>
      <c r="C174" s="444" t="s">
        <v>1583</v>
      </c>
      <c r="D174" s="444" t="s">
        <v>1661</v>
      </c>
      <c r="E174" s="444" t="s">
        <v>1681</v>
      </c>
      <c r="F174" s="444" t="s">
        <v>1666</v>
      </c>
      <c r="G174" s="448">
        <v>1008</v>
      </c>
      <c r="H174" s="448">
        <v>376320</v>
      </c>
      <c r="I174" s="444">
        <v>0.92732291470070727</v>
      </c>
      <c r="J174" s="444">
        <v>373.33333333333331</v>
      </c>
      <c r="K174" s="448">
        <v>1087</v>
      </c>
      <c r="L174" s="448">
        <v>405813.33</v>
      </c>
      <c r="M174" s="444">
        <v>1</v>
      </c>
      <c r="N174" s="444">
        <v>373.33333026678935</v>
      </c>
      <c r="O174" s="448">
        <v>1124</v>
      </c>
      <c r="P174" s="448">
        <v>469582.23</v>
      </c>
      <c r="Q174" s="471">
        <v>1.1571385050362932</v>
      </c>
      <c r="R174" s="449">
        <v>417.77778469750888</v>
      </c>
    </row>
    <row r="175" spans="1:18" ht="14.4" customHeight="1" x14ac:dyDescent="0.3">
      <c r="A175" s="443"/>
      <c r="B175" s="444" t="s">
        <v>1590</v>
      </c>
      <c r="C175" s="444" t="s">
        <v>1583</v>
      </c>
      <c r="D175" s="444" t="s">
        <v>1661</v>
      </c>
      <c r="E175" s="444" t="s">
        <v>1682</v>
      </c>
      <c r="F175" s="444" t="s">
        <v>1683</v>
      </c>
      <c r="G175" s="448">
        <v>62</v>
      </c>
      <c r="H175" s="448">
        <v>11573.33</v>
      </c>
      <c r="I175" s="444">
        <v>0.69393708275322008</v>
      </c>
      <c r="J175" s="444">
        <v>186.6666129032258</v>
      </c>
      <c r="K175" s="448">
        <v>79</v>
      </c>
      <c r="L175" s="448">
        <v>16677.780000000002</v>
      </c>
      <c r="M175" s="444">
        <v>1</v>
      </c>
      <c r="N175" s="444">
        <v>211.11113924050636</v>
      </c>
      <c r="O175" s="448">
        <v>79</v>
      </c>
      <c r="P175" s="448">
        <v>16677.780000000002</v>
      </c>
      <c r="Q175" s="471">
        <v>1</v>
      </c>
      <c r="R175" s="449">
        <v>211.11113924050636</v>
      </c>
    </row>
    <row r="176" spans="1:18" ht="14.4" customHeight="1" x14ac:dyDescent="0.3">
      <c r="A176" s="443"/>
      <c r="B176" s="444" t="s">
        <v>1590</v>
      </c>
      <c r="C176" s="444" t="s">
        <v>1583</v>
      </c>
      <c r="D176" s="444" t="s">
        <v>1661</v>
      </c>
      <c r="E176" s="444" t="s">
        <v>1684</v>
      </c>
      <c r="F176" s="444" t="s">
        <v>1685</v>
      </c>
      <c r="G176" s="448">
        <v>56</v>
      </c>
      <c r="H176" s="448">
        <v>32666.67</v>
      </c>
      <c r="I176" s="444">
        <v>2.0000006122450227</v>
      </c>
      <c r="J176" s="444">
        <v>583.33339285714283</v>
      </c>
      <c r="K176" s="448">
        <v>28</v>
      </c>
      <c r="L176" s="448">
        <v>16333.33</v>
      </c>
      <c r="M176" s="444">
        <v>1</v>
      </c>
      <c r="N176" s="444">
        <v>583.33321428571423</v>
      </c>
      <c r="O176" s="448">
        <v>37</v>
      </c>
      <c r="P176" s="448">
        <v>21583.33</v>
      </c>
      <c r="Q176" s="471">
        <v>1.3214286370262525</v>
      </c>
      <c r="R176" s="449">
        <v>583.33324324324326</v>
      </c>
    </row>
    <row r="177" spans="1:18" ht="14.4" customHeight="1" x14ac:dyDescent="0.3">
      <c r="A177" s="443"/>
      <c r="B177" s="444" t="s">
        <v>1590</v>
      </c>
      <c r="C177" s="444" t="s">
        <v>1583</v>
      </c>
      <c r="D177" s="444" t="s">
        <v>1661</v>
      </c>
      <c r="E177" s="444" t="s">
        <v>1686</v>
      </c>
      <c r="F177" s="444" t="s">
        <v>1687</v>
      </c>
      <c r="G177" s="448">
        <v>20</v>
      </c>
      <c r="H177" s="448">
        <v>9333.34</v>
      </c>
      <c r="I177" s="444">
        <v>0.58823596144368129</v>
      </c>
      <c r="J177" s="444">
        <v>466.66700000000003</v>
      </c>
      <c r="K177" s="448">
        <v>34</v>
      </c>
      <c r="L177" s="448">
        <v>15866.66</v>
      </c>
      <c r="M177" s="444">
        <v>1</v>
      </c>
      <c r="N177" s="444">
        <v>466.66647058823531</v>
      </c>
      <c r="O177" s="448">
        <v>21</v>
      </c>
      <c r="P177" s="448">
        <v>9800.01</v>
      </c>
      <c r="Q177" s="471">
        <v>0.61764794859157501</v>
      </c>
      <c r="R177" s="449">
        <v>466.66714285714289</v>
      </c>
    </row>
    <row r="178" spans="1:18" ht="14.4" customHeight="1" x14ac:dyDescent="0.3">
      <c r="A178" s="443"/>
      <c r="B178" s="444" t="s">
        <v>1590</v>
      </c>
      <c r="C178" s="444" t="s">
        <v>1583</v>
      </c>
      <c r="D178" s="444" t="s">
        <v>1661</v>
      </c>
      <c r="E178" s="444" t="s">
        <v>1751</v>
      </c>
      <c r="F178" s="444" t="s">
        <v>1687</v>
      </c>
      <c r="G178" s="448">
        <v>8</v>
      </c>
      <c r="H178" s="448">
        <v>8000</v>
      </c>
      <c r="I178" s="444">
        <v>1.6</v>
      </c>
      <c r="J178" s="444">
        <v>1000</v>
      </c>
      <c r="K178" s="448">
        <v>5</v>
      </c>
      <c r="L178" s="448">
        <v>5000</v>
      </c>
      <c r="M178" s="444">
        <v>1</v>
      </c>
      <c r="N178" s="444">
        <v>1000</v>
      </c>
      <c r="O178" s="448">
        <v>6</v>
      </c>
      <c r="P178" s="448">
        <v>6000</v>
      </c>
      <c r="Q178" s="471">
        <v>1.2</v>
      </c>
      <c r="R178" s="449">
        <v>1000</v>
      </c>
    </row>
    <row r="179" spans="1:18" ht="14.4" customHeight="1" x14ac:dyDescent="0.3">
      <c r="A179" s="443"/>
      <c r="B179" s="444" t="s">
        <v>1590</v>
      </c>
      <c r="C179" s="444" t="s">
        <v>1583</v>
      </c>
      <c r="D179" s="444" t="s">
        <v>1661</v>
      </c>
      <c r="E179" s="444" t="s">
        <v>1688</v>
      </c>
      <c r="F179" s="444" t="s">
        <v>1689</v>
      </c>
      <c r="G179" s="448">
        <v>185</v>
      </c>
      <c r="H179" s="448">
        <v>9250</v>
      </c>
      <c r="I179" s="444">
        <v>0.9946236559139785</v>
      </c>
      <c r="J179" s="444">
        <v>50</v>
      </c>
      <c r="K179" s="448">
        <v>186</v>
      </c>
      <c r="L179" s="448">
        <v>9300</v>
      </c>
      <c r="M179" s="444">
        <v>1</v>
      </c>
      <c r="N179" s="444">
        <v>50</v>
      </c>
      <c r="O179" s="448">
        <v>219</v>
      </c>
      <c r="P179" s="448">
        <v>10950</v>
      </c>
      <c r="Q179" s="471">
        <v>1.1774193548387097</v>
      </c>
      <c r="R179" s="449">
        <v>50</v>
      </c>
    </row>
    <row r="180" spans="1:18" ht="14.4" customHeight="1" x14ac:dyDescent="0.3">
      <c r="A180" s="443"/>
      <c r="B180" s="444" t="s">
        <v>1590</v>
      </c>
      <c r="C180" s="444" t="s">
        <v>1583</v>
      </c>
      <c r="D180" s="444" t="s">
        <v>1661</v>
      </c>
      <c r="E180" s="444" t="s">
        <v>1752</v>
      </c>
      <c r="F180" s="444" t="s">
        <v>1753</v>
      </c>
      <c r="G180" s="448">
        <v>1</v>
      </c>
      <c r="H180" s="448">
        <v>0</v>
      </c>
      <c r="I180" s="444"/>
      <c r="J180" s="444">
        <v>0</v>
      </c>
      <c r="K180" s="448"/>
      <c r="L180" s="448"/>
      <c r="M180" s="444"/>
      <c r="N180" s="444"/>
      <c r="O180" s="448"/>
      <c r="P180" s="448"/>
      <c r="Q180" s="471"/>
      <c r="R180" s="449"/>
    </row>
    <row r="181" spans="1:18" ht="14.4" customHeight="1" x14ac:dyDescent="0.3">
      <c r="A181" s="443"/>
      <c r="B181" s="444" t="s">
        <v>1590</v>
      </c>
      <c r="C181" s="444" t="s">
        <v>1583</v>
      </c>
      <c r="D181" s="444" t="s">
        <v>1661</v>
      </c>
      <c r="E181" s="444" t="s">
        <v>1694</v>
      </c>
      <c r="F181" s="444" t="s">
        <v>1695</v>
      </c>
      <c r="G181" s="448">
        <v>9</v>
      </c>
      <c r="H181" s="448">
        <v>0</v>
      </c>
      <c r="I181" s="444"/>
      <c r="J181" s="444">
        <v>0</v>
      </c>
      <c r="K181" s="448">
        <v>3</v>
      </c>
      <c r="L181" s="448">
        <v>0</v>
      </c>
      <c r="M181" s="444"/>
      <c r="N181" s="444">
        <v>0</v>
      </c>
      <c r="O181" s="448">
        <v>4</v>
      </c>
      <c r="P181" s="448">
        <v>0</v>
      </c>
      <c r="Q181" s="471"/>
      <c r="R181" s="449">
        <v>0</v>
      </c>
    </row>
    <row r="182" spans="1:18" ht="14.4" customHeight="1" x14ac:dyDescent="0.3">
      <c r="A182" s="443"/>
      <c r="B182" s="444" t="s">
        <v>1590</v>
      </c>
      <c r="C182" s="444" t="s">
        <v>1583</v>
      </c>
      <c r="D182" s="444" t="s">
        <v>1661</v>
      </c>
      <c r="E182" s="444" t="s">
        <v>1696</v>
      </c>
      <c r="F182" s="444" t="s">
        <v>1697</v>
      </c>
      <c r="G182" s="448">
        <v>276</v>
      </c>
      <c r="H182" s="448">
        <v>84333.329999999987</v>
      </c>
      <c r="I182" s="444">
        <v>1.0996016138849176</v>
      </c>
      <c r="J182" s="444">
        <v>305.5555434782608</v>
      </c>
      <c r="K182" s="448">
        <v>251</v>
      </c>
      <c r="L182" s="448">
        <v>76694.44</v>
      </c>
      <c r="M182" s="444">
        <v>1</v>
      </c>
      <c r="N182" s="444">
        <v>305.55553784860558</v>
      </c>
      <c r="O182" s="448">
        <v>504</v>
      </c>
      <c r="P182" s="448">
        <v>154000</v>
      </c>
      <c r="Q182" s="471">
        <v>2.007968243851836</v>
      </c>
      <c r="R182" s="449">
        <v>305.55555555555554</v>
      </c>
    </row>
    <row r="183" spans="1:18" ht="14.4" customHeight="1" x14ac:dyDescent="0.3">
      <c r="A183" s="443"/>
      <c r="B183" s="444" t="s">
        <v>1590</v>
      </c>
      <c r="C183" s="444" t="s">
        <v>1583</v>
      </c>
      <c r="D183" s="444" t="s">
        <v>1661</v>
      </c>
      <c r="E183" s="444" t="s">
        <v>1698</v>
      </c>
      <c r="F183" s="444" t="s">
        <v>1699</v>
      </c>
      <c r="G183" s="448">
        <v>210</v>
      </c>
      <c r="H183" s="448">
        <v>3800</v>
      </c>
      <c r="I183" s="444">
        <v>0.85074753842916184</v>
      </c>
      <c r="J183" s="444">
        <v>18.095238095238095</v>
      </c>
      <c r="K183" s="448">
        <v>134</v>
      </c>
      <c r="L183" s="448">
        <v>4466.66</v>
      </c>
      <c r="M183" s="444">
        <v>1</v>
      </c>
      <c r="N183" s="444">
        <v>33.33328358208955</v>
      </c>
      <c r="O183" s="448">
        <v>122</v>
      </c>
      <c r="P183" s="448">
        <v>4066.66</v>
      </c>
      <c r="Q183" s="471">
        <v>0.9104476275337724</v>
      </c>
      <c r="R183" s="449">
        <v>33.333278688524587</v>
      </c>
    </row>
    <row r="184" spans="1:18" ht="14.4" customHeight="1" x14ac:dyDescent="0.3">
      <c r="A184" s="443"/>
      <c r="B184" s="444" t="s">
        <v>1590</v>
      </c>
      <c r="C184" s="444" t="s">
        <v>1583</v>
      </c>
      <c r="D184" s="444" t="s">
        <v>1661</v>
      </c>
      <c r="E184" s="444" t="s">
        <v>1700</v>
      </c>
      <c r="F184" s="444" t="s">
        <v>1701</v>
      </c>
      <c r="G184" s="448">
        <v>1084</v>
      </c>
      <c r="H184" s="448">
        <v>493822.23</v>
      </c>
      <c r="I184" s="444">
        <v>0.98277426317239347</v>
      </c>
      <c r="J184" s="444">
        <v>455.55556273062729</v>
      </c>
      <c r="K184" s="448">
        <v>1103</v>
      </c>
      <c r="L184" s="448">
        <v>502477.77999999997</v>
      </c>
      <c r="M184" s="444">
        <v>1</v>
      </c>
      <c r="N184" s="444">
        <v>455.55555757026292</v>
      </c>
      <c r="O184" s="448">
        <v>1278</v>
      </c>
      <c r="P184" s="448">
        <v>582200</v>
      </c>
      <c r="Q184" s="471">
        <v>1.1586581997715402</v>
      </c>
      <c r="R184" s="449">
        <v>455.55555555555554</v>
      </c>
    </row>
    <row r="185" spans="1:18" ht="14.4" customHeight="1" x14ac:dyDescent="0.3">
      <c r="A185" s="443"/>
      <c r="B185" s="444" t="s">
        <v>1590</v>
      </c>
      <c r="C185" s="444" t="s">
        <v>1583</v>
      </c>
      <c r="D185" s="444" t="s">
        <v>1661</v>
      </c>
      <c r="E185" s="444" t="s">
        <v>1702</v>
      </c>
      <c r="F185" s="444" t="s">
        <v>1703</v>
      </c>
      <c r="G185" s="448">
        <v>384</v>
      </c>
      <c r="H185" s="448">
        <v>29866.65</v>
      </c>
      <c r="I185" s="444">
        <v>1.0786514297436374</v>
      </c>
      <c r="J185" s="444">
        <v>77.777734375000009</v>
      </c>
      <c r="K185" s="448">
        <v>356</v>
      </c>
      <c r="L185" s="448">
        <v>27688.879999999997</v>
      </c>
      <c r="M185" s="444">
        <v>1</v>
      </c>
      <c r="N185" s="444">
        <v>77.777752808988751</v>
      </c>
      <c r="O185" s="448">
        <v>638</v>
      </c>
      <c r="P185" s="448">
        <v>49622.22</v>
      </c>
      <c r="Q185" s="471">
        <v>1.792135326528195</v>
      </c>
      <c r="R185" s="449">
        <v>77.777774294670849</v>
      </c>
    </row>
    <row r="186" spans="1:18" ht="14.4" customHeight="1" x14ac:dyDescent="0.3">
      <c r="A186" s="443"/>
      <c r="B186" s="444" t="s">
        <v>1590</v>
      </c>
      <c r="C186" s="444" t="s">
        <v>1583</v>
      </c>
      <c r="D186" s="444" t="s">
        <v>1661</v>
      </c>
      <c r="E186" s="444" t="s">
        <v>1754</v>
      </c>
      <c r="F186" s="444" t="s">
        <v>1755</v>
      </c>
      <c r="G186" s="448">
        <v>29</v>
      </c>
      <c r="H186" s="448">
        <v>20300</v>
      </c>
      <c r="I186" s="444">
        <v>0.78378378378378377</v>
      </c>
      <c r="J186" s="444">
        <v>700</v>
      </c>
      <c r="K186" s="448">
        <v>37</v>
      </c>
      <c r="L186" s="448">
        <v>25900</v>
      </c>
      <c r="M186" s="444">
        <v>1</v>
      </c>
      <c r="N186" s="444">
        <v>700</v>
      </c>
      <c r="O186" s="448">
        <v>43</v>
      </c>
      <c r="P186" s="448">
        <v>30100</v>
      </c>
      <c r="Q186" s="471">
        <v>1.1621621621621621</v>
      </c>
      <c r="R186" s="449">
        <v>700</v>
      </c>
    </row>
    <row r="187" spans="1:18" ht="14.4" customHeight="1" x14ac:dyDescent="0.3">
      <c r="A187" s="443"/>
      <c r="B187" s="444" t="s">
        <v>1590</v>
      </c>
      <c r="C187" s="444" t="s">
        <v>1583</v>
      </c>
      <c r="D187" s="444" t="s">
        <v>1661</v>
      </c>
      <c r="E187" s="444" t="s">
        <v>1706</v>
      </c>
      <c r="F187" s="444" t="s">
        <v>1707</v>
      </c>
      <c r="G187" s="448">
        <v>1</v>
      </c>
      <c r="H187" s="448">
        <v>270</v>
      </c>
      <c r="I187" s="444">
        <v>1</v>
      </c>
      <c r="J187" s="444">
        <v>270</v>
      </c>
      <c r="K187" s="448">
        <v>1</v>
      </c>
      <c r="L187" s="448">
        <v>270</v>
      </c>
      <c r="M187" s="444">
        <v>1</v>
      </c>
      <c r="N187" s="444">
        <v>270</v>
      </c>
      <c r="O187" s="448"/>
      <c r="P187" s="448"/>
      <c r="Q187" s="471"/>
      <c r="R187" s="449"/>
    </row>
    <row r="188" spans="1:18" ht="14.4" customHeight="1" x14ac:dyDescent="0.3">
      <c r="A188" s="443"/>
      <c r="B188" s="444" t="s">
        <v>1590</v>
      </c>
      <c r="C188" s="444" t="s">
        <v>1583</v>
      </c>
      <c r="D188" s="444" t="s">
        <v>1661</v>
      </c>
      <c r="E188" s="444" t="s">
        <v>1708</v>
      </c>
      <c r="F188" s="444" t="s">
        <v>1709</v>
      </c>
      <c r="G188" s="448">
        <v>695</v>
      </c>
      <c r="H188" s="448">
        <v>61777.780000000006</v>
      </c>
      <c r="I188" s="444">
        <v>0.9493724127788461</v>
      </c>
      <c r="J188" s="444">
        <v>88.888892086330941</v>
      </c>
      <c r="K188" s="448">
        <v>689</v>
      </c>
      <c r="L188" s="448">
        <v>65072.229999999996</v>
      </c>
      <c r="M188" s="444">
        <v>1</v>
      </c>
      <c r="N188" s="444">
        <v>94.444455732946295</v>
      </c>
      <c r="O188" s="448">
        <v>861</v>
      </c>
      <c r="P188" s="448">
        <v>81316.67</v>
      </c>
      <c r="Q188" s="471">
        <v>1.2496370571594058</v>
      </c>
      <c r="R188" s="449">
        <v>94.444448315911728</v>
      </c>
    </row>
    <row r="189" spans="1:18" ht="14.4" customHeight="1" x14ac:dyDescent="0.3">
      <c r="A189" s="443"/>
      <c r="B189" s="444" t="s">
        <v>1590</v>
      </c>
      <c r="C189" s="444" t="s">
        <v>1583</v>
      </c>
      <c r="D189" s="444" t="s">
        <v>1661</v>
      </c>
      <c r="E189" s="444" t="s">
        <v>1710</v>
      </c>
      <c r="F189" s="444" t="s">
        <v>1711</v>
      </c>
      <c r="G189" s="448"/>
      <c r="H189" s="448"/>
      <c r="I189" s="444"/>
      <c r="J189" s="444"/>
      <c r="K189" s="448">
        <v>1</v>
      </c>
      <c r="L189" s="448">
        <v>43.33</v>
      </c>
      <c r="M189" s="444">
        <v>1</v>
      </c>
      <c r="N189" s="444">
        <v>43.33</v>
      </c>
      <c r="O189" s="448"/>
      <c r="P189" s="448"/>
      <c r="Q189" s="471"/>
      <c r="R189" s="449"/>
    </row>
    <row r="190" spans="1:18" ht="14.4" customHeight="1" x14ac:dyDescent="0.3">
      <c r="A190" s="443"/>
      <c r="B190" s="444" t="s">
        <v>1590</v>
      </c>
      <c r="C190" s="444" t="s">
        <v>1583</v>
      </c>
      <c r="D190" s="444" t="s">
        <v>1661</v>
      </c>
      <c r="E190" s="444" t="s">
        <v>1712</v>
      </c>
      <c r="F190" s="444" t="s">
        <v>1713</v>
      </c>
      <c r="G190" s="448">
        <v>682</v>
      </c>
      <c r="H190" s="448">
        <v>65926.67</v>
      </c>
      <c r="I190" s="444">
        <v>0.98129491626942034</v>
      </c>
      <c r="J190" s="444">
        <v>96.66667155425219</v>
      </c>
      <c r="K190" s="448">
        <v>695</v>
      </c>
      <c r="L190" s="448">
        <v>67183.34</v>
      </c>
      <c r="M190" s="444">
        <v>1</v>
      </c>
      <c r="N190" s="444">
        <v>96.666676258992794</v>
      </c>
      <c r="O190" s="448">
        <v>718</v>
      </c>
      <c r="P190" s="448">
        <v>69406.66</v>
      </c>
      <c r="Q190" s="471">
        <v>1.0330933234340538</v>
      </c>
      <c r="R190" s="449">
        <v>96.666657381615607</v>
      </c>
    </row>
    <row r="191" spans="1:18" ht="14.4" customHeight="1" x14ac:dyDescent="0.3">
      <c r="A191" s="443"/>
      <c r="B191" s="444" t="s">
        <v>1590</v>
      </c>
      <c r="C191" s="444" t="s">
        <v>1583</v>
      </c>
      <c r="D191" s="444" t="s">
        <v>1661</v>
      </c>
      <c r="E191" s="444" t="s">
        <v>1716</v>
      </c>
      <c r="F191" s="444" t="s">
        <v>1717</v>
      </c>
      <c r="G191" s="448">
        <v>703</v>
      </c>
      <c r="H191" s="448">
        <v>98420</v>
      </c>
      <c r="I191" s="444">
        <v>0.48161155977356329</v>
      </c>
      <c r="J191" s="444">
        <v>140</v>
      </c>
      <c r="K191" s="448">
        <v>1045</v>
      </c>
      <c r="L191" s="448">
        <v>204355.56</v>
      </c>
      <c r="M191" s="444">
        <v>1</v>
      </c>
      <c r="N191" s="444">
        <v>195.55555980861243</v>
      </c>
      <c r="O191" s="448">
        <v>798</v>
      </c>
      <c r="P191" s="448">
        <v>156053.32999999999</v>
      </c>
      <c r="Q191" s="471">
        <v>0.76363633071691317</v>
      </c>
      <c r="R191" s="449">
        <v>195.5555513784461</v>
      </c>
    </row>
    <row r="192" spans="1:18" ht="14.4" customHeight="1" x14ac:dyDescent="0.3">
      <c r="A192" s="443"/>
      <c r="B192" s="444" t="s">
        <v>1590</v>
      </c>
      <c r="C192" s="444" t="s">
        <v>1583</v>
      </c>
      <c r="D192" s="444" t="s">
        <v>1661</v>
      </c>
      <c r="E192" s="444" t="s">
        <v>1740</v>
      </c>
      <c r="F192" s="444" t="s">
        <v>1741</v>
      </c>
      <c r="G192" s="448">
        <v>884</v>
      </c>
      <c r="H192" s="448">
        <v>66791.12000000001</v>
      </c>
      <c r="I192" s="444">
        <v>0.82616837966841017</v>
      </c>
      <c r="J192" s="444">
        <v>75.555565610859745</v>
      </c>
      <c r="K192" s="448">
        <v>1070</v>
      </c>
      <c r="L192" s="448">
        <v>80844.44</v>
      </c>
      <c r="M192" s="444">
        <v>1</v>
      </c>
      <c r="N192" s="444">
        <v>75.555551401869167</v>
      </c>
      <c r="O192" s="448">
        <v>1117</v>
      </c>
      <c r="P192" s="448">
        <v>84395.56</v>
      </c>
      <c r="Q192" s="471">
        <v>1.0439253460101894</v>
      </c>
      <c r="R192" s="449">
        <v>75.555559534467321</v>
      </c>
    </row>
    <row r="193" spans="1:18" ht="14.4" customHeight="1" x14ac:dyDescent="0.3">
      <c r="A193" s="443"/>
      <c r="B193" s="444" t="s">
        <v>1590</v>
      </c>
      <c r="C193" s="444" t="s">
        <v>1583</v>
      </c>
      <c r="D193" s="444" t="s">
        <v>1661</v>
      </c>
      <c r="E193" s="444" t="s">
        <v>1756</v>
      </c>
      <c r="F193" s="444" t="s">
        <v>1757</v>
      </c>
      <c r="G193" s="448">
        <v>76</v>
      </c>
      <c r="H193" s="448">
        <v>97533.33</v>
      </c>
      <c r="I193" s="444">
        <v>1.2881356626137497</v>
      </c>
      <c r="J193" s="444">
        <v>1283.3332894736843</v>
      </c>
      <c r="K193" s="448">
        <v>59</v>
      </c>
      <c r="L193" s="448">
        <v>75716.66</v>
      </c>
      <c r="M193" s="444">
        <v>1</v>
      </c>
      <c r="N193" s="444">
        <v>1283.3332203389832</v>
      </c>
      <c r="O193" s="448">
        <v>93</v>
      </c>
      <c r="P193" s="448">
        <v>119350</v>
      </c>
      <c r="Q193" s="471">
        <v>1.5762713252274994</v>
      </c>
      <c r="R193" s="449">
        <v>1283.3333333333333</v>
      </c>
    </row>
    <row r="194" spans="1:18" ht="14.4" customHeight="1" x14ac:dyDescent="0.3">
      <c r="A194" s="443"/>
      <c r="B194" s="444" t="s">
        <v>1590</v>
      </c>
      <c r="C194" s="444" t="s">
        <v>1583</v>
      </c>
      <c r="D194" s="444" t="s">
        <v>1661</v>
      </c>
      <c r="E194" s="444" t="s">
        <v>1758</v>
      </c>
      <c r="F194" s="444" t="s">
        <v>1759</v>
      </c>
      <c r="G194" s="448"/>
      <c r="H194" s="448"/>
      <c r="I194" s="444"/>
      <c r="J194" s="444"/>
      <c r="K194" s="448">
        <v>3</v>
      </c>
      <c r="L194" s="448">
        <v>1400.01</v>
      </c>
      <c r="M194" s="444">
        <v>1</v>
      </c>
      <c r="N194" s="444">
        <v>466.67</v>
      </c>
      <c r="O194" s="448">
        <v>3</v>
      </c>
      <c r="P194" s="448">
        <v>1400</v>
      </c>
      <c r="Q194" s="471">
        <v>0.9999928571938772</v>
      </c>
      <c r="R194" s="449">
        <v>466.66666666666669</v>
      </c>
    </row>
    <row r="195" spans="1:18" ht="14.4" customHeight="1" x14ac:dyDescent="0.3">
      <c r="A195" s="443"/>
      <c r="B195" s="444" t="s">
        <v>1590</v>
      </c>
      <c r="C195" s="444" t="s">
        <v>1583</v>
      </c>
      <c r="D195" s="444" t="s">
        <v>1661</v>
      </c>
      <c r="E195" s="444" t="s">
        <v>1718</v>
      </c>
      <c r="F195" s="444" t="s">
        <v>1719</v>
      </c>
      <c r="G195" s="448">
        <v>2</v>
      </c>
      <c r="H195" s="448">
        <v>233.34</v>
      </c>
      <c r="I195" s="444">
        <v>0.50001071420918419</v>
      </c>
      <c r="J195" s="444">
        <v>116.67</v>
      </c>
      <c r="K195" s="448">
        <v>4</v>
      </c>
      <c r="L195" s="448">
        <v>466.67</v>
      </c>
      <c r="M195" s="444">
        <v>1</v>
      </c>
      <c r="N195" s="444">
        <v>116.6675</v>
      </c>
      <c r="O195" s="448">
        <v>2</v>
      </c>
      <c r="P195" s="448">
        <v>233.34</v>
      </c>
      <c r="Q195" s="471">
        <v>0.50001071420918419</v>
      </c>
      <c r="R195" s="449">
        <v>116.67</v>
      </c>
    </row>
    <row r="196" spans="1:18" ht="14.4" customHeight="1" x14ac:dyDescent="0.3">
      <c r="A196" s="443"/>
      <c r="B196" s="444" t="s">
        <v>1590</v>
      </c>
      <c r="C196" s="444" t="s">
        <v>1583</v>
      </c>
      <c r="D196" s="444" t="s">
        <v>1661</v>
      </c>
      <c r="E196" s="444" t="s">
        <v>1760</v>
      </c>
      <c r="F196" s="444" t="s">
        <v>1761</v>
      </c>
      <c r="G196" s="448"/>
      <c r="H196" s="448"/>
      <c r="I196" s="444"/>
      <c r="J196" s="444"/>
      <c r="K196" s="448"/>
      <c r="L196" s="448"/>
      <c r="M196" s="444"/>
      <c r="N196" s="444"/>
      <c r="O196" s="448">
        <v>2</v>
      </c>
      <c r="P196" s="448">
        <v>933.34</v>
      </c>
      <c r="Q196" s="471"/>
      <c r="R196" s="449">
        <v>466.67</v>
      </c>
    </row>
    <row r="197" spans="1:18" ht="14.4" customHeight="1" x14ac:dyDescent="0.3">
      <c r="A197" s="443"/>
      <c r="B197" s="444" t="s">
        <v>1590</v>
      </c>
      <c r="C197" s="444" t="s">
        <v>1583</v>
      </c>
      <c r="D197" s="444" t="s">
        <v>1661</v>
      </c>
      <c r="E197" s="444" t="s">
        <v>1722</v>
      </c>
      <c r="F197" s="444" t="s">
        <v>1723</v>
      </c>
      <c r="G197" s="448">
        <v>2</v>
      </c>
      <c r="H197" s="448">
        <v>655.56</v>
      </c>
      <c r="I197" s="444">
        <v>0.95163163395656714</v>
      </c>
      <c r="J197" s="444">
        <v>327.78</v>
      </c>
      <c r="K197" s="448">
        <v>2</v>
      </c>
      <c r="L197" s="448">
        <v>688.88</v>
      </c>
      <c r="M197" s="444">
        <v>1</v>
      </c>
      <c r="N197" s="444">
        <v>344.44</v>
      </c>
      <c r="O197" s="448">
        <v>4</v>
      </c>
      <c r="P197" s="448">
        <v>1377.78</v>
      </c>
      <c r="Q197" s="471">
        <v>2.0000290326326793</v>
      </c>
      <c r="R197" s="449">
        <v>344.44499999999999</v>
      </c>
    </row>
    <row r="198" spans="1:18" ht="14.4" customHeight="1" x14ac:dyDescent="0.3">
      <c r="A198" s="443"/>
      <c r="B198" s="444" t="s">
        <v>1590</v>
      </c>
      <c r="C198" s="444" t="s">
        <v>1583</v>
      </c>
      <c r="D198" s="444" t="s">
        <v>1661</v>
      </c>
      <c r="E198" s="444" t="s">
        <v>1762</v>
      </c>
      <c r="F198" s="444" t="s">
        <v>1763</v>
      </c>
      <c r="G198" s="448"/>
      <c r="H198" s="448"/>
      <c r="I198" s="444"/>
      <c r="J198" s="444"/>
      <c r="K198" s="448">
        <v>1</v>
      </c>
      <c r="L198" s="448">
        <v>466.67</v>
      </c>
      <c r="M198" s="444">
        <v>1</v>
      </c>
      <c r="N198" s="444">
        <v>466.67</v>
      </c>
      <c r="O198" s="448"/>
      <c r="P198" s="448"/>
      <c r="Q198" s="471"/>
      <c r="R198" s="449"/>
    </row>
    <row r="199" spans="1:18" ht="14.4" customHeight="1" x14ac:dyDescent="0.3">
      <c r="A199" s="443"/>
      <c r="B199" s="444" t="s">
        <v>1590</v>
      </c>
      <c r="C199" s="444" t="s">
        <v>1583</v>
      </c>
      <c r="D199" s="444" t="s">
        <v>1661</v>
      </c>
      <c r="E199" s="444" t="s">
        <v>1724</v>
      </c>
      <c r="F199" s="444" t="s">
        <v>1725</v>
      </c>
      <c r="G199" s="448"/>
      <c r="H199" s="448"/>
      <c r="I199" s="444"/>
      <c r="J199" s="444"/>
      <c r="K199" s="448">
        <v>1</v>
      </c>
      <c r="L199" s="448">
        <v>292.22000000000003</v>
      </c>
      <c r="M199" s="444">
        <v>1</v>
      </c>
      <c r="N199" s="444">
        <v>292.22000000000003</v>
      </c>
      <c r="O199" s="448">
        <v>5</v>
      </c>
      <c r="P199" s="448">
        <v>1461.1000000000001</v>
      </c>
      <c r="Q199" s="471">
        <v>5</v>
      </c>
      <c r="R199" s="449">
        <v>292.22000000000003</v>
      </c>
    </row>
    <row r="200" spans="1:18" ht="14.4" customHeight="1" x14ac:dyDescent="0.3">
      <c r="A200" s="443"/>
      <c r="B200" s="444" t="s">
        <v>1590</v>
      </c>
      <c r="C200" s="444" t="s">
        <v>1583</v>
      </c>
      <c r="D200" s="444" t="s">
        <v>1661</v>
      </c>
      <c r="E200" s="444" t="s">
        <v>1728</v>
      </c>
      <c r="F200" s="444" t="s">
        <v>1729</v>
      </c>
      <c r="G200" s="448">
        <v>6</v>
      </c>
      <c r="H200" s="448">
        <v>700</v>
      </c>
      <c r="I200" s="444">
        <v>0.54545171193915876</v>
      </c>
      <c r="J200" s="444">
        <v>116.66666666666667</v>
      </c>
      <c r="K200" s="448">
        <v>11</v>
      </c>
      <c r="L200" s="448">
        <v>1283.3399999999999</v>
      </c>
      <c r="M200" s="444">
        <v>1</v>
      </c>
      <c r="N200" s="444">
        <v>116.66727272727272</v>
      </c>
      <c r="O200" s="448">
        <v>7</v>
      </c>
      <c r="P200" s="448">
        <v>816.67000000000007</v>
      </c>
      <c r="Q200" s="471">
        <v>0.63636292798478977</v>
      </c>
      <c r="R200" s="449">
        <v>116.66714285714286</v>
      </c>
    </row>
    <row r="201" spans="1:18" ht="14.4" customHeight="1" x14ac:dyDescent="0.3">
      <c r="A201" s="443"/>
      <c r="B201" s="444" t="s">
        <v>1590</v>
      </c>
      <c r="C201" s="444" t="s">
        <v>1583</v>
      </c>
      <c r="D201" s="444" t="s">
        <v>1661</v>
      </c>
      <c r="E201" s="444" t="s">
        <v>1764</v>
      </c>
      <c r="F201" s="444" t="s">
        <v>1765</v>
      </c>
      <c r="G201" s="448">
        <v>0</v>
      </c>
      <c r="H201" s="448">
        <v>0</v>
      </c>
      <c r="I201" s="444"/>
      <c r="J201" s="444"/>
      <c r="K201" s="448"/>
      <c r="L201" s="448"/>
      <c r="M201" s="444"/>
      <c r="N201" s="444"/>
      <c r="O201" s="448"/>
      <c r="P201" s="448"/>
      <c r="Q201" s="471"/>
      <c r="R201" s="449"/>
    </row>
    <row r="202" spans="1:18" ht="14.4" customHeight="1" x14ac:dyDescent="0.3">
      <c r="A202" s="443"/>
      <c r="B202" s="444" t="s">
        <v>1590</v>
      </c>
      <c r="C202" s="444" t="s">
        <v>1583</v>
      </c>
      <c r="D202" s="444" t="s">
        <v>1661</v>
      </c>
      <c r="E202" s="444" t="s">
        <v>1730</v>
      </c>
      <c r="F202" s="444" t="s">
        <v>1731</v>
      </c>
      <c r="G202" s="448"/>
      <c r="H202" s="448"/>
      <c r="I202" s="444"/>
      <c r="J202" s="444"/>
      <c r="K202" s="448">
        <v>1</v>
      </c>
      <c r="L202" s="448">
        <v>358.89</v>
      </c>
      <c r="M202" s="444">
        <v>1</v>
      </c>
      <c r="N202" s="444">
        <v>358.89</v>
      </c>
      <c r="O202" s="448">
        <v>1</v>
      </c>
      <c r="P202" s="448">
        <v>358.89</v>
      </c>
      <c r="Q202" s="471">
        <v>1</v>
      </c>
      <c r="R202" s="449">
        <v>358.89</v>
      </c>
    </row>
    <row r="203" spans="1:18" ht="14.4" customHeight="1" x14ac:dyDescent="0.3">
      <c r="A203" s="443"/>
      <c r="B203" s="444" t="s">
        <v>1590</v>
      </c>
      <c r="C203" s="444" t="s">
        <v>1584</v>
      </c>
      <c r="D203" s="444" t="s">
        <v>1661</v>
      </c>
      <c r="E203" s="444" t="s">
        <v>1662</v>
      </c>
      <c r="F203" s="444" t="s">
        <v>1663</v>
      </c>
      <c r="G203" s="448">
        <v>1</v>
      </c>
      <c r="H203" s="448">
        <v>442.22</v>
      </c>
      <c r="I203" s="444"/>
      <c r="J203" s="444">
        <v>442.22</v>
      </c>
      <c r="K203" s="448"/>
      <c r="L203" s="448"/>
      <c r="M203" s="444"/>
      <c r="N203" s="444"/>
      <c r="O203" s="448"/>
      <c r="P203" s="448"/>
      <c r="Q203" s="471"/>
      <c r="R203" s="449"/>
    </row>
    <row r="204" spans="1:18" ht="14.4" customHeight="1" x14ac:dyDescent="0.3">
      <c r="A204" s="443"/>
      <c r="B204" s="444" t="s">
        <v>1590</v>
      </c>
      <c r="C204" s="444" t="s">
        <v>1584</v>
      </c>
      <c r="D204" s="444" t="s">
        <v>1661</v>
      </c>
      <c r="E204" s="444" t="s">
        <v>1667</v>
      </c>
      <c r="F204" s="444" t="s">
        <v>1668</v>
      </c>
      <c r="G204" s="448">
        <v>152</v>
      </c>
      <c r="H204" s="448">
        <v>11822.220000000001</v>
      </c>
      <c r="I204" s="444">
        <v>0.5409253027263099</v>
      </c>
      <c r="J204" s="444">
        <v>77.777763157894739</v>
      </c>
      <c r="K204" s="448">
        <v>281</v>
      </c>
      <c r="L204" s="448">
        <v>21855.55</v>
      </c>
      <c r="M204" s="444">
        <v>1</v>
      </c>
      <c r="N204" s="444">
        <v>77.777758007117441</v>
      </c>
      <c r="O204" s="448">
        <v>569</v>
      </c>
      <c r="P204" s="448">
        <v>44255.54</v>
      </c>
      <c r="Q204" s="471">
        <v>2.0249108350052962</v>
      </c>
      <c r="R204" s="449">
        <v>77.77775043936731</v>
      </c>
    </row>
    <row r="205" spans="1:18" ht="14.4" customHeight="1" x14ac:dyDescent="0.3">
      <c r="A205" s="443"/>
      <c r="B205" s="444" t="s">
        <v>1590</v>
      </c>
      <c r="C205" s="444" t="s">
        <v>1584</v>
      </c>
      <c r="D205" s="444" t="s">
        <v>1661</v>
      </c>
      <c r="E205" s="444" t="s">
        <v>1669</v>
      </c>
      <c r="F205" s="444" t="s">
        <v>1670</v>
      </c>
      <c r="G205" s="448">
        <v>5</v>
      </c>
      <c r="H205" s="448">
        <v>1250</v>
      </c>
      <c r="I205" s="444">
        <v>0.83333333333333337</v>
      </c>
      <c r="J205" s="444">
        <v>250</v>
      </c>
      <c r="K205" s="448">
        <v>6</v>
      </c>
      <c r="L205" s="448">
        <v>1500</v>
      </c>
      <c r="M205" s="444">
        <v>1</v>
      </c>
      <c r="N205" s="444">
        <v>250</v>
      </c>
      <c r="O205" s="448">
        <v>15</v>
      </c>
      <c r="P205" s="448">
        <v>3750</v>
      </c>
      <c r="Q205" s="471">
        <v>2.5</v>
      </c>
      <c r="R205" s="449">
        <v>250</v>
      </c>
    </row>
    <row r="206" spans="1:18" ht="14.4" customHeight="1" x14ac:dyDescent="0.3">
      <c r="A206" s="443"/>
      <c r="B206" s="444" t="s">
        <v>1590</v>
      </c>
      <c r="C206" s="444" t="s">
        <v>1584</v>
      </c>
      <c r="D206" s="444" t="s">
        <v>1661</v>
      </c>
      <c r="E206" s="444" t="s">
        <v>1671</v>
      </c>
      <c r="F206" s="444" t="s">
        <v>1672</v>
      </c>
      <c r="G206" s="448"/>
      <c r="H206" s="448"/>
      <c r="I206" s="444"/>
      <c r="J206" s="444"/>
      <c r="K206" s="448">
        <v>3</v>
      </c>
      <c r="L206" s="448">
        <v>900</v>
      </c>
      <c r="M206" s="444">
        <v>1</v>
      </c>
      <c r="N206" s="444">
        <v>300</v>
      </c>
      <c r="O206" s="448"/>
      <c r="P206" s="448"/>
      <c r="Q206" s="471"/>
      <c r="R206" s="449"/>
    </row>
    <row r="207" spans="1:18" ht="14.4" customHeight="1" x14ac:dyDescent="0.3">
      <c r="A207" s="443"/>
      <c r="B207" s="444" t="s">
        <v>1590</v>
      </c>
      <c r="C207" s="444" t="s">
        <v>1584</v>
      </c>
      <c r="D207" s="444" t="s">
        <v>1661</v>
      </c>
      <c r="E207" s="444" t="s">
        <v>1673</v>
      </c>
      <c r="F207" s="444" t="s">
        <v>1674</v>
      </c>
      <c r="G207" s="448">
        <v>210</v>
      </c>
      <c r="H207" s="448">
        <v>23333.329999999998</v>
      </c>
      <c r="I207" s="444">
        <v>0.77821009207449598</v>
      </c>
      <c r="J207" s="444">
        <v>111.11109523809523</v>
      </c>
      <c r="K207" s="448">
        <v>257</v>
      </c>
      <c r="L207" s="448">
        <v>29983.33</v>
      </c>
      <c r="M207" s="444">
        <v>1</v>
      </c>
      <c r="N207" s="444">
        <v>116.66665369649806</v>
      </c>
      <c r="O207" s="448">
        <v>413</v>
      </c>
      <c r="P207" s="448">
        <v>48183.33</v>
      </c>
      <c r="Q207" s="471">
        <v>1.6070039585329581</v>
      </c>
      <c r="R207" s="449">
        <v>116.66665859564165</v>
      </c>
    </row>
    <row r="208" spans="1:18" ht="14.4" customHeight="1" x14ac:dyDescent="0.3">
      <c r="A208" s="443"/>
      <c r="B208" s="444" t="s">
        <v>1590</v>
      </c>
      <c r="C208" s="444" t="s">
        <v>1584</v>
      </c>
      <c r="D208" s="444" t="s">
        <v>1661</v>
      </c>
      <c r="E208" s="444" t="s">
        <v>1675</v>
      </c>
      <c r="F208" s="444" t="s">
        <v>1676</v>
      </c>
      <c r="G208" s="448">
        <v>18</v>
      </c>
      <c r="H208" s="448">
        <v>4840</v>
      </c>
      <c r="I208" s="444">
        <v>0.67222222222222228</v>
      </c>
      <c r="J208" s="444">
        <v>268.88888888888891</v>
      </c>
      <c r="K208" s="448">
        <v>24</v>
      </c>
      <c r="L208" s="448">
        <v>7200</v>
      </c>
      <c r="M208" s="444">
        <v>1</v>
      </c>
      <c r="N208" s="444">
        <v>300</v>
      </c>
      <c r="O208" s="448">
        <v>49</v>
      </c>
      <c r="P208" s="448">
        <v>14700</v>
      </c>
      <c r="Q208" s="471">
        <v>2.0416666666666665</v>
      </c>
      <c r="R208" s="449">
        <v>300</v>
      </c>
    </row>
    <row r="209" spans="1:18" ht="14.4" customHeight="1" x14ac:dyDescent="0.3">
      <c r="A209" s="443"/>
      <c r="B209" s="444" t="s">
        <v>1590</v>
      </c>
      <c r="C209" s="444" t="s">
        <v>1584</v>
      </c>
      <c r="D209" s="444" t="s">
        <v>1661</v>
      </c>
      <c r="E209" s="444" t="s">
        <v>1677</v>
      </c>
      <c r="F209" s="444" t="s">
        <v>1678</v>
      </c>
      <c r="G209" s="448">
        <v>10</v>
      </c>
      <c r="H209" s="448">
        <v>2944.44</v>
      </c>
      <c r="I209" s="444">
        <v>1.2500063679665809</v>
      </c>
      <c r="J209" s="444">
        <v>294.44400000000002</v>
      </c>
      <c r="K209" s="448">
        <v>8</v>
      </c>
      <c r="L209" s="448">
        <v>2355.54</v>
      </c>
      <c r="M209" s="444">
        <v>1</v>
      </c>
      <c r="N209" s="444">
        <v>294.4425</v>
      </c>
      <c r="O209" s="448">
        <v>3</v>
      </c>
      <c r="P209" s="448">
        <v>883.33</v>
      </c>
      <c r="Q209" s="471">
        <v>0.37500106132776351</v>
      </c>
      <c r="R209" s="449">
        <v>294.44333333333333</v>
      </c>
    </row>
    <row r="210" spans="1:18" ht="14.4" customHeight="1" x14ac:dyDescent="0.3">
      <c r="A210" s="443"/>
      <c r="B210" s="444" t="s">
        <v>1590</v>
      </c>
      <c r="C210" s="444" t="s">
        <v>1584</v>
      </c>
      <c r="D210" s="444" t="s">
        <v>1661</v>
      </c>
      <c r="E210" s="444" t="s">
        <v>1766</v>
      </c>
      <c r="F210" s="444" t="s">
        <v>1767</v>
      </c>
      <c r="G210" s="448">
        <v>2790</v>
      </c>
      <c r="H210" s="448">
        <v>2170000</v>
      </c>
      <c r="I210" s="444">
        <v>1.7318435754189945</v>
      </c>
      <c r="J210" s="444">
        <v>777.77777777777783</v>
      </c>
      <c r="K210" s="448">
        <v>1611</v>
      </c>
      <c r="L210" s="448">
        <v>1253000</v>
      </c>
      <c r="M210" s="444">
        <v>1</v>
      </c>
      <c r="N210" s="444">
        <v>777.77777777777783</v>
      </c>
      <c r="O210" s="448">
        <v>1203</v>
      </c>
      <c r="P210" s="448">
        <v>935666.66999999993</v>
      </c>
      <c r="Q210" s="471">
        <v>0.74674115722266554</v>
      </c>
      <c r="R210" s="449">
        <v>777.77778054862836</v>
      </c>
    </row>
    <row r="211" spans="1:18" ht="14.4" customHeight="1" x14ac:dyDescent="0.3">
      <c r="A211" s="443"/>
      <c r="B211" s="444" t="s">
        <v>1590</v>
      </c>
      <c r="C211" s="444" t="s">
        <v>1584</v>
      </c>
      <c r="D211" s="444" t="s">
        <v>1661</v>
      </c>
      <c r="E211" s="444" t="s">
        <v>1749</v>
      </c>
      <c r="F211" s="444" t="s">
        <v>1750</v>
      </c>
      <c r="G211" s="448">
        <v>2205</v>
      </c>
      <c r="H211" s="448">
        <v>205800</v>
      </c>
      <c r="I211" s="444">
        <v>0.70627804306484032</v>
      </c>
      <c r="J211" s="444">
        <v>93.333333333333329</v>
      </c>
      <c r="K211" s="448">
        <v>3122</v>
      </c>
      <c r="L211" s="448">
        <v>291386.66000000003</v>
      </c>
      <c r="M211" s="444">
        <v>1</v>
      </c>
      <c r="N211" s="444">
        <v>93.333331197950045</v>
      </c>
      <c r="O211" s="448">
        <v>3880</v>
      </c>
      <c r="P211" s="448">
        <v>362133.32</v>
      </c>
      <c r="Q211" s="471">
        <v>1.2427930640338853</v>
      </c>
      <c r="R211" s="449">
        <v>93.333329896907216</v>
      </c>
    </row>
    <row r="212" spans="1:18" ht="14.4" customHeight="1" x14ac:dyDescent="0.3">
      <c r="A212" s="443"/>
      <c r="B212" s="444" t="s">
        <v>1590</v>
      </c>
      <c r="C212" s="444" t="s">
        <v>1584</v>
      </c>
      <c r="D212" s="444" t="s">
        <v>1661</v>
      </c>
      <c r="E212" s="444" t="s">
        <v>1768</v>
      </c>
      <c r="F212" s="444" t="s">
        <v>1769</v>
      </c>
      <c r="G212" s="448">
        <v>48</v>
      </c>
      <c r="H212" s="448">
        <v>32000.010000000002</v>
      </c>
      <c r="I212" s="444">
        <v>0.87272722809918979</v>
      </c>
      <c r="J212" s="444">
        <v>666.666875</v>
      </c>
      <c r="K212" s="448">
        <v>55</v>
      </c>
      <c r="L212" s="448">
        <v>36666.68</v>
      </c>
      <c r="M212" s="444">
        <v>1</v>
      </c>
      <c r="N212" s="444">
        <v>666.66690909090914</v>
      </c>
      <c r="O212" s="448">
        <v>75</v>
      </c>
      <c r="P212" s="448">
        <v>50000</v>
      </c>
      <c r="Q212" s="471">
        <v>1.3636358677687754</v>
      </c>
      <c r="R212" s="449">
        <v>666.66666666666663</v>
      </c>
    </row>
    <row r="213" spans="1:18" ht="14.4" customHeight="1" x14ac:dyDescent="0.3">
      <c r="A213" s="443"/>
      <c r="B213" s="444" t="s">
        <v>1590</v>
      </c>
      <c r="C213" s="444" t="s">
        <v>1584</v>
      </c>
      <c r="D213" s="444" t="s">
        <v>1661</v>
      </c>
      <c r="E213" s="444" t="s">
        <v>1770</v>
      </c>
      <c r="F213" s="444" t="s">
        <v>1771</v>
      </c>
      <c r="G213" s="448">
        <v>230</v>
      </c>
      <c r="H213" s="448">
        <v>178888.89</v>
      </c>
      <c r="I213" s="444">
        <v>1.0132158398183553</v>
      </c>
      <c r="J213" s="444">
        <v>777.7777826086957</v>
      </c>
      <c r="K213" s="448">
        <v>227</v>
      </c>
      <c r="L213" s="448">
        <v>176555.56</v>
      </c>
      <c r="M213" s="444">
        <v>1</v>
      </c>
      <c r="N213" s="444">
        <v>777.77779735682816</v>
      </c>
      <c r="O213" s="448">
        <v>212</v>
      </c>
      <c r="P213" s="448">
        <v>164888.88999999998</v>
      </c>
      <c r="Q213" s="471">
        <v>0.93392068762943514</v>
      </c>
      <c r="R213" s="449">
        <v>777.77778301886781</v>
      </c>
    </row>
    <row r="214" spans="1:18" ht="14.4" customHeight="1" x14ac:dyDescent="0.3">
      <c r="A214" s="443"/>
      <c r="B214" s="444" t="s">
        <v>1590</v>
      </c>
      <c r="C214" s="444" t="s">
        <v>1584</v>
      </c>
      <c r="D214" s="444" t="s">
        <v>1661</v>
      </c>
      <c r="E214" s="444" t="s">
        <v>1772</v>
      </c>
      <c r="F214" s="444" t="s">
        <v>1773</v>
      </c>
      <c r="G214" s="448">
        <v>133</v>
      </c>
      <c r="H214" s="448">
        <v>44333.34</v>
      </c>
      <c r="I214" s="444">
        <v>1.1271191956336255</v>
      </c>
      <c r="J214" s="444">
        <v>333.33338345864661</v>
      </c>
      <c r="K214" s="448">
        <v>118</v>
      </c>
      <c r="L214" s="448">
        <v>39333.32</v>
      </c>
      <c r="M214" s="444">
        <v>1</v>
      </c>
      <c r="N214" s="444">
        <v>333.33322033898304</v>
      </c>
      <c r="O214" s="448">
        <v>128</v>
      </c>
      <c r="P214" s="448">
        <v>42666.68</v>
      </c>
      <c r="Q214" s="471">
        <v>1.0847464694055828</v>
      </c>
      <c r="R214" s="449">
        <v>333.3334375</v>
      </c>
    </row>
    <row r="215" spans="1:18" ht="14.4" customHeight="1" x14ac:dyDescent="0.3">
      <c r="A215" s="443"/>
      <c r="B215" s="444" t="s">
        <v>1590</v>
      </c>
      <c r="C215" s="444" t="s">
        <v>1584</v>
      </c>
      <c r="D215" s="444" t="s">
        <v>1661</v>
      </c>
      <c r="E215" s="444" t="s">
        <v>1681</v>
      </c>
      <c r="F215" s="444" t="s">
        <v>1666</v>
      </c>
      <c r="G215" s="448">
        <v>2</v>
      </c>
      <c r="H215" s="448">
        <v>746.67</v>
      </c>
      <c r="I215" s="444">
        <v>0.50000669648836149</v>
      </c>
      <c r="J215" s="444">
        <v>373.33499999999998</v>
      </c>
      <c r="K215" s="448">
        <v>4</v>
      </c>
      <c r="L215" s="448">
        <v>1493.32</v>
      </c>
      <c r="M215" s="444">
        <v>1</v>
      </c>
      <c r="N215" s="444">
        <v>373.33</v>
      </c>
      <c r="O215" s="448">
        <v>12</v>
      </c>
      <c r="P215" s="448">
        <v>5013.33</v>
      </c>
      <c r="Q215" s="471">
        <v>3.3571705997374979</v>
      </c>
      <c r="R215" s="449">
        <v>417.77749999999997</v>
      </c>
    </row>
    <row r="216" spans="1:18" ht="14.4" customHeight="1" x14ac:dyDescent="0.3">
      <c r="A216" s="443"/>
      <c r="B216" s="444" t="s">
        <v>1590</v>
      </c>
      <c r="C216" s="444" t="s">
        <v>1584</v>
      </c>
      <c r="D216" s="444" t="s">
        <v>1661</v>
      </c>
      <c r="E216" s="444" t="s">
        <v>1682</v>
      </c>
      <c r="F216" s="444" t="s">
        <v>1683</v>
      </c>
      <c r="G216" s="448">
        <v>50</v>
      </c>
      <c r="H216" s="448">
        <v>9333.33</v>
      </c>
      <c r="I216" s="444">
        <v>0.37466536015456559</v>
      </c>
      <c r="J216" s="444">
        <v>186.66659999999999</v>
      </c>
      <c r="K216" s="448">
        <v>118</v>
      </c>
      <c r="L216" s="448">
        <v>24911.11</v>
      </c>
      <c r="M216" s="444">
        <v>1</v>
      </c>
      <c r="N216" s="444">
        <v>211.11110169491525</v>
      </c>
      <c r="O216" s="448">
        <v>94</v>
      </c>
      <c r="P216" s="448">
        <v>19844.45</v>
      </c>
      <c r="Q216" s="471">
        <v>0.79661042803793169</v>
      </c>
      <c r="R216" s="449">
        <v>211.11117021276596</v>
      </c>
    </row>
    <row r="217" spans="1:18" ht="14.4" customHeight="1" x14ac:dyDescent="0.3">
      <c r="A217" s="443"/>
      <c r="B217" s="444" t="s">
        <v>1590</v>
      </c>
      <c r="C217" s="444" t="s">
        <v>1584</v>
      </c>
      <c r="D217" s="444" t="s">
        <v>1661</v>
      </c>
      <c r="E217" s="444" t="s">
        <v>1684</v>
      </c>
      <c r="F217" s="444" t="s">
        <v>1685</v>
      </c>
      <c r="G217" s="448">
        <v>75</v>
      </c>
      <c r="H217" s="448">
        <v>43750</v>
      </c>
      <c r="I217" s="444">
        <v>1.1538460524091383</v>
      </c>
      <c r="J217" s="444">
        <v>583.33333333333337</v>
      </c>
      <c r="K217" s="448">
        <v>65</v>
      </c>
      <c r="L217" s="448">
        <v>37916.67</v>
      </c>
      <c r="M217" s="444">
        <v>1</v>
      </c>
      <c r="N217" s="444">
        <v>583.3333846153846</v>
      </c>
      <c r="O217" s="448">
        <v>63</v>
      </c>
      <c r="P217" s="448">
        <v>36750</v>
      </c>
      <c r="Q217" s="471">
        <v>0.96923068402367618</v>
      </c>
      <c r="R217" s="449">
        <v>583.33333333333337</v>
      </c>
    </row>
    <row r="218" spans="1:18" ht="14.4" customHeight="1" x14ac:dyDescent="0.3">
      <c r="A218" s="443"/>
      <c r="B218" s="444" t="s">
        <v>1590</v>
      </c>
      <c r="C218" s="444" t="s">
        <v>1584</v>
      </c>
      <c r="D218" s="444" t="s">
        <v>1661</v>
      </c>
      <c r="E218" s="444" t="s">
        <v>1686</v>
      </c>
      <c r="F218" s="444" t="s">
        <v>1687</v>
      </c>
      <c r="G218" s="448">
        <v>93</v>
      </c>
      <c r="H218" s="448">
        <v>43400</v>
      </c>
      <c r="I218" s="444">
        <v>1.3880604413968236</v>
      </c>
      <c r="J218" s="444">
        <v>466.66666666666669</v>
      </c>
      <c r="K218" s="448">
        <v>67</v>
      </c>
      <c r="L218" s="448">
        <v>31266.65</v>
      </c>
      <c r="M218" s="444">
        <v>1</v>
      </c>
      <c r="N218" s="444">
        <v>466.66641791044776</v>
      </c>
      <c r="O218" s="448">
        <v>62</v>
      </c>
      <c r="P218" s="448">
        <v>28933.33</v>
      </c>
      <c r="Q218" s="471">
        <v>0.92537352098801762</v>
      </c>
      <c r="R218" s="449">
        <v>466.66661290322583</v>
      </c>
    </row>
    <row r="219" spans="1:18" ht="14.4" customHeight="1" x14ac:dyDescent="0.3">
      <c r="A219" s="443"/>
      <c r="B219" s="444" t="s">
        <v>1590</v>
      </c>
      <c r="C219" s="444" t="s">
        <v>1584</v>
      </c>
      <c r="D219" s="444" t="s">
        <v>1661</v>
      </c>
      <c r="E219" s="444" t="s">
        <v>1751</v>
      </c>
      <c r="F219" s="444" t="s">
        <v>1687</v>
      </c>
      <c r="G219" s="448">
        <v>48</v>
      </c>
      <c r="H219" s="448">
        <v>48000</v>
      </c>
      <c r="I219" s="444">
        <v>0.94117647058823528</v>
      </c>
      <c r="J219" s="444">
        <v>1000</v>
      </c>
      <c r="K219" s="448">
        <v>51</v>
      </c>
      <c r="L219" s="448">
        <v>51000</v>
      </c>
      <c r="M219" s="444">
        <v>1</v>
      </c>
      <c r="N219" s="444">
        <v>1000</v>
      </c>
      <c r="O219" s="448">
        <v>38</v>
      </c>
      <c r="P219" s="448">
        <v>38000</v>
      </c>
      <c r="Q219" s="471">
        <v>0.74509803921568629</v>
      </c>
      <c r="R219" s="449">
        <v>1000</v>
      </c>
    </row>
    <row r="220" spans="1:18" ht="14.4" customHeight="1" x14ac:dyDescent="0.3">
      <c r="A220" s="443"/>
      <c r="B220" s="444" t="s">
        <v>1590</v>
      </c>
      <c r="C220" s="444" t="s">
        <v>1584</v>
      </c>
      <c r="D220" s="444" t="s">
        <v>1661</v>
      </c>
      <c r="E220" s="444" t="s">
        <v>1688</v>
      </c>
      <c r="F220" s="444" t="s">
        <v>1689</v>
      </c>
      <c r="G220" s="448">
        <v>460</v>
      </c>
      <c r="H220" s="448">
        <v>23000</v>
      </c>
      <c r="I220" s="444">
        <v>0.98501070663811563</v>
      </c>
      <c r="J220" s="444">
        <v>50</v>
      </c>
      <c r="K220" s="448">
        <v>467</v>
      </c>
      <c r="L220" s="448">
        <v>23350</v>
      </c>
      <c r="M220" s="444">
        <v>1</v>
      </c>
      <c r="N220" s="444">
        <v>50</v>
      </c>
      <c r="O220" s="448">
        <v>453</v>
      </c>
      <c r="P220" s="448">
        <v>22650</v>
      </c>
      <c r="Q220" s="471">
        <v>0.97002141327623126</v>
      </c>
      <c r="R220" s="449">
        <v>50</v>
      </c>
    </row>
    <row r="221" spans="1:18" ht="14.4" customHeight="1" x14ac:dyDescent="0.3">
      <c r="A221" s="443"/>
      <c r="B221" s="444" t="s">
        <v>1590</v>
      </c>
      <c r="C221" s="444" t="s">
        <v>1584</v>
      </c>
      <c r="D221" s="444" t="s">
        <v>1661</v>
      </c>
      <c r="E221" s="444" t="s">
        <v>1690</v>
      </c>
      <c r="F221" s="444" t="s">
        <v>1691</v>
      </c>
      <c r="G221" s="448"/>
      <c r="H221" s="448"/>
      <c r="I221" s="444"/>
      <c r="J221" s="444"/>
      <c r="K221" s="448"/>
      <c r="L221" s="448"/>
      <c r="M221" s="444"/>
      <c r="N221" s="444"/>
      <c r="O221" s="448">
        <v>1</v>
      </c>
      <c r="P221" s="448">
        <v>101.11</v>
      </c>
      <c r="Q221" s="471"/>
      <c r="R221" s="449">
        <v>101.11</v>
      </c>
    </row>
    <row r="222" spans="1:18" ht="14.4" customHeight="1" x14ac:dyDescent="0.3">
      <c r="A222" s="443"/>
      <c r="B222" s="444" t="s">
        <v>1590</v>
      </c>
      <c r="C222" s="444" t="s">
        <v>1584</v>
      </c>
      <c r="D222" s="444" t="s">
        <v>1661</v>
      </c>
      <c r="E222" s="444" t="s">
        <v>1692</v>
      </c>
      <c r="F222" s="444" t="s">
        <v>1693</v>
      </c>
      <c r="G222" s="448"/>
      <c r="H222" s="448"/>
      <c r="I222" s="444"/>
      <c r="J222" s="444"/>
      <c r="K222" s="448"/>
      <c r="L222" s="448"/>
      <c r="M222" s="444"/>
      <c r="N222" s="444"/>
      <c r="O222" s="448">
        <v>1</v>
      </c>
      <c r="P222" s="448">
        <v>76.67</v>
      </c>
      <c r="Q222" s="471"/>
      <c r="R222" s="449">
        <v>76.67</v>
      </c>
    </row>
    <row r="223" spans="1:18" ht="14.4" customHeight="1" x14ac:dyDescent="0.3">
      <c r="A223" s="443"/>
      <c r="B223" s="444" t="s">
        <v>1590</v>
      </c>
      <c r="C223" s="444" t="s">
        <v>1584</v>
      </c>
      <c r="D223" s="444" t="s">
        <v>1661</v>
      </c>
      <c r="E223" s="444" t="s">
        <v>1752</v>
      </c>
      <c r="F223" s="444" t="s">
        <v>1753</v>
      </c>
      <c r="G223" s="448">
        <v>2</v>
      </c>
      <c r="H223" s="448">
        <v>0</v>
      </c>
      <c r="I223" s="444"/>
      <c r="J223" s="444">
        <v>0</v>
      </c>
      <c r="K223" s="448">
        <v>1</v>
      </c>
      <c r="L223" s="448">
        <v>0</v>
      </c>
      <c r="M223" s="444"/>
      <c r="N223" s="444">
        <v>0</v>
      </c>
      <c r="O223" s="448">
        <v>1</v>
      </c>
      <c r="P223" s="448">
        <v>0</v>
      </c>
      <c r="Q223" s="471"/>
      <c r="R223" s="449">
        <v>0</v>
      </c>
    </row>
    <row r="224" spans="1:18" ht="14.4" customHeight="1" x14ac:dyDescent="0.3">
      <c r="A224" s="443"/>
      <c r="B224" s="444" t="s">
        <v>1590</v>
      </c>
      <c r="C224" s="444" t="s">
        <v>1584</v>
      </c>
      <c r="D224" s="444" t="s">
        <v>1661</v>
      </c>
      <c r="E224" s="444" t="s">
        <v>1696</v>
      </c>
      <c r="F224" s="444" t="s">
        <v>1697</v>
      </c>
      <c r="G224" s="448">
        <v>527</v>
      </c>
      <c r="H224" s="448">
        <v>161027.78</v>
      </c>
      <c r="I224" s="444">
        <v>1.1002087918026859</v>
      </c>
      <c r="J224" s="444">
        <v>305.55555977229602</v>
      </c>
      <c r="K224" s="448">
        <v>479</v>
      </c>
      <c r="L224" s="448">
        <v>146361.10999999999</v>
      </c>
      <c r="M224" s="444">
        <v>1</v>
      </c>
      <c r="N224" s="444">
        <v>305.55555323590812</v>
      </c>
      <c r="O224" s="448">
        <v>636</v>
      </c>
      <c r="P224" s="448">
        <v>194333.33000000002</v>
      </c>
      <c r="Q224" s="471">
        <v>1.3277661668458243</v>
      </c>
      <c r="R224" s="449">
        <v>305.55555031446545</v>
      </c>
    </row>
    <row r="225" spans="1:18" ht="14.4" customHeight="1" x14ac:dyDescent="0.3">
      <c r="A225" s="443"/>
      <c r="B225" s="444" t="s">
        <v>1590</v>
      </c>
      <c r="C225" s="444" t="s">
        <v>1584</v>
      </c>
      <c r="D225" s="444" t="s">
        <v>1661</v>
      </c>
      <c r="E225" s="444" t="s">
        <v>1698</v>
      </c>
      <c r="F225" s="444" t="s">
        <v>1699</v>
      </c>
      <c r="G225" s="448">
        <v>3369</v>
      </c>
      <c r="H225" s="448">
        <v>61366.67</v>
      </c>
      <c r="I225" s="444">
        <v>0.48665083267248216</v>
      </c>
      <c r="J225" s="444">
        <v>18.215099436034432</v>
      </c>
      <c r="K225" s="448">
        <v>3783</v>
      </c>
      <c r="L225" s="448">
        <v>126100</v>
      </c>
      <c r="M225" s="444">
        <v>1</v>
      </c>
      <c r="N225" s="444">
        <v>33.333333333333336</v>
      </c>
      <c r="O225" s="448">
        <v>3717</v>
      </c>
      <c r="P225" s="448">
        <v>123900</v>
      </c>
      <c r="Q225" s="471">
        <v>0.98255352894528147</v>
      </c>
      <c r="R225" s="449">
        <v>33.333333333333336</v>
      </c>
    </row>
    <row r="226" spans="1:18" ht="14.4" customHeight="1" x14ac:dyDescent="0.3">
      <c r="A226" s="443"/>
      <c r="B226" s="444" t="s">
        <v>1590</v>
      </c>
      <c r="C226" s="444" t="s">
        <v>1584</v>
      </c>
      <c r="D226" s="444" t="s">
        <v>1661</v>
      </c>
      <c r="E226" s="444" t="s">
        <v>1700</v>
      </c>
      <c r="F226" s="444" t="s">
        <v>1701</v>
      </c>
      <c r="G226" s="448">
        <v>281</v>
      </c>
      <c r="H226" s="448">
        <v>128011.09000000001</v>
      </c>
      <c r="I226" s="444">
        <v>1.0071683719251276</v>
      </c>
      <c r="J226" s="444">
        <v>455.55548042704629</v>
      </c>
      <c r="K226" s="448">
        <v>279</v>
      </c>
      <c r="L226" s="448">
        <v>127099.99</v>
      </c>
      <c r="M226" s="444">
        <v>1</v>
      </c>
      <c r="N226" s="444">
        <v>455.55551971326167</v>
      </c>
      <c r="O226" s="448">
        <v>336</v>
      </c>
      <c r="P226" s="448">
        <v>153066.66999999998</v>
      </c>
      <c r="Q226" s="471">
        <v>1.2043011962471435</v>
      </c>
      <c r="R226" s="449">
        <v>455.55556547619045</v>
      </c>
    </row>
    <row r="227" spans="1:18" ht="14.4" customHeight="1" x14ac:dyDescent="0.3">
      <c r="A227" s="443"/>
      <c r="B227" s="444" t="s">
        <v>1590</v>
      </c>
      <c r="C227" s="444" t="s">
        <v>1584</v>
      </c>
      <c r="D227" s="444" t="s">
        <v>1661</v>
      </c>
      <c r="E227" s="444" t="s">
        <v>1738</v>
      </c>
      <c r="F227" s="444" t="s">
        <v>1739</v>
      </c>
      <c r="G227" s="448">
        <v>152</v>
      </c>
      <c r="H227" s="448">
        <v>8951.1200000000008</v>
      </c>
      <c r="I227" s="444">
        <v>0.80000071499496384</v>
      </c>
      <c r="J227" s="444">
        <v>58.888947368421057</v>
      </c>
      <c r="K227" s="448">
        <v>190</v>
      </c>
      <c r="L227" s="448">
        <v>11188.89</v>
      </c>
      <c r="M227" s="444">
        <v>1</v>
      </c>
      <c r="N227" s="444">
        <v>58.888894736842104</v>
      </c>
      <c r="O227" s="448">
        <v>203</v>
      </c>
      <c r="P227" s="448">
        <v>11954.44</v>
      </c>
      <c r="Q227" s="471">
        <v>1.0684205493127559</v>
      </c>
      <c r="R227" s="449">
        <v>58.888866995073897</v>
      </c>
    </row>
    <row r="228" spans="1:18" ht="14.4" customHeight="1" x14ac:dyDescent="0.3">
      <c r="A228" s="443"/>
      <c r="B228" s="444" t="s">
        <v>1590</v>
      </c>
      <c r="C228" s="444" t="s">
        <v>1584</v>
      </c>
      <c r="D228" s="444" t="s">
        <v>1661</v>
      </c>
      <c r="E228" s="444" t="s">
        <v>1702</v>
      </c>
      <c r="F228" s="444" t="s">
        <v>1703</v>
      </c>
      <c r="G228" s="448">
        <v>543</v>
      </c>
      <c r="H228" s="448">
        <v>42233.34</v>
      </c>
      <c r="I228" s="444">
        <v>1.0055557142857141</v>
      </c>
      <c r="J228" s="444">
        <v>77.777790055248616</v>
      </c>
      <c r="K228" s="448">
        <v>540</v>
      </c>
      <c r="L228" s="448">
        <v>42000</v>
      </c>
      <c r="M228" s="444">
        <v>1</v>
      </c>
      <c r="N228" s="444">
        <v>77.777777777777771</v>
      </c>
      <c r="O228" s="448">
        <v>633</v>
      </c>
      <c r="P228" s="448">
        <v>49233.34</v>
      </c>
      <c r="Q228" s="471">
        <v>1.1722223809523808</v>
      </c>
      <c r="R228" s="449">
        <v>77.777788309636648</v>
      </c>
    </row>
    <row r="229" spans="1:18" ht="14.4" customHeight="1" x14ac:dyDescent="0.3">
      <c r="A229" s="443"/>
      <c r="B229" s="444" t="s">
        <v>1590</v>
      </c>
      <c r="C229" s="444" t="s">
        <v>1584</v>
      </c>
      <c r="D229" s="444" t="s">
        <v>1661</v>
      </c>
      <c r="E229" s="444" t="s">
        <v>1754</v>
      </c>
      <c r="F229" s="444" t="s">
        <v>1755</v>
      </c>
      <c r="G229" s="448"/>
      <c r="H229" s="448"/>
      <c r="I229" s="444"/>
      <c r="J229" s="444"/>
      <c r="K229" s="448">
        <v>0</v>
      </c>
      <c r="L229" s="448">
        <v>0</v>
      </c>
      <c r="M229" s="444"/>
      <c r="N229" s="444"/>
      <c r="O229" s="448">
        <v>1</v>
      </c>
      <c r="P229" s="448">
        <v>700</v>
      </c>
      <c r="Q229" s="471"/>
      <c r="R229" s="449">
        <v>700</v>
      </c>
    </row>
    <row r="230" spans="1:18" ht="14.4" customHeight="1" x14ac:dyDescent="0.3">
      <c r="A230" s="443"/>
      <c r="B230" s="444" t="s">
        <v>1590</v>
      </c>
      <c r="C230" s="444" t="s">
        <v>1584</v>
      </c>
      <c r="D230" s="444" t="s">
        <v>1661</v>
      </c>
      <c r="E230" s="444" t="s">
        <v>1774</v>
      </c>
      <c r="F230" s="444" t="s">
        <v>1775</v>
      </c>
      <c r="G230" s="448">
        <v>198</v>
      </c>
      <c r="H230" s="448">
        <v>219999.99000000002</v>
      </c>
      <c r="I230" s="444">
        <v>0.89592761784156849</v>
      </c>
      <c r="J230" s="444">
        <v>1111.1110606060606</v>
      </c>
      <c r="K230" s="448">
        <v>221</v>
      </c>
      <c r="L230" s="448">
        <v>245555.54000000004</v>
      </c>
      <c r="M230" s="444">
        <v>1</v>
      </c>
      <c r="N230" s="444">
        <v>1111.1110407239821</v>
      </c>
      <c r="O230" s="448">
        <v>207</v>
      </c>
      <c r="P230" s="448">
        <v>230000</v>
      </c>
      <c r="Q230" s="471">
        <v>0.93665164304580528</v>
      </c>
      <c r="R230" s="449">
        <v>1111.1111111111111</v>
      </c>
    </row>
    <row r="231" spans="1:18" ht="14.4" customHeight="1" x14ac:dyDescent="0.3">
      <c r="A231" s="443"/>
      <c r="B231" s="444" t="s">
        <v>1590</v>
      </c>
      <c r="C231" s="444" t="s">
        <v>1584</v>
      </c>
      <c r="D231" s="444" t="s">
        <v>1661</v>
      </c>
      <c r="E231" s="444" t="s">
        <v>1706</v>
      </c>
      <c r="F231" s="444" t="s">
        <v>1707</v>
      </c>
      <c r="G231" s="448">
        <v>462</v>
      </c>
      <c r="H231" s="448">
        <v>124740</v>
      </c>
      <c r="I231" s="444">
        <v>0.2803398058252427</v>
      </c>
      <c r="J231" s="444">
        <v>270</v>
      </c>
      <c r="K231" s="448">
        <v>1648</v>
      </c>
      <c r="L231" s="448">
        <v>444960</v>
      </c>
      <c r="M231" s="444">
        <v>1</v>
      </c>
      <c r="N231" s="444">
        <v>270</v>
      </c>
      <c r="O231" s="448">
        <v>1886</v>
      </c>
      <c r="P231" s="448">
        <v>509220</v>
      </c>
      <c r="Q231" s="471">
        <v>1.1444174757281553</v>
      </c>
      <c r="R231" s="449">
        <v>270</v>
      </c>
    </row>
    <row r="232" spans="1:18" ht="14.4" customHeight="1" x14ac:dyDescent="0.3">
      <c r="A232" s="443"/>
      <c r="B232" s="444" t="s">
        <v>1590</v>
      </c>
      <c r="C232" s="444" t="s">
        <v>1584</v>
      </c>
      <c r="D232" s="444" t="s">
        <v>1661</v>
      </c>
      <c r="E232" s="444" t="s">
        <v>1708</v>
      </c>
      <c r="F232" s="444" t="s">
        <v>1709</v>
      </c>
      <c r="G232" s="448">
        <v>780</v>
      </c>
      <c r="H232" s="448">
        <v>69333.33</v>
      </c>
      <c r="I232" s="444">
        <v>0.64966155598510267</v>
      </c>
      <c r="J232" s="444">
        <v>88.888884615384612</v>
      </c>
      <c r="K232" s="448">
        <v>1130</v>
      </c>
      <c r="L232" s="448">
        <v>106722.23</v>
      </c>
      <c r="M232" s="444">
        <v>1</v>
      </c>
      <c r="N232" s="444">
        <v>94.444451327433626</v>
      </c>
      <c r="O232" s="448">
        <v>1056</v>
      </c>
      <c r="P232" s="448">
        <v>99733.34</v>
      </c>
      <c r="Q232" s="471">
        <v>0.93451326869762752</v>
      </c>
      <c r="R232" s="449">
        <v>94.444450757575751</v>
      </c>
    </row>
    <row r="233" spans="1:18" ht="14.4" customHeight="1" x14ac:dyDescent="0.3">
      <c r="A233" s="443"/>
      <c r="B233" s="444" t="s">
        <v>1590</v>
      </c>
      <c r="C233" s="444" t="s">
        <v>1584</v>
      </c>
      <c r="D233" s="444" t="s">
        <v>1661</v>
      </c>
      <c r="E233" s="444" t="s">
        <v>1712</v>
      </c>
      <c r="F233" s="444" t="s">
        <v>1713</v>
      </c>
      <c r="G233" s="448">
        <v>6</v>
      </c>
      <c r="H233" s="448">
        <v>580</v>
      </c>
      <c r="I233" s="444">
        <v>5.9997931105823934</v>
      </c>
      <c r="J233" s="444">
        <v>96.666666666666671</v>
      </c>
      <c r="K233" s="448">
        <v>1</v>
      </c>
      <c r="L233" s="448">
        <v>96.67</v>
      </c>
      <c r="M233" s="444">
        <v>1</v>
      </c>
      <c r="N233" s="444">
        <v>96.67</v>
      </c>
      <c r="O233" s="448">
        <v>5</v>
      </c>
      <c r="P233" s="448">
        <v>483.34000000000003</v>
      </c>
      <c r="Q233" s="471">
        <v>4.9998965552911967</v>
      </c>
      <c r="R233" s="449">
        <v>96.668000000000006</v>
      </c>
    </row>
    <row r="234" spans="1:18" ht="14.4" customHeight="1" x14ac:dyDescent="0.3">
      <c r="A234" s="443"/>
      <c r="B234" s="444" t="s">
        <v>1590</v>
      </c>
      <c r="C234" s="444" t="s">
        <v>1584</v>
      </c>
      <c r="D234" s="444" t="s">
        <v>1661</v>
      </c>
      <c r="E234" s="444" t="s">
        <v>1740</v>
      </c>
      <c r="F234" s="444" t="s">
        <v>1741</v>
      </c>
      <c r="G234" s="448"/>
      <c r="H234" s="448"/>
      <c r="I234" s="444"/>
      <c r="J234" s="444"/>
      <c r="K234" s="448"/>
      <c r="L234" s="448"/>
      <c r="M234" s="444"/>
      <c r="N234" s="444"/>
      <c r="O234" s="448">
        <v>11</v>
      </c>
      <c r="P234" s="448">
        <v>831.11</v>
      </c>
      <c r="Q234" s="471"/>
      <c r="R234" s="449">
        <v>75.555454545454552</v>
      </c>
    </row>
    <row r="235" spans="1:18" ht="14.4" customHeight="1" x14ac:dyDescent="0.3">
      <c r="A235" s="443"/>
      <c r="B235" s="444" t="s">
        <v>1590</v>
      </c>
      <c r="C235" s="444" t="s">
        <v>1584</v>
      </c>
      <c r="D235" s="444" t="s">
        <v>1661</v>
      </c>
      <c r="E235" s="444" t="s">
        <v>1756</v>
      </c>
      <c r="F235" s="444" t="s">
        <v>1757</v>
      </c>
      <c r="G235" s="448">
        <v>33</v>
      </c>
      <c r="H235" s="448">
        <v>42350</v>
      </c>
      <c r="I235" s="444">
        <v>1.0312501674107415</v>
      </c>
      <c r="J235" s="444">
        <v>1283.3333333333333</v>
      </c>
      <c r="K235" s="448">
        <v>32</v>
      </c>
      <c r="L235" s="448">
        <v>41066.659999999996</v>
      </c>
      <c r="M235" s="444">
        <v>1</v>
      </c>
      <c r="N235" s="444">
        <v>1283.3331249999999</v>
      </c>
      <c r="O235" s="448">
        <v>30</v>
      </c>
      <c r="P235" s="448">
        <v>38500</v>
      </c>
      <c r="Q235" s="471">
        <v>0.93750015219158322</v>
      </c>
      <c r="R235" s="449">
        <v>1283.3333333333333</v>
      </c>
    </row>
    <row r="236" spans="1:18" ht="14.4" customHeight="1" x14ac:dyDescent="0.3">
      <c r="A236" s="443"/>
      <c r="B236" s="444" t="s">
        <v>1590</v>
      </c>
      <c r="C236" s="444" t="s">
        <v>1584</v>
      </c>
      <c r="D236" s="444" t="s">
        <v>1661</v>
      </c>
      <c r="E236" s="444" t="s">
        <v>1718</v>
      </c>
      <c r="F236" s="444" t="s">
        <v>1719</v>
      </c>
      <c r="G236" s="448">
        <v>6</v>
      </c>
      <c r="H236" s="448">
        <v>700</v>
      </c>
      <c r="I236" s="444">
        <v>1.1999862858710186</v>
      </c>
      <c r="J236" s="444">
        <v>116.66666666666667</v>
      </c>
      <c r="K236" s="448">
        <v>5</v>
      </c>
      <c r="L236" s="448">
        <v>583.34</v>
      </c>
      <c r="M236" s="444">
        <v>1</v>
      </c>
      <c r="N236" s="444">
        <v>116.66800000000001</v>
      </c>
      <c r="O236" s="448">
        <v>9</v>
      </c>
      <c r="P236" s="448">
        <v>1050.01</v>
      </c>
      <c r="Q236" s="471">
        <v>1.7999965714677546</v>
      </c>
      <c r="R236" s="449">
        <v>116.66777777777777</v>
      </c>
    </row>
    <row r="237" spans="1:18" ht="14.4" customHeight="1" x14ac:dyDescent="0.3">
      <c r="A237" s="443"/>
      <c r="B237" s="444" t="s">
        <v>1590</v>
      </c>
      <c r="C237" s="444" t="s">
        <v>1584</v>
      </c>
      <c r="D237" s="444" t="s">
        <v>1661</v>
      </c>
      <c r="E237" s="444" t="s">
        <v>1720</v>
      </c>
      <c r="F237" s="444" t="s">
        <v>1721</v>
      </c>
      <c r="G237" s="448">
        <v>79</v>
      </c>
      <c r="H237" s="448">
        <v>3862.2199999999993</v>
      </c>
      <c r="I237" s="444">
        <v>1.6458370620371079</v>
      </c>
      <c r="J237" s="444">
        <v>48.88886075949366</v>
      </c>
      <c r="K237" s="448">
        <v>48</v>
      </c>
      <c r="L237" s="448">
        <v>2346.66</v>
      </c>
      <c r="M237" s="444">
        <v>1</v>
      </c>
      <c r="N237" s="444">
        <v>48.888749999999995</v>
      </c>
      <c r="O237" s="448">
        <v>47</v>
      </c>
      <c r="P237" s="448">
        <v>2297.79</v>
      </c>
      <c r="Q237" s="471">
        <v>0.97917465674618398</v>
      </c>
      <c r="R237" s="449">
        <v>48.889148936170209</v>
      </c>
    </row>
    <row r="238" spans="1:18" ht="14.4" customHeight="1" x14ac:dyDescent="0.3">
      <c r="A238" s="443"/>
      <c r="B238" s="444" t="s">
        <v>1590</v>
      </c>
      <c r="C238" s="444" t="s">
        <v>1584</v>
      </c>
      <c r="D238" s="444" t="s">
        <v>1661</v>
      </c>
      <c r="E238" s="444" t="s">
        <v>1760</v>
      </c>
      <c r="F238" s="444" t="s">
        <v>1761</v>
      </c>
      <c r="G238" s="448">
        <v>9</v>
      </c>
      <c r="H238" s="448">
        <v>4200</v>
      </c>
      <c r="I238" s="444">
        <v>0.89999935714331636</v>
      </c>
      <c r="J238" s="444">
        <v>466.66666666666669</v>
      </c>
      <c r="K238" s="448">
        <v>10</v>
      </c>
      <c r="L238" s="448">
        <v>4666.67</v>
      </c>
      <c r="M238" s="444">
        <v>1</v>
      </c>
      <c r="N238" s="444">
        <v>466.66700000000003</v>
      </c>
      <c r="O238" s="448">
        <v>7</v>
      </c>
      <c r="P238" s="448">
        <v>3266.67</v>
      </c>
      <c r="Q238" s="471">
        <v>0.70000021428556125</v>
      </c>
      <c r="R238" s="449">
        <v>466.66714285714289</v>
      </c>
    </row>
    <row r="239" spans="1:18" ht="14.4" customHeight="1" x14ac:dyDescent="0.3">
      <c r="A239" s="443"/>
      <c r="B239" s="444" t="s">
        <v>1590</v>
      </c>
      <c r="C239" s="444" t="s">
        <v>1584</v>
      </c>
      <c r="D239" s="444" t="s">
        <v>1661</v>
      </c>
      <c r="E239" s="444" t="s">
        <v>1722</v>
      </c>
      <c r="F239" s="444" t="s">
        <v>1723</v>
      </c>
      <c r="G239" s="448">
        <v>1</v>
      </c>
      <c r="H239" s="448">
        <v>327.78</v>
      </c>
      <c r="I239" s="444">
        <v>0.95163163395656714</v>
      </c>
      <c r="J239" s="444">
        <v>327.78</v>
      </c>
      <c r="K239" s="448">
        <v>1</v>
      </c>
      <c r="L239" s="448">
        <v>344.44</v>
      </c>
      <c r="M239" s="444">
        <v>1</v>
      </c>
      <c r="N239" s="444">
        <v>344.44</v>
      </c>
      <c r="O239" s="448">
        <v>1</v>
      </c>
      <c r="P239" s="448">
        <v>344.44</v>
      </c>
      <c r="Q239" s="471">
        <v>1</v>
      </c>
      <c r="R239" s="449">
        <v>344.44</v>
      </c>
    </row>
    <row r="240" spans="1:18" ht="14.4" customHeight="1" x14ac:dyDescent="0.3">
      <c r="A240" s="443"/>
      <c r="B240" s="444" t="s">
        <v>1590</v>
      </c>
      <c r="C240" s="444" t="s">
        <v>1584</v>
      </c>
      <c r="D240" s="444" t="s">
        <v>1661</v>
      </c>
      <c r="E240" s="444" t="s">
        <v>1762</v>
      </c>
      <c r="F240" s="444" t="s">
        <v>1763</v>
      </c>
      <c r="G240" s="448">
        <v>151</v>
      </c>
      <c r="H240" s="448">
        <v>70466.66</v>
      </c>
      <c r="I240" s="444">
        <v>1.0134227714967772</v>
      </c>
      <c r="J240" s="444">
        <v>466.66662251655629</v>
      </c>
      <c r="K240" s="448">
        <v>149</v>
      </c>
      <c r="L240" s="448">
        <v>69533.33</v>
      </c>
      <c r="M240" s="444">
        <v>1</v>
      </c>
      <c r="N240" s="444">
        <v>466.66664429530204</v>
      </c>
      <c r="O240" s="448">
        <v>110</v>
      </c>
      <c r="P240" s="448">
        <v>51333.320000000007</v>
      </c>
      <c r="Q240" s="471">
        <v>0.73825487719342664</v>
      </c>
      <c r="R240" s="449">
        <v>466.66654545454554</v>
      </c>
    </row>
    <row r="241" spans="1:18" ht="14.4" customHeight="1" x14ac:dyDescent="0.3">
      <c r="A241" s="443"/>
      <c r="B241" s="444" t="s">
        <v>1590</v>
      </c>
      <c r="C241" s="444" t="s">
        <v>1584</v>
      </c>
      <c r="D241" s="444" t="s">
        <v>1661</v>
      </c>
      <c r="E241" s="444" t="s">
        <v>1776</v>
      </c>
      <c r="F241" s="444" t="s">
        <v>1777</v>
      </c>
      <c r="G241" s="448">
        <v>33</v>
      </c>
      <c r="H241" s="448">
        <v>3226.6699999999996</v>
      </c>
      <c r="I241" s="444">
        <v>0.97059053554884422</v>
      </c>
      <c r="J241" s="444">
        <v>97.777878787878777</v>
      </c>
      <c r="K241" s="448">
        <v>34</v>
      </c>
      <c r="L241" s="448">
        <v>3324.44</v>
      </c>
      <c r="M241" s="444">
        <v>1</v>
      </c>
      <c r="N241" s="444">
        <v>97.777647058823533</v>
      </c>
      <c r="O241" s="448">
        <v>29</v>
      </c>
      <c r="P241" s="448">
        <v>2835.57</v>
      </c>
      <c r="Q241" s="471">
        <v>0.85294666169339806</v>
      </c>
      <c r="R241" s="449">
        <v>97.778275862068966</v>
      </c>
    </row>
    <row r="242" spans="1:18" ht="14.4" customHeight="1" x14ac:dyDescent="0.3">
      <c r="A242" s="443"/>
      <c r="B242" s="444" t="s">
        <v>1590</v>
      </c>
      <c r="C242" s="444" t="s">
        <v>1584</v>
      </c>
      <c r="D242" s="444" t="s">
        <v>1661</v>
      </c>
      <c r="E242" s="444" t="s">
        <v>1778</v>
      </c>
      <c r="F242" s="444" t="s">
        <v>1779</v>
      </c>
      <c r="G242" s="448"/>
      <c r="H242" s="448"/>
      <c r="I242" s="444"/>
      <c r="J242" s="444"/>
      <c r="K242" s="448">
        <v>2</v>
      </c>
      <c r="L242" s="448">
        <v>962.22</v>
      </c>
      <c r="M242" s="444">
        <v>1</v>
      </c>
      <c r="N242" s="444">
        <v>481.11</v>
      </c>
      <c r="O242" s="448"/>
      <c r="P242" s="448"/>
      <c r="Q242" s="471"/>
      <c r="R242" s="449"/>
    </row>
    <row r="243" spans="1:18" ht="14.4" customHeight="1" x14ac:dyDescent="0.3">
      <c r="A243" s="443"/>
      <c r="B243" s="444" t="s">
        <v>1780</v>
      </c>
      <c r="C243" s="444" t="s">
        <v>1581</v>
      </c>
      <c r="D243" s="444" t="s">
        <v>1591</v>
      </c>
      <c r="E243" s="444" t="s">
        <v>1781</v>
      </c>
      <c r="F243" s="444"/>
      <c r="G243" s="448">
        <v>10</v>
      </c>
      <c r="H243" s="448">
        <v>1130</v>
      </c>
      <c r="I243" s="444">
        <v>2</v>
      </c>
      <c r="J243" s="444">
        <v>113</v>
      </c>
      <c r="K243" s="448">
        <v>5</v>
      </c>
      <c r="L243" s="448">
        <v>565</v>
      </c>
      <c r="M243" s="444">
        <v>1</v>
      </c>
      <c r="N243" s="444">
        <v>113</v>
      </c>
      <c r="O243" s="448">
        <v>15</v>
      </c>
      <c r="P243" s="448">
        <v>1695</v>
      </c>
      <c r="Q243" s="471">
        <v>3</v>
      </c>
      <c r="R243" s="449">
        <v>113</v>
      </c>
    </row>
    <row r="244" spans="1:18" ht="14.4" customHeight="1" x14ac:dyDescent="0.3">
      <c r="A244" s="443"/>
      <c r="B244" s="444" t="s">
        <v>1780</v>
      </c>
      <c r="C244" s="444" t="s">
        <v>1581</v>
      </c>
      <c r="D244" s="444" t="s">
        <v>1591</v>
      </c>
      <c r="E244" s="444" t="s">
        <v>1742</v>
      </c>
      <c r="F244" s="444"/>
      <c r="G244" s="448">
        <v>1</v>
      </c>
      <c r="H244" s="448">
        <v>1657</v>
      </c>
      <c r="I244" s="444">
        <v>1</v>
      </c>
      <c r="J244" s="444">
        <v>1657</v>
      </c>
      <c r="K244" s="448">
        <v>1</v>
      </c>
      <c r="L244" s="448">
        <v>1657</v>
      </c>
      <c r="M244" s="444">
        <v>1</v>
      </c>
      <c r="N244" s="444">
        <v>1657</v>
      </c>
      <c r="O244" s="448"/>
      <c r="P244" s="448"/>
      <c r="Q244" s="471"/>
      <c r="R244" s="449"/>
    </row>
    <row r="245" spans="1:18" ht="14.4" customHeight="1" x14ac:dyDescent="0.3">
      <c r="A245" s="443"/>
      <c r="B245" s="444" t="s">
        <v>1780</v>
      </c>
      <c r="C245" s="444" t="s">
        <v>1581</v>
      </c>
      <c r="D245" s="444" t="s">
        <v>1591</v>
      </c>
      <c r="E245" s="444" t="s">
        <v>1746</v>
      </c>
      <c r="F245" s="444"/>
      <c r="G245" s="448">
        <v>12</v>
      </c>
      <c r="H245" s="448">
        <v>12096</v>
      </c>
      <c r="I245" s="444">
        <v>6</v>
      </c>
      <c r="J245" s="444">
        <v>1008</v>
      </c>
      <c r="K245" s="448">
        <v>2</v>
      </c>
      <c r="L245" s="448">
        <v>2016</v>
      </c>
      <c r="M245" s="444">
        <v>1</v>
      </c>
      <c r="N245" s="444">
        <v>1008</v>
      </c>
      <c r="O245" s="448">
        <v>8</v>
      </c>
      <c r="P245" s="448">
        <v>8064</v>
      </c>
      <c r="Q245" s="471">
        <v>4</v>
      </c>
      <c r="R245" s="449">
        <v>1008</v>
      </c>
    </row>
    <row r="246" spans="1:18" ht="14.4" customHeight="1" x14ac:dyDescent="0.3">
      <c r="A246" s="443"/>
      <c r="B246" s="444" t="s">
        <v>1780</v>
      </c>
      <c r="C246" s="444" t="s">
        <v>1581</v>
      </c>
      <c r="D246" s="444" t="s">
        <v>1591</v>
      </c>
      <c r="E246" s="444" t="s">
        <v>1782</v>
      </c>
      <c r="F246" s="444"/>
      <c r="G246" s="448">
        <v>373</v>
      </c>
      <c r="H246" s="448">
        <v>80941</v>
      </c>
      <c r="I246" s="444">
        <v>1.0418994413407821</v>
      </c>
      <c r="J246" s="444">
        <v>217</v>
      </c>
      <c r="K246" s="448">
        <v>358</v>
      </c>
      <c r="L246" s="448">
        <v>77686</v>
      </c>
      <c r="M246" s="444">
        <v>1</v>
      </c>
      <c r="N246" s="444">
        <v>217</v>
      </c>
      <c r="O246" s="448">
        <v>400</v>
      </c>
      <c r="P246" s="448">
        <v>86800</v>
      </c>
      <c r="Q246" s="471">
        <v>1.1173184357541899</v>
      </c>
      <c r="R246" s="449">
        <v>217</v>
      </c>
    </row>
    <row r="247" spans="1:18" ht="14.4" customHeight="1" x14ac:dyDescent="0.3">
      <c r="A247" s="443"/>
      <c r="B247" s="444" t="s">
        <v>1780</v>
      </c>
      <c r="C247" s="444" t="s">
        <v>1581</v>
      </c>
      <c r="D247" s="444" t="s">
        <v>1591</v>
      </c>
      <c r="E247" s="444" t="s">
        <v>1783</v>
      </c>
      <c r="F247" s="444"/>
      <c r="G247" s="448">
        <v>1</v>
      </c>
      <c r="H247" s="448">
        <v>1289</v>
      </c>
      <c r="I247" s="444">
        <v>0.5</v>
      </c>
      <c r="J247" s="444">
        <v>1289</v>
      </c>
      <c r="K247" s="448">
        <v>2</v>
      </c>
      <c r="L247" s="448">
        <v>2578</v>
      </c>
      <c r="M247" s="444">
        <v>1</v>
      </c>
      <c r="N247" s="444">
        <v>1289</v>
      </c>
      <c r="O247" s="448">
        <v>1</v>
      </c>
      <c r="P247" s="448">
        <v>1289</v>
      </c>
      <c r="Q247" s="471">
        <v>0.5</v>
      </c>
      <c r="R247" s="449">
        <v>1289</v>
      </c>
    </row>
    <row r="248" spans="1:18" ht="14.4" customHeight="1" x14ac:dyDescent="0.3">
      <c r="A248" s="443"/>
      <c r="B248" s="444" t="s">
        <v>1780</v>
      </c>
      <c r="C248" s="444" t="s">
        <v>1581</v>
      </c>
      <c r="D248" s="444" t="s">
        <v>1591</v>
      </c>
      <c r="E248" s="444" t="s">
        <v>1784</v>
      </c>
      <c r="F248" s="444"/>
      <c r="G248" s="448"/>
      <c r="H248" s="448"/>
      <c r="I248" s="444"/>
      <c r="J248" s="444"/>
      <c r="K248" s="448">
        <v>3</v>
      </c>
      <c r="L248" s="448">
        <v>5310</v>
      </c>
      <c r="M248" s="444">
        <v>1</v>
      </c>
      <c r="N248" s="444">
        <v>1770</v>
      </c>
      <c r="O248" s="448">
        <v>2</v>
      </c>
      <c r="P248" s="448">
        <v>3540</v>
      </c>
      <c r="Q248" s="471">
        <v>0.66666666666666663</v>
      </c>
      <c r="R248" s="449">
        <v>1770</v>
      </c>
    </row>
    <row r="249" spans="1:18" ht="14.4" customHeight="1" x14ac:dyDescent="0.3">
      <c r="A249" s="443"/>
      <c r="B249" s="444" t="s">
        <v>1780</v>
      </c>
      <c r="C249" s="444" t="s">
        <v>1581</v>
      </c>
      <c r="D249" s="444" t="s">
        <v>1591</v>
      </c>
      <c r="E249" s="444" t="s">
        <v>1785</v>
      </c>
      <c r="F249" s="444"/>
      <c r="G249" s="448">
        <v>4</v>
      </c>
      <c r="H249" s="448">
        <v>9800</v>
      </c>
      <c r="I249" s="444">
        <v>1.3333333333333333</v>
      </c>
      <c r="J249" s="444">
        <v>2450</v>
      </c>
      <c r="K249" s="448">
        <v>3</v>
      </c>
      <c r="L249" s="448">
        <v>7350</v>
      </c>
      <c r="M249" s="444">
        <v>1</v>
      </c>
      <c r="N249" s="444">
        <v>2450</v>
      </c>
      <c r="O249" s="448">
        <v>4</v>
      </c>
      <c r="P249" s="448">
        <v>9800</v>
      </c>
      <c r="Q249" s="471">
        <v>1.3333333333333333</v>
      </c>
      <c r="R249" s="449">
        <v>2450</v>
      </c>
    </row>
    <row r="250" spans="1:18" ht="14.4" customHeight="1" x14ac:dyDescent="0.3">
      <c r="A250" s="443"/>
      <c r="B250" s="444" t="s">
        <v>1780</v>
      </c>
      <c r="C250" s="444" t="s">
        <v>1581</v>
      </c>
      <c r="D250" s="444" t="s">
        <v>1591</v>
      </c>
      <c r="E250" s="444" t="s">
        <v>1786</v>
      </c>
      <c r="F250" s="444"/>
      <c r="G250" s="448">
        <v>2</v>
      </c>
      <c r="H250" s="448">
        <v>2606</v>
      </c>
      <c r="I250" s="444">
        <v>1</v>
      </c>
      <c r="J250" s="444">
        <v>1303</v>
      </c>
      <c r="K250" s="448">
        <v>2</v>
      </c>
      <c r="L250" s="448">
        <v>2606</v>
      </c>
      <c r="M250" s="444">
        <v>1</v>
      </c>
      <c r="N250" s="444">
        <v>1303</v>
      </c>
      <c r="O250" s="448"/>
      <c r="P250" s="448"/>
      <c r="Q250" s="471"/>
      <c r="R250" s="449"/>
    </row>
    <row r="251" spans="1:18" ht="14.4" customHeight="1" x14ac:dyDescent="0.3">
      <c r="A251" s="443"/>
      <c r="B251" s="444" t="s">
        <v>1780</v>
      </c>
      <c r="C251" s="444" t="s">
        <v>1581</v>
      </c>
      <c r="D251" s="444" t="s">
        <v>1591</v>
      </c>
      <c r="E251" s="444" t="s">
        <v>1787</v>
      </c>
      <c r="F251" s="444"/>
      <c r="G251" s="448">
        <v>167</v>
      </c>
      <c r="H251" s="448">
        <v>174181</v>
      </c>
      <c r="I251" s="444">
        <v>0.90760869565217395</v>
      </c>
      <c r="J251" s="444">
        <v>1043</v>
      </c>
      <c r="K251" s="448">
        <v>184</v>
      </c>
      <c r="L251" s="448">
        <v>191912</v>
      </c>
      <c r="M251" s="444">
        <v>1</v>
      </c>
      <c r="N251" s="444">
        <v>1043</v>
      </c>
      <c r="O251" s="448">
        <v>198</v>
      </c>
      <c r="P251" s="448">
        <v>206514</v>
      </c>
      <c r="Q251" s="471">
        <v>1.076086956521739</v>
      </c>
      <c r="R251" s="449">
        <v>1043</v>
      </c>
    </row>
    <row r="252" spans="1:18" ht="14.4" customHeight="1" x14ac:dyDescent="0.3">
      <c r="A252" s="443"/>
      <c r="B252" s="444" t="s">
        <v>1780</v>
      </c>
      <c r="C252" s="444" t="s">
        <v>1581</v>
      </c>
      <c r="D252" s="444" t="s">
        <v>1591</v>
      </c>
      <c r="E252" s="444" t="s">
        <v>1788</v>
      </c>
      <c r="F252" s="444"/>
      <c r="G252" s="448"/>
      <c r="H252" s="448"/>
      <c r="I252" s="444"/>
      <c r="J252" s="444"/>
      <c r="K252" s="448">
        <v>1</v>
      </c>
      <c r="L252" s="448">
        <v>1654</v>
      </c>
      <c r="M252" s="444">
        <v>1</v>
      </c>
      <c r="N252" s="444">
        <v>1654</v>
      </c>
      <c r="O252" s="448">
        <v>2</v>
      </c>
      <c r="P252" s="448">
        <v>3308</v>
      </c>
      <c r="Q252" s="471">
        <v>2</v>
      </c>
      <c r="R252" s="449">
        <v>1654</v>
      </c>
    </row>
    <row r="253" spans="1:18" ht="14.4" customHeight="1" x14ac:dyDescent="0.3">
      <c r="A253" s="443"/>
      <c r="B253" s="444" t="s">
        <v>1780</v>
      </c>
      <c r="C253" s="444" t="s">
        <v>1581</v>
      </c>
      <c r="D253" s="444" t="s">
        <v>1591</v>
      </c>
      <c r="E253" s="444" t="s">
        <v>1789</v>
      </c>
      <c r="F253" s="444"/>
      <c r="G253" s="448">
        <v>29</v>
      </c>
      <c r="H253" s="448">
        <v>38367</v>
      </c>
      <c r="I253" s="444">
        <v>0.93548387096774188</v>
      </c>
      <c r="J253" s="444">
        <v>1323</v>
      </c>
      <c r="K253" s="448">
        <v>31</v>
      </c>
      <c r="L253" s="448">
        <v>41013</v>
      </c>
      <c r="M253" s="444">
        <v>1</v>
      </c>
      <c r="N253" s="444">
        <v>1323</v>
      </c>
      <c r="O253" s="448">
        <v>33</v>
      </c>
      <c r="P253" s="448">
        <v>43659</v>
      </c>
      <c r="Q253" s="471">
        <v>1.064516129032258</v>
      </c>
      <c r="R253" s="449">
        <v>1323</v>
      </c>
    </row>
    <row r="254" spans="1:18" ht="14.4" customHeight="1" x14ac:dyDescent="0.3">
      <c r="A254" s="443"/>
      <c r="B254" s="444" t="s">
        <v>1780</v>
      </c>
      <c r="C254" s="444" t="s">
        <v>1581</v>
      </c>
      <c r="D254" s="444" t="s">
        <v>1591</v>
      </c>
      <c r="E254" s="444" t="s">
        <v>1790</v>
      </c>
      <c r="F254" s="444"/>
      <c r="G254" s="448"/>
      <c r="H254" s="448"/>
      <c r="I254" s="444"/>
      <c r="J254" s="444"/>
      <c r="K254" s="448">
        <v>1</v>
      </c>
      <c r="L254" s="448">
        <v>2416</v>
      </c>
      <c r="M254" s="444">
        <v>1</v>
      </c>
      <c r="N254" s="444">
        <v>2416</v>
      </c>
      <c r="O254" s="448"/>
      <c r="P254" s="448"/>
      <c r="Q254" s="471"/>
      <c r="R254" s="449"/>
    </row>
    <row r="255" spans="1:18" ht="14.4" customHeight="1" x14ac:dyDescent="0.3">
      <c r="A255" s="443"/>
      <c r="B255" s="444" t="s">
        <v>1780</v>
      </c>
      <c r="C255" s="444" t="s">
        <v>1581</v>
      </c>
      <c r="D255" s="444" t="s">
        <v>1591</v>
      </c>
      <c r="E255" s="444" t="s">
        <v>1791</v>
      </c>
      <c r="F255" s="444"/>
      <c r="G255" s="448">
        <v>5</v>
      </c>
      <c r="H255" s="448">
        <v>9665</v>
      </c>
      <c r="I255" s="444">
        <v>2.5</v>
      </c>
      <c r="J255" s="444">
        <v>1933</v>
      </c>
      <c r="K255" s="448">
        <v>2</v>
      </c>
      <c r="L255" s="448">
        <v>3866</v>
      </c>
      <c r="M255" s="444">
        <v>1</v>
      </c>
      <c r="N255" s="444">
        <v>1933</v>
      </c>
      <c r="O255" s="448">
        <v>3</v>
      </c>
      <c r="P255" s="448">
        <v>5799</v>
      </c>
      <c r="Q255" s="471">
        <v>1.5</v>
      </c>
      <c r="R255" s="449">
        <v>1933</v>
      </c>
    </row>
    <row r="256" spans="1:18" ht="14.4" customHeight="1" x14ac:dyDescent="0.3">
      <c r="A256" s="443"/>
      <c r="B256" s="444" t="s">
        <v>1780</v>
      </c>
      <c r="C256" s="444" t="s">
        <v>1581</v>
      </c>
      <c r="D256" s="444" t="s">
        <v>1591</v>
      </c>
      <c r="E256" s="444" t="s">
        <v>1792</v>
      </c>
      <c r="F256" s="444"/>
      <c r="G256" s="448"/>
      <c r="H256" s="448"/>
      <c r="I256" s="444"/>
      <c r="J256" s="444"/>
      <c r="K256" s="448"/>
      <c r="L256" s="448"/>
      <c r="M256" s="444"/>
      <c r="N256" s="444"/>
      <c r="O256" s="448">
        <v>1</v>
      </c>
      <c r="P256" s="448">
        <v>678</v>
      </c>
      <c r="Q256" s="471"/>
      <c r="R256" s="449">
        <v>678</v>
      </c>
    </row>
    <row r="257" spans="1:18" ht="14.4" customHeight="1" x14ac:dyDescent="0.3">
      <c r="A257" s="443"/>
      <c r="B257" s="444" t="s">
        <v>1780</v>
      </c>
      <c r="C257" s="444" t="s">
        <v>1581</v>
      </c>
      <c r="D257" s="444" t="s">
        <v>1591</v>
      </c>
      <c r="E257" s="444" t="s">
        <v>1793</v>
      </c>
      <c r="F257" s="444"/>
      <c r="G257" s="448">
        <v>85</v>
      </c>
      <c r="H257" s="448">
        <v>46070</v>
      </c>
      <c r="I257" s="444">
        <v>1.3076923076923077</v>
      </c>
      <c r="J257" s="444">
        <v>542</v>
      </c>
      <c r="K257" s="448">
        <v>65</v>
      </c>
      <c r="L257" s="448">
        <v>35230</v>
      </c>
      <c r="M257" s="444">
        <v>1</v>
      </c>
      <c r="N257" s="444">
        <v>542</v>
      </c>
      <c r="O257" s="448">
        <v>71</v>
      </c>
      <c r="P257" s="448">
        <v>38482</v>
      </c>
      <c r="Q257" s="471">
        <v>1.0923076923076922</v>
      </c>
      <c r="R257" s="449">
        <v>542</v>
      </c>
    </row>
    <row r="258" spans="1:18" ht="14.4" customHeight="1" x14ac:dyDescent="0.3">
      <c r="A258" s="443"/>
      <c r="B258" s="444" t="s">
        <v>1780</v>
      </c>
      <c r="C258" s="444" t="s">
        <v>1581</v>
      </c>
      <c r="D258" s="444" t="s">
        <v>1591</v>
      </c>
      <c r="E258" s="444" t="s">
        <v>1794</v>
      </c>
      <c r="F258" s="444"/>
      <c r="G258" s="448">
        <v>1</v>
      </c>
      <c r="H258" s="448">
        <v>298</v>
      </c>
      <c r="I258" s="444">
        <v>0.5</v>
      </c>
      <c r="J258" s="444">
        <v>298</v>
      </c>
      <c r="K258" s="448">
        <v>2</v>
      </c>
      <c r="L258" s="448">
        <v>596</v>
      </c>
      <c r="M258" s="444">
        <v>1</v>
      </c>
      <c r="N258" s="444">
        <v>298</v>
      </c>
      <c r="O258" s="448"/>
      <c r="P258" s="448"/>
      <c r="Q258" s="471"/>
      <c r="R258" s="449"/>
    </row>
    <row r="259" spans="1:18" ht="14.4" customHeight="1" x14ac:dyDescent="0.3">
      <c r="A259" s="443"/>
      <c r="B259" s="444" t="s">
        <v>1780</v>
      </c>
      <c r="C259" s="444" t="s">
        <v>1581</v>
      </c>
      <c r="D259" s="444" t="s">
        <v>1591</v>
      </c>
      <c r="E259" s="444" t="s">
        <v>1795</v>
      </c>
      <c r="F259" s="444"/>
      <c r="G259" s="448">
        <v>47</v>
      </c>
      <c r="H259" s="448">
        <v>27213</v>
      </c>
      <c r="I259" s="444">
        <v>0.90384615384615385</v>
      </c>
      <c r="J259" s="444">
        <v>579</v>
      </c>
      <c r="K259" s="448">
        <v>52</v>
      </c>
      <c r="L259" s="448">
        <v>30108</v>
      </c>
      <c r="M259" s="444">
        <v>1</v>
      </c>
      <c r="N259" s="444">
        <v>579</v>
      </c>
      <c r="O259" s="448">
        <v>55</v>
      </c>
      <c r="P259" s="448">
        <v>31845</v>
      </c>
      <c r="Q259" s="471">
        <v>1.0576923076923077</v>
      </c>
      <c r="R259" s="449">
        <v>579</v>
      </c>
    </row>
    <row r="260" spans="1:18" ht="14.4" customHeight="1" x14ac:dyDescent="0.3">
      <c r="A260" s="443"/>
      <c r="B260" s="444" t="s">
        <v>1780</v>
      </c>
      <c r="C260" s="444" t="s">
        <v>1581</v>
      </c>
      <c r="D260" s="444" t="s">
        <v>1591</v>
      </c>
      <c r="E260" s="444" t="s">
        <v>1594</v>
      </c>
      <c r="F260" s="444"/>
      <c r="G260" s="448">
        <v>13</v>
      </c>
      <c r="H260" s="448">
        <v>1469</v>
      </c>
      <c r="I260" s="444">
        <v>1</v>
      </c>
      <c r="J260" s="444">
        <v>113</v>
      </c>
      <c r="K260" s="448">
        <v>13</v>
      </c>
      <c r="L260" s="448">
        <v>1469</v>
      </c>
      <c r="M260" s="444">
        <v>1</v>
      </c>
      <c r="N260" s="444">
        <v>113</v>
      </c>
      <c r="O260" s="448">
        <v>21</v>
      </c>
      <c r="P260" s="448">
        <v>2373</v>
      </c>
      <c r="Q260" s="471">
        <v>1.6153846153846154</v>
      </c>
      <c r="R260" s="449">
        <v>113</v>
      </c>
    </row>
    <row r="261" spans="1:18" ht="14.4" customHeight="1" x14ac:dyDescent="0.3">
      <c r="A261" s="443"/>
      <c r="B261" s="444" t="s">
        <v>1780</v>
      </c>
      <c r="C261" s="444" t="s">
        <v>1581</v>
      </c>
      <c r="D261" s="444" t="s">
        <v>1591</v>
      </c>
      <c r="E261" s="444" t="s">
        <v>1595</v>
      </c>
      <c r="F261" s="444"/>
      <c r="G261" s="448">
        <v>3</v>
      </c>
      <c r="H261" s="448">
        <v>396</v>
      </c>
      <c r="I261" s="444">
        <v>1</v>
      </c>
      <c r="J261" s="444">
        <v>132</v>
      </c>
      <c r="K261" s="448">
        <v>3</v>
      </c>
      <c r="L261" s="448">
        <v>396</v>
      </c>
      <c r="M261" s="444">
        <v>1</v>
      </c>
      <c r="N261" s="444">
        <v>132</v>
      </c>
      <c r="O261" s="448">
        <v>4</v>
      </c>
      <c r="P261" s="448">
        <v>528</v>
      </c>
      <c r="Q261" s="471">
        <v>1.3333333333333333</v>
      </c>
      <c r="R261" s="449">
        <v>132</v>
      </c>
    </row>
    <row r="262" spans="1:18" ht="14.4" customHeight="1" x14ac:dyDescent="0.3">
      <c r="A262" s="443"/>
      <c r="B262" s="444" t="s">
        <v>1780</v>
      </c>
      <c r="C262" s="444" t="s">
        <v>1581</v>
      </c>
      <c r="D262" s="444" t="s">
        <v>1591</v>
      </c>
      <c r="E262" s="444" t="s">
        <v>1596</v>
      </c>
      <c r="F262" s="444"/>
      <c r="G262" s="448">
        <v>2</v>
      </c>
      <c r="H262" s="448">
        <v>312</v>
      </c>
      <c r="I262" s="444">
        <v>0.66666666666666663</v>
      </c>
      <c r="J262" s="444">
        <v>156</v>
      </c>
      <c r="K262" s="448">
        <v>3</v>
      </c>
      <c r="L262" s="448">
        <v>468</v>
      </c>
      <c r="M262" s="444">
        <v>1</v>
      </c>
      <c r="N262" s="444">
        <v>156</v>
      </c>
      <c r="O262" s="448">
        <v>4</v>
      </c>
      <c r="P262" s="448">
        <v>624</v>
      </c>
      <c r="Q262" s="471">
        <v>1.3333333333333333</v>
      </c>
      <c r="R262" s="449">
        <v>156</v>
      </c>
    </row>
    <row r="263" spans="1:18" ht="14.4" customHeight="1" x14ac:dyDescent="0.3">
      <c r="A263" s="443"/>
      <c r="B263" s="444" t="s">
        <v>1780</v>
      </c>
      <c r="C263" s="444" t="s">
        <v>1581</v>
      </c>
      <c r="D263" s="444" t="s">
        <v>1591</v>
      </c>
      <c r="E263" s="444" t="s">
        <v>1621</v>
      </c>
      <c r="F263" s="444"/>
      <c r="G263" s="448">
        <v>6</v>
      </c>
      <c r="H263" s="448">
        <v>10440</v>
      </c>
      <c r="I263" s="444"/>
      <c r="J263" s="444">
        <v>1740</v>
      </c>
      <c r="K263" s="448"/>
      <c r="L263" s="448"/>
      <c r="M263" s="444"/>
      <c r="N263" s="444"/>
      <c r="O263" s="448">
        <v>3</v>
      </c>
      <c r="P263" s="448">
        <v>6000</v>
      </c>
      <c r="Q263" s="471"/>
      <c r="R263" s="449">
        <v>2000</v>
      </c>
    </row>
    <row r="264" spans="1:18" ht="14.4" customHeight="1" x14ac:dyDescent="0.3">
      <c r="A264" s="443"/>
      <c r="B264" s="444" t="s">
        <v>1780</v>
      </c>
      <c r="C264" s="444" t="s">
        <v>1581</v>
      </c>
      <c r="D264" s="444" t="s">
        <v>1591</v>
      </c>
      <c r="E264" s="444" t="s">
        <v>1637</v>
      </c>
      <c r="F264" s="444"/>
      <c r="G264" s="448">
        <v>1</v>
      </c>
      <c r="H264" s="448">
        <v>1008</v>
      </c>
      <c r="I264" s="444">
        <v>0.25</v>
      </c>
      <c r="J264" s="444">
        <v>1008</v>
      </c>
      <c r="K264" s="448">
        <v>4</v>
      </c>
      <c r="L264" s="448">
        <v>4032</v>
      </c>
      <c r="M264" s="444">
        <v>1</v>
      </c>
      <c r="N264" s="444">
        <v>1008</v>
      </c>
      <c r="O264" s="448">
        <v>8</v>
      </c>
      <c r="P264" s="448">
        <v>8064</v>
      </c>
      <c r="Q264" s="471">
        <v>2</v>
      </c>
      <c r="R264" s="449">
        <v>1008</v>
      </c>
    </row>
    <row r="265" spans="1:18" ht="14.4" customHeight="1" x14ac:dyDescent="0.3">
      <c r="A265" s="443"/>
      <c r="B265" s="444" t="s">
        <v>1780</v>
      </c>
      <c r="C265" s="444" t="s">
        <v>1581</v>
      </c>
      <c r="D265" s="444" t="s">
        <v>1591</v>
      </c>
      <c r="E265" s="444" t="s">
        <v>1796</v>
      </c>
      <c r="F265" s="444"/>
      <c r="G265" s="448">
        <v>175</v>
      </c>
      <c r="H265" s="448">
        <v>37975</v>
      </c>
      <c r="I265" s="444">
        <v>0.95108695652173914</v>
      </c>
      <c r="J265" s="444">
        <v>217</v>
      </c>
      <c r="K265" s="448">
        <v>184</v>
      </c>
      <c r="L265" s="448">
        <v>39928</v>
      </c>
      <c r="M265" s="444">
        <v>1</v>
      </c>
      <c r="N265" s="444">
        <v>217</v>
      </c>
      <c r="O265" s="448">
        <v>185</v>
      </c>
      <c r="P265" s="448">
        <v>40145</v>
      </c>
      <c r="Q265" s="471">
        <v>1.0054347826086956</v>
      </c>
      <c r="R265" s="449">
        <v>217</v>
      </c>
    </row>
    <row r="266" spans="1:18" ht="14.4" customHeight="1" x14ac:dyDescent="0.3">
      <c r="A266" s="443"/>
      <c r="B266" s="444" t="s">
        <v>1780</v>
      </c>
      <c r="C266" s="444" t="s">
        <v>1581</v>
      </c>
      <c r="D266" s="444" t="s">
        <v>1591</v>
      </c>
      <c r="E266" s="444" t="s">
        <v>1797</v>
      </c>
      <c r="F266" s="444"/>
      <c r="G266" s="448">
        <v>108</v>
      </c>
      <c r="H266" s="448">
        <v>112644</v>
      </c>
      <c r="I266" s="444">
        <v>0.86399999999999999</v>
      </c>
      <c r="J266" s="444">
        <v>1043</v>
      </c>
      <c r="K266" s="448">
        <v>125</v>
      </c>
      <c r="L266" s="448">
        <v>130375</v>
      </c>
      <c r="M266" s="444">
        <v>1</v>
      </c>
      <c r="N266" s="444">
        <v>1043</v>
      </c>
      <c r="O266" s="448">
        <v>120</v>
      </c>
      <c r="P266" s="448">
        <v>125160</v>
      </c>
      <c r="Q266" s="471">
        <v>0.96</v>
      </c>
      <c r="R266" s="449">
        <v>1043</v>
      </c>
    </row>
    <row r="267" spans="1:18" ht="14.4" customHeight="1" x14ac:dyDescent="0.3">
      <c r="A267" s="443"/>
      <c r="B267" s="444" t="s">
        <v>1780</v>
      </c>
      <c r="C267" s="444" t="s">
        <v>1581</v>
      </c>
      <c r="D267" s="444" t="s">
        <v>1591</v>
      </c>
      <c r="E267" s="444" t="s">
        <v>1798</v>
      </c>
      <c r="F267" s="444"/>
      <c r="G267" s="448">
        <v>3</v>
      </c>
      <c r="H267" s="448">
        <v>3969</v>
      </c>
      <c r="I267" s="444">
        <v>1</v>
      </c>
      <c r="J267" s="444">
        <v>1323</v>
      </c>
      <c r="K267" s="448">
        <v>3</v>
      </c>
      <c r="L267" s="448">
        <v>3969</v>
      </c>
      <c r="M267" s="444">
        <v>1</v>
      </c>
      <c r="N267" s="444">
        <v>1323</v>
      </c>
      <c r="O267" s="448">
        <v>2</v>
      </c>
      <c r="P267" s="448">
        <v>2646</v>
      </c>
      <c r="Q267" s="471">
        <v>0.66666666666666663</v>
      </c>
      <c r="R267" s="449">
        <v>1323</v>
      </c>
    </row>
    <row r="268" spans="1:18" ht="14.4" customHeight="1" x14ac:dyDescent="0.3">
      <c r="A268" s="443"/>
      <c r="B268" s="444" t="s">
        <v>1780</v>
      </c>
      <c r="C268" s="444" t="s">
        <v>1581</v>
      </c>
      <c r="D268" s="444" t="s">
        <v>1591</v>
      </c>
      <c r="E268" s="444" t="s">
        <v>1799</v>
      </c>
      <c r="F268" s="444"/>
      <c r="G268" s="448">
        <v>19</v>
      </c>
      <c r="H268" s="448">
        <v>10298</v>
      </c>
      <c r="I268" s="444">
        <v>1.7272727272727273</v>
      </c>
      <c r="J268" s="444">
        <v>542</v>
      </c>
      <c r="K268" s="448">
        <v>11</v>
      </c>
      <c r="L268" s="448">
        <v>5962</v>
      </c>
      <c r="M268" s="444">
        <v>1</v>
      </c>
      <c r="N268" s="444">
        <v>542</v>
      </c>
      <c r="O268" s="448">
        <v>24</v>
      </c>
      <c r="P268" s="448">
        <v>13008</v>
      </c>
      <c r="Q268" s="471">
        <v>2.1818181818181817</v>
      </c>
      <c r="R268" s="449">
        <v>542</v>
      </c>
    </row>
    <row r="269" spans="1:18" ht="14.4" customHeight="1" x14ac:dyDescent="0.3">
      <c r="A269" s="443"/>
      <c r="B269" s="444" t="s">
        <v>1780</v>
      </c>
      <c r="C269" s="444" t="s">
        <v>1581</v>
      </c>
      <c r="D269" s="444" t="s">
        <v>1591</v>
      </c>
      <c r="E269" s="444" t="s">
        <v>1800</v>
      </c>
      <c r="F269" s="444"/>
      <c r="G269" s="448"/>
      <c r="H269" s="448"/>
      <c r="I269" s="444"/>
      <c r="J269" s="444"/>
      <c r="K269" s="448">
        <v>5</v>
      </c>
      <c r="L269" s="448">
        <v>1490</v>
      </c>
      <c r="M269" s="444">
        <v>1</v>
      </c>
      <c r="N269" s="444">
        <v>298</v>
      </c>
      <c r="O269" s="448"/>
      <c r="P269" s="448"/>
      <c r="Q269" s="471"/>
      <c r="R269" s="449"/>
    </row>
    <row r="270" spans="1:18" ht="14.4" customHeight="1" x14ac:dyDescent="0.3">
      <c r="A270" s="443"/>
      <c r="B270" s="444" t="s">
        <v>1780</v>
      </c>
      <c r="C270" s="444" t="s">
        <v>1581</v>
      </c>
      <c r="D270" s="444" t="s">
        <v>1591</v>
      </c>
      <c r="E270" s="444" t="s">
        <v>1801</v>
      </c>
      <c r="F270" s="444"/>
      <c r="G270" s="448">
        <v>79</v>
      </c>
      <c r="H270" s="448">
        <v>45741</v>
      </c>
      <c r="I270" s="444">
        <v>1.234375</v>
      </c>
      <c r="J270" s="444">
        <v>579</v>
      </c>
      <c r="K270" s="448">
        <v>64</v>
      </c>
      <c r="L270" s="448">
        <v>37056</v>
      </c>
      <c r="M270" s="444">
        <v>1</v>
      </c>
      <c r="N270" s="444">
        <v>579</v>
      </c>
      <c r="O270" s="448">
        <v>77</v>
      </c>
      <c r="P270" s="448">
        <v>44583</v>
      </c>
      <c r="Q270" s="471">
        <v>1.203125</v>
      </c>
      <c r="R270" s="449">
        <v>579</v>
      </c>
    </row>
    <row r="271" spans="1:18" ht="14.4" customHeight="1" x14ac:dyDescent="0.3">
      <c r="A271" s="443"/>
      <c r="B271" s="444" t="s">
        <v>1780</v>
      </c>
      <c r="C271" s="444" t="s">
        <v>1581</v>
      </c>
      <c r="D271" s="444" t="s">
        <v>1591</v>
      </c>
      <c r="E271" s="444" t="s">
        <v>1802</v>
      </c>
      <c r="F271" s="444"/>
      <c r="G271" s="448"/>
      <c r="H271" s="448"/>
      <c r="I271" s="444"/>
      <c r="J271" s="444"/>
      <c r="K271" s="448">
        <v>3</v>
      </c>
      <c r="L271" s="448">
        <v>30213</v>
      </c>
      <c r="M271" s="444">
        <v>1</v>
      </c>
      <c r="N271" s="444">
        <v>10071</v>
      </c>
      <c r="O271" s="448"/>
      <c r="P271" s="448"/>
      <c r="Q271" s="471"/>
      <c r="R271" s="449"/>
    </row>
    <row r="272" spans="1:18" ht="14.4" customHeight="1" x14ac:dyDescent="0.3">
      <c r="A272" s="443"/>
      <c r="B272" s="444" t="s">
        <v>1780</v>
      </c>
      <c r="C272" s="444" t="s">
        <v>1581</v>
      </c>
      <c r="D272" s="444" t="s">
        <v>1591</v>
      </c>
      <c r="E272" s="444" t="s">
        <v>1803</v>
      </c>
      <c r="F272" s="444"/>
      <c r="G272" s="448">
        <v>1</v>
      </c>
      <c r="H272" s="448">
        <v>678</v>
      </c>
      <c r="I272" s="444"/>
      <c r="J272" s="444">
        <v>678</v>
      </c>
      <c r="K272" s="448"/>
      <c r="L272" s="448"/>
      <c r="M272" s="444"/>
      <c r="N272" s="444"/>
      <c r="O272" s="448"/>
      <c r="P272" s="448"/>
      <c r="Q272" s="471"/>
      <c r="R272" s="449"/>
    </row>
    <row r="273" spans="1:18" ht="14.4" customHeight="1" x14ac:dyDescent="0.3">
      <c r="A273" s="443"/>
      <c r="B273" s="444" t="s">
        <v>1780</v>
      </c>
      <c r="C273" s="444" t="s">
        <v>1581</v>
      </c>
      <c r="D273" s="444" t="s">
        <v>1591</v>
      </c>
      <c r="E273" s="444" t="s">
        <v>1804</v>
      </c>
      <c r="F273" s="444"/>
      <c r="G273" s="448">
        <v>3</v>
      </c>
      <c r="H273" s="448">
        <v>3909</v>
      </c>
      <c r="I273" s="444">
        <v>3</v>
      </c>
      <c r="J273" s="444">
        <v>1303</v>
      </c>
      <c r="K273" s="448">
        <v>1</v>
      </c>
      <c r="L273" s="448">
        <v>1303</v>
      </c>
      <c r="M273" s="444">
        <v>1</v>
      </c>
      <c r="N273" s="444">
        <v>1303</v>
      </c>
      <c r="O273" s="448"/>
      <c r="P273" s="448"/>
      <c r="Q273" s="471"/>
      <c r="R273" s="449"/>
    </row>
    <row r="274" spans="1:18" ht="14.4" customHeight="1" x14ac:dyDescent="0.3">
      <c r="A274" s="443"/>
      <c r="B274" s="444" t="s">
        <v>1780</v>
      </c>
      <c r="C274" s="444" t="s">
        <v>1581</v>
      </c>
      <c r="D274" s="444" t="s">
        <v>1591</v>
      </c>
      <c r="E274" s="444" t="s">
        <v>1805</v>
      </c>
      <c r="F274" s="444"/>
      <c r="G274" s="448"/>
      <c r="H274" s="448"/>
      <c r="I274" s="444"/>
      <c r="J274" s="444"/>
      <c r="K274" s="448">
        <v>1</v>
      </c>
      <c r="L274" s="448">
        <v>2416</v>
      </c>
      <c r="M274" s="444">
        <v>1</v>
      </c>
      <c r="N274" s="444">
        <v>2416</v>
      </c>
      <c r="O274" s="448"/>
      <c r="P274" s="448"/>
      <c r="Q274" s="471"/>
      <c r="R274" s="449"/>
    </row>
    <row r="275" spans="1:18" ht="14.4" customHeight="1" x14ac:dyDescent="0.3">
      <c r="A275" s="443"/>
      <c r="B275" s="444" t="s">
        <v>1780</v>
      </c>
      <c r="C275" s="444" t="s">
        <v>1581</v>
      </c>
      <c r="D275" s="444" t="s">
        <v>1591</v>
      </c>
      <c r="E275" s="444" t="s">
        <v>1806</v>
      </c>
      <c r="F275" s="444"/>
      <c r="G275" s="448"/>
      <c r="H275" s="448"/>
      <c r="I275" s="444"/>
      <c r="J275" s="444"/>
      <c r="K275" s="448"/>
      <c r="L275" s="448"/>
      <c r="M275" s="444"/>
      <c r="N275" s="444"/>
      <c r="O275" s="448">
        <v>1</v>
      </c>
      <c r="P275" s="448">
        <v>136</v>
      </c>
      <c r="Q275" s="471"/>
      <c r="R275" s="449">
        <v>136</v>
      </c>
    </row>
    <row r="276" spans="1:18" ht="14.4" customHeight="1" x14ac:dyDescent="0.3">
      <c r="A276" s="443"/>
      <c r="B276" s="444" t="s">
        <v>1780</v>
      </c>
      <c r="C276" s="444" t="s">
        <v>1581</v>
      </c>
      <c r="D276" s="444" t="s">
        <v>1591</v>
      </c>
      <c r="E276" s="444" t="s">
        <v>1807</v>
      </c>
      <c r="F276" s="444"/>
      <c r="G276" s="448"/>
      <c r="H276" s="448"/>
      <c r="I276" s="444"/>
      <c r="J276" s="444"/>
      <c r="K276" s="448"/>
      <c r="L276" s="448"/>
      <c r="M276" s="444"/>
      <c r="N276" s="444"/>
      <c r="O276" s="448">
        <v>1</v>
      </c>
      <c r="P276" s="448">
        <v>224</v>
      </c>
      <c r="Q276" s="471"/>
      <c r="R276" s="449">
        <v>224</v>
      </c>
    </row>
    <row r="277" spans="1:18" ht="14.4" customHeight="1" x14ac:dyDescent="0.3">
      <c r="A277" s="443"/>
      <c r="B277" s="444" t="s">
        <v>1780</v>
      </c>
      <c r="C277" s="444" t="s">
        <v>1581</v>
      </c>
      <c r="D277" s="444" t="s">
        <v>1661</v>
      </c>
      <c r="E277" s="444" t="s">
        <v>1667</v>
      </c>
      <c r="F277" s="444" t="s">
        <v>1668</v>
      </c>
      <c r="G277" s="448">
        <v>25</v>
      </c>
      <c r="H277" s="448">
        <v>1944.4499999999998</v>
      </c>
      <c r="I277" s="444">
        <v>1.7857175655943209</v>
      </c>
      <c r="J277" s="444">
        <v>77.777999999999992</v>
      </c>
      <c r="K277" s="448">
        <v>14</v>
      </c>
      <c r="L277" s="448">
        <v>1088.8899999999999</v>
      </c>
      <c r="M277" s="444">
        <v>1</v>
      </c>
      <c r="N277" s="444">
        <v>77.77785714285713</v>
      </c>
      <c r="O277" s="448">
        <v>14</v>
      </c>
      <c r="P277" s="448">
        <v>1088.8899999999999</v>
      </c>
      <c r="Q277" s="471">
        <v>1</v>
      </c>
      <c r="R277" s="449">
        <v>77.77785714285713</v>
      </c>
    </row>
    <row r="278" spans="1:18" ht="14.4" customHeight="1" x14ac:dyDescent="0.3">
      <c r="A278" s="443"/>
      <c r="B278" s="444" t="s">
        <v>1780</v>
      </c>
      <c r="C278" s="444" t="s">
        <v>1581</v>
      </c>
      <c r="D278" s="444" t="s">
        <v>1661</v>
      </c>
      <c r="E278" s="444" t="s">
        <v>1669</v>
      </c>
      <c r="F278" s="444" t="s">
        <v>1670</v>
      </c>
      <c r="G278" s="448">
        <v>41</v>
      </c>
      <c r="H278" s="448">
        <v>10250</v>
      </c>
      <c r="I278" s="444">
        <v>0.87234042553191493</v>
      </c>
      <c r="J278" s="444">
        <v>250</v>
      </c>
      <c r="K278" s="448">
        <v>47</v>
      </c>
      <c r="L278" s="448">
        <v>11750</v>
      </c>
      <c r="M278" s="444">
        <v>1</v>
      </c>
      <c r="N278" s="444">
        <v>250</v>
      </c>
      <c r="O278" s="448">
        <v>37</v>
      </c>
      <c r="P278" s="448">
        <v>9250</v>
      </c>
      <c r="Q278" s="471">
        <v>0.78723404255319152</v>
      </c>
      <c r="R278" s="449">
        <v>250</v>
      </c>
    </row>
    <row r="279" spans="1:18" ht="14.4" customHeight="1" x14ac:dyDescent="0.3">
      <c r="A279" s="443"/>
      <c r="B279" s="444" t="s">
        <v>1780</v>
      </c>
      <c r="C279" s="444" t="s">
        <v>1581</v>
      </c>
      <c r="D279" s="444" t="s">
        <v>1661</v>
      </c>
      <c r="E279" s="444" t="s">
        <v>1671</v>
      </c>
      <c r="F279" s="444" t="s">
        <v>1672</v>
      </c>
      <c r="G279" s="448">
        <v>528</v>
      </c>
      <c r="H279" s="448">
        <v>158400</v>
      </c>
      <c r="I279" s="444">
        <v>1.0434782608695652</v>
      </c>
      <c r="J279" s="444">
        <v>300</v>
      </c>
      <c r="K279" s="448">
        <v>506</v>
      </c>
      <c r="L279" s="448">
        <v>151800</v>
      </c>
      <c r="M279" s="444">
        <v>1</v>
      </c>
      <c r="N279" s="444">
        <v>300</v>
      </c>
      <c r="O279" s="448">
        <v>540</v>
      </c>
      <c r="P279" s="448">
        <v>162000</v>
      </c>
      <c r="Q279" s="471">
        <v>1.0671936758893281</v>
      </c>
      <c r="R279" s="449">
        <v>300</v>
      </c>
    </row>
    <row r="280" spans="1:18" ht="14.4" customHeight="1" x14ac:dyDescent="0.3">
      <c r="A280" s="443"/>
      <c r="B280" s="444" t="s">
        <v>1780</v>
      </c>
      <c r="C280" s="444" t="s">
        <v>1581</v>
      </c>
      <c r="D280" s="444" t="s">
        <v>1661</v>
      </c>
      <c r="E280" s="444" t="s">
        <v>1808</v>
      </c>
      <c r="F280" s="444" t="s">
        <v>1809</v>
      </c>
      <c r="G280" s="448">
        <v>303</v>
      </c>
      <c r="H280" s="448">
        <v>201999.99</v>
      </c>
      <c r="I280" s="444">
        <v>0.9528301415094339</v>
      </c>
      <c r="J280" s="444">
        <v>666.66663366336627</v>
      </c>
      <c r="K280" s="448">
        <v>318</v>
      </c>
      <c r="L280" s="448">
        <v>212000</v>
      </c>
      <c r="M280" s="444">
        <v>1</v>
      </c>
      <c r="N280" s="444">
        <v>666.66666666666663</v>
      </c>
      <c r="O280" s="448">
        <v>301</v>
      </c>
      <c r="P280" s="448">
        <v>200666.66</v>
      </c>
      <c r="Q280" s="471">
        <v>0.94654084905660374</v>
      </c>
      <c r="R280" s="449">
        <v>666.66664451827239</v>
      </c>
    </row>
    <row r="281" spans="1:18" ht="14.4" customHeight="1" x14ac:dyDescent="0.3">
      <c r="A281" s="443"/>
      <c r="B281" s="444" t="s">
        <v>1780</v>
      </c>
      <c r="C281" s="444" t="s">
        <v>1581</v>
      </c>
      <c r="D281" s="444" t="s">
        <v>1661</v>
      </c>
      <c r="E281" s="444" t="s">
        <v>1810</v>
      </c>
      <c r="F281" s="444" t="s">
        <v>1811</v>
      </c>
      <c r="G281" s="448">
        <v>483</v>
      </c>
      <c r="H281" s="448">
        <v>112700.01</v>
      </c>
      <c r="I281" s="444">
        <v>0.90280384253147772</v>
      </c>
      <c r="J281" s="444">
        <v>233.33335403726707</v>
      </c>
      <c r="K281" s="448">
        <v>535</v>
      </c>
      <c r="L281" s="448">
        <v>124833.33</v>
      </c>
      <c r="M281" s="444">
        <v>1</v>
      </c>
      <c r="N281" s="444">
        <v>233.33332710280374</v>
      </c>
      <c r="O281" s="448">
        <v>577</v>
      </c>
      <c r="P281" s="448">
        <v>134633.34</v>
      </c>
      <c r="Q281" s="471">
        <v>1.0785047551002604</v>
      </c>
      <c r="R281" s="449">
        <v>233.33334488734835</v>
      </c>
    </row>
    <row r="282" spans="1:18" ht="14.4" customHeight="1" x14ac:dyDescent="0.3">
      <c r="A282" s="443"/>
      <c r="B282" s="444" t="s">
        <v>1780</v>
      </c>
      <c r="C282" s="444" t="s">
        <v>1581</v>
      </c>
      <c r="D282" s="444" t="s">
        <v>1661</v>
      </c>
      <c r="E282" s="444" t="s">
        <v>1812</v>
      </c>
      <c r="F282" s="444" t="s">
        <v>1813</v>
      </c>
      <c r="G282" s="448">
        <v>311</v>
      </c>
      <c r="H282" s="448">
        <v>241888.89</v>
      </c>
      <c r="I282" s="444">
        <v>1.0196721023995095</v>
      </c>
      <c r="J282" s="444">
        <v>777.77778135048231</v>
      </c>
      <c r="K282" s="448">
        <v>305</v>
      </c>
      <c r="L282" s="448">
        <v>237222.23</v>
      </c>
      <c r="M282" s="444">
        <v>1</v>
      </c>
      <c r="N282" s="444">
        <v>777.77780327868857</v>
      </c>
      <c r="O282" s="448">
        <v>353</v>
      </c>
      <c r="P282" s="448">
        <v>274555.56</v>
      </c>
      <c r="Q282" s="471">
        <v>1.157377029968903</v>
      </c>
      <c r="R282" s="449">
        <v>777.77779036827189</v>
      </c>
    </row>
    <row r="283" spans="1:18" ht="14.4" customHeight="1" x14ac:dyDescent="0.3">
      <c r="A283" s="443"/>
      <c r="B283" s="444" t="s">
        <v>1780</v>
      </c>
      <c r="C283" s="444" t="s">
        <v>1581</v>
      </c>
      <c r="D283" s="444" t="s">
        <v>1661</v>
      </c>
      <c r="E283" s="444" t="s">
        <v>1814</v>
      </c>
      <c r="F283" s="444" t="s">
        <v>1815</v>
      </c>
      <c r="G283" s="448">
        <v>1042</v>
      </c>
      <c r="H283" s="448">
        <v>254711.11000000002</v>
      </c>
      <c r="I283" s="444">
        <v>1.2676399181758446</v>
      </c>
      <c r="J283" s="444">
        <v>244.44444337811902</v>
      </c>
      <c r="K283" s="448">
        <v>822</v>
      </c>
      <c r="L283" s="448">
        <v>200933.33000000002</v>
      </c>
      <c r="M283" s="444">
        <v>1</v>
      </c>
      <c r="N283" s="444">
        <v>244.44444038929441</v>
      </c>
      <c r="O283" s="448">
        <v>803</v>
      </c>
      <c r="P283" s="448">
        <v>196288.89</v>
      </c>
      <c r="Q283" s="471">
        <v>0.97688566650440722</v>
      </c>
      <c r="R283" s="449">
        <v>244.44444582814447</v>
      </c>
    </row>
    <row r="284" spans="1:18" ht="14.4" customHeight="1" x14ac:dyDescent="0.3">
      <c r="A284" s="443"/>
      <c r="B284" s="444" t="s">
        <v>1780</v>
      </c>
      <c r="C284" s="444" t="s">
        <v>1581</v>
      </c>
      <c r="D284" s="444" t="s">
        <v>1661</v>
      </c>
      <c r="E284" s="444" t="s">
        <v>1816</v>
      </c>
      <c r="F284" s="444" t="s">
        <v>1817</v>
      </c>
      <c r="G284" s="448">
        <v>8</v>
      </c>
      <c r="H284" s="448">
        <v>4204.4499999999989</v>
      </c>
      <c r="I284" s="444">
        <v>0.61538562868291702</v>
      </c>
      <c r="J284" s="444">
        <v>525.55624999999986</v>
      </c>
      <c r="K284" s="448">
        <v>13</v>
      </c>
      <c r="L284" s="448">
        <v>6832.2199999999993</v>
      </c>
      <c r="M284" s="444">
        <v>1</v>
      </c>
      <c r="N284" s="444">
        <v>525.55538461538458</v>
      </c>
      <c r="O284" s="448">
        <v>19</v>
      </c>
      <c r="P284" s="448">
        <v>9985.5600000000013</v>
      </c>
      <c r="Q284" s="471">
        <v>1.4615395874254637</v>
      </c>
      <c r="R284" s="449">
        <v>525.55578947368429</v>
      </c>
    </row>
    <row r="285" spans="1:18" ht="14.4" customHeight="1" x14ac:dyDescent="0.3">
      <c r="A285" s="443"/>
      <c r="B285" s="444" t="s">
        <v>1780</v>
      </c>
      <c r="C285" s="444" t="s">
        <v>1581</v>
      </c>
      <c r="D285" s="444" t="s">
        <v>1661</v>
      </c>
      <c r="E285" s="444" t="s">
        <v>1818</v>
      </c>
      <c r="F285" s="444" t="s">
        <v>1819</v>
      </c>
      <c r="G285" s="448">
        <v>9</v>
      </c>
      <c r="H285" s="448">
        <v>9000</v>
      </c>
      <c r="I285" s="444">
        <v>1.2857142857142858</v>
      </c>
      <c r="J285" s="444">
        <v>1000</v>
      </c>
      <c r="K285" s="448">
        <v>7</v>
      </c>
      <c r="L285" s="448">
        <v>7000</v>
      </c>
      <c r="M285" s="444">
        <v>1</v>
      </c>
      <c r="N285" s="444">
        <v>1000</v>
      </c>
      <c r="O285" s="448">
        <v>7</v>
      </c>
      <c r="P285" s="448">
        <v>7000</v>
      </c>
      <c r="Q285" s="471">
        <v>1</v>
      </c>
      <c r="R285" s="449">
        <v>1000</v>
      </c>
    </row>
    <row r="286" spans="1:18" ht="14.4" customHeight="1" x14ac:dyDescent="0.3">
      <c r="A286" s="443"/>
      <c r="B286" s="444" t="s">
        <v>1780</v>
      </c>
      <c r="C286" s="444" t="s">
        <v>1581</v>
      </c>
      <c r="D286" s="444" t="s">
        <v>1661</v>
      </c>
      <c r="E286" s="444" t="s">
        <v>1752</v>
      </c>
      <c r="F286" s="444" t="s">
        <v>1753</v>
      </c>
      <c r="G286" s="448">
        <v>3</v>
      </c>
      <c r="H286" s="448">
        <v>0</v>
      </c>
      <c r="I286" s="444"/>
      <c r="J286" s="444">
        <v>0</v>
      </c>
      <c r="K286" s="448">
        <v>2</v>
      </c>
      <c r="L286" s="448">
        <v>0</v>
      </c>
      <c r="M286" s="444"/>
      <c r="N286" s="444">
        <v>0</v>
      </c>
      <c r="O286" s="448"/>
      <c r="P286" s="448"/>
      <c r="Q286" s="471"/>
      <c r="R286" s="449"/>
    </row>
    <row r="287" spans="1:18" ht="14.4" customHeight="1" x14ac:dyDescent="0.3">
      <c r="A287" s="443"/>
      <c r="B287" s="444" t="s">
        <v>1780</v>
      </c>
      <c r="C287" s="444" t="s">
        <v>1581</v>
      </c>
      <c r="D287" s="444" t="s">
        <v>1661</v>
      </c>
      <c r="E287" s="444" t="s">
        <v>1694</v>
      </c>
      <c r="F287" s="444" t="s">
        <v>1695</v>
      </c>
      <c r="G287" s="448">
        <v>873</v>
      </c>
      <c r="H287" s="448">
        <v>0</v>
      </c>
      <c r="I287" s="444"/>
      <c r="J287" s="444">
        <v>0</v>
      </c>
      <c r="K287" s="448">
        <v>834</v>
      </c>
      <c r="L287" s="448">
        <v>0</v>
      </c>
      <c r="M287" s="444"/>
      <c r="N287" s="444">
        <v>0</v>
      </c>
      <c r="O287" s="448">
        <v>919</v>
      </c>
      <c r="P287" s="448">
        <v>0</v>
      </c>
      <c r="Q287" s="471"/>
      <c r="R287" s="449">
        <v>0</v>
      </c>
    </row>
    <row r="288" spans="1:18" ht="14.4" customHeight="1" x14ac:dyDescent="0.3">
      <c r="A288" s="443"/>
      <c r="B288" s="444" t="s">
        <v>1780</v>
      </c>
      <c r="C288" s="444" t="s">
        <v>1581</v>
      </c>
      <c r="D288" s="444" t="s">
        <v>1661</v>
      </c>
      <c r="E288" s="444" t="s">
        <v>1696</v>
      </c>
      <c r="F288" s="444" t="s">
        <v>1697</v>
      </c>
      <c r="G288" s="448">
        <v>641</v>
      </c>
      <c r="H288" s="448">
        <v>195861.12</v>
      </c>
      <c r="I288" s="444">
        <v>0.95671647171469709</v>
      </c>
      <c r="J288" s="444">
        <v>305.5555694227769</v>
      </c>
      <c r="K288" s="448">
        <v>670</v>
      </c>
      <c r="L288" s="448">
        <v>204722.22</v>
      </c>
      <c r="M288" s="444">
        <v>1</v>
      </c>
      <c r="N288" s="444">
        <v>305.55555223880594</v>
      </c>
      <c r="O288" s="448">
        <v>629</v>
      </c>
      <c r="P288" s="448">
        <v>192194.44000000003</v>
      </c>
      <c r="Q288" s="471">
        <v>0.9388059586301869</v>
      </c>
      <c r="R288" s="449">
        <v>305.55554848966619</v>
      </c>
    </row>
    <row r="289" spans="1:18" ht="14.4" customHeight="1" x14ac:dyDescent="0.3">
      <c r="A289" s="443"/>
      <c r="B289" s="444" t="s">
        <v>1780</v>
      </c>
      <c r="C289" s="444" t="s">
        <v>1581</v>
      </c>
      <c r="D289" s="444" t="s">
        <v>1661</v>
      </c>
      <c r="E289" s="444" t="s">
        <v>1698</v>
      </c>
      <c r="F289" s="444" t="s">
        <v>1699</v>
      </c>
      <c r="G289" s="448">
        <v>1394</v>
      </c>
      <c r="H289" s="448">
        <v>20900</v>
      </c>
      <c r="I289" s="444">
        <v>0.41633466135458169</v>
      </c>
      <c r="J289" s="444">
        <v>14.992826398852223</v>
      </c>
      <c r="K289" s="448">
        <v>1506</v>
      </c>
      <c r="L289" s="448">
        <v>50200</v>
      </c>
      <c r="M289" s="444">
        <v>1</v>
      </c>
      <c r="N289" s="444">
        <v>33.333333333333336</v>
      </c>
      <c r="O289" s="448">
        <v>1484</v>
      </c>
      <c r="P289" s="448">
        <v>49466.66</v>
      </c>
      <c r="Q289" s="471">
        <v>0.98539163346613556</v>
      </c>
      <c r="R289" s="449">
        <v>33.333328840970353</v>
      </c>
    </row>
    <row r="290" spans="1:18" ht="14.4" customHeight="1" x14ac:dyDescent="0.3">
      <c r="A290" s="443"/>
      <c r="B290" s="444" t="s">
        <v>1780</v>
      </c>
      <c r="C290" s="444" t="s">
        <v>1581</v>
      </c>
      <c r="D290" s="444" t="s">
        <v>1661</v>
      </c>
      <c r="E290" s="444" t="s">
        <v>1700</v>
      </c>
      <c r="F290" s="444" t="s">
        <v>1701</v>
      </c>
      <c r="G290" s="448">
        <v>626</v>
      </c>
      <c r="H290" s="448">
        <v>285177.78000000003</v>
      </c>
      <c r="I290" s="444">
        <v>0.94704993872587695</v>
      </c>
      <c r="J290" s="444">
        <v>455.55555910543137</v>
      </c>
      <c r="K290" s="448">
        <v>661</v>
      </c>
      <c r="L290" s="448">
        <v>301122.21999999997</v>
      </c>
      <c r="M290" s="444">
        <v>1</v>
      </c>
      <c r="N290" s="444">
        <v>455.55555219364595</v>
      </c>
      <c r="O290" s="448">
        <v>599</v>
      </c>
      <c r="P290" s="448">
        <v>272877.78999999998</v>
      </c>
      <c r="Q290" s="471">
        <v>0.90620277042325204</v>
      </c>
      <c r="R290" s="449">
        <v>455.55557595993321</v>
      </c>
    </row>
    <row r="291" spans="1:18" ht="14.4" customHeight="1" x14ac:dyDescent="0.3">
      <c r="A291" s="443"/>
      <c r="B291" s="444" t="s">
        <v>1780</v>
      </c>
      <c r="C291" s="444" t="s">
        <v>1581</v>
      </c>
      <c r="D291" s="444" t="s">
        <v>1661</v>
      </c>
      <c r="E291" s="444" t="s">
        <v>1702</v>
      </c>
      <c r="F291" s="444" t="s">
        <v>1703</v>
      </c>
      <c r="G291" s="448">
        <v>669</v>
      </c>
      <c r="H291" s="448">
        <v>52033.33</v>
      </c>
      <c r="I291" s="444">
        <v>0.93697478613294038</v>
      </c>
      <c r="J291" s="444">
        <v>77.777772795216748</v>
      </c>
      <c r="K291" s="448">
        <v>714</v>
      </c>
      <c r="L291" s="448">
        <v>55533.33</v>
      </c>
      <c r="M291" s="444">
        <v>1</v>
      </c>
      <c r="N291" s="444">
        <v>77.777773109243697</v>
      </c>
      <c r="O291" s="448">
        <v>696</v>
      </c>
      <c r="P291" s="448">
        <v>54133.320000000007</v>
      </c>
      <c r="Q291" s="471">
        <v>0.97478973438113659</v>
      </c>
      <c r="R291" s="449">
        <v>77.777758620689667</v>
      </c>
    </row>
    <row r="292" spans="1:18" ht="14.4" customHeight="1" x14ac:dyDescent="0.3">
      <c r="A292" s="443"/>
      <c r="B292" s="444" t="s">
        <v>1780</v>
      </c>
      <c r="C292" s="444" t="s">
        <v>1581</v>
      </c>
      <c r="D292" s="444" t="s">
        <v>1661</v>
      </c>
      <c r="E292" s="444" t="s">
        <v>1820</v>
      </c>
      <c r="F292" s="444" t="s">
        <v>1821</v>
      </c>
      <c r="G292" s="448">
        <v>325</v>
      </c>
      <c r="H292" s="448">
        <v>469444.44</v>
      </c>
      <c r="I292" s="444">
        <v>0.98187310476847112</v>
      </c>
      <c r="J292" s="444">
        <v>1444.4444307692308</v>
      </c>
      <c r="K292" s="448">
        <v>331</v>
      </c>
      <c r="L292" s="448">
        <v>478111.11</v>
      </c>
      <c r="M292" s="444">
        <v>1</v>
      </c>
      <c r="N292" s="444">
        <v>1444.4444410876133</v>
      </c>
      <c r="O292" s="448">
        <v>319</v>
      </c>
      <c r="P292" s="448">
        <v>460777.77999999997</v>
      </c>
      <c r="Q292" s="471">
        <v>0.96374623045258245</v>
      </c>
      <c r="R292" s="449">
        <v>1444.4444514106583</v>
      </c>
    </row>
    <row r="293" spans="1:18" ht="14.4" customHeight="1" x14ac:dyDescent="0.3">
      <c r="A293" s="443"/>
      <c r="B293" s="444" t="s">
        <v>1780</v>
      </c>
      <c r="C293" s="444" t="s">
        <v>1581</v>
      </c>
      <c r="D293" s="444" t="s">
        <v>1661</v>
      </c>
      <c r="E293" s="444" t="s">
        <v>1704</v>
      </c>
      <c r="F293" s="444" t="s">
        <v>1705</v>
      </c>
      <c r="G293" s="448"/>
      <c r="H293" s="448"/>
      <c r="I293" s="444"/>
      <c r="J293" s="444"/>
      <c r="K293" s="448">
        <v>0</v>
      </c>
      <c r="L293" s="448">
        <v>0</v>
      </c>
      <c r="M293" s="444"/>
      <c r="N293" s="444"/>
      <c r="O293" s="448"/>
      <c r="P293" s="448"/>
      <c r="Q293" s="471"/>
      <c r="R293" s="449"/>
    </row>
    <row r="294" spans="1:18" ht="14.4" customHeight="1" x14ac:dyDescent="0.3">
      <c r="A294" s="443"/>
      <c r="B294" s="444" t="s">
        <v>1780</v>
      </c>
      <c r="C294" s="444" t="s">
        <v>1581</v>
      </c>
      <c r="D294" s="444" t="s">
        <v>1661</v>
      </c>
      <c r="E294" s="444" t="s">
        <v>1708</v>
      </c>
      <c r="F294" s="444" t="s">
        <v>1709</v>
      </c>
      <c r="G294" s="448">
        <v>4</v>
      </c>
      <c r="H294" s="448">
        <v>355.56</v>
      </c>
      <c r="I294" s="444">
        <v>1.254932410969541</v>
      </c>
      <c r="J294" s="444">
        <v>88.89</v>
      </c>
      <c r="K294" s="448">
        <v>3</v>
      </c>
      <c r="L294" s="448">
        <v>283.33</v>
      </c>
      <c r="M294" s="444">
        <v>1</v>
      </c>
      <c r="N294" s="444">
        <v>94.443333333333328</v>
      </c>
      <c r="O294" s="448">
        <v>3</v>
      </c>
      <c r="P294" s="448">
        <v>283.33</v>
      </c>
      <c r="Q294" s="471">
        <v>1</v>
      </c>
      <c r="R294" s="449">
        <v>94.443333333333328</v>
      </c>
    </row>
    <row r="295" spans="1:18" ht="14.4" customHeight="1" x14ac:dyDescent="0.3">
      <c r="A295" s="443"/>
      <c r="B295" s="444" t="s">
        <v>1780</v>
      </c>
      <c r="C295" s="444" t="s">
        <v>1581</v>
      </c>
      <c r="D295" s="444" t="s">
        <v>1661</v>
      </c>
      <c r="E295" s="444" t="s">
        <v>1712</v>
      </c>
      <c r="F295" s="444" t="s">
        <v>1713</v>
      </c>
      <c r="G295" s="448">
        <v>6</v>
      </c>
      <c r="H295" s="448">
        <v>580.01</v>
      </c>
      <c r="I295" s="444">
        <v>0.54546053002802497</v>
      </c>
      <c r="J295" s="444">
        <v>96.668333333333337</v>
      </c>
      <c r="K295" s="448">
        <v>11</v>
      </c>
      <c r="L295" s="448">
        <v>1063.3399999999999</v>
      </c>
      <c r="M295" s="444">
        <v>1</v>
      </c>
      <c r="N295" s="444">
        <v>96.667272727272717</v>
      </c>
      <c r="O295" s="448">
        <v>6</v>
      </c>
      <c r="P295" s="448">
        <v>580.01</v>
      </c>
      <c r="Q295" s="471">
        <v>0.54546053002802497</v>
      </c>
      <c r="R295" s="449">
        <v>96.668333333333337</v>
      </c>
    </row>
    <row r="296" spans="1:18" ht="14.4" customHeight="1" x14ac:dyDescent="0.3">
      <c r="A296" s="443"/>
      <c r="B296" s="444" t="s">
        <v>1780</v>
      </c>
      <c r="C296" s="444" t="s">
        <v>1581</v>
      </c>
      <c r="D296" s="444" t="s">
        <v>1661</v>
      </c>
      <c r="E296" s="444" t="s">
        <v>1822</v>
      </c>
      <c r="F296" s="444" t="s">
        <v>1823</v>
      </c>
      <c r="G296" s="448">
        <v>377</v>
      </c>
      <c r="H296" s="448">
        <v>131950</v>
      </c>
      <c r="I296" s="444">
        <v>1</v>
      </c>
      <c r="J296" s="444">
        <v>350</v>
      </c>
      <c r="K296" s="448">
        <v>377</v>
      </c>
      <c r="L296" s="448">
        <v>131950</v>
      </c>
      <c r="M296" s="444">
        <v>1</v>
      </c>
      <c r="N296" s="444">
        <v>350</v>
      </c>
      <c r="O296" s="448">
        <v>393</v>
      </c>
      <c r="P296" s="448">
        <v>137550</v>
      </c>
      <c r="Q296" s="471">
        <v>1.0424403183023874</v>
      </c>
      <c r="R296" s="449">
        <v>350</v>
      </c>
    </row>
    <row r="297" spans="1:18" ht="14.4" customHeight="1" x14ac:dyDescent="0.3">
      <c r="A297" s="443"/>
      <c r="B297" s="444" t="s">
        <v>1780</v>
      </c>
      <c r="C297" s="444" t="s">
        <v>1581</v>
      </c>
      <c r="D297" s="444" t="s">
        <v>1661</v>
      </c>
      <c r="E297" s="444" t="s">
        <v>1824</v>
      </c>
      <c r="F297" s="444" t="s">
        <v>1825</v>
      </c>
      <c r="G297" s="448">
        <v>36</v>
      </c>
      <c r="H297" s="448">
        <v>2120</v>
      </c>
      <c r="I297" s="444">
        <v>0.75000176887209646</v>
      </c>
      <c r="J297" s="444">
        <v>58.888888888888886</v>
      </c>
      <c r="K297" s="448">
        <v>48</v>
      </c>
      <c r="L297" s="448">
        <v>2826.66</v>
      </c>
      <c r="M297" s="444">
        <v>1</v>
      </c>
      <c r="N297" s="444">
        <v>58.888749999999995</v>
      </c>
      <c r="O297" s="448">
        <v>35</v>
      </c>
      <c r="P297" s="448">
        <v>2061.11</v>
      </c>
      <c r="Q297" s="471">
        <v>0.72916799332073901</v>
      </c>
      <c r="R297" s="449">
        <v>58.888857142857148</v>
      </c>
    </row>
    <row r="298" spans="1:18" ht="14.4" customHeight="1" x14ac:dyDescent="0.3">
      <c r="A298" s="443"/>
      <c r="B298" s="444" t="s">
        <v>1780</v>
      </c>
      <c r="C298" s="444" t="s">
        <v>1581</v>
      </c>
      <c r="D298" s="444" t="s">
        <v>1661</v>
      </c>
      <c r="E298" s="444" t="s">
        <v>1826</v>
      </c>
      <c r="F298" s="444" t="s">
        <v>1827</v>
      </c>
      <c r="G298" s="448">
        <v>526</v>
      </c>
      <c r="H298" s="448">
        <v>67795.55</v>
      </c>
      <c r="I298" s="444">
        <v>1.0293541578161198</v>
      </c>
      <c r="J298" s="444">
        <v>128.88887832699621</v>
      </c>
      <c r="K298" s="448">
        <v>511</v>
      </c>
      <c r="L298" s="448">
        <v>65862.22</v>
      </c>
      <c r="M298" s="444">
        <v>1</v>
      </c>
      <c r="N298" s="444">
        <v>128.88888454011743</v>
      </c>
      <c r="O298" s="448">
        <v>553</v>
      </c>
      <c r="P298" s="448">
        <v>71275.55</v>
      </c>
      <c r="Q298" s="471">
        <v>1.0821917329844029</v>
      </c>
      <c r="R298" s="449">
        <v>128.88887884267632</v>
      </c>
    </row>
    <row r="299" spans="1:18" ht="14.4" customHeight="1" x14ac:dyDescent="0.3">
      <c r="A299" s="443"/>
      <c r="B299" s="444" t="s">
        <v>1780</v>
      </c>
      <c r="C299" s="444" t="s">
        <v>1581</v>
      </c>
      <c r="D299" s="444" t="s">
        <v>1661</v>
      </c>
      <c r="E299" s="444" t="s">
        <v>1720</v>
      </c>
      <c r="F299" s="444" t="s">
        <v>1721</v>
      </c>
      <c r="G299" s="448">
        <v>1412</v>
      </c>
      <c r="H299" s="448">
        <v>69031.12</v>
      </c>
      <c r="I299" s="444">
        <v>1.0428361056240025</v>
      </c>
      <c r="J299" s="444">
        <v>48.888895184135976</v>
      </c>
      <c r="K299" s="448">
        <v>1354</v>
      </c>
      <c r="L299" s="448">
        <v>66195.56</v>
      </c>
      <c r="M299" s="444">
        <v>1</v>
      </c>
      <c r="N299" s="444">
        <v>48.88889217134416</v>
      </c>
      <c r="O299" s="448">
        <v>1545</v>
      </c>
      <c r="P299" s="448">
        <v>75533.33</v>
      </c>
      <c r="Q299" s="471">
        <v>1.1410633885414672</v>
      </c>
      <c r="R299" s="449">
        <v>48.888886731391587</v>
      </c>
    </row>
    <row r="300" spans="1:18" ht="14.4" customHeight="1" x14ac:dyDescent="0.3">
      <c r="A300" s="443"/>
      <c r="B300" s="444" t="s">
        <v>1780</v>
      </c>
      <c r="C300" s="444" t="s">
        <v>1581</v>
      </c>
      <c r="D300" s="444" t="s">
        <v>1661</v>
      </c>
      <c r="E300" s="444" t="s">
        <v>1828</v>
      </c>
      <c r="F300" s="444" t="s">
        <v>1829</v>
      </c>
      <c r="G300" s="448">
        <v>1892</v>
      </c>
      <c r="H300" s="448">
        <v>1681777.78</v>
      </c>
      <c r="I300" s="444">
        <v>1.0221501987208281</v>
      </c>
      <c r="J300" s="444">
        <v>888.88889006342492</v>
      </c>
      <c r="K300" s="448">
        <v>1851</v>
      </c>
      <c r="L300" s="448">
        <v>1645333.32</v>
      </c>
      <c r="M300" s="444">
        <v>1</v>
      </c>
      <c r="N300" s="444">
        <v>888.88888168557537</v>
      </c>
      <c r="O300" s="448">
        <v>1791</v>
      </c>
      <c r="P300" s="448">
        <v>1592000.0100000002</v>
      </c>
      <c r="Q300" s="471">
        <v>0.96758510305984702</v>
      </c>
      <c r="R300" s="449">
        <v>888.88889447236193</v>
      </c>
    </row>
    <row r="301" spans="1:18" ht="14.4" customHeight="1" x14ac:dyDescent="0.3">
      <c r="A301" s="443"/>
      <c r="B301" s="444" t="s">
        <v>1780</v>
      </c>
      <c r="C301" s="444" t="s">
        <v>1581</v>
      </c>
      <c r="D301" s="444" t="s">
        <v>1661</v>
      </c>
      <c r="E301" s="444" t="s">
        <v>1830</v>
      </c>
      <c r="F301" s="444" t="s">
        <v>1831</v>
      </c>
      <c r="G301" s="448">
        <v>29</v>
      </c>
      <c r="H301" s="448">
        <v>9666.67</v>
      </c>
      <c r="I301" s="444">
        <v>0.72499988750005628</v>
      </c>
      <c r="J301" s="444">
        <v>333.33344827586205</v>
      </c>
      <c r="K301" s="448">
        <v>40</v>
      </c>
      <c r="L301" s="448">
        <v>13333.34</v>
      </c>
      <c r="M301" s="444">
        <v>1</v>
      </c>
      <c r="N301" s="444">
        <v>333.33350000000002</v>
      </c>
      <c r="O301" s="448">
        <v>40</v>
      </c>
      <c r="P301" s="448">
        <v>13333.34</v>
      </c>
      <c r="Q301" s="471">
        <v>1</v>
      </c>
      <c r="R301" s="449">
        <v>333.33350000000002</v>
      </c>
    </row>
    <row r="302" spans="1:18" ht="14.4" customHeight="1" x14ac:dyDescent="0.3">
      <c r="A302" s="443"/>
      <c r="B302" s="444" t="s">
        <v>1780</v>
      </c>
      <c r="C302" s="444" t="s">
        <v>1581</v>
      </c>
      <c r="D302" s="444" t="s">
        <v>1661</v>
      </c>
      <c r="E302" s="444" t="s">
        <v>1832</v>
      </c>
      <c r="F302" s="444" t="s">
        <v>1833</v>
      </c>
      <c r="G302" s="448"/>
      <c r="H302" s="448"/>
      <c r="I302" s="444"/>
      <c r="J302" s="444"/>
      <c r="K302" s="448"/>
      <c r="L302" s="448"/>
      <c r="M302" s="444"/>
      <c r="N302" s="444"/>
      <c r="O302" s="448">
        <v>1</v>
      </c>
      <c r="P302" s="448">
        <v>645.55999999999995</v>
      </c>
      <c r="Q302" s="471"/>
      <c r="R302" s="449">
        <v>645.55999999999995</v>
      </c>
    </row>
    <row r="303" spans="1:18" ht="14.4" customHeight="1" x14ac:dyDescent="0.3">
      <c r="A303" s="443"/>
      <c r="B303" s="444" t="s">
        <v>1780</v>
      </c>
      <c r="C303" s="444" t="s">
        <v>1581</v>
      </c>
      <c r="D303" s="444" t="s">
        <v>1661</v>
      </c>
      <c r="E303" s="444" t="s">
        <v>1726</v>
      </c>
      <c r="F303" s="444" t="s">
        <v>1727</v>
      </c>
      <c r="G303" s="448"/>
      <c r="H303" s="448"/>
      <c r="I303" s="444"/>
      <c r="J303" s="444"/>
      <c r="K303" s="448"/>
      <c r="L303" s="448"/>
      <c r="M303" s="444"/>
      <c r="N303" s="444"/>
      <c r="O303" s="448">
        <v>1</v>
      </c>
      <c r="P303" s="448">
        <v>222.22</v>
      </c>
      <c r="Q303" s="471"/>
      <c r="R303" s="449">
        <v>222.22</v>
      </c>
    </row>
    <row r="304" spans="1:18" ht="14.4" customHeight="1" thickBot="1" x14ac:dyDescent="0.35">
      <c r="A304" s="450"/>
      <c r="B304" s="451" t="s">
        <v>1780</v>
      </c>
      <c r="C304" s="451" t="s">
        <v>1581</v>
      </c>
      <c r="D304" s="451" t="s">
        <v>1661</v>
      </c>
      <c r="E304" s="451" t="s">
        <v>1834</v>
      </c>
      <c r="F304" s="451" t="s">
        <v>1835</v>
      </c>
      <c r="G304" s="455"/>
      <c r="H304" s="455"/>
      <c r="I304" s="451"/>
      <c r="J304" s="451"/>
      <c r="K304" s="455">
        <v>2</v>
      </c>
      <c r="L304" s="455">
        <v>466.66</v>
      </c>
      <c r="M304" s="451">
        <v>1</v>
      </c>
      <c r="N304" s="451">
        <v>233.33</v>
      </c>
      <c r="O304" s="455">
        <v>1</v>
      </c>
      <c r="P304" s="455">
        <v>233.33</v>
      </c>
      <c r="Q304" s="463">
        <v>0.5</v>
      </c>
      <c r="R304" s="456">
        <v>233.33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30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4" customWidth="1"/>
    <col min="2" max="2" width="8.6640625" style="114" bestFit="1" customWidth="1"/>
    <col min="3" max="3" width="6.109375" style="114" customWidth="1"/>
    <col min="4" max="4" width="27.77734375" style="114" customWidth="1"/>
    <col min="5" max="5" width="2.109375" style="114" bestFit="1" customWidth="1"/>
    <col min="6" max="6" width="8" style="114" customWidth="1"/>
    <col min="7" max="7" width="50.88671875" style="114" bestFit="1" customWidth="1" collapsed="1"/>
    <col min="8" max="9" width="11.109375" style="189" hidden="1" customWidth="1" outlineLevel="1"/>
    <col min="10" max="11" width="9.33203125" style="114" hidden="1" customWidth="1"/>
    <col min="12" max="13" width="11.109375" style="189" customWidth="1"/>
    <col min="14" max="15" width="9.33203125" style="114" hidden="1" customWidth="1"/>
    <col min="16" max="17" width="11.109375" style="189" customWidth="1"/>
    <col min="18" max="18" width="11.109375" style="192" customWidth="1"/>
    <col min="19" max="19" width="11.109375" style="189" customWidth="1"/>
    <col min="20" max="16384" width="8.88671875" style="114"/>
  </cols>
  <sheetData>
    <row r="1" spans="1:19" ht="18.600000000000001" customHeight="1" thickBot="1" x14ac:dyDescent="0.4">
      <c r="A1" s="320" t="s">
        <v>1837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</row>
    <row r="2" spans="1:19" ht="14.4" customHeight="1" thickBot="1" x14ac:dyDescent="0.35">
      <c r="A2" s="210" t="s">
        <v>233</v>
      </c>
      <c r="B2" s="179"/>
      <c r="C2" s="179"/>
      <c r="D2" s="179"/>
      <c r="E2" s="96"/>
      <c r="F2" s="96"/>
      <c r="G2" s="96"/>
      <c r="H2" s="205"/>
      <c r="I2" s="205"/>
      <c r="J2" s="96"/>
      <c r="K2" s="96"/>
      <c r="L2" s="205"/>
      <c r="M2" s="205"/>
      <c r="N2" s="96"/>
      <c r="O2" s="96"/>
      <c r="P2" s="205"/>
      <c r="Q2" s="205"/>
      <c r="R2" s="204"/>
      <c r="S2" s="205"/>
    </row>
    <row r="3" spans="1:19" ht="14.4" customHeight="1" thickBot="1" x14ac:dyDescent="0.35">
      <c r="G3" s="73" t="s">
        <v>108</v>
      </c>
      <c r="H3" s="88">
        <f t="shared" ref="H3:Q3" si="0">SUBTOTAL(9,H6:H1048576)</f>
        <v>52179</v>
      </c>
      <c r="I3" s="89">
        <f t="shared" si="0"/>
        <v>14485389.309999995</v>
      </c>
      <c r="J3" s="66"/>
      <c r="K3" s="66"/>
      <c r="L3" s="89">
        <f t="shared" si="0"/>
        <v>53369</v>
      </c>
      <c r="M3" s="89">
        <f t="shared" si="0"/>
        <v>13791947.240000006</v>
      </c>
      <c r="N3" s="66"/>
      <c r="O3" s="66"/>
      <c r="P3" s="89">
        <f t="shared" si="0"/>
        <v>54849</v>
      </c>
      <c r="Q3" s="89">
        <f t="shared" si="0"/>
        <v>13909791.069999998</v>
      </c>
      <c r="R3" s="67">
        <f>IF(M3=0,0,Q3/M3)</f>
        <v>1.0085443939096734</v>
      </c>
      <c r="S3" s="90">
        <f>IF(P3=0,0,Q3/P3)</f>
        <v>253.60154369268352</v>
      </c>
    </row>
    <row r="4" spans="1:19" ht="14.4" customHeight="1" x14ac:dyDescent="0.3">
      <c r="A4" s="386" t="s">
        <v>221</v>
      </c>
      <c r="B4" s="386" t="s">
        <v>82</v>
      </c>
      <c r="C4" s="394" t="s">
        <v>0</v>
      </c>
      <c r="D4" s="283" t="s">
        <v>116</v>
      </c>
      <c r="E4" s="388" t="s">
        <v>83</v>
      </c>
      <c r="F4" s="393" t="s">
        <v>58</v>
      </c>
      <c r="G4" s="389" t="s">
        <v>57</v>
      </c>
      <c r="H4" s="390">
        <v>2015</v>
      </c>
      <c r="I4" s="391"/>
      <c r="J4" s="87"/>
      <c r="K4" s="87"/>
      <c r="L4" s="390">
        <v>2016</v>
      </c>
      <c r="M4" s="391"/>
      <c r="N4" s="87"/>
      <c r="O4" s="87"/>
      <c r="P4" s="390">
        <v>2017</v>
      </c>
      <c r="Q4" s="391"/>
      <c r="R4" s="392" t="s">
        <v>2</v>
      </c>
      <c r="S4" s="387" t="s">
        <v>84</v>
      </c>
    </row>
    <row r="5" spans="1:19" ht="14.4" customHeight="1" thickBot="1" x14ac:dyDescent="0.35">
      <c r="A5" s="524"/>
      <c r="B5" s="524"/>
      <c r="C5" s="525"/>
      <c r="D5" s="534"/>
      <c r="E5" s="526"/>
      <c r="F5" s="527"/>
      <c r="G5" s="528"/>
      <c r="H5" s="529" t="s">
        <v>59</v>
      </c>
      <c r="I5" s="530" t="s">
        <v>14</v>
      </c>
      <c r="J5" s="531"/>
      <c r="K5" s="531"/>
      <c r="L5" s="529" t="s">
        <v>59</v>
      </c>
      <c r="M5" s="530" t="s">
        <v>14</v>
      </c>
      <c r="N5" s="531"/>
      <c r="O5" s="531"/>
      <c r="P5" s="529" t="s">
        <v>59</v>
      </c>
      <c r="Q5" s="530" t="s">
        <v>14</v>
      </c>
      <c r="R5" s="532"/>
      <c r="S5" s="533"/>
    </row>
    <row r="6" spans="1:19" ht="14.4" customHeight="1" x14ac:dyDescent="0.3">
      <c r="A6" s="436"/>
      <c r="B6" s="437" t="s">
        <v>1590</v>
      </c>
      <c r="C6" s="437" t="s">
        <v>426</v>
      </c>
      <c r="D6" s="437" t="s">
        <v>1580</v>
      </c>
      <c r="E6" s="437" t="s">
        <v>1591</v>
      </c>
      <c r="F6" s="437" t="s">
        <v>1592</v>
      </c>
      <c r="G6" s="437"/>
      <c r="H6" s="441"/>
      <c r="I6" s="441"/>
      <c r="J6" s="437"/>
      <c r="K6" s="437"/>
      <c r="L6" s="441"/>
      <c r="M6" s="441"/>
      <c r="N6" s="437"/>
      <c r="O6" s="437"/>
      <c r="P6" s="441">
        <v>1</v>
      </c>
      <c r="Q6" s="441">
        <v>277</v>
      </c>
      <c r="R6" s="462"/>
      <c r="S6" s="442">
        <v>277</v>
      </c>
    </row>
    <row r="7" spans="1:19" ht="14.4" customHeight="1" x14ac:dyDescent="0.3">
      <c r="A7" s="443"/>
      <c r="B7" s="444" t="s">
        <v>1590</v>
      </c>
      <c r="C7" s="444" t="s">
        <v>426</v>
      </c>
      <c r="D7" s="444" t="s">
        <v>1580</v>
      </c>
      <c r="E7" s="444" t="s">
        <v>1591</v>
      </c>
      <c r="F7" s="444" t="s">
        <v>1593</v>
      </c>
      <c r="G7" s="444"/>
      <c r="H7" s="448">
        <v>1</v>
      </c>
      <c r="I7" s="448">
        <v>333</v>
      </c>
      <c r="J7" s="444"/>
      <c r="K7" s="444">
        <v>333</v>
      </c>
      <c r="L7" s="448"/>
      <c r="M7" s="448"/>
      <c r="N7" s="444"/>
      <c r="O7" s="444"/>
      <c r="P7" s="448">
        <v>1</v>
      </c>
      <c r="Q7" s="448">
        <v>333</v>
      </c>
      <c r="R7" s="471"/>
      <c r="S7" s="449">
        <v>333</v>
      </c>
    </row>
    <row r="8" spans="1:19" ht="14.4" customHeight="1" x14ac:dyDescent="0.3">
      <c r="A8" s="443"/>
      <c r="B8" s="444" t="s">
        <v>1590</v>
      </c>
      <c r="C8" s="444" t="s">
        <v>426</v>
      </c>
      <c r="D8" s="444" t="s">
        <v>1580</v>
      </c>
      <c r="E8" s="444" t="s">
        <v>1591</v>
      </c>
      <c r="F8" s="444" t="s">
        <v>1594</v>
      </c>
      <c r="G8" s="444"/>
      <c r="H8" s="448">
        <v>59</v>
      </c>
      <c r="I8" s="448">
        <v>6667</v>
      </c>
      <c r="J8" s="444">
        <v>0.64130434782608692</v>
      </c>
      <c r="K8" s="444">
        <v>113</v>
      </c>
      <c r="L8" s="448">
        <v>92</v>
      </c>
      <c r="M8" s="448">
        <v>10396</v>
      </c>
      <c r="N8" s="444">
        <v>1</v>
      </c>
      <c r="O8" s="444">
        <v>113</v>
      </c>
      <c r="P8" s="448">
        <v>111</v>
      </c>
      <c r="Q8" s="448">
        <v>12543</v>
      </c>
      <c r="R8" s="471">
        <v>1.2065217391304348</v>
      </c>
      <c r="S8" s="449">
        <v>113</v>
      </c>
    </row>
    <row r="9" spans="1:19" ht="14.4" customHeight="1" x14ac:dyDescent="0.3">
      <c r="A9" s="443"/>
      <c r="B9" s="444" t="s">
        <v>1590</v>
      </c>
      <c r="C9" s="444" t="s">
        <v>426</v>
      </c>
      <c r="D9" s="444" t="s">
        <v>1580</v>
      </c>
      <c r="E9" s="444" t="s">
        <v>1591</v>
      </c>
      <c r="F9" s="444" t="s">
        <v>1595</v>
      </c>
      <c r="G9" s="444"/>
      <c r="H9" s="448"/>
      <c r="I9" s="448"/>
      <c r="J9" s="444"/>
      <c r="K9" s="444"/>
      <c r="L9" s="448">
        <v>1</v>
      </c>
      <c r="M9" s="448">
        <v>132</v>
      </c>
      <c r="N9" s="444">
        <v>1</v>
      </c>
      <c r="O9" s="444">
        <v>132</v>
      </c>
      <c r="P9" s="448">
        <v>1</v>
      </c>
      <c r="Q9" s="448">
        <v>132</v>
      </c>
      <c r="R9" s="471">
        <v>1</v>
      </c>
      <c r="S9" s="449">
        <v>132</v>
      </c>
    </row>
    <row r="10" spans="1:19" ht="14.4" customHeight="1" x14ac:dyDescent="0.3">
      <c r="A10" s="443"/>
      <c r="B10" s="444" t="s">
        <v>1590</v>
      </c>
      <c r="C10" s="444" t="s">
        <v>426</v>
      </c>
      <c r="D10" s="444" t="s">
        <v>1580</v>
      </c>
      <c r="E10" s="444" t="s">
        <v>1591</v>
      </c>
      <c r="F10" s="444" t="s">
        <v>1596</v>
      </c>
      <c r="G10" s="444"/>
      <c r="H10" s="448"/>
      <c r="I10" s="448"/>
      <c r="J10" s="444"/>
      <c r="K10" s="444"/>
      <c r="L10" s="448"/>
      <c r="M10" s="448"/>
      <c r="N10" s="444"/>
      <c r="O10" s="444"/>
      <c r="P10" s="448">
        <v>1</v>
      </c>
      <c r="Q10" s="448">
        <v>156</v>
      </c>
      <c r="R10" s="471"/>
      <c r="S10" s="449">
        <v>156</v>
      </c>
    </row>
    <row r="11" spans="1:19" ht="14.4" customHeight="1" x14ac:dyDescent="0.3">
      <c r="A11" s="443"/>
      <c r="B11" s="444" t="s">
        <v>1590</v>
      </c>
      <c r="C11" s="444" t="s">
        <v>426</v>
      </c>
      <c r="D11" s="444" t="s">
        <v>1580</v>
      </c>
      <c r="E11" s="444" t="s">
        <v>1591</v>
      </c>
      <c r="F11" s="444" t="s">
        <v>1597</v>
      </c>
      <c r="G11" s="444"/>
      <c r="H11" s="448">
        <v>13</v>
      </c>
      <c r="I11" s="448">
        <v>2847</v>
      </c>
      <c r="J11" s="444">
        <v>1.4444444444444444</v>
      </c>
      <c r="K11" s="444">
        <v>219</v>
      </c>
      <c r="L11" s="448">
        <v>9</v>
      </c>
      <c r="M11" s="448">
        <v>1971</v>
      </c>
      <c r="N11" s="444">
        <v>1</v>
      </c>
      <c r="O11" s="444">
        <v>219</v>
      </c>
      <c r="P11" s="448">
        <v>10</v>
      </c>
      <c r="Q11" s="448">
        <v>2190</v>
      </c>
      <c r="R11" s="471">
        <v>1.1111111111111112</v>
      </c>
      <c r="S11" s="449">
        <v>219</v>
      </c>
    </row>
    <row r="12" spans="1:19" ht="14.4" customHeight="1" x14ac:dyDescent="0.3">
      <c r="A12" s="443"/>
      <c r="B12" s="444" t="s">
        <v>1590</v>
      </c>
      <c r="C12" s="444" t="s">
        <v>426</v>
      </c>
      <c r="D12" s="444" t="s">
        <v>1580</v>
      </c>
      <c r="E12" s="444" t="s">
        <v>1591</v>
      </c>
      <c r="F12" s="444" t="s">
        <v>1598</v>
      </c>
      <c r="G12" s="444"/>
      <c r="H12" s="448">
        <v>11</v>
      </c>
      <c r="I12" s="448">
        <v>2596</v>
      </c>
      <c r="J12" s="444">
        <v>1.1000000000000001</v>
      </c>
      <c r="K12" s="444">
        <v>236</v>
      </c>
      <c r="L12" s="448">
        <v>10</v>
      </c>
      <c r="M12" s="448">
        <v>2360</v>
      </c>
      <c r="N12" s="444">
        <v>1</v>
      </c>
      <c r="O12" s="444">
        <v>236</v>
      </c>
      <c r="P12" s="448">
        <v>8</v>
      </c>
      <c r="Q12" s="448">
        <v>1888</v>
      </c>
      <c r="R12" s="471">
        <v>0.8</v>
      </c>
      <c r="S12" s="449">
        <v>236</v>
      </c>
    </row>
    <row r="13" spans="1:19" ht="14.4" customHeight="1" x14ac:dyDescent="0.3">
      <c r="A13" s="443"/>
      <c r="B13" s="444" t="s">
        <v>1590</v>
      </c>
      <c r="C13" s="444" t="s">
        <v>426</v>
      </c>
      <c r="D13" s="444" t="s">
        <v>1580</v>
      </c>
      <c r="E13" s="444" t="s">
        <v>1591</v>
      </c>
      <c r="F13" s="444" t="s">
        <v>1599</v>
      </c>
      <c r="G13" s="444"/>
      <c r="H13" s="448">
        <v>23</v>
      </c>
      <c r="I13" s="448">
        <v>3588</v>
      </c>
      <c r="J13" s="444">
        <v>0.71875</v>
      </c>
      <c r="K13" s="444">
        <v>156</v>
      </c>
      <c r="L13" s="448">
        <v>32</v>
      </c>
      <c r="M13" s="448">
        <v>4992</v>
      </c>
      <c r="N13" s="444">
        <v>1</v>
      </c>
      <c r="O13" s="444">
        <v>156</v>
      </c>
      <c r="P13" s="448">
        <v>39</v>
      </c>
      <c r="Q13" s="448">
        <v>6084</v>
      </c>
      <c r="R13" s="471">
        <v>1.21875</v>
      </c>
      <c r="S13" s="449">
        <v>156</v>
      </c>
    </row>
    <row r="14" spans="1:19" ht="14.4" customHeight="1" x14ac:dyDescent="0.3">
      <c r="A14" s="443"/>
      <c r="B14" s="444" t="s">
        <v>1590</v>
      </c>
      <c r="C14" s="444" t="s">
        <v>426</v>
      </c>
      <c r="D14" s="444" t="s">
        <v>1580</v>
      </c>
      <c r="E14" s="444" t="s">
        <v>1591</v>
      </c>
      <c r="F14" s="444" t="s">
        <v>1600</v>
      </c>
      <c r="G14" s="444"/>
      <c r="H14" s="448">
        <v>12</v>
      </c>
      <c r="I14" s="448">
        <v>2280</v>
      </c>
      <c r="J14" s="444">
        <v>1.2</v>
      </c>
      <c r="K14" s="444">
        <v>190</v>
      </c>
      <c r="L14" s="448">
        <v>10</v>
      </c>
      <c r="M14" s="448">
        <v>1900</v>
      </c>
      <c r="N14" s="444">
        <v>1</v>
      </c>
      <c r="O14" s="444">
        <v>190</v>
      </c>
      <c r="P14" s="448">
        <v>21</v>
      </c>
      <c r="Q14" s="448">
        <v>3990</v>
      </c>
      <c r="R14" s="471">
        <v>2.1</v>
      </c>
      <c r="S14" s="449">
        <v>190</v>
      </c>
    </row>
    <row r="15" spans="1:19" ht="14.4" customHeight="1" x14ac:dyDescent="0.3">
      <c r="A15" s="443"/>
      <c r="B15" s="444" t="s">
        <v>1590</v>
      </c>
      <c r="C15" s="444" t="s">
        <v>426</v>
      </c>
      <c r="D15" s="444" t="s">
        <v>1580</v>
      </c>
      <c r="E15" s="444" t="s">
        <v>1591</v>
      </c>
      <c r="F15" s="444" t="s">
        <v>1601</v>
      </c>
      <c r="G15" s="444"/>
      <c r="H15" s="448">
        <v>10</v>
      </c>
      <c r="I15" s="448">
        <v>840</v>
      </c>
      <c r="J15" s="444">
        <v>5</v>
      </c>
      <c r="K15" s="444">
        <v>84</v>
      </c>
      <c r="L15" s="448">
        <v>2</v>
      </c>
      <c r="M15" s="448">
        <v>168</v>
      </c>
      <c r="N15" s="444">
        <v>1</v>
      </c>
      <c r="O15" s="444">
        <v>84</v>
      </c>
      <c r="P15" s="448">
        <v>4</v>
      </c>
      <c r="Q15" s="448">
        <v>336</v>
      </c>
      <c r="R15" s="471">
        <v>2</v>
      </c>
      <c r="S15" s="449">
        <v>84</v>
      </c>
    </row>
    <row r="16" spans="1:19" ht="14.4" customHeight="1" x14ac:dyDescent="0.3">
      <c r="A16" s="443"/>
      <c r="B16" s="444" t="s">
        <v>1590</v>
      </c>
      <c r="C16" s="444" t="s">
        <v>426</v>
      </c>
      <c r="D16" s="444" t="s">
        <v>1580</v>
      </c>
      <c r="E16" s="444" t="s">
        <v>1591</v>
      </c>
      <c r="F16" s="444" t="s">
        <v>1602</v>
      </c>
      <c r="G16" s="444"/>
      <c r="H16" s="448">
        <v>7</v>
      </c>
      <c r="I16" s="448">
        <v>735</v>
      </c>
      <c r="J16" s="444"/>
      <c r="K16" s="444">
        <v>105</v>
      </c>
      <c r="L16" s="448"/>
      <c r="M16" s="448"/>
      <c r="N16" s="444"/>
      <c r="O16" s="444"/>
      <c r="P16" s="448">
        <v>13</v>
      </c>
      <c r="Q16" s="448">
        <v>1365</v>
      </c>
      <c r="R16" s="471"/>
      <c r="S16" s="449">
        <v>105</v>
      </c>
    </row>
    <row r="17" spans="1:19" ht="14.4" customHeight="1" x14ac:dyDescent="0.3">
      <c r="A17" s="443"/>
      <c r="B17" s="444" t="s">
        <v>1590</v>
      </c>
      <c r="C17" s="444" t="s">
        <v>426</v>
      </c>
      <c r="D17" s="444" t="s">
        <v>1580</v>
      </c>
      <c r="E17" s="444" t="s">
        <v>1591</v>
      </c>
      <c r="F17" s="444" t="s">
        <v>1603</v>
      </c>
      <c r="G17" s="444"/>
      <c r="H17" s="448">
        <v>56</v>
      </c>
      <c r="I17" s="448">
        <v>33376</v>
      </c>
      <c r="J17" s="444">
        <v>1.75</v>
      </c>
      <c r="K17" s="444">
        <v>596</v>
      </c>
      <c r="L17" s="448">
        <v>32</v>
      </c>
      <c r="M17" s="448">
        <v>19072</v>
      </c>
      <c r="N17" s="444">
        <v>1</v>
      </c>
      <c r="O17" s="444">
        <v>596</v>
      </c>
      <c r="P17" s="448">
        <v>7</v>
      </c>
      <c r="Q17" s="448">
        <v>4172</v>
      </c>
      <c r="R17" s="471">
        <v>0.21875</v>
      </c>
      <c r="S17" s="449">
        <v>596</v>
      </c>
    </row>
    <row r="18" spans="1:19" ht="14.4" customHeight="1" x14ac:dyDescent="0.3">
      <c r="A18" s="443"/>
      <c r="B18" s="444" t="s">
        <v>1590</v>
      </c>
      <c r="C18" s="444" t="s">
        <v>426</v>
      </c>
      <c r="D18" s="444" t="s">
        <v>1580</v>
      </c>
      <c r="E18" s="444" t="s">
        <v>1591</v>
      </c>
      <c r="F18" s="444" t="s">
        <v>1604</v>
      </c>
      <c r="G18" s="444"/>
      <c r="H18" s="448">
        <v>7</v>
      </c>
      <c r="I18" s="448">
        <v>4662</v>
      </c>
      <c r="J18" s="444">
        <v>2.3333333333333335</v>
      </c>
      <c r="K18" s="444">
        <v>666</v>
      </c>
      <c r="L18" s="448">
        <v>3</v>
      </c>
      <c r="M18" s="448">
        <v>1998</v>
      </c>
      <c r="N18" s="444">
        <v>1</v>
      </c>
      <c r="O18" s="444">
        <v>666</v>
      </c>
      <c r="P18" s="448">
        <v>3</v>
      </c>
      <c r="Q18" s="448">
        <v>1998</v>
      </c>
      <c r="R18" s="471">
        <v>1</v>
      </c>
      <c r="S18" s="449">
        <v>666</v>
      </c>
    </row>
    <row r="19" spans="1:19" ht="14.4" customHeight="1" x14ac:dyDescent="0.3">
      <c r="A19" s="443"/>
      <c r="B19" s="444" t="s">
        <v>1590</v>
      </c>
      <c r="C19" s="444" t="s">
        <v>426</v>
      </c>
      <c r="D19" s="444" t="s">
        <v>1580</v>
      </c>
      <c r="E19" s="444" t="s">
        <v>1591</v>
      </c>
      <c r="F19" s="444" t="s">
        <v>1605</v>
      </c>
      <c r="G19" s="444"/>
      <c r="H19" s="448">
        <v>44</v>
      </c>
      <c r="I19" s="448">
        <v>51568</v>
      </c>
      <c r="J19" s="444">
        <v>4</v>
      </c>
      <c r="K19" s="444">
        <v>1172</v>
      </c>
      <c r="L19" s="448">
        <v>11</v>
      </c>
      <c r="M19" s="448">
        <v>12892</v>
      </c>
      <c r="N19" s="444">
        <v>1</v>
      </c>
      <c r="O19" s="444">
        <v>1172</v>
      </c>
      <c r="P19" s="448">
        <v>13</v>
      </c>
      <c r="Q19" s="448">
        <v>15236</v>
      </c>
      <c r="R19" s="471">
        <v>1.1818181818181819</v>
      </c>
      <c r="S19" s="449">
        <v>1172</v>
      </c>
    </row>
    <row r="20" spans="1:19" ht="14.4" customHeight="1" x14ac:dyDescent="0.3">
      <c r="A20" s="443"/>
      <c r="B20" s="444" t="s">
        <v>1590</v>
      </c>
      <c r="C20" s="444" t="s">
        <v>426</v>
      </c>
      <c r="D20" s="444" t="s">
        <v>1580</v>
      </c>
      <c r="E20" s="444" t="s">
        <v>1591</v>
      </c>
      <c r="F20" s="444" t="s">
        <v>1606</v>
      </c>
      <c r="G20" s="444"/>
      <c r="H20" s="448">
        <v>38</v>
      </c>
      <c r="I20" s="448">
        <v>30400</v>
      </c>
      <c r="J20" s="444">
        <v>1.9</v>
      </c>
      <c r="K20" s="444">
        <v>800</v>
      </c>
      <c r="L20" s="448">
        <v>20</v>
      </c>
      <c r="M20" s="448">
        <v>16000</v>
      </c>
      <c r="N20" s="444">
        <v>1</v>
      </c>
      <c r="O20" s="444">
        <v>800</v>
      </c>
      <c r="P20" s="448">
        <v>26</v>
      </c>
      <c r="Q20" s="448">
        <v>20800</v>
      </c>
      <c r="R20" s="471">
        <v>1.3</v>
      </c>
      <c r="S20" s="449">
        <v>800</v>
      </c>
    </row>
    <row r="21" spans="1:19" ht="14.4" customHeight="1" x14ac:dyDescent="0.3">
      <c r="A21" s="443"/>
      <c r="B21" s="444" t="s">
        <v>1590</v>
      </c>
      <c r="C21" s="444" t="s">
        <v>426</v>
      </c>
      <c r="D21" s="444" t="s">
        <v>1580</v>
      </c>
      <c r="E21" s="444" t="s">
        <v>1591</v>
      </c>
      <c r="F21" s="444" t="s">
        <v>1607</v>
      </c>
      <c r="G21" s="444"/>
      <c r="H21" s="448">
        <v>9</v>
      </c>
      <c r="I21" s="448">
        <v>6705</v>
      </c>
      <c r="J21" s="444">
        <v>3</v>
      </c>
      <c r="K21" s="444">
        <v>745</v>
      </c>
      <c r="L21" s="448">
        <v>3</v>
      </c>
      <c r="M21" s="448">
        <v>2235</v>
      </c>
      <c r="N21" s="444">
        <v>1</v>
      </c>
      <c r="O21" s="444">
        <v>745</v>
      </c>
      <c r="P21" s="448">
        <v>1</v>
      </c>
      <c r="Q21" s="448">
        <v>745</v>
      </c>
      <c r="R21" s="471">
        <v>0.33333333333333331</v>
      </c>
      <c r="S21" s="449">
        <v>745</v>
      </c>
    </row>
    <row r="22" spans="1:19" ht="14.4" customHeight="1" x14ac:dyDescent="0.3">
      <c r="A22" s="443"/>
      <c r="B22" s="444" t="s">
        <v>1590</v>
      </c>
      <c r="C22" s="444" t="s">
        <v>426</v>
      </c>
      <c r="D22" s="444" t="s">
        <v>1580</v>
      </c>
      <c r="E22" s="444" t="s">
        <v>1591</v>
      </c>
      <c r="F22" s="444" t="s">
        <v>1608</v>
      </c>
      <c r="G22" s="444"/>
      <c r="H22" s="448">
        <v>39</v>
      </c>
      <c r="I22" s="448">
        <v>29055</v>
      </c>
      <c r="J22" s="444">
        <v>1.0540540540540539</v>
      </c>
      <c r="K22" s="444">
        <v>745</v>
      </c>
      <c r="L22" s="448">
        <v>37</v>
      </c>
      <c r="M22" s="448">
        <v>27565</v>
      </c>
      <c r="N22" s="444">
        <v>1</v>
      </c>
      <c r="O22" s="444">
        <v>745</v>
      </c>
      <c r="P22" s="448">
        <v>62</v>
      </c>
      <c r="Q22" s="448">
        <v>46190</v>
      </c>
      <c r="R22" s="471">
        <v>1.6756756756756757</v>
      </c>
      <c r="S22" s="449">
        <v>745</v>
      </c>
    </row>
    <row r="23" spans="1:19" ht="14.4" customHeight="1" x14ac:dyDescent="0.3">
      <c r="A23" s="443"/>
      <c r="B23" s="444" t="s">
        <v>1590</v>
      </c>
      <c r="C23" s="444" t="s">
        <v>426</v>
      </c>
      <c r="D23" s="444" t="s">
        <v>1580</v>
      </c>
      <c r="E23" s="444" t="s">
        <v>1591</v>
      </c>
      <c r="F23" s="444" t="s">
        <v>1609</v>
      </c>
      <c r="G23" s="444"/>
      <c r="H23" s="448">
        <v>10</v>
      </c>
      <c r="I23" s="448">
        <v>5920</v>
      </c>
      <c r="J23" s="444">
        <v>2.5</v>
      </c>
      <c r="K23" s="444">
        <v>592</v>
      </c>
      <c r="L23" s="448">
        <v>4</v>
      </c>
      <c r="M23" s="448">
        <v>2368</v>
      </c>
      <c r="N23" s="444">
        <v>1</v>
      </c>
      <c r="O23" s="444">
        <v>592</v>
      </c>
      <c r="P23" s="448">
        <v>7</v>
      </c>
      <c r="Q23" s="448">
        <v>4144</v>
      </c>
      <c r="R23" s="471">
        <v>1.75</v>
      </c>
      <c r="S23" s="449">
        <v>592</v>
      </c>
    </row>
    <row r="24" spans="1:19" ht="14.4" customHeight="1" x14ac:dyDescent="0.3">
      <c r="A24" s="443"/>
      <c r="B24" s="444" t="s">
        <v>1590</v>
      </c>
      <c r="C24" s="444" t="s">
        <v>426</v>
      </c>
      <c r="D24" s="444" t="s">
        <v>1580</v>
      </c>
      <c r="E24" s="444" t="s">
        <v>1591</v>
      </c>
      <c r="F24" s="444" t="s">
        <v>1610</v>
      </c>
      <c r="G24" s="444"/>
      <c r="H24" s="448">
        <v>106</v>
      </c>
      <c r="I24" s="448">
        <v>59466</v>
      </c>
      <c r="J24" s="444">
        <v>1.2183908045977012</v>
      </c>
      <c r="K24" s="444">
        <v>561</v>
      </c>
      <c r="L24" s="448">
        <v>87</v>
      </c>
      <c r="M24" s="448">
        <v>48807</v>
      </c>
      <c r="N24" s="444">
        <v>1</v>
      </c>
      <c r="O24" s="444">
        <v>561</v>
      </c>
      <c r="P24" s="448">
        <v>71</v>
      </c>
      <c r="Q24" s="448">
        <v>39831</v>
      </c>
      <c r="R24" s="471">
        <v>0.81609195402298851</v>
      </c>
      <c r="S24" s="449">
        <v>561</v>
      </c>
    </row>
    <row r="25" spans="1:19" ht="14.4" customHeight="1" x14ac:dyDescent="0.3">
      <c r="A25" s="443"/>
      <c r="B25" s="444" t="s">
        <v>1590</v>
      </c>
      <c r="C25" s="444" t="s">
        <v>426</v>
      </c>
      <c r="D25" s="444" t="s">
        <v>1580</v>
      </c>
      <c r="E25" s="444" t="s">
        <v>1591</v>
      </c>
      <c r="F25" s="444" t="s">
        <v>1611</v>
      </c>
      <c r="G25" s="444"/>
      <c r="H25" s="448">
        <v>111</v>
      </c>
      <c r="I25" s="448">
        <v>57609</v>
      </c>
      <c r="J25" s="444">
        <v>2.8461538461538463</v>
      </c>
      <c r="K25" s="444">
        <v>519</v>
      </c>
      <c r="L25" s="448">
        <v>39</v>
      </c>
      <c r="M25" s="448">
        <v>20241</v>
      </c>
      <c r="N25" s="444">
        <v>1</v>
      </c>
      <c r="O25" s="444">
        <v>519</v>
      </c>
      <c r="P25" s="448">
        <v>93</v>
      </c>
      <c r="Q25" s="448">
        <v>48267</v>
      </c>
      <c r="R25" s="471">
        <v>2.3846153846153846</v>
      </c>
      <c r="S25" s="449">
        <v>519</v>
      </c>
    </row>
    <row r="26" spans="1:19" ht="14.4" customHeight="1" x14ac:dyDescent="0.3">
      <c r="A26" s="443"/>
      <c r="B26" s="444" t="s">
        <v>1590</v>
      </c>
      <c r="C26" s="444" t="s">
        <v>426</v>
      </c>
      <c r="D26" s="444" t="s">
        <v>1580</v>
      </c>
      <c r="E26" s="444" t="s">
        <v>1591</v>
      </c>
      <c r="F26" s="444" t="s">
        <v>1612</v>
      </c>
      <c r="G26" s="444"/>
      <c r="H26" s="448">
        <v>6</v>
      </c>
      <c r="I26" s="448">
        <v>1926</v>
      </c>
      <c r="J26" s="444">
        <v>2</v>
      </c>
      <c r="K26" s="444">
        <v>321</v>
      </c>
      <c r="L26" s="448">
        <v>3</v>
      </c>
      <c r="M26" s="448">
        <v>963</v>
      </c>
      <c r="N26" s="444">
        <v>1</v>
      </c>
      <c r="O26" s="444">
        <v>321</v>
      </c>
      <c r="P26" s="448">
        <v>1</v>
      </c>
      <c r="Q26" s="448">
        <v>321</v>
      </c>
      <c r="R26" s="471">
        <v>0.33333333333333331</v>
      </c>
      <c r="S26" s="449">
        <v>321</v>
      </c>
    </row>
    <row r="27" spans="1:19" ht="14.4" customHeight="1" x14ac:dyDescent="0.3">
      <c r="A27" s="443"/>
      <c r="B27" s="444" t="s">
        <v>1590</v>
      </c>
      <c r="C27" s="444" t="s">
        <v>426</v>
      </c>
      <c r="D27" s="444" t="s">
        <v>1580</v>
      </c>
      <c r="E27" s="444" t="s">
        <v>1591</v>
      </c>
      <c r="F27" s="444" t="s">
        <v>1613</v>
      </c>
      <c r="G27" s="444"/>
      <c r="H27" s="448">
        <v>10</v>
      </c>
      <c r="I27" s="448">
        <v>3210</v>
      </c>
      <c r="J27" s="444">
        <v>3.3333333333333335</v>
      </c>
      <c r="K27" s="444">
        <v>321</v>
      </c>
      <c r="L27" s="448">
        <v>3</v>
      </c>
      <c r="M27" s="448">
        <v>963</v>
      </c>
      <c r="N27" s="444">
        <v>1</v>
      </c>
      <c r="O27" s="444">
        <v>321</v>
      </c>
      <c r="P27" s="448">
        <v>4</v>
      </c>
      <c r="Q27" s="448">
        <v>1284</v>
      </c>
      <c r="R27" s="471">
        <v>1.3333333333333333</v>
      </c>
      <c r="S27" s="449">
        <v>321</v>
      </c>
    </row>
    <row r="28" spans="1:19" ht="14.4" customHeight="1" x14ac:dyDescent="0.3">
      <c r="A28" s="443"/>
      <c r="B28" s="444" t="s">
        <v>1590</v>
      </c>
      <c r="C28" s="444" t="s">
        <v>426</v>
      </c>
      <c r="D28" s="444" t="s">
        <v>1580</v>
      </c>
      <c r="E28" s="444" t="s">
        <v>1591</v>
      </c>
      <c r="F28" s="444" t="s">
        <v>1614</v>
      </c>
      <c r="G28" s="444"/>
      <c r="H28" s="448">
        <v>62</v>
      </c>
      <c r="I28" s="448">
        <v>19902</v>
      </c>
      <c r="J28" s="444">
        <v>2.2142857142857144</v>
      </c>
      <c r="K28" s="444">
        <v>321</v>
      </c>
      <c r="L28" s="448">
        <v>28</v>
      </c>
      <c r="M28" s="448">
        <v>8988</v>
      </c>
      <c r="N28" s="444">
        <v>1</v>
      </c>
      <c r="O28" s="444">
        <v>321</v>
      </c>
      <c r="P28" s="448">
        <v>69</v>
      </c>
      <c r="Q28" s="448">
        <v>22149</v>
      </c>
      <c r="R28" s="471">
        <v>2.4642857142857144</v>
      </c>
      <c r="S28" s="449">
        <v>321</v>
      </c>
    </row>
    <row r="29" spans="1:19" ht="14.4" customHeight="1" x14ac:dyDescent="0.3">
      <c r="A29" s="443"/>
      <c r="B29" s="444" t="s">
        <v>1590</v>
      </c>
      <c r="C29" s="444" t="s">
        <v>426</v>
      </c>
      <c r="D29" s="444" t="s">
        <v>1580</v>
      </c>
      <c r="E29" s="444" t="s">
        <v>1591</v>
      </c>
      <c r="F29" s="444" t="s">
        <v>1615</v>
      </c>
      <c r="G29" s="444"/>
      <c r="H29" s="448">
        <v>2</v>
      </c>
      <c r="I29" s="448">
        <v>2460</v>
      </c>
      <c r="J29" s="444"/>
      <c r="K29" s="444">
        <v>1230</v>
      </c>
      <c r="L29" s="448"/>
      <c r="M29" s="448"/>
      <c r="N29" s="444"/>
      <c r="O29" s="444"/>
      <c r="P29" s="448">
        <v>4</v>
      </c>
      <c r="Q29" s="448">
        <v>4920</v>
      </c>
      <c r="R29" s="471"/>
      <c r="S29" s="449">
        <v>1230</v>
      </c>
    </row>
    <row r="30" spans="1:19" ht="14.4" customHeight="1" x14ac:dyDescent="0.3">
      <c r="A30" s="443"/>
      <c r="B30" s="444" t="s">
        <v>1590</v>
      </c>
      <c r="C30" s="444" t="s">
        <v>426</v>
      </c>
      <c r="D30" s="444" t="s">
        <v>1580</v>
      </c>
      <c r="E30" s="444" t="s">
        <v>1591</v>
      </c>
      <c r="F30" s="444" t="s">
        <v>1616</v>
      </c>
      <c r="G30" s="444"/>
      <c r="H30" s="448">
        <v>97</v>
      </c>
      <c r="I30" s="448">
        <v>27354</v>
      </c>
      <c r="J30" s="444">
        <v>1.4923076923076923</v>
      </c>
      <c r="K30" s="444">
        <v>282</v>
      </c>
      <c r="L30" s="448">
        <v>65</v>
      </c>
      <c r="M30" s="448">
        <v>18330</v>
      </c>
      <c r="N30" s="444">
        <v>1</v>
      </c>
      <c r="O30" s="444">
        <v>282</v>
      </c>
      <c r="P30" s="448">
        <v>66</v>
      </c>
      <c r="Q30" s="448">
        <v>18612</v>
      </c>
      <c r="R30" s="471">
        <v>1.0153846153846153</v>
      </c>
      <c r="S30" s="449">
        <v>282</v>
      </c>
    </row>
    <row r="31" spans="1:19" ht="14.4" customHeight="1" x14ac:dyDescent="0.3">
      <c r="A31" s="443"/>
      <c r="B31" s="444" t="s">
        <v>1590</v>
      </c>
      <c r="C31" s="444" t="s">
        <v>426</v>
      </c>
      <c r="D31" s="444" t="s">
        <v>1580</v>
      </c>
      <c r="E31" s="444" t="s">
        <v>1591</v>
      </c>
      <c r="F31" s="444" t="s">
        <v>1617</v>
      </c>
      <c r="G31" s="444"/>
      <c r="H31" s="448">
        <v>38</v>
      </c>
      <c r="I31" s="448">
        <v>25802</v>
      </c>
      <c r="J31" s="444">
        <v>1.5833333333333333</v>
      </c>
      <c r="K31" s="444">
        <v>679</v>
      </c>
      <c r="L31" s="448">
        <v>24</v>
      </c>
      <c r="M31" s="448">
        <v>16296</v>
      </c>
      <c r="N31" s="444">
        <v>1</v>
      </c>
      <c r="O31" s="444">
        <v>679</v>
      </c>
      <c r="P31" s="448">
        <v>27</v>
      </c>
      <c r="Q31" s="448">
        <v>18333</v>
      </c>
      <c r="R31" s="471">
        <v>1.125</v>
      </c>
      <c r="S31" s="449">
        <v>679</v>
      </c>
    </row>
    <row r="32" spans="1:19" ht="14.4" customHeight="1" x14ac:dyDescent="0.3">
      <c r="A32" s="443"/>
      <c r="B32" s="444" t="s">
        <v>1590</v>
      </c>
      <c r="C32" s="444" t="s">
        <v>426</v>
      </c>
      <c r="D32" s="444" t="s">
        <v>1580</v>
      </c>
      <c r="E32" s="444" t="s">
        <v>1591</v>
      </c>
      <c r="F32" s="444" t="s">
        <v>1618</v>
      </c>
      <c r="G32" s="444"/>
      <c r="H32" s="448">
        <v>23</v>
      </c>
      <c r="I32" s="448">
        <v>21367</v>
      </c>
      <c r="J32" s="444">
        <v>1.7692307692307692</v>
      </c>
      <c r="K32" s="444">
        <v>929</v>
      </c>
      <c r="L32" s="448">
        <v>13</v>
      </c>
      <c r="M32" s="448">
        <v>12077</v>
      </c>
      <c r="N32" s="444">
        <v>1</v>
      </c>
      <c r="O32" s="444">
        <v>929</v>
      </c>
      <c r="P32" s="448">
        <v>20</v>
      </c>
      <c r="Q32" s="448">
        <v>18580</v>
      </c>
      <c r="R32" s="471">
        <v>1.5384615384615385</v>
      </c>
      <c r="S32" s="449">
        <v>929</v>
      </c>
    </row>
    <row r="33" spans="1:19" ht="14.4" customHeight="1" x14ac:dyDescent="0.3">
      <c r="A33" s="443"/>
      <c r="B33" s="444" t="s">
        <v>1590</v>
      </c>
      <c r="C33" s="444" t="s">
        <v>426</v>
      </c>
      <c r="D33" s="444" t="s">
        <v>1580</v>
      </c>
      <c r="E33" s="444" t="s">
        <v>1591</v>
      </c>
      <c r="F33" s="444" t="s">
        <v>1619</v>
      </c>
      <c r="G33" s="444"/>
      <c r="H33" s="448">
        <v>2</v>
      </c>
      <c r="I33" s="448">
        <v>416</v>
      </c>
      <c r="J33" s="444">
        <v>2</v>
      </c>
      <c r="K33" s="444">
        <v>208</v>
      </c>
      <c r="L33" s="448">
        <v>1</v>
      </c>
      <c r="M33" s="448">
        <v>208</v>
      </c>
      <c r="N33" s="444">
        <v>1</v>
      </c>
      <c r="O33" s="444">
        <v>208</v>
      </c>
      <c r="P33" s="448"/>
      <c r="Q33" s="448"/>
      <c r="R33" s="471"/>
      <c r="S33" s="449"/>
    </row>
    <row r="34" spans="1:19" ht="14.4" customHeight="1" x14ac:dyDescent="0.3">
      <c r="A34" s="443"/>
      <c r="B34" s="444" t="s">
        <v>1590</v>
      </c>
      <c r="C34" s="444" t="s">
        <v>426</v>
      </c>
      <c r="D34" s="444" t="s">
        <v>1580</v>
      </c>
      <c r="E34" s="444" t="s">
        <v>1591</v>
      </c>
      <c r="F34" s="444" t="s">
        <v>1620</v>
      </c>
      <c r="G34" s="444"/>
      <c r="H34" s="448">
        <v>1</v>
      </c>
      <c r="I34" s="448">
        <v>508</v>
      </c>
      <c r="J34" s="444"/>
      <c r="K34" s="444">
        <v>508</v>
      </c>
      <c r="L34" s="448"/>
      <c r="M34" s="448"/>
      <c r="N34" s="444"/>
      <c r="O34" s="444"/>
      <c r="P34" s="448"/>
      <c r="Q34" s="448"/>
      <c r="R34" s="471"/>
      <c r="S34" s="449"/>
    </row>
    <row r="35" spans="1:19" ht="14.4" customHeight="1" x14ac:dyDescent="0.3">
      <c r="A35" s="443"/>
      <c r="B35" s="444" t="s">
        <v>1590</v>
      </c>
      <c r="C35" s="444" t="s">
        <v>426</v>
      </c>
      <c r="D35" s="444" t="s">
        <v>1580</v>
      </c>
      <c r="E35" s="444" t="s">
        <v>1591</v>
      </c>
      <c r="F35" s="444" t="s">
        <v>1621</v>
      </c>
      <c r="G35" s="444"/>
      <c r="H35" s="448">
        <v>49</v>
      </c>
      <c r="I35" s="448">
        <v>85260</v>
      </c>
      <c r="J35" s="444">
        <v>2.4500000000000002</v>
      </c>
      <c r="K35" s="444">
        <v>1740</v>
      </c>
      <c r="L35" s="448">
        <v>20</v>
      </c>
      <c r="M35" s="448">
        <v>34800</v>
      </c>
      <c r="N35" s="444">
        <v>1</v>
      </c>
      <c r="O35" s="444">
        <v>1740</v>
      </c>
      <c r="P35" s="448">
        <v>44</v>
      </c>
      <c r="Q35" s="448">
        <v>88000</v>
      </c>
      <c r="R35" s="471">
        <v>2.5287356321839081</v>
      </c>
      <c r="S35" s="449">
        <v>2000</v>
      </c>
    </row>
    <row r="36" spans="1:19" ht="14.4" customHeight="1" x14ac:dyDescent="0.3">
      <c r="A36" s="443"/>
      <c r="B36" s="444" t="s">
        <v>1590</v>
      </c>
      <c r="C36" s="444" t="s">
        <v>426</v>
      </c>
      <c r="D36" s="444" t="s">
        <v>1580</v>
      </c>
      <c r="E36" s="444" t="s">
        <v>1591</v>
      </c>
      <c r="F36" s="444" t="s">
        <v>1622</v>
      </c>
      <c r="G36" s="444"/>
      <c r="H36" s="448">
        <v>19</v>
      </c>
      <c r="I36" s="448">
        <v>38456</v>
      </c>
      <c r="J36" s="444">
        <v>1.5833333333333333</v>
      </c>
      <c r="K36" s="444">
        <v>2024</v>
      </c>
      <c r="L36" s="448">
        <v>12</v>
      </c>
      <c r="M36" s="448">
        <v>24288</v>
      </c>
      <c r="N36" s="444">
        <v>1</v>
      </c>
      <c r="O36" s="444">
        <v>2024</v>
      </c>
      <c r="P36" s="448">
        <v>16</v>
      </c>
      <c r="Q36" s="448">
        <v>32384</v>
      </c>
      <c r="R36" s="471">
        <v>1.3333333333333333</v>
      </c>
      <c r="S36" s="449">
        <v>2024</v>
      </c>
    </row>
    <row r="37" spans="1:19" ht="14.4" customHeight="1" x14ac:dyDescent="0.3">
      <c r="A37" s="443"/>
      <c r="B37" s="444" t="s">
        <v>1590</v>
      </c>
      <c r="C37" s="444" t="s">
        <v>426</v>
      </c>
      <c r="D37" s="444" t="s">
        <v>1580</v>
      </c>
      <c r="E37" s="444" t="s">
        <v>1591</v>
      </c>
      <c r="F37" s="444" t="s">
        <v>1623</v>
      </c>
      <c r="G37" s="444"/>
      <c r="H37" s="448">
        <v>9</v>
      </c>
      <c r="I37" s="448">
        <v>17880</v>
      </c>
      <c r="J37" s="444">
        <v>2.9651741293532337</v>
      </c>
      <c r="K37" s="444">
        <v>1986.6666666666667</v>
      </c>
      <c r="L37" s="448">
        <v>3</v>
      </c>
      <c r="M37" s="448">
        <v>6030</v>
      </c>
      <c r="N37" s="444">
        <v>1</v>
      </c>
      <c r="O37" s="444">
        <v>2010</v>
      </c>
      <c r="P37" s="448">
        <v>1</v>
      </c>
      <c r="Q37" s="448">
        <v>2010</v>
      </c>
      <c r="R37" s="471">
        <v>0.33333333333333331</v>
      </c>
      <c r="S37" s="449">
        <v>2010</v>
      </c>
    </row>
    <row r="38" spans="1:19" ht="14.4" customHeight="1" x14ac:dyDescent="0.3">
      <c r="A38" s="443"/>
      <c r="B38" s="444" t="s">
        <v>1590</v>
      </c>
      <c r="C38" s="444" t="s">
        <v>426</v>
      </c>
      <c r="D38" s="444" t="s">
        <v>1580</v>
      </c>
      <c r="E38" s="444" t="s">
        <v>1591</v>
      </c>
      <c r="F38" s="444" t="s">
        <v>1624</v>
      </c>
      <c r="G38" s="444"/>
      <c r="H38" s="448">
        <v>8</v>
      </c>
      <c r="I38" s="448">
        <v>17168</v>
      </c>
      <c r="J38" s="444">
        <v>2</v>
      </c>
      <c r="K38" s="444">
        <v>2146</v>
      </c>
      <c r="L38" s="448">
        <v>4</v>
      </c>
      <c r="M38" s="448">
        <v>8584</v>
      </c>
      <c r="N38" s="444">
        <v>1</v>
      </c>
      <c r="O38" s="444">
        <v>2146</v>
      </c>
      <c r="P38" s="448">
        <v>5</v>
      </c>
      <c r="Q38" s="448">
        <v>10730</v>
      </c>
      <c r="R38" s="471">
        <v>1.25</v>
      </c>
      <c r="S38" s="449">
        <v>2146</v>
      </c>
    </row>
    <row r="39" spans="1:19" ht="14.4" customHeight="1" x14ac:dyDescent="0.3">
      <c r="A39" s="443"/>
      <c r="B39" s="444" t="s">
        <v>1590</v>
      </c>
      <c r="C39" s="444" t="s">
        <v>426</v>
      </c>
      <c r="D39" s="444" t="s">
        <v>1580</v>
      </c>
      <c r="E39" s="444" t="s">
        <v>1591</v>
      </c>
      <c r="F39" s="444" t="s">
        <v>1625</v>
      </c>
      <c r="G39" s="444"/>
      <c r="H39" s="448">
        <v>3</v>
      </c>
      <c r="I39" s="448">
        <v>3738</v>
      </c>
      <c r="J39" s="444">
        <v>0.6</v>
      </c>
      <c r="K39" s="444">
        <v>1246</v>
      </c>
      <c r="L39" s="448">
        <v>5</v>
      </c>
      <c r="M39" s="448">
        <v>6230</v>
      </c>
      <c r="N39" s="444">
        <v>1</v>
      </c>
      <c r="O39" s="444">
        <v>1246</v>
      </c>
      <c r="P39" s="448">
        <v>1</v>
      </c>
      <c r="Q39" s="448">
        <v>1246</v>
      </c>
      <c r="R39" s="471">
        <v>0.2</v>
      </c>
      <c r="S39" s="449">
        <v>1246</v>
      </c>
    </row>
    <row r="40" spans="1:19" ht="14.4" customHeight="1" x14ac:dyDescent="0.3">
      <c r="A40" s="443"/>
      <c r="B40" s="444" t="s">
        <v>1590</v>
      </c>
      <c r="C40" s="444" t="s">
        <v>426</v>
      </c>
      <c r="D40" s="444" t="s">
        <v>1580</v>
      </c>
      <c r="E40" s="444" t="s">
        <v>1591</v>
      </c>
      <c r="F40" s="444" t="s">
        <v>1626</v>
      </c>
      <c r="G40" s="444"/>
      <c r="H40" s="448">
        <v>2</v>
      </c>
      <c r="I40" s="448">
        <v>2690</v>
      </c>
      <c r="J40" s="444"/>
      <c r="K40" s="444">
        <v>1345</v>
      </c>
      <c r="L40" s="448"/>
      <c r="M40" s="448"/>
      <c r="N40" s="444"/>
      <c r="O40" s="444"/>
      <c r="P40" s="448">
        <v>1</v>
      </c>
      <c r="Q40" s="448">
        <v>1345</v>
      </c>
      <c r="R40" s="471"/>
      <c r="S40" s="449">
        <v>1345</v>
      </c>
    </row>
    <row r="41" spans="1:19" ht="14.4" customHeight="1" x14ac:dyDescent="0.3">
      <c r="A41" s="443"/>
      <c r="B41" s="444" t="s">
        <v>1590</v>
      </c>
      <c r="C41" s="444" t="s">
        <v>426</v>
      </c>
      <c r="D41" s="444" t="s">
        <v>1580</v>
      </c>
      <c r="E41" s="444" t="s">
        <v>1591</v>
      </c>
      <c r="F41" s="444" t="s">
        <v>1627</v>
      </c>
      <c r="G41" s="444"/>
      <c r="H41" s="448">
        <v>76</v>
      </c>
      <c r="I41" s="448">
        <v>270104</v>
      </c>
      <c r="J41" s="444">
        <v>1.3818181818181818</v>
      </c>
      <c r="K41" s="444">
        <v>3554</v>
      </c>
      <c r="L41" s="448">
        <v>55</v>
      </c>
      <c r="M41" s="448">
        <v>195470</v>
      </c>
      <c r="N41" s="444">
        <v>1</v>
      </c>
      <c r="O41" s="444">
        <v>3554</v>
      </c>
      <c r="P41" s="448">
        <v>80</v>
      </c>
      <c r="Q41" s="448">
        <v>312000</v>
      </c>
      <c r="R41" s="471">
        <v>1.5961528623318155</v>
      </c>
      <c r="S41" s="449">
        <v>3900</v>
      </c>
    </row>
    <row r="42" spans="1:19" ht="14.4" customHeight="1" x14ac:dyDescent="0.3">
      <c r="A42" s="443"/>
      <c r="B42" s="444" t="s">
        <v>1590</v>
      </c>
      <c r="C42" s="444" t="s">
        <v>426</v>
      </c>
      <c r="D42" s="444" t="s">
        <v>1580</v>
      </c>
      <c r="E42" s="444" t="s">
        <v>1591</v>
      </c>
      <c r="F42" s="444" t="s">
        <v>1628</v>
      </c>
      <c r="G42" s="444"/>
      <c r="H42" s="448">
        <v>46</v>
      </c>
      <c r="I42" s="448">
        <v>166382</v>
      </c>
      <c r="J42" s="444">
        <v>1.2777777777777777</v>
      </c>
      <c r="K42" s="444">
        <v>3617</v>
      </c>
      <c r="L42" s="448">
        <v>36</v>
      </c>
      <c r="M42" s="448">
        <v>130212</v>
      </c>
      <c r="N42" s="444">
        <v>1</v>
      </c>
      <c r="O42" s="444">
        <v>3617</v>
      </c>
      <c r="P42" s="448">
        <v>56</v>
      </c>
      <c r="Q42" s="448">
        <v>218400</v>
      </c>
      <c r="R42" s="471">
        <v>1.6772647682241268</v>
      </c>
      <c r="S42" s="449">
        <v>3900</v>
      </c>
    </row>
    <row r="43" spans="1:19" ht="14.4" customHeight="1" x14ac:dyDescent="0.3">
      <c r="A43" s="443"/>
      <c r="B43" s="444" t="s">
        <v>1590</v>
      </c>
      <c r="C43" s="444" t="s">
        <v>426</v>
      </c>
      <c r="D43" s="444" t="s">
        <v>1580</v>
      </c>
      <c r="E43" s="444" t="s">
        <v>1591</v>
      </c>
      <c r="F43" s="444" t="s">
        <v>1629</v>
      </c>
      <c r="G43" s="444"/>
      <c r="H43" s="448">
        <v>4</v>
      </c>
      <c r="I43" s="448">
        <v>5404</v>
      </c>
      <c r="J43" s="444">
        <v>4</v>
      </c>
      <c r="K43" s="444">
        <v>1351</v>
      </c>
      <c r="L43" s="448">
        <v>1</v>
      </c>
      <c r="M43" s="448">
        <v>1351</v>
      </c>
      <c r="N43" s="444">
        <v>1</v>
      </c>
      <c r="O43" s="444">
        <v>1351</v>
      </c>
      <c r="P43" s="448">
        <v>7</v>
      </c>
      <c r="Q43" s="448">
        <v>9457</v>
      </c>
      <c r="R43" s="471">
        <v>7</v>
      </c>
      <c r="S43" s="449">
        <v>1351</v>
      </c>
    </row>
    <row r="44" spans="1:19" ht="14.4" customHeight="1" x14ac:dyDescent="0.3">
      <c r="A44" s="443"/>
      <c r="B44" s="444" t="s">
        <v>1590</v>
      </c>
      <c r="C44" s="444" t="s">
        <v>426</v>
      </c>
      <c r="D44" s="444" t="s">
        <v>1580</v>
      </c>
      <c r="E44" s="444" t="s">
        <v>1591</v>
      </c>
      <c r="F44" s="444" t="s">
        <v>1630</v>
      </c>
      <c r="G44" s="444"/>
      <c r="H44" s="448">
        <v>10</v>
      </c>
      <c r="I44" s="448">
        <v>1640</v>
      </c>
      <c r="J44" s="444">
        <v>1</v>
      </c>
      <c r="K44" s="444">
        <v>164</v>
      </c>
      <c r="L44" s="448">
        <v>10</v>
      </c>
      <c r="M44" s="448">
        <v>1640</v>
      </c>
      <c r="N44" s="444">
        <v>1</v>
      </c>
      <c r="O44" s="444">
        <v>164</v>
      </c>
      <c r="P44" s="448">
        <v>10</v>
      </c>
      <c r="Q44" s="448">
        <v>1640</v>
      </c>
      <c r="R44" s="471">
        <v>1</v>
      </c>
      <c r="S44" s="449">
        <v>164</v>
      </c>
    </row>
    <row r="45" spans="1:19" ht="14.4" customHeight="1" x14ac:dyDescent="0.3">
      <c r="A45" s="443"/>
      <c r="B45" s="444" t="s">
        <v>1590</v>
      </c>
      <c r="C45" s="444" t="s">
        <v>426</v>
      </c>
      <c r="D45" s="444" t="s">
        <v>1580</v>
      </c>
      <c r="E45" s="444" t="s">
        <v>1591</v>
      </c>
      <c r="F45" s="444" t="s">
        <v>1631</v>
      </c>
      <c r="G45" s="444"/>
      <c r="H45" s="448">
        <v>40</v>
      </c>
      <c r="I45" s="448">
        <v>9000</v>
      </c>
      <c r="J45" s="444">
        <v>1.1428571428571428</v>
      </c>
      <c r="K45" s="444">
        <v>225</v>
      </c>
      <c r="L45" s="448">
        <v>35</v>
      </c>
      <c r="M45" s="448">
        <v>7875</v>
      </c>
      <c r="N45" s="444">
        <v>1</v>
      </c>
      <c r="O45" s="444">
        <v>225</v>
      </c>
      <c r="P45" s="448">
        <v>40</v>
      </c>
      <c r="Q45" s="448">
        <v>9000</v>
      </c>
      <c r="R45" s="471">
        <v>1.1428571428571428</v>
      </c>
      <c r="S45" s="449">
        <v>225</v>
      </c>
    </row>
    <row r="46" spans="1:19" ht="14.4" customHeight="1" x14ac:dyDescent="0.3">
      <c r="A46" s="443"/>
      <c r="B46" s="444" t="s">
        <v>1590</v>
      </c>
      <c r="C46" s="444" t="s">
        <v>426</v>
      </c>
      <c r="D46" s="444" t="s">
        <v>1580</v>
      </c>
      <c r="E46" s="444" t="s">
        <v>1591</v>
      </c>
      <c r="F46" s="444" t="s">
        <v>1632</v>
      </c>
      <c r="G46" s="444"/>
      <c r="H46" s="448">
        <v>15</v>
      </c>
      <c r="I46" s="448">
        <v>5445</v>
      </c>
      <c r="J46" s="444">
        <v>0.9375</v>
      </c>
      <c r="K46" s="444">
        <v>363</v>
      </c>
      <c r="L46" s="448">
        <v>16</v>
      </c>
      <c r="M46" s="448">
        <v>5808</v>
      </c>
      <c r="N46" s="444">
        <v>1</v>
      </c>
      <c r="O46" s="444">
        <v>363</v>
      </c>
      <c r="P46" s="448">
        <v>14</v>
      </c>
      <c r="Q46" s="448">
        <v>5082</v>
      </c>
      <c r="R46" s="471">
        <v>0.875</v>
      </c>
      <c r="S46" s="449">
        <v>363</v>
      </c>
    </row>
    <row r="47" spans="1:19" ht="14.4" customHeight="1" x14ac:dyDescent="0.3">
      <c r="A47" s="443"/>
      <c r="B47" s="444" t="s">
        <v>1590</v>
      </c>
      <c r="C47" s="444" t="s">
        <v>426</v>
      </c>
      <c r="D47" s="444" t="s">
        <v>1580</v>
      </c>
      <c r="E47" s="444" t="s">
        <v>1591</v>
      </c>
      <c r="F47" s="444" t="s">
        <v>1633</v>
      </c>
      <c r="G47" s="444"/>
      <c r="H47" s="448">
        <v>24</v>
      </c>
      <c r="I47" s="448">
        <v>14088</v>
      </c>
      <c r="J47" s="444">
        <v>1.3333333333333333</v>
      </c>
      <c r="K47" s="444">
        <v>587</v>
      </c>
      <c r="L47" s="448">
        <v>18</v>
      </c>
      <c r="M47" s="448">
        <v>10566</v>
      </c>
      <c r="N47" s="444">
        <v>1</v>
      </c>
      <c r="O47" s="444">
        <v>587</v>
      </c>
      <c r="P47" s="448">
        <v>15</v>
      </c>
      <c r="Q47" s="448">
        <v>8805</v>
      </c>
      <c r="R47" s="471">
        <v>0.83333333333333337</v>
      </c>
      <c r="S47" s="449">
        <v>587</v>
      </c>
    </row>
    <row r="48" spans="1:19" ht="14.4" customHeight="1" x14ac:dyDescent="0.3">
      <c r="A48" s="443"/>
      <c r="B48" s="444" t="s">
        <v>1590</v>
      </c>
      <c r="C48" s="444" t="s">
        <v>426</v>
      </c>
      <c r="D48" s="444" t="s">
        <v>1580</v>
      </c>
      <c r="E48" s="444" t="s">
        <v>1591</v>
      </c>
      <c r="F48" s="444" t="s">
        <v>1634</v>
      </c>
      <c r="G48" s="444"/>
      <c r="H48" s="448">
        <v>5</v>
      </c>
      <c r="I48" s="448">
        <v>3000</v>
      </c>
      <c r="J48" s="444">
        <v>2.5</v>
      </c>
      <c r="K48" s="444">
        <v>600</v>
      </c>
      <c r="L48" s="448">
        <v>2</v>
      </c>
      <c r="M48" s="448">
        <v>1200</v>
      </c>
      <c r="N48" s="444">
        <v>1</v>
      </c>
      <c r="O48" s="444">
        <v>600</v>
      </c>
      <c r="P48" s="448">
        <v>4</v>
      </c>
      <c r="Q48" s="448">
        <v>2400</v>
      </c>
      <c r="R48" s="471">
        <v>2</v>
      </c>
      <c r="S48" s="449">
        <v>600</v>
      </c>
    </row>
    <row r="49" spans="1:19" ht="14.4" customHeight="1" x14ac:dyDescent="0.3">
      <c r="A49" s="443"/>
      <c r="B49" s="444" t="s">
        <v>1590</v>
      </c>
      <c r="C49" s="444" t="s">
        <v>426</v>
      </c>
      <c r="D49" s="444" t="s">
        <v>1580</v>
      </c>
      <c r="E49" s="444" t="s">
        <v>1591</v>
      </c>
      <c r="F49" s="444" t="s">
        <v>1635</v>
      </c>
      <c r="G49" s="444"/>
      <c r="H49" s="448">
        <v>3</v>
      </c>
      <c r="I49" s="448">
        <v>12693</v>
      </c>
      <c r="J49" s="444">
        <v>3</v>
      </c>
      <c r="K49" s="444">
        <v>4231</v>
      </c>
      <c r="L49" s="448">
        <v>1</v>
      </c>
      <c r="M49" s="448">
        <v>4231</v>
      </c>
      <c r="N49" s="444">
        <v>1</v>
      </c>
      <c r="O49" s="444">
        <v>4231</v>
      </c>
      <c r="P49" s="448"/>
      <c r="Q49" s="448"/>
      <c r="R49" s="471"/>
      <c r="S49" s="449"/>
    </row>
    <row r="50" spans="1:19" ht="14.4" customHeight="1" x14ac:dyDescent="0.3">
      <c r="A50" s="443"/>
      <c r="B50" s="444" t="s">
        <v>1590</v>
      </c>
      <c r="C50" s="444" t="s">
        <v>426</v>
      </c>
      <c r="D50" s="444" t="s">
        <v>1580</v>
      </c>
      <c r="E50" s="444" t="s">
        <v>1591</v>
      </c>
      <c r="F50" s="444" t="s">
        <v>1636</v>
      </c>
      <c r="G50" s="444"/>
      <c r="H50" s="448">
        <v>1</v>
      </c>
      <c r="I50" s="448">
        <v>4359</v>
      </c>
      <c r="J50" s="444">
        <v>0.5</v>
      </c>
      <c r="K50" s="444">
        <v>4359</v>
      </c>
      <c r="L50" s="448">
        <v>2</v>
      </c>
      <c r="M50" s="448">
        <v>8718</v>
      </c>
      <c r="N50" s="444">
        <v>1</v>
      </c>
      <c r="O50" s="444">
        <v>4359</v>
      </c>
      <c r="P50" s="448">
        <v>1</v>
      </c>
      <c r="Q50" s="448">
        <v>4359</v>
      </c>
      <c r="R50" s="471">
        <v>0.5</v>
      </c>
      <c r="S50" s="449">
        <v>4359</v>
      </c>
    </row>
    <row r="51" spans="1:19" ht="14.4" customHeight="1" x14ac:dyDescent="0.3">
      <c r="A51" s="443"/>
      <c r="B51" s="444" t="s">
        <v>1590</v>
      </c>
      <c r="C51" s="444" t="s">
        <v>426</v>
      </c>
      <c r="D51" s="444" t="s">
        <v>1580</v>
      </c>
      <c r="E51" s="444" t="s">
        <v>1591</v>
      </c>
      <c r="F51" s="444" t="s">
        <v>1637</v>
      </c>
      <c r="G51" s="444"/>
      <c r="H51" s="448"/>
      <c r="I51" s="448"/>
      <c r="J51" s="444"/>
      <c r="K51" s="444"/>
      <c r="L51" s="448"/>
      <c r="M51" s="448"/>
      <c r="N51" s="444"/>
      <c r="O51" s="444"/>
      <c r="P51" s="448">
        <v>1</v>
      </c>
      <c r="Q51" s="448">
        <v>1008</v>
      </c>
      <c r="R51" s="471"/>
      <c r="S51" s="449">
        <v>1008</v>
      </c>
    </row>
    <row r="52" spans="1:19" ht="14.4" customHeight="1" x14ac:dyDescent="0.3">
      <c r="A52" s="443"/>
      <c r="B52" s="444" t="s">
        <v>1590</v>
      </c>
      <c r="C52" s="444" t="s">
        <v>426</v>
      </c>
      <c r="D52" s="444" t="s">
        <v>1580</v>
      </c>
      <c r="E52" s="444" t="s">
        <v>1591</v>
      </c>
      <c r="F52" s="444" t="s">
        <v>1638</v>
      </c>
      <c r="G52" s="444"/>
      <c r="H52" s="448"/>
      <c r="I52" s="448"/>
      <c r="J52" s="444"/>
      <c r="K52" s="444"/>
      <c r="L52" s="448"/>
      <c r="M52" s="448"/>
      <c r="N52" s="444"/>
      <c r="O52" s="444"/>
      <c r="P52" s="448">
        <v>2</v>
      </c>
      <c r="Q52" s="448">
        <v>1490</v>
      </c>
      <c r="R52" s="471"/>
      <c r="S52" s="449">
        <v>745</v>
      </c>
    </row>
    <row r="53" spans="1:19" ht="14.4" customHeight="1" x14ac:dyDescent="0.3">
      <c r="A53" s="443"/>
      <c r="B53" s="444" t="s">
        <v>1590</v>
      </c>
      <c r="C53" s="444" t="s">
        <v>426</v>
      </c>
      <c r="D53" s="444" t="s">
        <v>1580</v>
      </c>
      <c r="E53" s="444" t="s">
        <v>1591</v>
      </c>
      <c r="F53" s="444" t="s">
        <v>1639</v>
      </c>
      <c r="G53" s="444"/>
      <c r="H53" s="448">
        <v>3</v>
      </c>
      <c r="I53" s="448">
        <v>1683</v>
      </c>
      <c r="J53" s="444">
        <v>0.25</v>
      </c>
      <c r="K53" s="444">
        <v>561</v>
      </c>
      <c r="L53" s="448">
        <v>12</v>
      </c>
      <c r="M53" s="448">
        <v>6732</v>
      </c>
      <c r="N53" s="444">
        <v>1</v>
      </c>
      <c r="O53" s="444">
        <v>561</v>
      </c>
      <c r="P53" s="448">
        <v>5</v>
      </c>
      <c r="Q53" s="448">
        <v>2805</v>
      </c>
      <c r="R53" s="471">
        <v>0.41666666666666669</v>
      </c>
      <c r="S53" s="449">
        <v>561</v>
      </c>
    </row>
    <row r="54" spans="1:19" ht="14.4" customHeight="1" x14ac:dyDescent="0.3">
      <c r="A54" s="443"/>
      <c r="B54" s="444" t="s">
        <v>1590</v>
      </c>
      <c r="C54" s="444" t="s">
        <v>426</v>
      </c>
      <c r="D54" s="444" t="s">
        <v>1580</v>
      </c>
      <c r="E54" s="444" t="s">
        <v>1591</v>
      </c>
      <c r="F54" s="444" t="s">
        <v>1640</v>
      </c>
      <c r="G54" s="444"/>
      <c r="H54" s="448"/>
      <c r="I54" s="448"/>
      <c r="J54" s="444"/>
      <c r="K54" s="444"/>
      <c r="L54" s="448">
        <v>1</v>
      </c>
      <c r="M54" s="448">
        <v>1122</v>
      </c>
      <c r="N54" s="444">
        <v>1</v>
      </c>
      <c r="O54" s="444">
        <v>1122</v>
      </c>
      <c r="P54" s="448">
        <v>1</v>
      </c>
      <c r="Q54" s="448">
        <v>1122</v>
      </c>
      <c r="R54" s="471">
        <v>1</v>
      </c>
      <c r="S54" s="449">
        <v>1122</v>
      </c>
    </row>
    <row r="55" spans="1:19" ht="14.4" customHeight="1" x14ac:dyDescent="0.3">
      <c r="A55" s="443"/>
      <c r="B55" s="444" t="s">
        <v>1590</v>
      </c>
      <c r="C55" s="444" t="s">
        <v>426</v>
      </c>
      <c r="D55" s="444" t="s">
        <v>1580</v>
      </c>
      <c r="E55" s="444" t="s">
        <v>1591</v>
      </c>
      <c r="F55" s="444" t="s">
        <v>1641</v>
      </c>
      <c r="G55" s="444"/>
      <c r="H55" s="448">
        <v>7</v>
      </c>
      <c r="I55" s="448">
        <v>6069</v>
      </c>
      <c r="J55" s="444">
        <v>1.75</v>
      </c>
      <c r="K55" s="444">
        <v>867</v>
      </c>
      <c r="L55" s="448">
        <v>4</v>
      </c>
      <c r="M55" s="448">
        <v>3468</v>
      </c>
      <c r="N55" s="444">
        <v>1</v>
      </c>
      <c r="O55" s="444">
        <v>867</v>
      </c>
      <c r="P55" s="448">
        <v>10</v>
      </c>
      <c r="Q55" s="448">
        <v>8670</v>
      </c>
      <c r="R55" s="471">
        <v>2.5</v>
      </c>
      <c r="S55" s="449">
        <v>867</v>
      </c>
    </row>
    <row r="56" spans="1:19" ht="14.4" customHeight="1" x14ac:dyDescent="0.3">
      <c r="A56" s="443"/>
      <c r="B56" s="444" t="s">
        <v>1590</v>
      </c>
      <c r="C56" s="444" t="s">
        <v>426</v>
      </c>
      <c r="D56" s="444" t="s">
        <v>1580</v>
      </c>
      <c r="E56" s="444" t="s">
        <v>1591</v>
      </c>
      <c r="F56" s="444" t="s">
        <v>1642</v>
      </c>
      <c r="G56" s="444"/>
      <c r="H56" s="448">
        <v>3</v>
      </c>
      <c r="I56" s="448">
        <v>1650</v>
      </c>
      <c r="J56" s="444">
        <v>0.42857142857142855</v>
      </c>
      <c r="K56" s="444">
        <v>550</v>
      </c>
      <c r="L56" s="448">
        <v>7</v>
      </c>
      <c r="M56" s="448">
        <v>3850</v>
      </c>
      <c r="N56" s="444">
        <v>1</v>
      </c>
      <c r="O56" s="444">
        <v>550</v>
      </c>
      <c r="P56" s="448">
        <v>2</v>
      </c>
      <c r="Q56" s="448">
        <v>1100</v>
      </c>
      <c r="R56" s="471">
        <v>0.2857142857142857</v>
      </c>
      <c r="S56" s="449">
        <v>550</v>
      </c>
    </row>
    <row r="57" spans="1:19" ht="14.4" customHeight="1" x14ac:dyDescent="0.3">
      <c r="A57" s="443"/>
      <c r="B57" s="444" t="s">
        <v>1590</v>
      </c>
      <c r="C57" s="444" t="s">
        <v>426</v>
      </c>
      <c r="D57" s="444" t="s">
        <v>1580</v>
      </c>
      <c r="E57" s="444" t="s">
        <v>1591</v>
      </c>
      <c r="F57" s="444" t="s">
        <v>1643</v>
      </c>
      <c r="G57" s="444"/>
      <c r="H57" s="448">
        <v>1</v>
      </c>
      <c r="I57" s="448">
        <v>1395</v>
      </c>
      <c r="J57" s="444"/>
      <c r="K57" s="444">
        <v>1395</v>
      </c>
      <c r="L57" s="448"/>
      <c r="M57" s="448"/>
      <c r="N57" s="444"/>
      <c r="O57" s="444"/>
      <c r="P57" s="448">
        <v>2</v>
      </c>
      <c r="Q57" s="448">
        <v>2790</v>
      </c>
      <c r="R57" s="471"/>
      <c r="S57" s="449">
        <v>1395</v>
      </c>
    </row>
    <row r="58" spans="1:19" ht="14.4" customHeight="1" x14ac:dyDescent="0.3">
      <c r="A58" s="443"/>
      <c r="B58" s="444" t="s">
        <v>1590</v>
      </c>
      <c r="C58" s="444" t="s">
        <v>426</v>
      </c>
      <c r="D58" s="444" t="s">
        <v>1580</v>
      </c>
      <c r="E58" s="444" t="s">
        <v>1591</v>
      </c>
      <c r="F58" s="444" t="s">
        <v>1644</v>
      </c>
      <c r="G58" s="444"/>
      <c r="H58" s="448">
        <v>2</v>
      </c>
      <c r="I58" s="448">
        <v>1038</v>
      </c>
      <c r="J58" s="444">
        <v>2</v>
      </c>
      <c r="K58" s="444">
        <v>519</v>
      </c>
      <c r="L58" s="448">
        <v>1</v>
      </c>
      <c r="M58" s="448">
        <v>519</v>
      </c>
      <c r="N58" s="444">
        <v>1</v>
      </c>
      <c r="O58" s="444">
        <v>519</v>
      </c>
      <c r="P58" s="448"/>
      <c r="Q58" s="448"/>
      <c r="R58" s="471"/>
      <c r="S58" s="449"/>
    </row>
    <row r="59" spans="1:19" ht="14.4" customHeight="1" x14ac:dyDescent="0.3">
      <c r="A59" s="443"/>
      <c r="B59" s="444" t="s">
        <v>1590</v>
      </c>
      <c r="C59" s="444" t="s">
        <v>426</v>
      </c>
      <c r="D59" s="444" t="s">
        <v>1580</v>
      </c>
      <c r="E59" s="444" t="s">
        <v>1591</v>
      </c>
      <c r="F59" s="444" t="s">
        <v>1645</v>
      </c>
      <c r="G59" s="444"/>
      <c r="H59" s="448">
        <v>1</v>
      </c>
      <c r="I59" s="448">
        <v>1326</v>
      </c>
      <c r="J59" s="444">
        <v>0.16666666666666666</v>
      </c>
      <c r="K59" s="444">
        <v>1326</v>
      </c>
      <c r="L59" s="448">
        <v>6</v>
      </c>
      <c r="M59" s="448">
        <v>7956</v>
      </c>
      <c r="N59" s="444">
        <v>1</v>
      </c>
      <c r="O59" s="444">
        <v>1326</v>
      </c>
      <c r="P59" s="448">
        <v>3</v>
      </c>
      <c r="Q59" s="448">
        <v>3978</v>
      </c>
      <c r="R59" s="471">
        <v>0.5</v>
      </c>
      <c r="S59" s="449">
        <v>1326</v>
      </c>
    </row>
    <row r="60" spans="1:19" ht="14.4" customHeight="1" x14ac:dyDescent="0.3">
      <c r="A60" s="443"/>
      <c r="B60" s="444" t="s">
        <v>1590</v>
      </c>
      <c r="C60" s="444" t="s">
        <v>426</v>
      </c>
      <c r="D60" s="444" t="s">
        <v>1580</v>
      </c>
      <c r="E60" s="444" t="s">
        <v>1591</v>
      </c>
      <c r="F60" s="444" t="s">
        <v>1646</v>
      </c>
      <c r="G60" s="444"/>
      <c r="H60" s="448">
        <v>1</v>
      </c>
      <c r="I60" s="448">
        <v>0</v>
      </c>
      <c r="J60" s="444"/>
      <c r="K60" s="444">
        <v>0</v>
      </c>
      <c r="L60" s="448"/>
      <c r="M60" s="448"/>
      <c r="N60" s="444"/>
      <c r="O60" s="444"/>
      <c r="P60" s="448"/>
      <c r="Q60" s="448"/>
      <c r="R60" s="471"/>
      <c r="S60" s="449"/>
    </row>
    <row r="61" spans="1:19" ht="14.4" customHeight="1" x14ac:dyDescent="0.3">
      <c r="A61" s="443"/>
      <c r="B61" s="444" t="s">
        <v>1590</v>
      </c>
      <c r="C61" s="444" t="s">
        <v>426</v>
      </c>
      <c r="D61" s="444" t="s">
        <v>1580</v>
      </c>
      <c r="E61" s="444" t="s">
        <v>1591</v>
      </c>
      <c r="F61" s="444" t="s">
        <v>1647</v>
      </c>
      <c r="G61" s="444"/>
      <c r="H61" s="448">
        <v>3</v>
      </c>
      <c r="I61" s="448">
        <v>1215</v>
      </c>
      <c r="J61" s="444"/>
      <c r="K61" s="444">
        <v>405</v>
      </c>
      <c r="L61" s="448"/>
      <c r="M61" s="448"/>
      <c r="N61" s="444"/>
      <c r="O61" s="444"/>
      <c r="P61" s="448">
        <v>1</v>
      </c>
      <c r="Q61" s="448">
        <v>405</v>
      </c>
      <c r="R61" s="471"/>
      <c r="S61" s="449">
        <v>405</v>
      </c>
    </row>
    <row r="62" spans="1:19" ht="14.4" customHeight="1" x14ac:dyDescent="0.3">
      <c r="A62" s="443"/>
      <c r="B62" s="444" t="s">
        <v>1590</v>
      </c>
      <c r="C62" s="444" t="s">
        <v>426</v>
      </c>
      <c r="D62" s="444" t="s">
        <v>1580</v>
      </c>
      <c r="E62" s="444" t="s">
        <v>1591</v>
      </c>
      <c r="F62" s="444" t="s">
        <v>1648</v>
      </c>
      <c r="G62" s="444"/>
      <c r="H62" s="448">
        <v>11</v>
      </c>
      <c r="I62" s="448">
        <v>6050</v>
      </c>
      <c r="J62" s="444">
        <v>1.5714285714285714</v>
      </c>
      <c r="K62" s="444">
        <v>550</v>
      </c>
      <c r="L62" s="448">
        <v>7</v>
      </c>
      <c r="M62" s="448">
        <v>3850</v>
      </c>
      <c r="N62" s="444">
        <v>1</v>
      </c>
      <c r="O62" s="444">
        <v>550</v>
      </c>
      <c r="P62" s="448">
        <v>6</v>
      </c>
      <c r="Q62" s="448">
        <v>3300</v>
      </c>
      <c r="R62" s="471">
        <v>0.8571428571428571</v>
      </c>
      <c r="S62" s="449">
        <v>550</v>
      </c>
    </row>
    <row r="63" spans="1:19" ht="14.4" customHeight="1" x14ac:dyDescent="0.3">
      <c r="A63" s="443"/>
      <c r="B63" s="444" t="s">
        <v>1590</v>
      </c>
      <c r="C63" s="444" t="s">
        <v>426</v>
      </c>
      <c r="D63" s="444" t="s">
        <v>1580</v>
      </c>
      <c r="E63" s="444" t="s">
        <v>1591</v>
      </c>
      <c r="F63" s="444" t="s">
        <v>1649</v>
      </c>
      <c r="G63" s="444"/>
      <c r="H63" s="448">
        <v>1</v>
      </c>
      <c r="I63" s="448">
        <v>1260</v>
      </c>
      <c r="J63" s="444">
        <v>1</v>
      </c>
      <c r="K63" s="444">
        <v>1260</v>
      </c>
      <c r="L63" s="448">
        <v>1</v>
      </c>
      <c r="M63" s="448">
        <v>1260</v>
      </c>
      <c r="N63" s="444">
        <v>1</v>
      </c>
      <c r="O63" s="444">
        <v>1260</v>
      </c>
      <c r="P63" s="448">
        <v>1</v>
      </c>
      <c r="Q63" s="448">
        <v>1260</v>
      </c>
      <c r="R63" s="471">
        <v>1</v>
      </c>
      <c r="S63" s="449">
        <v>1260</v>
      </c>
    </row>
    <row r="64" spans="1:19" ht="14.4" customHeight="1" x14ac:dyDescent="0.3">
      <c r="A64" s="443"/>
      <c r="B64" s="444" t="s">
        <v>1590</v>
      </c>
      <c r="C64" s="444" t="s">
        <v>426</v>
      </c>
      <c r="D64" s="444" t="s">
        <v>1580</v>
      </c>
      <c r="E64" s="444" t="s">
        <v>1591</v>
      </c>
      <c r="F64" s="444" t="s">
        <v>1650</v>
      </c>
      <c r="G64" s="444"/>
      <c r="H64" s="448">
        <v>1</v>
      </c>
      <c r="I64" s="448">
        <v>1281</v>
      </c>
      <c r="J64" s="444"/>
      <c r="K64" s="444">
        <v>1281</v>
      </c>
      <c r="L64" s="448"/>
      <c r="M64" s="448"/>
      <c r="N64" s="444"/>
      <c r="O64" s="444"/>
      <c r="P64" s="448"/>
      <c r="Q64" s="448"/>
      <c r="R64" s="471"/>
      <c r="S64" s="449"/>
    </row>
    <row r="65" spans="1:19" ht="14.4" customHeight="1" x14ac:dyDescent="0.3">
      <c r="A65" s="443"/>
      <c r="B65" s="444" t="s">
        <v>1590</v>
      </c>
      <c r="C65" s="444" t="s">
        <v>426</v>
      </c>
      <c r="D65" s="444" t="s">
        <v>1580</v>
      </c>
      <c r="E65" s="444" t="s">
        <v>1591</v>
      </c>
      <c r="F65" s="444" t="s">
        <v>1651</v>
      </c>
      <c r="G65" s="444"/>
      <c r="H65" s="448">
        <v>8</v>
      </c>
      <c r="I65" s="448">
        <v>6024</v>
      </c>
      <c r="J65" s="444"/>
      <c r="K65" s="444">
        <v>753</v>
      </c>
      <c r="L65" s="448"/>
      <c r="M65" s="448"/>
      <c r="N65" s="444"/>
      <c r="O65" s="444"/>
      <c r="P65" s="448"/>
      <c r="Q65" s="448"/>
      <c r="R65" s="471"/>
      <c r="S65" s="449"/>
    </row>
    <row r="66" spans="1:19" ht="14.4" customHeight="1" x14ac:dyDescent="0.3">
      <c r="A66" s="443"/>
      <c r="B66" s="444" t="s">
        <v>1590</v>
      </c>
      <c r="C66" s="444" t="s">
        <v>426</v>
      </c>
      <c r="D66" s="444" t="s">
        <v>1580</v>
      </c>
      <c r="E66" s="444" t="s">
        <v>1591</v>
      </c>
      <c r="F66" s="444" t="s">
        <v>1652</v>
      </c>
      <c r="G66" s="444"/>
      <c r="H66" s="448">
        <v>1</v>
      </c>
      <c r="I66" s="448">
        <v>0</v>
      </c>
      <c r="J66" s="444"/>
      <c r="K66" s="444">
        <v>0</v>
      </c>
      <c r="L66" s="448"/>
      <c r="M66" s="448"/>
      <c r="N66" s="444"/>
      <c r="O66" s="444"/>
      <c r="P66" s="448"/>
      <c r="Q66" s="448"/>
      <c r="R66" s="471"/>
      <c r="S66" s="449"/>
    </row>
    <row r="67" spans="1:19" ht="14.4" customHeight="1" x14ac:dyDescent="0.3">
      <c r="A67" s="443"/>
      <c r="B67" s="444" t="s">
        <v>1590</v>
      </c>
      <c r="C67" s="444" t="s">
        <v>426</v>
      </c>
      <c r="D67" s="444" t="s">
        <v>1580</v>
      </c>
      <c r="E67" s="444" t="s">
        <v>1591</v>
      </c>
      <c r="F67" s="444" t="s">
        <v>1653</v>
      </c>
      <c r="G67" s="444"/>
      <c r="H67" s="448"/>
      <c r="I67" s="448"/>
      <c r="J67" s="444"/>
      <c r="K67" s="444"/>
      <c r="L67" s="448">
        <v>1</v>
      </c>
      <c r="M67" s="448">
        <v>353</v>
      </c>
      <c r="N67" s="444">
        <v>1</v>
      </c>
      <c r="O67" s="444">
        <v>353</v>
      </c>
      <c r="P67" s="448"/>
      <c r="Q67" s="448"/>
      <c r="R67" s="471"/>
      <c r="S67" s="449"/>
    </row>
    <row r="68" spans="1:19" ht="14.4" customHeight="1" x14ac:dyDescent="0.3">
      <c r="A68" s="443"/>
      <c r="B68" s="444" t="s">
        <v>1590</v>
      </c>
      <c r="C68" s="444" t="s">
        <v>426</v>
      </c>
      <c r="D68" s="444" t="s">
        <v>1580</v>
      </c>
      <c r="E68" s="444" t="s">
        <v>1591</v>
      </c>
      <c r="F68" s="444" t="s">
        <v>1654</v>
      </c>
      <c r="G68" s="444"/>
      <c r="H68" s="448"/>
      <c r="I68" s="448"/>
      <c r="J68" s="444"/>
      <c r="K68" s="444"/>
      <c r="L68" s="448">
        <v>1</v>
      </c>
      <c r="M68" s="448">
        <v>745</v>
      </c>
      <c r="N68" s="444">
        <v>1</v>
      </c>
      <c r="O68" s="444">
        <v>745</v>
      </c>
      <c r="P68" s="448"/>
      <c r="Q68" s="448"/>
      <c r="R68" s="471"/>
      <c r="S68" s="449"/>
    </row>
    <row r="69" spans="1:19" ht="14.4" customHeight="1" x14ac:dyDescent="0.3">
      <c r="A69" s="443"/>
      <c r="B69" s="444" t="s">
        <v>1590</v>
      </c>
      <c r="C69" s="444" t="s">
        <v>426</v>
      </c>
      <c r="D69" s="444" t="s">
        <v>1580</v>
      </c>
      <c r="E69" s="444" t="s">
        <v>1591</v>
      </c>
      <c r="F69" s="444" t="s">
        <v>1655</v>
      </c>
      <c r="G69" s="444"/>
      <c r="H69" s="448"/>
      <c r="I69" s="448"/>
      <c r="J69" s="444"/>
      <c r="K69" s="444"/>
      <c r="L69" s="448"/>
      <c r="M69" s="448"/>
      <c r="N69" s="444"/>
      <c r="O69" s="444"/>
      <c r="P69" s="448">
        <v>7</v>
      </c>
      <c r="Q69" s="448">
        <v>0</v>
      </c>
      <c r="R69" s="471"/>
      <c r="S69" s="449">
        <v>0</v>
      </c>
    </row>
    <row r="70" spans="1:19" ht="14.4" customHeight="1" x14ac:dyDescent="0.3">
      <c r="A70" s="443"/>
      <c r="B70" s="444" t="s">
        <v>1590</v>
      </c>
      <c r="C70" s="444" t="s">
        <v>426</v>
      </c>
      <c r="D70" s="444" t="s">
        <v>1580</v>
      </c>
      <c r="E70" s="444" t="s">
        <v>1591</v>
      </c>
      <c r="F70" s="444" t="s">
        <v>1656</v>
      </c>
      <c r="G70" s="444"/>
      <c r="H70" s="448"/>
      <c r="I70" s="448"/>
      <c r="J70" s="444"/>
      <c r="K70" s="444"/>
      <c r="L70" s="448"/>
      <c r="M70" s="448"/>
      <c r="N70" s="444"/>
      <c r="O70" s="444"/>
      <c r="P70" s="448">
        <v>1</v>
      </c>
      <c r="Q70" s="448">
        <v>1014</v>
      </c>
      <c r="R70" s="471"/>
      <c r="S70" s="449">
        <v>1014</v>
      </c>
    </row>
    <row r="71" spans="1:19" ht="14.4" customHeight="1" x14ac:dyDescent="0.3">
      <c r="A71" s="443"/>
      <c r="B71" s="444" t="s">
        <v>1590</v>
      </c>
      <c r="C71" s="444" t="s">
        <v>426</v>
      </c>
      <c r="D71" s="444" t="s">
        <v>1580</v>
      </c>
      <c r="E71" s="444" t="s">
        <v>1591</v>
      </c>
      <c r="F71" s="444" t="s">
        <v>1657</v>
      </c>
      <c r="G71" s="444"/>
      <c r="H71" s="448"/>
      <c r="I71" s="448"/>
      <c r="J71" s="444"/>
      <c r="K71" s="444"/>
      <c r="L71" s="448"/>
      <c r="M71" s="448"/>
      <c r="N71" s="444"/>
      <c r="O71" s="444"/>
      <c r="P71" s="448">
        <v>1</v>
      </c>
      <c r="Q71" s="448">
        <v>3900</v>
      </c>
      <c r="R71" s="471"/>
      <c r="S71" s="449">
        <v>3900</v>
      </c>
    </row>
    <row r="72" spans="1:19" ht="14.4" customHeight="1" x14ac:dyDescent="0.3">
      <c r="A72" s="443"/>
      <c r="B72" s="444" t="s">
        <v>1590</v>
      </c>
      <c r="C72" s="444" t="s">
        <v>426</v>
      </c>
      <c r="D72" s="444" t="s">
        <v>1580</v>
      </c>
      <c r="E72" s="444" t="s">
        <v>1591</v>
      </c>
      <c r="F72" s="444" t="s">
        <v>1658</v>
      </c>
      <c r="G72" s="444"/>
      <c r="H72" s="448">
        <v>2</v>
      </c>
      <c r="I72" s="448">
        <v>1880</v>
      </c>
      <c r="J72" s="444">
        <v>1</v>
      </c>
      <c r="K72" s="444">
        <v>940</v>
      </c>
      <c r="L72" s="448">
        <v>2</v>
      </c>
      <c r="M72" s="448">
        <v>1880</v>
      </c>
      <c r="N72" s="444">
        <v>1</v>
      </c>
      <c r="O72" s="444">
        <v>940</v>
      </c>
      <c r="P72" s="448"/>
      <c r="Q72" s="448"/>
      <c r="R72" s="471"/>
      <c r="S72" s="449"/>
    </row>
    <row r="73" spans="1:19" ht="14.4" customHeight="1" x14ac:dyDescent="0.3">
      <c r="A73" s="443"/>
      <c r="B73" s="444" t="s">
        <v>1590</v>
      </c>
      <c r="C73" s="444" t="s">
        <v>426</v>
      </c>
      <c r="D73" s="444" t="s">
        <v>1580</v>
      </c>
      <c r="E73" s="444" t="s">
        <v>1591</v>
      </c>
      <c r="F73" s="444" t="s">
        <v>1659</v>
      </c>
      <c r="G73" s="444"/>
      <c r="H73" s="448"/>
      <c r="I73" s="448"/>
      <c r="J73" s="444"/>
      <c r="K73" s="444"/>
      <c r="L73" s="448"/>
      <c r="M73" s="448"/>
      <c r="N73" s="444"/>
      <c r="O73" s="444"/>
      <c r="P73" s="448">
        <v>1</v>
      </c>
      <c r="Q73" s="448">
        <v>0</v>
      </c>
      <c r="R73" s="471"/>
      <c r="S73" s="449">
        <v>0</v>
      </c>
    </row>
    <row r="74" spans="1:19" ht="14.4" customHeight="1" x14ac:dyDescent="0.3">
      <c r="A74" s="443"/>
      <c r="B74" s="444" t="s">
        <v>1590</v>
      </c>
      <c r="C74" s="444" t="s">
        <v>426</v>
      </c>
      <c r="D74" s="444" t="s">
        <v>1580</v>
      </c>
      <c r="E74" s="444" t="s">
        <v>1591</v>
      </c>
      <c r="F74" s="444" t="s">
        <v>1660</v>
      </c>
      <c r="G74" s="444"/>
      <c r="H74" s="448"/>
      <c r="I74" s="448"/>
      <c r="J74" s="444"/>
      <c r="K74" s="444"/>
      <c r="L74" s="448"/>
      <c r="M74" s="448"/>
      <c r="N74" s="444"/>
      <c r="O74" s="444"/>
      <c r="P74" s="448">
        <v>1</v>
      </c>
      <c r="Q74" s="448">
        <v>0</v>
      </c>
      <c r="R74" s="471"/>
      <c r="S74" s="449">
        <v>0</v>
      </c>
    </row>
    <row r="75" spans="1:19" ht="14.4" customHeight="1" x14ac:dyDescent="0.3">
      <c r="A75" s="443"/>
      <c r="B75" s="444" t="s">
        <v>1590</v>
      </c>
      <c r="C75" s="444" t="s">
        <v>426</v>
      </c>
      <c r="D75" s="444" t="s">
        <v>1580</v>
      </c>
      <c r="E75" s="444" t="s">
        <v>1661</v>
      </c>
      <c r="F75" s="444" t="s">
        <v>1662</v>
      </c>
      <c r="G75" s="444" t="s">
        <v>1663</v>
      </c>
      <c r="H75" s="448">
        <v>3</v>
      </c>
      <c r="I75" s="448">
        <v>1326.67</v>
      </c>
      <c r="J75" s="444">
        <v>0.55794480565906013</v>
      </c>
      <c r="K75" s="444">
        <v>442.22333333333336</v>
      </c>
      <c r="L75" s="448">
        <v>5</v>
      </c>
      <c r="M75" s="448">
        <v>2377.7800000000002</v>
      </c>
      <c r="N75" s="444">
        <v>1</v>
      </c>
      <c r="O75" s="444">
        <v>475.55600000000004</v>
      </c>
      <c r="P75" s="448"/>
      <c r="Q75" s="448"/>
      <c r="R75" s="471"/>
      <c r="S75" s="449"/>
    </row>
    <row r="76" spans="1:19" ht="14.4" customHeight="1" x14ac:dyDescent="0.3">
      <c r="A76" s="443"/>
      <c r="B76" s="444" t="s">
        <v>1590</v>
      </c>
      <c r="C76" s="444" t="s">
        <v>426</v>
      </c>
      <c r="D76" s="444" t="s">
        <v>1580</v>
      </c>
      <c r="E76" s="444" t="s">
        <v>1661</v>
      </c>
      <c r="F76" s="444" t="s">
        <v>1662</v>
      </c>
      <c r="G76" s="444" t="s">
        <v>1664</v>
      </c>
      <c r="H76" s="448">
        <v>1</v>
      </c>
      <c r="I76" s="448">
        <v>442.22</v>
      </c>
      <c r="J76" s="444"/>
      <c r="K76" s="444">
        <v>442.22</v>
      </c>
      <c r="L76" s="448"/>
      <c r="M76" s="448"/>
      <c r="N76" s="444"/>
      <c r="O76" s="444"/>
      <c r="P76" s="448"/>
      <c r="Q76" s="448"/>
      <c r="R76" s="471"/>
      <c r="S76" s="449"/>
    </row>
    <row r="77" spans="1:19" ht="14.4" customHeight="1" x14ac:dyDescent="0.3">
      <c r="A77" s="443"/>
      <c r="B77" s="444" t="s">
        <v>1590</v>
      </c>
      <c r="C77" s="444" t="s">
        <v>426</v>
      </c>
      <c r="D77" s="444" t="s">
        <v>1580</v>
      </c>
      <c r="E77" s="444" t="s">
        <v>1661</v>
      </c>
      <c r="F77" s="444" t="s">
        <v>1665</v>
      </c>
      <c r="G77" s="444" t="s">
        <v>1666</v>
      </c>
      <c r="H77" s="448">
        <v>45</v>
      </c>
      <c r="I77" s="448">
        <v>20500.010000000002</v>
      </c>
      <c r="J77" s="444">
        <v>1.216216488802508</v>
      </c>
      <c r="K77" s="444">
        <v>455.55577777777785</v>
      </c>
      <c r="L77" s="448">
        <v>37</v>
      </c>
      <c r="M77" s="448">
        <v>16855.560000000001</v>
      </c>
      <c r="N77" s="444">
        <v>1</v>
      </c>
      <c r="O77" s="444">
        <v>455.55567567567573</v>
      </c>
      <c r="P77" s="448">
        <v>42</v>
      </c>
      <c r="Q77" s="448">
        <v>21000</v>
      </c>
      <c r="R77" s="471">
        <v>1.2458796978563749</v>
      </c>
      <c r="S77" s="449">
        <v>500</v>
      </c>
    </row>
    <row r="78" spans="1:19" ht="14.4" customHeight="1" x14ac:dyDescent="0.3">
      <c r="A78" s="443"/>
      <c r="B78" s="444" t="s">
        <v>1590</v>
      </c>
      <c r="C78" s="444" t="s">
        <v>426</v>
      </c>
      <c r="D78" s="444" t="s">
        <v>1580</v>
      </c>
      <c r="E78" s="444" t="s">
        <v>1661</v>
      </c>
      <c r="F78" s="444" t="s">
        <v>1667</v>
      </c>
      <c r="G78" s="444" t="s">
        <v>1668</v>
      </c>
      <c r="H78" s="448">
        <v>607</v>
      </c>
      <c r="I78" s="448">
        <v>47211.11</v>
      </c>
      <c r="J78" s="444">
        <v>0.80079147751289281</v>
      </c>
      <c r="K78" s="444">
        <v>77.777775947281711</v>
      </c>
      <c r="L78" s="448">
        <v>758</v>
      </c>
      <c r="M78" s="448">
        <v>58955.56</v>
      </c>
      <c r="N78" s="444">
        <v>1</v>
      </c>
      <c r="O78" s="444">
        <v>77.777783641160951</v>
      </c>
      <c r="P78" s="448">
        <v>880</v>
      </c>
      <c r="Q78" s="448">
        <v>68444.44</v>
      </c>
      <c r="R78" s="471">
        <v>1.1609497051677569</v>
      </c>
      <c r="S78" s="449">
        <v>77.777772727272733</v>
      </c>
    </row>
    <row r="79" spans="1:19" ht="14.4" customHeight="1" x14ac:dyDescent="0.3">
      <c r="A79" s="443"/>
      <c r="B79" s="444" t="s">
        <v>1590</v>
      </c>
      <c r="C79" s="444" t="s">
        <v>426</v>
      </c>
      <c r="D79" s="444" t="s">
        <v>1580</v>
      </c>
      <c r="E79" s="444" t="s">
        <v>1661</v>
      </c>
      <c r="F79" s="444" t="s">
        <v>1669</v>
      </c>
      <c r="G79" s="444" t="s">
        <v>1670</v>
      </c>
      <c r="H79" s="448"/>
      <c r="I79" s="448"/>
      <c r="J79" s="444"/>
      <c r="K79" s="444"/>
      <c r="L79" s="448">
        <v>3</v>
      </c>
      <c r="M79" s="448">
        <v>750</v>
      </c>
      <c r="N79" s="444">
        <v>1</v>
      </c>
      <c r="O79" s="444">
        <v>250</v>
      </c>
      <c r="P79" s="448">
        <v>18</v>
      </c>
      <c r="Q79" s="448">
        <v>4500</v>
      </c>
      <c r="R79" s="471">
        <v>6</v>
      </c>
      <c r="S79" s="449">
        <v>250</v>
      </c>
    </row>
    <row r="80" spans="1:19" ht="14.4" customHeight="1" x14ac:dyDescent="0.3">
      <c r="A80" s="443"/>
      <c r="B80" s="444" t="s">
        <v>1590</v>
      </c>
      <c r="C80" s="444" t="s">
        <v>426</v>
      </c>
      <c r="D80" s="444" t="s">
        <v>1580</v>
      </c>
      <c r="E80" s="444" t="s">
        <v>1661</v>
      </c>
      <c r="F80" s="444" t="s">
        <v>1671</v>
      </c>
      <c r="G80" s="444" t="s">
        <v>1672</v>
      </c>
      <c r="H80" s="448"/>
      <c r="I80" s="448"/>
      <c r="J80" s="444"/>
      <c r="K80" s="444"/>
      <c r="L80" s="448">
        <v>1</v>
      </c>
      <c r="M80" s="448">
        <v>300</v>
      </c>
      <c r="N80" s="444">
        <v>1</v>
      </c>
      <c r="O80" s="444">
        <v>300</v>
      </c>
      <c r="P80" s="448">
        <v>0</v>
      </c>
      <c r="Q80" s="448">
        <v>0</v>
      </c>
      <c r="R80" s="471">
        <v>0</v>
      </c>
      <c r="S80" s="449"/>
    </row>
    <row r="81" spans="1:19" ht="14.4" customHeight="1" x14ac:dyDescent="0.3">
      <c r="A81" s="443"/>
      <c r="B81" s="444" t="s">
        <v>1590</v>
      </c>
      <c r="C81" s="444" t="s">
        <v>426</v>
      </c>
      <c r="D81" s="444" t="s">
        <v>1580</v>
      </c>
      <c r="E81" s="444" t="s">
        <v>1661</v>
      </c>
      <c r="F81" s="444" t="s">
        <v>1673</v>
      </c>
      <c r="G81" s="444" t="s">
        <v>1674</v>
      </c>
      <c r="H81" s="448">
        <v>255</v>
      </c>
      <c r="I81" s="448">
        <v>28333.339999999997</v>
      </c>
      <c r="J81" s="444">
        <v>0.94130697674418595</v>
      </c>
      <c r="K81" s="444">
        <v>111.11113725490195</v>
      </c>
      <c r="L81" s="448">
        <v>258</v>
      </c>
      <c r="M81" s="448">
        <v>30100</v>
      </c>
      <c r="N81" s="444">
        <v>1</v>
      </c>
      <c r="O81" s="444">
        <v>116.66666666666667</v>
      </c>
      <c r="P81" s="448">
        <v>242</v>
      </c>
      <c r="Q81" s="448">
        <v>28233.33</v>
      </c>
      <c r="R81" s="471">
        <v>0.93798438538205986</v>
      </c>
      <c r="S81" s="449">
        <v>116.66665289256198</v>
      </c>
    </row>
    <row r="82" spans="1:19" ht="14.4" customHeight="1" x14ac:dyDescent="0.3">
      <c r="A82" s="443"/>
      <c r="B82" s="444" t="s">
        <v>1590</v>
      </c>
      <c r="C82" s="444" t="s">
        <v>426</v>
      </c>
      <c r="D82" s="444" t="s">
        <v>1580</v>
      </c>
      <c r="E82" s="444" t="s">
        <v>1661</v>
      </c>
      <c r="F82" s="444" t="s">
        <v>1675</v>
      </c>
      <c r="G82" s="444" t="s">
        <v>1676</v>
      </c>
      <c r="H82" s="448">
        <v>441</v>
      </c>
      <c r="I82" s="448">
        <v>118580</v>
      </c>
      <c r="J82" s="444">
        <v>3.3783475783475785</v>
      </c>
      <c r="K82" s="444">
        <v>268.88888888888891</v>
      </c>
      <c r="L82" s="448">
        <v>117</v>
      </c>
      <c r="M82" s="448">
        <v>35100</v>
      </c>
      <c r="N82" s="444">
        <v>1</v>
      </c>
      <c r="O82" s="444">
        <v>300</v>
      </c>
      <c r="P82" s="448">
        <v>227</v>
      </c>
      <c r="Q82" s="448">
        <v>68100</v>
      </c>
      <c r="R82" s="471">
        <v>1.9401709401709402</v>
      </c>
      <c r="S82" s="449">
        <v>300</v>
      </c>
    </row>
    <row r="83" spans="1:19" ht="14.4" customHeight="1" x14ac:dyDescent="0.3">
      <c r="A83" s="443"/>
      <c r="B83" s="444" t="s">
        <v>1590</v>
      </c>
      <c r="C83" s="444" t="s">
        <v>426</v>
      </c>
      <c r="D83" s="444" t="s">
        <v>1580</v>
      </c>
      <c r="E83" s="444" t="s">
        <v>1661</v>
      </c>
      <c r="F83" s="444" t="s">
        <v>1677</v>
      </c>
      <c r="G83" s="444" t="s">
        <v>1678</v>
      </c>
      <c r="H83" s="448">
        <v>52</v>
      </c>
      <c r="I83" s="448">
        <v>15311.099999999999</v>
      </c>
      <c r="J83" s="444">
        <v>4.3333465409303429</v>
      </c>
      <c r="K83" s="444">
        <v>294.44423076923073</v>
      </c>
      <c r="L83" s="448">
        <v>12</v>
      </c>
      <c r="M83" s="448">
        <v>3533.32</v>
      </c>
      <c r="N83" s="444">
        <v>1</v>
      </c>
      <c r="O83" s="444">
        <v>294.44333333333333</v>
      </c>
      <c r="P83" s="448">
        <v>13</v>
      </c>
      <c r="Q83" s="448">
        <v>3827.77</v>
      </c>
      <c r="R83" s="471">
        <v>1.0833352201329061</v>
      </c>
      <c r="S83" s="449">
        <v>294.44384615384615</v>
      </c>
    </row>
    <row r="84" spans="1:19" ht="14.4" customHeight="1" x14ac:dyDescent="0.3">
      <c r="A84" s="443"/>
      <c r="B84" s="444" t="s">
        <v>1590</v>
      </c>
      <c r="C84" s="444" t="s">
        <v>426</v>
      </c>
      <c r="D84" s="444" t="s">
        <v>1580</v>
      </c>
      <c r="E84" s="444" t="s">
        <v>1661</v>
      </c>
      <c r="F84" s="444" t="s">
        <v>1679</v>
      </c>
      <c r="G84" s="444" t="s">
        <v>1680</v>
      </c>
      <c r="H84" s="448">
        <v>80</v>
      </c>
      <c r="I84" s="448">
        <v>888.89999999999986</v>
      </c>
      <c r="J84" s="444"/>
      <c r="K84" s="444">
        <v>11.111249999999998</v>
      </c>
      <c r="L84" s="448"/>
      <c r="M84" s="448"/>
      <c r="N84" s="444"/>
      <c r="O84" s="444"/>
      <c r="P84" s="448">
        <v>8</v>
      </c>
      <c r="Q84" s="448">
        <v>266.65999999999997</v>
      </c>
      <c r="R84" s="471"/>
      <c r="S84" s="449">
        <v>33.332499999999996</v>
      </c>
    </row>
    <row r="85" spans="1:19" ht="14.4" customHeight="1" x14ac:dyDescent="0.3">
      <c r="A85" s="443"/>
      <c r="B85" s="444" t="s">
        <v>1590</v>
      </c>
      <c r="C85" s="444" t="s">
        <v>426</v>
      </c>
      <c r="D85" s="444" t="s">
        <v>1580</v>
      </c>
      <c r="E85" s="444" t="s">
        <v>1661</v>
      </c>
      <c r="F85" s="444" t="s">
        <v>1681</v>
      </c>
      <c r="G85" s="444" t="s">
        <v>1666</v>
      </c>
      <c r="H85" s="448">
        <v>555</v>
      </c>
      <c r="I85" s="448">
        <v>207200.00000000003</v>
      </c>
      <c r="J85" s="444">
        <v>1.5122617275459058</v>
      </c>
      <c r="K85" s="444">
        <v>373.33333333333337</v>
      </c>
      <c r="L85" s="448">
        <v>367</v>
      </c>
      <c r="M85" s="448">
        <v>137013.32</v>
      </c>
      <c r="N85" s="444">
        <v>1</v>
      </c>
      <c r="O85" s="444">
        <v>373.33329700272481</v>
      </c>
      <c r="P85" s="448">
        <v>186</v>
      </c>
      <c r="Q85" s="448">
        <v>77706.66</v>
      </c>
      <c r="R85" s="471">
        <v>0.56714675624238575</v>
      </c>
      <c r="S85" s="449">
        <v>417.7777419354839</v>
      </c>
    </row>
    <row r="86" spans="1:19" ht="14.4" customHeight="1" x14ac:dyDescent="0.3">
      <c r="A86" s="443"/>
      <c r="B86" s="444" t="s">
        <v>1590</v>
      </c>
      <c r="C86" s="444" t="s">
        <v>426</v>
      </c>
      <c r="D86" s="444" t="s">
        <v>1580</v>
      </c>
      <c r="E86" s="444" t="s">
        <v>1661</v>
      </c>
      <c r="F86" s="444" t="s">
        <v>1682</v>
      </c>
      <c r="G86" s="444" t="s">
        <v>1683</v>
      </c>
      <c r="H86" s="448">
        <v>235</v>
      </c>
      <c r="I86" s="448">
        <v>43866.67</v>
      </c>
      <c r="J86" s="444">
        <v>0.92763162764023432</v>
      </c>
      <c r="K86" s="444">
        <v>186.66668085106383</v>
      </c>
      <c r="L86" s="448">
        <v>224</v>
      </c>
      <c r="M86" s="448">
        <v>47288.89</v>
      </c>
      <c r="N86" s="444">
        <v>1</v>
      </c>
      <c r="O86" s="444">
        <v>211.11111607142857</v>
      </c>
      <c r="P86" s="448">
        <v>184</v>
      </c>
      <c r="Q86" s="448">
        <v>38844.449999999997</v>
      </c>
      <c r="R86" s="471">
        <v>0.82142866960928873</v>
      </c>
      <c r="S86" s="449">
        <v>211.1111413043478</v>
      </c>
    </row>
    <row r="87" spans="1:19" ht="14.4" customHeight="1" x14ac:dyDescent="0.3">
      <c r="A87" s="443"/>
      <c r="B87" s="444" t="s">
        <v>1590</v>
      </c>
      <c r="C87" s="444" t="s">
        <v>426</v>
      </c>
      <c r="D87" s="444" t="s">
        <v>1580</v>
      </c>
      <c r="E87" s="444" t="s">
        <v>1661</v>
      </c>
      <c r="F87" s="444" t="s">
        <v>1684</v>
      </c>
      <c r="G87" s="444" t="s">
        <v>1685</v>
      </c>
      <c r="H87" s="448">
        <v>33</v>
      </c>
      <c r="I87" s="448">
        <v>19249.989999999998</v>
      </c>
      <c r="J87" s="444">
        <v>0.76744125782292127</v>
      </c>
      <c r="K87" s="444">
        <v>583.33303030303023</v>
      </c>
      <c r="L87" s="448">
        <v>43</v>
      </c>
      <c r="M87" s="448">
        <v>25083.340000000004</v>
      </c>
      <c r="N87" s="444">
        <v>1</v>
      </c>
      <c r="O87" s="444">
        <v>583.33348837209314</v>
      </c>
      <c r="P87" s="448">
        <v>65</v>
      </c>
      <c r="Q87" s="448">
        <v>37916.67</v>
      </c>
      <c r="R87" s="471">
        <v>1.5116276381056108</v>
      </c>
      <c r="S87" s="449">
        <v>583.3333846153846</v>
      </c>
    </row>
    <row r="88" spans="1:19" ht="14.4" customHeight="1" x14ac:dyDescent="0.3">
      <c r="A88" s="443"/>
      <c r="B88" s="444" t="s">
        <v>1590</v>
      </c>
      <c r="C88" s="444" t="s">
        <v>426</v>
      </c>
      <c r="D88" s="444" t="s">
        <v>1580</v>
      </c>
      <c r="E88" s="444" t="s">
        <v>1661</v>
      </c>
      <c r="F88" s="444" t="s">
        <v>1686</v>
      </c>
      <c r="G88" s="444" t="s">
        <v>1687</v>
      </c>
      <c r="H88" s="448">
        <v>82</v>
      </c>
      <c r="I88" s="448">
        <v>38266.67</v>
      </c>
      <c r="J88" s="444">
        <v>1.5769236475064965</v>
      </c>
      <c r="K88" s="444">
        <v>466.66670731707313</v>
      </c>
      <c r="L88" s="448">
        <v>52</v>
      </c>
      <c r="M88" s="448">
        <v>24266.66</v>
      </c>
      <c r="N88" s="444">
        <v>1</v>
      </c>
      <c r="O88" s="444">
        <v>466.66653846153844</v>
      </c>
      <c r="P88" s="448">
        <v>101</v>
      </c>
      <c r="Q88" s="448">
        <v>47133.33</v>
      </c>
      <c r="R88" s="471">
        <v>1.9423080885461783</v>
      </c>
      <c r="S88" s="449">
        <v>466.66663366336633</v>
      </c>
    </row>
    <row r="89" spans="1:19" ht="14.4" customHeight="1" x14ac:dyDescent="0.3">
      <c r="A89" s="443"/>
      <c r="B89" s="444" t="s">
        <v>1590</v>
      </c>
      <c r="C89" s="444" t="s">
        <v>426</v>
      </c>
      <c r="D89" s="444" t="s">
        <v>1580</v>
      </c>
      <c r="E89" s="444" t="s">
        <v>1661</v>
      </c>
      <c r="F89" s="444" t="s">
        <v>1688</v>
      </c>
      <c r="G89" s="444" t="s">
        <v>1689</v>
      </c>
      <c r="H89" s="448">
        <v>84</v>
      </c>
      <c r="I89" s="448">
        <v>4200</v>
      </c>
      <c r="J89" s="444">
        <v>1.9090909090909092</v>
      </c>
      <c r="K89" s="444">
        <v>50</v>
      </c>
      <c r="L89" s="448">
        <v>44</v>
      </c>
      <c r="M89" s="448">
        <v>2200</v>
      </c>
      <c r="N89" s="444">
        <v>1</v>
      </c>
      <c r="O89" s="444">
        <v>50</v>
      </c>
      <c r="P89" s="448">
        <v>46</v>
      </c>
      <c r="Q89" s="448">
        <v>2300</v>
      </c>
      <c r="R89" s="471">
        <v>1.0454545454545454</v>
      </c>
      <c r="S89" s="449">
        <v>50</v>
      </c>
    </row>
    <row r="90" spans="1:19" ht="14.4" customHeight="1" x14ac:dyDescent="0.3">
      <c r="A90" s="443"/>
      <c r="B90" s="444" t="s">
        <v>1590</v>
      </c>
      <c r="C90" s="444" t="s">
        <v>426</v>
      </c>
      <c r="D90" s="444" t="s">
        <v>1580</v>
      </c>
      <c r="E90" s="444" t="s">
        <v>1661</v>
      </c>
      <c r="F90" s="444" t="s">
        <v>1690</v>
      </c>
      <c r="G90" s="444" t="s">
        <v>1691</v>
      </c>
      <c r="H90" s="448">
        <v>219</v>
      </c>
      <c r="I90" s="448">
        <v>22143.33</v>
      </c>
      <c r="J90" s="444">
        <v>1.671756174715282</v>
      </c>
      <c r="K90" s="444">
        <v>101.11109589041097</v>
      </c>
      <c r="L90" s="448">
        <v>131</v>
      </c>
      <c r="M90" s="448">
        <v>13245.55</v>
      </c>
      <c r="N90" s="444">
        <v>1</v>
      </c>
      <c r="O90" s="444">
        <v>101.11106870229007</v>
      </c>
      <c r="P90" s="448">
        <v>150</v>
      </c>
      <c r="Q90" s="448">
        <v>15166.68</v>
      </c>
      <c r="R90" s="471">
        <v>1.1450396548274704</v>
      </c>
      <c r="S90" s="449">
        <v>101.1112</v>
      </c>
    </row>
    <row r="91" spans="1:19" ht="14.4" customHeight="1" x14ac:dyDescent="0.3">
      <c r="A91" s="443"/>
      <c r="B91" s="444" t="s">
        <v>1590</v>
      </c>
      <c r="C91" s="444" t="s">
        <v>426</v>
      </c>
      <c r="D91" s="444" t="s">
        <v>1580</v>
      </c>
      <c r="E91" s="444" t="s">
        <v>1661</v>
      </c>
      <c r="F91" s="444" t="s">
        <v>1692</v>
      </c>
      <c r="G91" s="444" t="s">
        <v>1693</v>
      </c>
      <c r="H91" s="448">
        <v>63</v>
      </c>
      <c r="I91" s="448">
        <v>4829.99</v>
      </c>
      <c r="J91" s="444">
        <v>1.968748598843205</v>
      </c>
      <c r="K91" s="444">
        <v>76.666507936507927</v>
      </c>
      <c r="L91" s="448">
        <v>32</v>
      </c>
      <c r="M91" s="448">
        <v>2453.33</v>
      </c>
      <c r="N91" s="444">
        <v>1</v>
      </c>
      <c r="O91" s="444">
        <v>76.666562499999998</v>
      </c>
      <c r="P91" s="448">
        <v>75</v>
      </c>
      <c r="Q91" s="448">
        <v>5750</v>
      </c>
      <c r="R91" s="471">
        <v>2.3437531844472614</v>
      </c>
      <c r="S91" s="449">
        <v>76.666666666666671</v>
      </c>
    </row>
    <row r="92" spans="1:19" ht="14.4" customHeight="1" x14ac:dyDescent="0.3">
      <c r="A92" s="443"/>
      <c r="B92" s="444" t="s">
        <v>1590</v>
      </c>
      <c r="C92" s="444" t="s">
        <v>426</v>
      </c>
      <c r="D92" s="444" t="s">
        <v>1580</v>
      </c>
      <c r="E92" s="444" t="s">
        <v>1661</v>
      </c>
      <c r="F92" s="444" t="s">
        <v>1694</v>
      </c>
      <c r="G92" s="444" t="s">
        <v>1695</v>
      </c>
      <c r="H92" s="448">
        <v>787</v>
      </c>
      <c r="I92" s="448">
        <v>0</v>
      </c>
      <c r="J92" s="444"/>
      <c r="K92" s="444">
        <v>0</v>
      </c>
      <c r="L92" s="448">
        <v>645</v>
      </c>
      <c r="M92" s="448">
        <v>0</v>
      </c>
      <c r="N92" s="444"/>
      <c r="O92" s="444">
        <v>0</v>
      </c>
      <c r="P92" s="448">
        <v>780</v>
      </c>
      <c r="Q92" s="448">
        <v>0</v>
      </c>
      <c r="R92" s="471"/>
      <c r="S92" s="449">
        <v>0</v>
      </c>
    </row>
    <row r="93" spans="1:19" ht="14.4" customHeight="1" x14ac:dyDescent="0.3">
      <c r="A93" s="443"/>
      <c r="B93" s="444" t="s">
        <v>1590</v>
      </c>
      <c r="C93" s="444" t="s">
        <v>426</v>
      </c>
      <c r="D93" s="444" t="s">
        <v>1580</v>
      </c>
      <c r="E93" s="444" t="s">
        <v>1661</v>
      </c>
      <c r="F93" s="444" t="s">
        <v>1696</v>
      </c>
      <c r="G93" s="444" t="s">
        <v>1697</v>
      </c>
      <c r="H93" s="448">
        <v>251</v>
      </c>
      <c r="I93" s="448">
        <v>76694.45</v>
      </c>
      <c r="J93" s="444">
        <v>1.2009568576310594</v>
      </c>
      <c r="K93" s="444">
        <v>305.55557768924302</v>
      </c>
      <c r="L93" s="448">
        <v>209</v>
      </c>
      <c r="M93" s="448">
        <v>63861.119999999995</v>
      </c>
      <c r="N93" s="444">
        <v>1</v>
      </c>
      <c r="O93" s="444">
        <v>305.55559808612441</v>
      </c>
      <c r="P93" s="448">
        <v>208</v>
      </c>
      <c r="Q93" s="448">
        <v>63555.54</v>
      </c>
      <c r="R93" s="471">
        <v>0.99521492889570373</v>
      </c>
      <c r="S93" s="449">
        <v>305.55548076923077</v>
      </c>
    </row>
    <row r="94" spans="1:19" ht="14.4" customHeight="1" x14ac:dyDescent="0.3">
      <c r="A94" s="443"/>
      <c r="B94" s="444" t="s">
        <v>1590</v>
      </c>
      <c r="C94" s="444" t="s">
        <v>426</v>
      </c>
      <c r="D94" s="444" t="s">
        <v>1580</v>
      </c>
      <c r="E94" s="444" t="s">
        <v>1661</v>
      </c>
      <c r="F94" s="444" t="s">
        <v>1698</v>
      </c>
      <c r="G94" s="444" t="s">
        <v>1699</v>
      </c>
      <c r="H94" s="448">
        <v>186</v>
      </c>
      <c r="I94" s="448">
        <v>4633.33</v>
      </c>
      <c r="J94" s="444">
        <v>1.3113210484160833</v>
      </c>
      <c r="K94" s="444">
        <v>24.910376344086021</v>
      </c>
      <c r="L94" s="448">
        <v>106</v>
      </c>
      <c r="M94" s="448">
        <v>3533.33</v>
      </c>
      <c r="N94" s="444">
        <v>1</v>
      </c>
      <c r="O94" s="444">
        <v>33.333301886792455</v>
      </c>
      <c r="P94" s="448">
        <v>182</v>
      </c>
      <c r="Q94" s="448">
        <v>6066.66</v>
      </c>
      <c r="R94" s="471">
        <v>1.7169808650762879</v>
      </c>
      <c r="S94" s="449">
        <v>33.333296703296703</v>
      </c>
    </row>
    <row r="95" spans="1:19" ht="14.4" customHeight="1" x14ac:dyDescent="0.3">
      <c r="A95" s="443"/>
      <c r="B95" s="444" t="s">
        <v>1590</v>
      </c>
      <c r="C95" s="444" t="s">
        <v>426</v>
      </c>
      <c r="D95" s="444" t="s">
        <v>1580</v>
      </c>
      <c r="E95" s="444" t="s">
        <v>1661</v>
      </c>
      <c r="F95" s="444" t="s">
        <v>1700</v>
      </c>
      <c r="G95" s="444" t="s">
        <v>1701</v>
      </c>
      <c r="H95" s="448">
        <v>239</v>
      </c>
      <c r="I95" s="448">
        <v>108877.79</v>
      </c>
      <c r="J95" s="444">
        <v>0.85663092053501178</v>
      </c>
      <c r="K95" s="444">
        <v>455.55560669456065</v>
      </c>
      <c r="L95" s="448">
        <v>279</v>
      </c>
      <c r="M95" s="448">
        <v>127100</v>
      </c>
      <c r="N95" s="444">
        <v>1</v>
      </c>
      <c r="O95" s="444">
        <v>455.55555555555554</v>
      </c>
      <c r="P95" s="448">
        <v>273</v>
      </c>
      <c r="Q95" s="448">
        <v>124366.66</v>
      </c>
      <c r="R95" s="471">
        <v>0.97849457120377659</v>
      </c>
      <c r="S95" s="449">
        <v>455.55553113553117</v>
      </c>
    </row>
    <row r="96" spans="1:19" ht="14.4" customHeight="1" x14ac:dyDescent="0.3">
      <c r="A96" s="443"/>
      <c r="B96" s="444" t="s">
        <v>1590</v>
      </c>
      <c r="C96" s="444" t="s">
        <v>426</v>
      </c>
      <c r="D96" s="444" t="s">
        <v>1580</v>
      </c>
      <c r="E96" s="444" t="s">
        <v>1661</v>
      </c>
      <c r="F96" s="444" t="s">
        <v>1702</v>
      </c>
      <c r="G96" s="444" t="s">
        <v>1703</v>
      </c>
      <c r="H96" s="448">
        <v>263</v>
      </c>
      <c r="I96" s="448">
        <v>20455.54</v>
      </c>
      <c r="J96" s="444">
        <v>1.2523802555878074</v>
      </c>
      <c r="K96" s="444">
        <v>77.777718631178715</v>
      </c>
      <c r="L96" s="448">
        <v>210</v>
      </c>
      <c r="M96" s="448">
        <v>16333.329999999998</v>
      </c>
      <c r="N96" s="444">
        <v>1</v>
      </c>
      <c r="O96" s="444">
        <v>77.777761904761903</v>
      </c>
      <c r="P96" s="448">
        <v>210</v>
      </c>
      <c r="Q96" s="448">
        <v>16333.339999999998</v>
      </c>
      <c r="R96" s="471">
        <v>1.0000006122450229</v>
      </c>
      <c r="S96" s="449">
        <v>77.777809523809509</v>
      </c>
    </row>
    <row r="97" spans="1:19" ht="14.4" customHeight="1" x14ac:dyDescent="0.3">
      <c r="A97" s="443"/>
      <c r="B97" s="444" t="s">
        <v>1590</v>
      </c>
      <c r="C97" s="444" t="s">
        <v>426</v>
      </c>
      <c r="D97" s="444" t="s">
        <v>1580</v>
      </c>
      <c r="E97" s="444" t="s">
        <v>1661</v>
      </c>
      <c r="F97" s="444" t="s">
        <v>1704</v>
      </c>
      <c r="G97" s="444" t="s">
        <v>1705</v>
      </c>
      <c r="H97" s="448">
        <v>0</v>
      </c>
      <c r="I97" s="448">
        <v>0</v>
      </c>
      <c r="J97" s="444"/>
      <c r="K97" s="444"/>
      <c r="L97" s="448"/>
      <c r="M97" s="448"/>
      <c r="N97" s="444"/>
      <c r="O97" s="444"/>
      <c r="P97" s="448"/>
      <c r="Q97" s="448"/>
      <c r="R97" s="471"/>
      <c r="S97" s="449"/>
    </row>
    <row r="98" spans="1:19" ht="14.4" customHeight="1" x14ac:dyDescent="0.3">
      <c r="A98" s="443"/>
      <c r="B98" s="444" t="s">
        <v>1590</v>
      </c>
      <c r="C98" s="444" t="s">
        <v>426</v>
      </c>
      <c r="D98" s="444" t="s">
        <v>1580</v>
      </c>
      <c r="E98" s="444" t="s">
        <v>1661</v>
      </c>
      <c r="F98" s="444" t="s">
        <v>1706</v>
      </c>
      <c r="G98" s="444" t="s">
        <v>1707</v>
      </c>
      <c r="H98" s="448">
        <v>1</v>
      </c>
      <c r="I98" s="448">
        <v>270</v>
      </c>
      <c r="J98" s="444">
        <v>1</v>
      </c>
      <c r="K98" s="444">
        <v>270</v>
      </c>
      <c r="L98" s="448">
        <v>1</v>
      </c>
      <c r="M98" s="448">
        <v>270</v>
      </c>
      <c r="N98" s="444">
        <v>1</v>
      </c>
      <c r="O98" s="444">
        <v>270</v>
      </c>
      <c r="P98" s="448">
        <v>13</v>
      </c>
      <c r="Q98" s="448">
        <v>3510</v>
      </c>
      <c r="R98" s="471">
        <v>13</v>
      </c>
      <c r="S98" s="449">
        <v>270</v>
      </c>
    </row>
    <row r="99" spans="1:19" ht="14.4" customHeight="1" x14ac:dyDescent="0.3">
      <c r="A99" s="443"/>
      <c r="B99" s="444" t="s">
        <v>1590</v>
      </c>
      <c r="C99" s="444" t="s">
        <v>426</v>
      </c>
      <c r="D99" s="444" t="s">
        <v>1580</v>
      </c>
      <c r="E99" s="444" t="s">
        <v>1661</v>
      </c>
      <c r="F99" s="444" t="s">
        <v>1708</v>
      </c>
      <c r="G99" s="444" t="s">
        <v>1709</v>
      </c>
      <c r="H99" s="448">
        <v>434</v>
      </c>
      <c r="I99" s="448">
        <v>38577.780000000006</v>
      </c>
      <c r="J99" s="444">
        <v>1.0237354163045485</v>
      </c>
      <c r="K99" s="444">
        <v>88.8888940092166</v>
      </c>
      <c r="L99" s="448">
        <v>399</v>
      </c>
      <c r="M99" s="448">
        <v>37683.35</v>
      </c>
      <c r="N99" s="444">
        <v>1</v>
      </c>
      <c r="O99" s="444">
        <v>94.444486215538845</v>
      </c>
      <c r="P99" s="448">
        <v>547</v>
      </c>
      <c r="Q99" s="448">
        <v>51661.119999999995</v>
      </c>
      <c r="R99" s="471">
        <v>1.3709269478430128</v>
      </c>
      <c r="S99" s="449">
        <v>94.44446069469835</v>
      </c>
    </row>
    <row r="100" spans="1:19" ht="14.4" customHeight="1" x14ac:dyDescent="0.3">
      <c r="A100" s="443"/>
      <c r="B100" s="444" t="s">
        <v>1590</v>
      </c>
      <c r="C100" s="444" t="s">
        <v>426</v>
      </c>
      <c r="D100" s="444" t="s">
        <v>1580</v>
      </c>
      <c r="E100" s="444" t="s">
        <v>1661</v>
      </c>
      <c r="F100" s="444" t="s">
        <v>1710</v>
      </c>
      <c r="G100" s="444" t="s">
        <v>1711</v>
      </c>
      <c r="H100" s="448">
        <v>204</v>
      </c>
      <c r="I100" s="448">
        <v>8840</v>
      </c>
      <c r="J100" s="444">
        <v>1.467624274903957</v>
      </c>
      <c r="K100" s="444">
        <v>43.333333333333336</v>
      </c>
      <c r="L100" s="448">
        <v>139</v>
      </c>
      <c r="M100" s="448">
        <v>6023.34</v>
      </c>
      <c r="N100" s="444">
        <v>1</v>
      </c>
      <c r="O100" s="444">
        <v>43.333381294964028</v>
      </c>
      <c r="P100" s="448">
        <v>181</v>
      </c>
      <c r="Q100" s="448">
        <v>7843.33</v>
      </c>
      <c r="R100" s="471">
        <v>1.3021562787423588</v>
      </c>
      <c r="S100" s="449">
        <v>43.333314917127069</v>
      </c>
    </row>
    <row r="101" spans="1:19" ht="14.4" customHeight="1" x14ac:dyDescent="0.3">
      <c r="A101" s="443"/>
      <c r="B101" s="444" t="s">
        <v>1590</v>
      </c>
      <c r="C101" s="444" t="s">
        <v>426</v>
      </c>
      <c r="D101" s="444" t="s">
        <v>1580</v>
      </c>
      <c r="E101" s="444" t="s">
        <v>1661</v>
      </c>
      <c r="F101" s="444" t="s">
        <v>1712</v>
      </c>
      <c r="G101" s="444" t="s">
        <v>1713</v>
      </c>
      <c r="H101" s="448">
        <v>2</v>
      </c>
      <c r="I101" s="448">
        <v>193.34</v>
      </c>
      <c r="J101" s="444"/>
      <c r="K101" s="444">
        <v>96.67</v>
      </c>
      <c r="L101" s="448"/>
      <c r="M101" s="448"/>
      <c r="N101" s="444"/>
      <c r="O101" s="444"/>
      <c r="P101" s="448">
        <v>4</v>
      </c>
      <c r="Q101" s="448">
        <v>386.67</v>
      </c>
      <c r="R101" s="471"/>
      <c r="S101" s="449">
        <v>96.667500000000004</v>
      </c>
    </row>
    <row r="102" spans="1:19" ht="14.4" customHeight="1" x14ac:dyDescent="0.3">
      <c r="A102" s="443"/>
      <c r="B102" s="444" t="s">
        <v>1590</v>
      </c>
      <c r="C102" s="444" t="s">
        <v>426</v>
      </c>
      <c r="D102" s="444" t="s">
        <v>1580</v>
      </c>
      <c r="E102" s="444" t="s">
        <v>1661</v>
      </c>
      <c r="F102" s="444" t="s">
        <v>1714</v>
      </c>
      <c r="G102" s="444" t="s">
        <v>1715</v>
      </c>
      <c r="H102" s="448"/>
      <c r="I102" s="448"/>
      <c r="J102" s="444"/>
      <c r="K102" s="444"/>
      <c r="L102" s="448"/>
      <c r="M102" s="448"/>
      <c r="N102" s="444"/>
      <c r="O102" s="444"/>
      <c r="P102" s="448">
        <v>2</v>
      </c>
      <c r="Q102" s="448">
        <v>402.22</v>
      </c>
      <c r="R102" s="471"/>
      <c r="S102" s="449">
        <v>201.11</v>
      </c>
    </row>
    <row r="103" spans="1:19" ht="14.4" customHeight="1" x14ac:dyDescent="0.3">
      <c r="A103" s="443"/>
      <c r="B103" s="444" t="s">
        <v>1590</v>
      </c>
      <c r="C103" s="444" t="s">
        <v>426</v>
      </c>
      <c r="D103" s="444" t="s">
        <v>1580</v>
      </c>
      <c r="E103" s="444" t="s">
        <v>1661</v>
      </c>
      <c r="F103" s="444" t="s">
        <v>1716</v>
      </c>
      <c r="G103" s="444" t="s">
        <v>1717</v>
      </c>
      <c r="H103" s="448">
        <v>5</v>
      </c>
      <c r="I103" s="448">
        <v>700</v>
      </c>
      <c r="J103" s="444">
        <v>0.71590746384667303</v>
      </c>
      <c r="K103" s="444">
        <v>140</v>
      </c>
      <c r="L103" s="448">
        <v>5</v>
      </c>
      <c r="M103" s="448">
        <v>977.78000000000009</v>
      </c>
      <c r="N103" s="444">
        <v>1</v>
      </c>
      <c r="O103" s="444">
        <v>195.55600000000001</v>
      </c>
      <c r="P103" s="448">
        <v>10</v>
      </c>
      <c r="Q103" s="448">
        <v>1955.5600000000002</v>
      </c>
      <c r="R103" s="471">
        <v>2</v>
      </c>
      <c r="S103" s="449">
        <v>195.55600000000001</v>
      </c>
    </row>
    <row r="104" spans="1:19" ht="14.4" customHeight="1" x14ac:dyDescent="0.3">
      <c r="A104" s="443"/>
      <c r="B104" s="444" t="s">
        <v>1590</v>
      </c>
      <c r="C104" s="444" t="s">
        <v>426</v>
      </c>
      <c r="D104" s="444" t="s">
        <v>1580</v>
      </c>
      <c r="E104" s="444" t="s">
        <v>1661</v>
      </c>
      <c r="F104" s="444" t="s">
        <v>1718</v>
      </c>
      <c r="G104" s="444" t="s">
        <v>1719</v>
      </c>
      <c r="H104" s="448">
        <v>4</v>
      </c>
      <c r="I104" s="448">
        <v>466.67</v>
      </c>
      <c r="J104" s="444">
        <v>3.9999142881631955</v>
      </c>
      <c r="K104" s="444">
        <v>116.6675</v>
      </c>
      <c r="L104" s="448">
        <v>1</v>
      </c>
      <c r="M104" s="448">
        <v>116.67</v>
      </c>
      <c r="N104" s="444">
        <v>1</v>
      </c>
      <c r="O104" s="444">
        <v>116.67</v>
      </c>
      <c r="P104" s="448">
        <v>3</v>
      </c>
      <c r="Q104" s="448">
        <v>350.01</v>
      </c>
      <c r="R104" s="471">
        <v>3</v>
      </c>
      <c r="S104" s="449">
        <v>116.67</v>
      </c>
    </row>
    <row r="105" spans="1:19" ht="14.4" customHeight="1" x14ac:dyDescent="0.3">
      <c r="A105" s="443"/>
      <c r="B105" s="444" t="s">
        <v>1590</v>
      </c>
      <c r="C105" s="444" t="s">
        <v>426</v>
      </c>
      <c r="D105" s="444" t="s">
        <v>1580</v>
      </c>
      <c r="E105" s="444" t="s">
        <v>1661</v>
      </c>
      <c r="F105" s="444" t="s">
        <v>1720</v>
      </c>
      <c r="G105" s="444" t="s">
        <v>1721</v>
      </c>
      <c r="H105" s="448">
        <v>29</v>
      </c>
      <c r="I105" s="448">
        <v>1417.78</v>
      </c>
      <c r="J105" s="444">
        <v>1.8124848190429923</v>
      </c>
      <c r="K105" s="444">
        <v>48.888965517241381</v>
      </c>
      <c r="L105" s="448">
        <v>16</v>
      </c>
      <c r="M105" s="448">
        <v>782.23</v>
      </c>
      <c r="N105" s="444">
        <v>1</v>
      </c>
      <c r="O105" s="444">
        <v>48.889375000000001</v>
      </c>
      <c r="P105" s="448">
        <v>23</v>
      </c>
      <c r="Q105" s="448">
        <v>1124.4499999999998</v>
      </c>
      <c r="R105" s="471">
        <v>1.4374928090203647</v>
      </c>
      <c r="S105" s="449">
        <v>48.889130434782601</v>
      </c>
    </row>
    <row r="106" spans="1:19" ht="14.4" customHeight="1" x14ac:dyDescent="0.3">
      <c r="A106" s="443"/>
      <c r="B106" s="444" t="s">
        <v>1590</v>
      </c>
      <c r="C106" s="444" t="s">
        <v>426</v>
      </c>
      <c r="D106" s="444" t="s">
        <v>1580</v>
      </c>
      <c r="E106" s="444" t="s">
        <v>1661</v>
      </c>
      <c r="F106" s="444" t="s">
        <v>1722</v>
      </c>
      <c r="G106" s="444" t="s">
        <v>1723</v>
      </c>
      <c r="H106" s="448">
        <v>3</v>
      </c>
      <c r="I106" s="448">
        <v>983.33999999999992</v>
      </c>
      <c r="J106" s="444"/>
      <c r="K106" s="444">
        <v>327.78</v>
      </c>
      <c r="L106" s="448"/>
      <c r="M106" s="448"/>
      <c r="N106" s="444"/>
      <c r="O106" s="444"/>
      <c r="P106" s="448">
        <v>9</v>
      </c>
      <c r="Q106" s="448">
        <v>3099.9900000000002</v>
      </c>
      <c r="R106" s="471"/>
      <c r="S106" s="449">
        <v>344.44333333333338</v>
      </c>
    </row>
    <row r="107" spans="1:19" ht="14.4" customHeight="1" x14ac:dyDescent="0.3">
      <c r="A107" s="443"/>
      <c r="B107" s="444" t="s">
        <v>1590</v>
      </c>
      <c r="C107" s="444" t="s">
        <v>426</v>
      </c>
      <c r="D107" s="444" t="s">
        <v>1580</v>
      </c>
      <c r="E107" s="444" t="s">
        <v>1661</v>
      </c>
      <c r="F107" s="444" t="s">
        <v>1724</v>
      </c>
      <c r="G107" s="444" t="s">
        <v>1725</v>
      </c>
      <c r="H107" s="448">
        <v>11</v>
      </c>
      <c r="I107" s="448">
        <v>3214.45</v>
      </c>
      <c r="J107" s="444">
        <v>5.5000513311888293</v>
      </c>
      <c r="K107" s="444">
        <v>292.22272727272724</v>
      </c>
      <c r="L107" s="448">
        <v>2</v>
      </c>
      <c r="M107" s="448">
        <v>584.44000000000005</v>
      </c>
      <c r="N107" s="444">
        <v>1</v>
      </c>
      <c r="O107" s="444">
        <v>292.22000000000003</v>
      </c>
      <c r="P107" s="448">
        <v>1</v>
      </c>
      <c r="Q107" s="448">
        <v>292.22000000000003</v>
      </c>
      <c r="R107" s="471">
        <v>0.5</v>
      </c>
      <c r="S107" s="449">
        <v>292.22000000000003</v>
      </c>
    </row>
    <row r="108" spans="1:19" ht="14.4" customHeight="1" x14ac:dyDescent="0.3">
      <c r="A108" s="443"/>
      <c r="B108" s="444" t="s">
        <v>1590</v>
      </c>
      <c r="C108" s="444" t="s">
        <v>426</v>
      </c>
      <c r="D108" s="444" t="s">
        <v>1580</v>
      </c>
      <c r="E108" s="444" t="s">
        <v>1661</v>
      </c>
      <c r="F108" s="444" t="s">
        <v>1726</v>
      </c>
      <c r="G108" s="444" t="s">
        <v>1727</v>
      </c>
      <c r="H108" s="448"/>
      <c r="I108" s="448"/>
      <c r="J108" s="444"/>
      <c r="K108" s="444"/>
      <c r="L108" s="448"/>
      <c r="M108" s="448"/>
      <c r="N108" s="444"/>
      <c r="O108" s="444"/>
      <c r="P108" s="448">
        <v>39</v>
      </c>
      <c r="Q108" s="448">
        <v>8666.66</v>
      </c>
      <c r="R108" s="471"/>
      <c r="S108" s="449">
        <v>222.22205128205127</v>
      </c>
    </row>
    <row r="109" spans="1:19" ht="14.4" customHeight="1" x14ac:dyDescent="0.3">
      <c r="A109" s="443"/>
      <c r="B109" s="444" t="s">
        <v>1590</v>
      </c>
      <c r="C109" s="444" t="s">
        <v>426</v>
      </c>
      <c r="D109" s="444" t="s">
        <v>1580</v>
      </c>
      <c r="E109" s="444" t="s">
        <v>1661</v>
      </c>
      <c r="F109" s="444" t="s">
        <v>1728</v>
      </c>
      <c r="G109" s="444" t="s">
        <v>1729</v>
      </c>
      <c r="H109" s="448"/>
      <c r="I109" s="448"/>
      <c r="J109" s="444"/>
      <c r="K109" s="444"/>
      <c r="L109" s="448">
        <v>0</v>
      </c>
      <c r="M109" s="448">
        <v>0</v>
      </c>
      <c r="N109" s="444"/>
      <c r="O109" s="444"/>
      <c r="P109" s="448">
        <v>1</v>
      </c>
      <c r="Q109" s="448">
        <v>116.67</v>
      </c>
      <c r="R109" s="471"/>
      <c r="S109" s="449">
        <v>116.67</v>
      </c>
    </row>
    <row r="110" spans="1:19" ht="14.4" customHeight="1" x14ac:dyDescent="0.3">
      <c r="A110" s="443"/>
      <c r="B110" s="444" t="s">
        <v>1590</v>
      </c>
      <c r="C110" s="444" t="s">
        <v>426</v>
      </c>
      <c r="D110" s="444" t="s">
        <v>1580</v>
      </c>
      <c r="E110" s="444" t="s">
        <v>1661</v>
      </c>
      <c r="F110" s="444" t="s">
        <v>1730</v>
      </c>
      <c r="G110" s="444" t="s">
        <v>1731</v>
      </c>
      <c r="H110" s="448">
        <v>1</v>
      </c>
      <c r="I110" s="448">
        <v>358.89</v>
      </c>
      <c r="J110" s="444">
        <v>1</v>
      </c>
      <c r="K110" s="444">
        <v>358.89</v>
      </c>
      <c r="L110" s="448">
        <v>1</v>
      </c>
      <c r="M110" s="448">
        <v>358.89</v>
      </c>
      <c r="N110" s="444">
        <v>1</v>
      </c>
      <c r="O110" s="444">
        <v>358.89</v>
      </c>
      <c r="P110" s="448">
        <v>2</v>
      </c>
      <c r="Q110" s="448">
        <v>717.78</v>
      </c>
      <c r="R110" s="471">
        <v>2</v>
      </c>
      <c r="S110" s="449">
        <v>358.89</v>
      </c>
    </row>
    <row r="111" spans="1:19" ht="14.4" customHeight="1" x14ac:dyDescent="0.3">
      <c r="A111" s="443"/>
      <c r="B111" s="444" t="s">
        <v>1590</v>
      </c>
      <c r="C111" s="444" t="s">
        <v>1582</v>
      </c>
      <c r="D111" s="444" t="s">
        <v>1580</v>
      </c>
      <c r="E111" s="444" t="s">
        <v>1591</v>
      </c>
      <c r="F111" s="444" t="s">
        <v>1594</v>
      </c>
      <c r="G111" s="444"/>
      <c r="H111" s="448"/>
      <c r="I111" s="448"/>
      <c r="J111" s="444"/>
      <c r="K111" s="444"/>
      <c r="L111" s="448">
        <v>2</v>
      </c>
      <c r="M111" s="448">
        <v>226</v>
      </c>
      <c r="N111" s="444">
        <v>1</v>
      </c>
      <c r="O111" s="444">
        <v>113</v>
      </c>
      <c r="P111" s="448">
        <v>13</v>
      </c>
      <c r="Q111" s="448">
        <v>1469</v>
      </c>
      <c r="R111" s="471">
        <v>6.5</v>
      </c>
      <c r="S111" s="449">
        <v>113</v>
      </c>
    </row>
    <row r="112" spans="1:19" ht="14.4" customHeight="1" x14ac:dyDescent="0.3">
      <c r="A112" s="443"/>
      <c r="B112" s="444" t="s">
        <v>1590</v>
      </c>
      <c r="C112" s="444" t="s">
        <v>1582</v>
      </c>
      <c r="D112" s="444" t="s">
        <v>1580</v>
      </c>
      <c r="E112" s="444" t="s">
        <v>1591</v>
      </c>
      <c r="F112" s="444" t="s">
        <v>1606</v>
      </c>
      <c r="G112" s="444"/>
      <c r="H112" s="448"/>
      <c r="I112" s="448"/>
      <c r="J112" s="444"/>
      <c r="K112" s="444"/>
      <c r="L112" s="448">
        <v>2</v>
      </c>
      <c r="M112" s="448">
        <v>1600</v>
      </c>
      <c r="N112" s="444">
        <v>1</v>
      </c>
      <c r="O112" s="444">
        <v>800</v>
      </c>
      <c r="P112" s="448"/>
      <c r="Q112" s="448"/>
      <c r="R112" s="471"/>
      <c r="S112" s="449"/>
    </row>
    <row r="113" spans="1:19" ht="14.4" customHeight="1" x14ac:dyDescent="0.3">
      <c r="A113" s="443"/>
      <c r="B113" s="444" t="s">
        <v>1590</v>
      </c>
      <c r="C113" s="444" t="s">
        <v>1582</v>
      </c>
      <c r="D113" s="444" t="s">
        <v>1580</v>
      </c>
      <c r="E113" s="444" t="s">
        <v>1591</v>
      </c>
      <c r="F113" s="444" t="s">
        <v>1617</v>
      </c>
      <c r="G113" s="444"/>
      <c r="H113" s="448">
        <v>1</v>
      </c>
      <c r="I113" s="448">
        <v>679</v>
      </c>
      <c r="J113" s="444"/>
      <c r="K113" s="444">
        <v>679</v>
      </c>
      <c r="L113" s="448"/>
      <c r="M113" s="448"/>
      <c r="N113" s="444"/>
      <c r="O113" s="444"/>
      <c r="P113" s="448"/>
      <c r="Q113" s="448"/>
      <c r="R113" s="471"/>
      <c r="S113" s="449"/>
    </row>
    <row r="114" spans="1:19" ht="14.4" customHeight="1" x14ac:dyDescent="0.3">
      <c r="A114" s="443"/>
      <c r="B114" s="444" t="s">
        <v>1590</v>
      </c>
      <c r="C114" s="444" t="s">
        <v>1582</v>
      </c>
      <c r="D114" s="444" t="s">
        <v>1580</v>
      </c>
      <c r="E114" s="444" t="s">
        <v>1591</v>
      </c>
      <c r="F114" s="444" t="s">
        <v>1633</v>
      </c>
      <c r="G114" s="444"/>
      <c r="H114" s="448"/>
      <c r="I114" s="448"/>
      <c r="J114" s="444"/>
      <c r="K114" s="444"/>
      <c r="L114" s="448"/>
      <c r="M114" s="448"/>
      <c r="N114" s="444"/>
      <c r="O114" s="444"/>
      <c r="P114" s="448">
        <v>1</v>
      </c>
      <c r="Q114" s="448">
        <v>587</v>
      </c>
      <c r="R114" s="471"/>
      <c r="S114" s="449">
        <v>587</v>
      </c>
    </row>
    <row r="115" spans="1:19" ht="14.4" customHeight="1" x14ac:dyDescent="0.3">
      <c r="A115" s="443"/>
      <c r="B115" s="444" t="s">
        <v>1590</v>
      </c>
      <c r="C115" s="444" t="s">
        <v>1582</v>
      </c>
      <c r="D115" s="444" t="s">
        <v>1580</v>
      </c>
      <c r="E115" s="444" t="s">
        <v>1661</v>
      </c>
      <c r="F115" s="444" t="s">
        <v>1662</v>
      </c>
      <c r="G115" s="444" t="s">
        <v>1663</v>
      </c>
      <c r="H115" s="448">
        <v>15</v>
      </c>
      <c r="I115" s="448">
        <v>6633.33</v>
      </c>
      <c r="J115" s="444">
        <v>0.34871481877509564</v>
      </c>
      <c r="K115" s="444">
        <v>442.22199999999998</v>
      </c>
      <c r="L115" s="448">
        <v>40</v>
      </c>
      <c r="M115" s="448">
        <v>19022.22</v>
      </c>
      <c r="N115" s="444">
        <v>1</v>
      </c>
      <c r="O115" s="444">
        <v>475.55550000000005</v>
      </c>
      <c r="P115" s="448">
        <v>20</v>
      </c>
      <c r="Q115" s="448">
        <v>10177.779999999999</v>
      </c>
      <c r="R115" s="471">
        <v>0.53504690829987234</v>
      </c>
      <c r="S115" s="449">
        <v>508.88899999999995</v>
      </c>
    </row>
    <row r="116" spans="1:19" ht="14.4" customHeight="1" x14ac:dyDescent="0.3">
      <c r="A116" s="443"/>
      <c r="B116" s="444" t="s">
        <v>1590</v>
      </c>
      <c r="C116" s="444" t="s">
        <v>1582</v>
      </c>
      <c r="D116" s="444" t="s">
        <v>1580</v>
      </c>
      <c r="E116" s="444" t="s">
        <v>1661</v>
      </c>
      <c r="F116" s="444" t="s">
        <v>1662</v>
      </c>
      <c r="G116" s="444" t="s">
        <v>1664</v>
      </c>
      <c r="H116" s="448">
        <v>2</v>
      </c>
      <c r="I116" s="448">
        <v>884.44</v>
      </c>
      <c r="J116" s="444"/>
      <c r="K116" s="444">
        <v>442.22</v>
      </c>
      <c r="L116" s="448"/>
      <c r="M116" s="448"/>
      <c r="N116" s="444"/>
      <c r="O116" s="444"/>
      <c r="P116" s="448"/>
      <c r="Q116" s="448"/>
      <c r="R116" s="471"/>
      <c r="S116" s="449"/>
    </row>
    <row r="117" spans="1:19" ht="14.4" customHeight="1" x14ac:dyDescent="0.3">
      <c r="A117" s="443"/>
      <c r="B117" s="444" t="s">
        <v>1590</v>
      </c>
      <c r="C117" s="444" t="s">
        <v>1582</v>
      </c>
      <c r="D117" s="444" t="s">
        <v>1580</v>
      </c>
      <c r="E117" s="444" t="s">
        <v>1661</v>
      </c>
      <c r="F117" s="444" t="s">
        <v>1665</v>
      </c>
      <c r="G117" s="444" t="s">
        <v>1666</v>
      </c>
      <c r="H117" s="448">
        <v>592</v>
      </c>
      <c r="I117" s="448">
        <v>269688.88</v>
      </c>
      <c r="J117" s="444">
        <v>1.3393664421285409</v>
      </c>
      <c r="K117" s="444">
        <v>455.55554054054056</v>
      </c>
      <c r="L117" s="448">
        <v>442</v>
      </c>
      <c r="M117" s="448">
        <v>201355.56000000003</v>
      </c>
      <c r="N117" s="444">
        <v>1</v>
      </c>
      <c r="O117" s="444">
        <v>455.55556561085979</v>
      </c>
      <c r="P117" s="448">
        <v>389</v>
      </c>
      <c r="Q117" s="448">
        <v>194500</v>
      </c>
      <c r="R117" s="471">
        <v>0.9659529640005966</v>
      </c>
      <c r="S117" s="449">
        <v>500</v>
      </c>
    </row>
    <row r="118" spans="1:19" ht="14.4" customHeight="1" x14ac:dyDescent="0.3">
      <c r="A118" s="443"/>
      <c r="B118" s="444" t="s">
        <v>1590</v>
      </c>
      <c r="C118" s="444" t="s">
        <v>1582</v>
      </c>
      <c r="D118" s="444" t="s">
        <v>1580</v>
      </c>
      <c r="E118" s="444" t="s">
        <v>1661</v>
      </c>
      <c r="F118" s="444" t="s">
        <v>1732</v>
      </c>
      <c r="G118" s="444" t="s">
        <v>1733</v>
      </c>
      <c r="H118" s="448">
        <v>152</v>
      </c>
      <c r="I118" s="448">
        <v>16044.44</v>
      </c>
      <c r="J118" s="444">
        <v>1.7272720421923395</v>
      </c>
      <c r="K118" s="444">
        <v>105.55552631578948</v>
      </c>
      <c r="L118" s="448">
        <v>88</v>
      </c>
      <c r="M118" s="448">
        <v>9288.89</v>
      </c>
      <c r="N118" s="444">
        <v>1</v>
      </c>
      <c r="O118" s="444">
        <v>105.55556818181817</v>
      </c>
      <c r="P118" s="448">
        <v>95</v>
      </c>
      <c r="Q118" s="448">
        <v>10027.779999999999</v>
      </c>
      <c r="R118" s="471">
        <v>1.0795455646476597</v>
      </c>
      <c r="S118" s="449">
        <v>105.5555789473684</v>
      </c>
    </row>
    <row r="119" spans="1:19" ht="14.4" customHeight="1" x14ac:dyDescent="0.3">
      <c r="A119" s="443"/>
      <c r="B119" s="444" t="s">
        <v>1590</v>
      </c>
      <c r="C119" s="444" t="s">
        <v>1582</v>
      </c>
      <c r="D119" s="444" t="s">
        <v>1580</v>
      </c>
      <c r="E119" s="444" t="s">
        <v>1661</v>
      </c>
      <c r="F119" s="444" t="s">
        <v>1667</v>
      </c>
      <c r="G119" s="444" t="s">
        <v>1668</v>
      </c>
      <c r="H119" s="448">
        <v>3045</v>
      </c>
      <c r="I119" s="448">
        <v>236833.33</v>
      </c>
      <c r="J119" s="444">
        <v>0.87878786641929496</v>
      </c>
      <c r="K119" s="444">
        <v>77.777776683087026</v>
      </c>
      <c r="L119" s="448">
        <v>3465</v>
      </c>
      <c r="M119" s="448">
        <v>269500</v>
      </c>
      <c r="N119" s="444">
        <v>1</v>
      </c>
      <c r="O119" s="444">
        <v>77.777777777777771</v>
      </c>
      <c r="P119" s="448">
        <v>3231</v>
      </c>
      <c r="Q119" s="448">
        <v>251300</v>
      </c>
      <c r="R119" s="471">
        <v>0.93246753246753245</v>
      </c>
      <c r="S119" s="449">
        <v>77.777777777777771</v>
      </c>
    </row>
    <row r="120" spans="1:19" ht="14.4" customHeight="1" x14ac:dyDescent="0.3">
      <c r="A120" s="443"/>
      <c r="B120" s="444" t="s">
        <v>1590</v>
      </c>
      <c r="C120" s="444" t="s">
        <v>1582</v>
      </c>
      <c r="D120" s="444" t="s">
        <v>1580</v>
      </c>
      <c r="E120" s="444" t="s">
        <v>1661</v>
      </c>
      <c r="F120" s="444" t="s">
        <v>1669</v>
      </c>
      <c r="G120" s="444" t="s">
        <v>1670</v>
      </c>
      <c r="H120" s="448">
        <v>7</v>
      </c>
      <c r="I120" s="448">
        <v>1750</v>
      </c>
      <c r="J120" s="444">
        <v>7</v>
      </c>
      <c r="K120" s="444">
        <v>250</v>
      </c>
      <c r="L120" s="448">
        <v>1</v>
      </c>
      <c r="M120" s="448">
        <v>250</v>
      </c>
      <c r="N120" s="444">
        <v>1</v>
      </c>
      <c r="O120" s="444">
        <v>250</v>
      </c>
      <c r="P120" s="448">
        <v>2</v>
      </c>
      <c r="Q120" s="448">
        <v>500</v>
      </c>
      <c r="R120" s="471">
        <v>2</v>
      </c>
      <c r="S120" s="449">
        <v>250</v>
      </c>
    </row>
    <row r="121" spans="1:19" ht="14.4" customHeight="1" x14ac:dyDescent="0.3">
      <c r="A121" s="443"/>
      <c r="B121" s="444" t="s">
        <v>1590</v>
      </c>
      <c r="C121" s="444" t="s">
        <v>1582</v>
      </c>
      <c r="D121" s="444" t="s">
        <v>1580</v>
      </c>
      <c r="E121" s="444" t="s">
        <v>1661</v>
      </c>
      <c r="F121" s="444" t="s">
        <v>1673</v>
      </c>
      <c r="G121" s="444" t="s">
        <v>1674</v>
      </c>
      <c r="H121" s="448">
        <v>1043</v>
      </c>
      <c r="I121" s="448">
        <v>115888.89</v>
      </c>
      <c r="J121" s="444">
        <v>0.81487556979079889</v>
      </c>
      <c r="K121" s="444">
        <v>111.1111121764142</v>
      </c>
      <c r="L121" s="448">
        <v>1219</v>
      </c>
      <c r="M121" s="448">
        <v>142216.66999999998</v>
      </c>
      <c r="N121" s="444">
        <v>1</v>
      </c>
      <c r="O121" s="444">
        <v>116.66666940114847</v>
      </c>
      <c r="P121" s="448">
        <v>998</v>
      </c>
      <c r="Q121" s="448">
        <v>116433.32</v>
      </c>
      <c r="R121" s="471">
        <v>0.81870374267657953</v>
      </c>
      <c r="S121" s="449">
        <v>116.66665330661323</v>
      </c>
    </row>
    <row r="122" spans="1:19" ht="14.4" customHeight="1" x14ac:dyDescent="0.3">
      <c r="A122" s="443"/>
      <c r="B122" s="444" t="s">
        <v>1590</v>
      </c>
      <c r="C122" s="444" t="s">
        <v>1582</v>
      </c>
      <c r="D122" s="444" t="s">
        <v>1580</v>
      </c>
      <c r="E122" s="444" t="s">
        <v>1661</v>
      </c>
      <c r="F122" s="444" t="s">
        <v>1734</v>
      </c>
      <c r="G122" s="444" t="s">
        <v>1735</v>
      </c>
      <c r="H122" s="448">
        <v>13</v>
      </c>
      <c r="I122" s="448">
        <v>4550</v>
      </c>
      <c r="J122" s="444">
        <v>5.8499832857620406</v>
      </c>
      <c r="K122" s="444">
        <v>350</v>
      </c>
      <c r="L122" s="448">
        <v>2</v>
      </c>
      <c r="M122" s="448">
        <v>777.78</v>
      </c>
      <c r="N122" s="444">
        <v>1</v>
      </c>
      <c r="O122" s="444">
        <v>388.89</v>
      </c>
      <c r="P122" s="448">
        <v>1</v>
      </c>
      <c r="Q122" s="448">
        <v>388.89</v>
      </c>
      <c r="R122" s="471">
        <v>0.5</v>
      </c>
      <c r="S122" s="449">
        <v>388.89</v>
      </c>
    </row>
    <row r="123" spans="1:19" ht="14.4" customHeight="1" x14ac:dyDescent="0.3">
      <c r="A123" s="443"/>
      <c r="B123" s="444" t="s">
        <v>1590</v>
      </c>
      <c r="C123" s="444" t="s">
        <v>1582</v>
      </c>
      <c r="D123" s="444" t="s">
        <v>1580</v>
      </c>
      <c r="E123" s="444" t="s">
        <v>1661</v>
      </c>
      <c r="F123" s="444" t="s">
        <v>1675</v>
      </c>
      <c r="G123" s="444" t="s">
        <v>1676</v>
      </c>
      <c r="H123" s="448">
        <v>1387</v>
      </c>
      <c r="I123" s="448">
        <v>372948.89</v>
      </c>
      <c r="J123" s="444">
        <v>0.96369222222222228</v>
      </c>
      <c r="K123" s="444">
        <v>268.88888968997838</v>
      </c>
      <c r="L123" s="448">
        <v>1290</v>
      </c>
      <c r="M123" s="448">
        <v>387000</v>
      </c>
      <c r="N123" s="444">
        <v>1</v>
      </c>
      <c r="O123" s="444">
        <v>300</v>
      </c>
      <c r="P123" s="448">
        <v>969</v>
      </c>
      <c r="Q123" s="448">
        <v>290700</v>
      </c>
      <c r="R123" s="471">
        <v>0.75116279069767444</v>
      </c>
      <c r="S123" s="449">
        <v>300</v>
      </c>
    </row>
    <row r="124" spans="1:19" ht="14.4" customHeight="1" x14ac:dyDescent="0.3">
      <c r="A124" s="443"/>
      <c r="B124" s="444" t="s">
        <v>1590</v>
      </c>
      <c r="C124" s="444" t="s">
        <v>1582</v>
      </c>
      <c r="D124" s="444" t="s">
        <v>1580</v>
      </c>
      <c r="E124" s="444" t="s">
        <v>1661</v>
      </c>
      <c r="F124" s="444" t="s">
        <v>1677</v>
      </c>
      <c r="G124" s="444" t="s">
        <v>1678</v>
      </c>
      <c r="H124" s="448">
        <v>483</v>
      </c>
      <c r="I124" s="448">
        <v>142216.66999999998</v>
      </c>
      <c r="J124" s="444">
        <v>1.4815951096007047</v>
      </c>
      <c r="K124" s="444">
        <v>294.44445134575568</v>
      </c>
      <c r="L124" s="448">
        <v>326</v>
      </c>
      <c r="M124" s="448">
        <v>95988.89</v>
      </c>
      <c r="N124" s="444">
        <v>1</v>
      </c>
      <c r="O124" s="444">
        <v>294.44444785276073</v>
      </c>
      <c r="P124" s="448">
        <v>218</v>
      </c>
      <c r="Q124" s="448">
        <v>64188.899999999994</v>
      </c>
      <c r="R124" s="471">
        <v>0.6687117644552405</v>
      </c>
      <c r="S124" s="449">
        <v>294.44449541284399</v>
      </c>
    </row>
    <row r="125" spans="1:19" ht="14.4" customHeight="1" x14ac:dyDescent="0.3">
      <c r="A125" s="443"/>
      <c r="B125" s="444" t="s">
        <v>1590</v>
      </c>
      <c r="C125" s="444" t="s">
        <v>1582</v>
      </c>
      <c r="D125" s="444" t="s">
        <v>1580</v>
      </c>
      <c r="E125" s="444" t="s">
        <v>1661</v>
      </c>
      <c r="F125" s="444" t="s">
        <v>1679</v>
      </c>
      <c r="G125" s="444" t="s">
        <v>1680</v>
      </c>
      <c r="H125" s="448">
        <v>10</v>
      </c>
      <c r="I125" s="448">
        <v>111.1</v>
      </c>
      <c r="J125" s="444">
        <v>1.6666666666666667</v>
      </c>
      <c r="K125" s="444">
        <v>11.11</v>
      </c>
      <c r="L125" s="448">
        <v>2</v>
      </c>
      <c r="M125" s="448">
        <v>66.66</v>
      </c>
      <c r="N125" s="444">
        <v>1</v>
      </c>
      <c r="O125" s="444">
        <v>33.33</v>
      </c>
      <c r="P125" s="448"/>
      <c r="Q125" s="448"/>
      <c r="R125" s="471"/>
      <c r="S125" s="449"/>
    </row>
    <row r="126" spans="1:19" ht="14.4" customHeight="1" x14ac:dyDescent="0.3">
      <c r="A126" s="443"/>
      <c r="B126" s="444" t="s">
        <v>1590</v>
      </c>
      <c r="C126" s="444" t="s">
        <v>1582</v>
      </c>
      <c r="D126" s="444" t="s">
        <v>1580</v>
      </c>
      <c r="E126" s="444" t="s">
        <v>1661</v>
      </c>
      <c r="F126" s="444" t="s">
        <v>1681</v>
      </c>
      <c r="G126" s="444" t="s">
        <v>1666</v>
      </c>
      <c r="H126" s="448">
        <v>877</v>
      </c>
      <c r="I126" s="448">
        <v>327413.33</v>
      </c>
      <c r="J126" s="444">
        <v>1.3227752504848094</v>
      </c>
      <c r="K126" s="444">
        <v>373.33332953249715</v>
      </c>
      <c r="L126" s="448">
        <v>663</v>
      </c>
      <c r="M126" s="448">
        <v>247520</v>
      </c>
      <c r="N126" s="444">
        <v>1</v>
      </c>
      <c r="O126" s="444">
        <v>373.33333333333331</v>
      </c>
      <c r="P126" s="448">
        <v>666</v>
      </c>
      <c r="Q126" s="448">
        <v>278240</v>
      </c>
      <c r="R126" s="471">
        <v>1.1241111829347123</v>
      </c>
      <c r="S126" s="449">
        <v>417.77777777777777</v>
      </c>
    </row>
    <row r="127" spans="1:19" ht="14.4" customHeight="1" x14ac:dyDescent="0.3">
      <c r="A127" s="443"/>
      <c r="B127" s="444" t="s">
        <v>1590</v>
      </c>
      <c r="C127" s="444" t="s">
        <v>1582</v>
      </c>
      <c r="D127" s="444" t="s">
        <v>1580</v>
      </c>
      <c r="E127" s="444" t="s">
        <v>1661</v>
      </c>
      <c r="F127" s="444" t="s">
        <v>1682</v>
      </c>
      <c r="G127" s="444" t="s">
        <v>1683</v>
      </c>
      <c r="H127" s="448">
        <v>63</v>
      </c>
      <c r="I127" s="448">
        <v>11760</v>
      </c>
      <c r="J127" s="444">
        <v>0.92842154127449539</v>
      </c>
      <c r="K127" s="444">
        <v>186.66666666666666</v>
      </c>
      <c r="L127" s="448">
        <v>60</v>
      </c>
      <c r="M127" s="448">
        <v>12666.66</v>
      </c>
      <c r="N127" s="444">
        <v>1</v>
      </c>
      <c r="O127" s="444">
        <v>211.11099999999999</v>
      </c>
      <c r="P127" s="448">
        <v>68</v>
      </c>
      <c r="Q127" s="448">
        <v>14355.55</v>
      </c>
      <c r="R127" s="471">
        <v>1.1333334912281532</v>
      </c>
      <c r="S127" s="449">
        <v>211.11102941176469</v>
      </c>
    </row>
    <row r="128" spans="1:19" ht="14.4" customHeight="1" x14ac:dyDescent="0.3">
      <c r="A128" s="443"/>
      <c r="B128" s="444" t="s">
        <v>1590</v>
      </c>
      <c r="C128" s="444" t="s">
        <v>1582</v>
      </c>
      <c r="D128" s="444" t="s">
        <v>1580</v>
      </c>
      <c r="E128" s="444" t="s">
        <v>1661</v>
      </c>
      <c r="F128" s="444" t="s">
        <v>1684</v>
      </c>
      <c r="G128" s="444" t="s">
        <v>1685</v>
      </c>
      <c r="H128" s="448">
        <v>34</v>
      </c>
      <c r="I128" s="448">
        <v>19833.339999999997</v>
      </c>
      <c r="J128" s="444">
        <v>0.61818209020073656</v>
      </c>
      <c r="K128" s="444">
        <v>583.33352941176463</v>
      </c>
      <c r="L128" s="448">
        <v>55</v>
      </c>
      <c r="M128" s="448">
        <v>32083.33</v>
      </c>
      <c r="N128" s="444">
        <v>1</v>
      </c>
      <c r="O128" s="444">
        <v>583.33327272727274</v>
      </c>
      <c r="P128" s="448">
        <v>43</v>
      </c>
      <c r="Q128" s="448">
        <v>25083.33</v>
      </c>
      <c r="R128" s="471">
        <v>0.78181815914993857</v>
      </c>
      <c r="S128" s="449">
        <v>583.33325581395354</v>
      </c>
    </row>
    <row r="129" spans="1:19" ht="14.4" customHeight="1" x14ac:dyDescent="0.3">
      <c r="A129" s="443"/>
      <c r="B129" s="444" t="s">
        <v>1590</v>
      </c>
      <c r="C129" s="444" t="s">
        <v>1582</v>
      </c>
      <c r="D129" s="444" t="s">
        <v>1580</v>
      </c>
      <c r="E129" s="444" t="s">
        <v>1661</v>
      </c>
      <c r="F129" s="444" t="s">
        <v>1686</v>
      </c>
      <c r="G129" s="444" t="s">
        <v>1687</v>
      </c>
      <c r="H129" s="448">
        <v>206</v>
      </c>
      <c r="I129" s="448">
        <v>96133.33</v>
      </c>
      <c r="J129" s="444">
        <v>0.8306450846402601</v>
      </c>
      <c r="K129" s="444">
        <v>466.66665048543689</v>
      </c>
      <c r="L129" s="448">
        <v>248</v>
      </c>
      <c r="M129" s="448">
        <v>115733.34</v>
      </c>
      <c r="N129" s="444">
        <v>1</v>
      </c>
      <c r="O129" s="444">
        <v>466.66669354838706</v>
      </c>
      <c r="P129" s="448">
        <v>151</v>
      </c>
      <c r="Q129" s="448">
        <v>70466.66</v>
      </c>
      <c r="R129" s="471">
        <v>0.60887087506504178</v>
      </c>
      <c r="S129" s="449">
        <v>466.66662251655629</v>
      </c>
    </row>
    <row r="130" spans="1:19" ht="14.4" customHeight="1" x14ac:dyDescent="0.3">
      <c r="A130" s="443"/>
      <c r="B130" s="444" t="s">
        <v>1590</v>
      </c>
      <c r="C130" s="444" t="s">
        <v>1582</v>
      </c>
      <c r="D130" s="444" t="s">
        <v>1580</v>
      </c>
      <c r="E130" s="444" t="s">
        <v>1661</v>
      </c>
      <c r="F130" s="444" t="s">
        <v>1688</v>
      </c>
      <c r="G130" s="444" t="s">
        <v>1689</v>
      </c>
      <c r="H130" s="448">
        <v>57</v>
      </c>
      <c r="I130" s="448">
        <v>2850</v>
      </c>
      <c r="J130" s="444">
        <v>0.68674698795180722</v>
      </c>
      <c r="K130" s="444">
        <v>50</v>
      </c>
      <c r="L130" s="448">
        <v>83</v>
      </c>
      <c r="M130" s="448">
        <v>4150</v>
      </c>
      <c r="N130" s="444">
        <v>1</v>
      </c>
      <c r="O130" s="444">
        <v>50</v>
      </c>
      <c r="P130" s="448">
        <v>54</v>
      </c>
      <c r="Q130" s="448">
        <v>2700</v>
      </c>
      <c r="R130" s="471">
        <v>0.6506024096385542</v>
      </c>
      <c r="S130" s="449">
        <v>50</v>
      </c>
    </row>
    <row r="131" spans="1:19" ht="14.4" customHeight="1" x14ac:dyDescent="0.3">
      <c r="A131" s="443"/>
      <c r="B131" s="444" t="s">
        <v>1590</v>
      </c>
      <c r="C131" s="444" t="s">
        <v>1582</v>
      </c>
      <c r="D131" s="444" t="s">
        <v>1580</v>
      </c>
      <c r="E131" s="444" t="s">
        <v>1661</v>
      </c>
      <c r="F131" s="444" t="s">
        <v>1690</v>
      </c>
      <c r="G131" s="444" t="s">
        <v>1691</v>
      </c>
      <c r="H131" s="448">
        <v>24</v>
      </c>
      <c r="I131" s="448">
        <v>2426.6600000000003</v>
      </c>
      <c r="J131" s="444">
        <v>1.84615501658501</v>
      </c>
      <c r="K131" s="444">
        <v>101.11083333333335</v>
      </c>
      <c r="L131" s="448">
        <v>13</v>
      </c>
      <c r="M131" s="448">
        <v>1314.4399999999998</v>
      </c>
      <c r="N131" s="444">
        <v>1</v>
      </c>
      <c r="O131" s="444">
        <v>101.11076923076922</v>
      </c>
      <c r="P131" s="448">
        <v>7</v>
      </c>
      <c r="Q131" s="448">
        <v>707.77</v>
      </c>
      <c r="R131" s="471">
        <v>0.53845744195246648</v>
      </c>
      <c r="S131" s="449">
        <v>101.11</v>
      </c>
    </row>
    <row r="132" spans="1:19" ht="14.4" customHeight="1" x14ac:dyDescent="0.3">
      <c r="A132" s="443"/>
      <c r="B132" s="444" t="s">
        <v>1590</v>
      </c>
      <c r="C132" s="444" t="s">
        <v>1582</v>
      </c>
      <c r="D132" s="444" t="s">
        <v>1580</v>
      </c>
      <c r="E132" s="444" t="s">
        <v>1661</v>
      </c>
      <c r="F132" s="444" t="s">
        <v>1692</v>
      </c>
      <c r="G132" s="444" t="s">
        <v>1693</v>
      </c>
      <c r="H132" s="448">
        <v>1</v>
      </c>
      <c r="I132" s="448">
        <v>76.67</v>
      </c>
      <c r="J132" s="444">
        <v>0.25000815208530341</v>
      </c>
      <c r="K132" s="444">
        <v>76.67</v>
      </c>
      <c r="L132" s="448">
        <v>4</v>
      </c>
      <c r="M132" s="448">
        <v>306.67</v>
      </c>
      <c r="N132" s="444">
        <v>1</v>
      </c>
      <c r="O132" s="444">
        <v>76.667500000000004</v>
      </c>
      <c r="P132" s="448"/>
      <c r="Q132" s="448"/>
      <c r="R132" s="471"/>
      <c r="S132" s="449"/>
    </row>
    <row r="133" spans="1:19" ht="14.4" customHeight="1" x14ac:dyDescent="0.3">
      <c r="A133" s="443"/>
      <c r="B133" s="444" t="s">
        <v>1590</v>
      </c>
      <c r="C133" s="444" t="s">
        <v>1582</v>
      </c>
      <c r="D133" s="444" t="s">
        <v>1580</v>
      </c>
      <c r="E133" s="444" t="s">
        <v>1661</v>
      </c>
      <c r="F133" s="444" t="s">
        <v>1694</v>
      </c>
      <c r="G133" s="444" t="s">
        <v>1695</v>
      </c>
      <c r="H133" s="448">
        <v>1</v>
      </c>
      <c r="I133" s="448">
        <v>0</v>
      </c>
      <c r="J133" s="444"/>
      <c r="K133" s="444">
        <v>0</v>
      </c>
      <c r="L133" s="448">
        <v>2</v>
      </c>
      <c r="M133" s="448">
        <v>0</v>
      </c>
      <c r="N133" s="444"/>
      <c r="O133" s="444">
        <v>0</v>
      </c>
      <c r="P133" s="448">
        <v>5</v>
      </c>
      <c r="Q133" s="448">
        <v>0</v>
      </c>
      <c r="R133" s="471"/>
      <c r="S133" s="449">
        <v>0</v>
      </c>
    </row>
    <row r="134" spans="1:19" ht="14.4" customHeight="1" x14ac:dyDescent="0.3">
      <c r="A134" s="443"/>
      <c r="B134" s="444" t="s">
        <v>1590</v>
      </c>
      <c r="C134" s="444" t="s">
        <v>1582</v>
      </c>
      <c r="D134" s="444" t="s">
        <v>1580</v>
      </c>
      <c r="E134" s="444" t="s">
        <v>1661</v>
      </c>
      <c r="F134" s="444" t="s">
        <v>1696</v>
      </c>
      <c r="G134" s="444" t="s">
        <v>1697</v>
      </c>
      <c r="H134" s="448">
        <v>442</v>
      </c>
      <c r="I134" s="448">
        <v>135055.54999999999</v>
      </c>
      <c r="J134" s="444">
        <v>0.9671772646701261</v>
      </c>
      <c r="K134" s="444">
        <v>305.55554298642534</v>
      </c>
      <c r="L134" s="448">
        <v>457</v>
      </c>
      <c r="M134" s="448">
        <v>139638.88</v>
      </c>
      <c r="N134" s="444">
        <v>1</v>
      </c>
      <c r="O134" s="444">
        <v>305.55553610503284</v>
      </c>
      <c r="P134" s="448">
        <v>430</v>
      </c>
      <c r="Q134" s="448">
        <v>131388.88</v>
      </c>
      <c r="R134" s="471">
        <v>0.94091903343825156</v>
      </c>
      <c r="S134" s="449">
        <v>305.55553488372095</v>
      </c>
    </row>
    <row r="135" spans="1:19" ht="14.4" customHeight="1" x14ac:dyDescent="0.3">
      <c r="A135" s="443"/>
      <c r="B135" s="444" t="s">
        <v>1590</v>
      </c>
      <c r="C135" s="444" t="s">
        <v>1582</v>
      </c>
      <c r="D135" s="444" t="s">
        <v>1580</v>
      </c>
      <c r="E135" s="444" t="s">
        <v>1661</v>
      </c>
      <c r="F135" s="444" t="s">
        <v>1698</v>
      </c>
      <c r="G135" s="444" t="s">
        <v>1699</v>
      </c>
      <c r="H135" s="448">
        <v>656</v>
      </c>
      <c r="I135" s="448">
        <v>12366.67</v>
      </c>
      <c r="J135" s="444">
        <v>0.73465424527068934</v>
      </c>
      <c r="K135" s="444">
        <v>18.851631097560976</v>
      </c>
      <c r="L135" s="448">
        <v>505</v>
      </c>
      <c r="M135" s="448">
        <v>16833.32</v>
      </c>
      <c r="N135" s="444">
        <v>1</v>
      </c>
      <c r="O135" s="444">
        <v>33.33330693069307</v>
      </c>
      <c r="P135" s="448">
        <v>404</v>
      </c>
      <c r="Q135" s="448">
        <v>13466.67</v>
      </c>
      <c r="R135" s="471">
        <v>0.80000083168382707</v>
      </c>
      <c r="S135" s="449">
        <v>33.333341584158418</v>
      </c>
    </row>
    <row r="136" spans="1:19" ht="14.4" customHeight="1" x14ac:dyDescent="0.3">
      <c r="A136" s="443"/>
      <c r="B136" s="444" t="s">
        <v>1590</v>
      </c>
      <c r="C136" s="444" t="s">
        <v>1582</v>
      </c>
      <c r="D136" s="444" t="s">
        <v>1580</v>
      </c>
      <c r="E136" s="444" t="s">
        <v>1661</v>
      </c>
      <c r="F136" s="444" t="s">
        <v>1700</v>
      </c>
      <c r="G136" s="444" t="s">
        <v>1701</v>
      </c>
      <c r="H136" s="448">
        <v>692</v>
      </c>
      <c r="I136" s="448">
        <v>315244.44</v>
      </c>
      <c r="J136" s="444">
        <v>1.1400329007906527</v>
      </c>
      <c r="K136" s="444">
        <v>455.55554913294799</v>
      </c>
      <c r="L136" s="448">
        <v>607</v>
      </c>
      <c r="M136" s="448">
        <v>276522.23</v>
      </c>
      <c r="N136" s="444">
        <v>1</v>
      </c>
      <c r="O136" s="444">
        <v>455.55556836902798</v>
      </c>
      <c r="P136" s="448">
        <v>521</v>
      </c>
      <c r="Q136" s="448">
        <v>237344.45</v>
      </c>
      <c r="R136" s="471">
        <v>0.85831960056158962</v>
      </c>
      <c r="S136" s="449">
        <v>455.55556621880999</v>
      </c>
    </row>
    <row r="137" spans="1:19" ht="14.4" customHeight="1" x14ac:dyDescent="0.3">
      <c r="A137" s="443"/>
      <c r="B137" s="444" t="s">
        <v>1590</v>
      </c>
      <c r="C137" s="444" t="s">
        <v>1582</v>
      </c>
      <c r="D137" s="444" t="s">
        <v>1580</v>
      </c>
      <c r="E137" s="444" t="s">
        <v>1661</v>
      </c>
      <c r="F137" s="444" t="s">
        <v>1736</v>
      </c>
      <c r="G137" s="444" t="s">
        <v>1737</v>
      </c>
      <c r="H137" s="448"/>
      <c r="I137" s="448"/>
      <c r="J137" s="444"/>
      <c r="K137" s="444"/>
      <c r="L137" s="448">
        <v>2</v>
      </c>
      <c r="M137" s="448">
        <v>0</v>
      </c>
      <c r="N137" s="444"/>
      <c r="O137" s="444">
        <v>0</v>
      </c>
      <c r="P137" s="448"/>
      <c r="Q137" s="448"/>
      <c r="R137" s="471"/>
      <c r="S137" s="449"/>
    </row>
    <row r="138" spans="1:19" ht="14.4" customHeight="1" x14ac:dyDescent="0.3">
      <c r="A138" s="443"/>
      <c r="B138" s="444" t="s">
        <v>1590</v>
      </c>
      <c r="C138" s="444" t="s">
        <v>1582</v>
      </c>
      <c r="D138" s="444" t="s">
        <v>1580</v>
      </c>
      <c r="E138" s="444" t="s">
        <v>1661</v>
      </c>
      <c r="F138" s="444" t="s">
        <v>1738</v>
      </c>
      <c r="G138" s="444" t="s">
        <v>1739</v>
      </c>
      <c r="H138" s="448">
        <v>1</v>
      </c>
      <c r="I138" s="448">
        <v>58.89</v>
      </c>
      <c r="J138" s="444"/>
      <c r="K138" s="444">
        <v>58.89</v>
      </c>
      <c r="L138" s="448"/>
      <c r="M138" s="448"/>
      <c r="N138" s="444"/>
      <c r="O138" s="444"/>
      <c r="P138" s="448"/>
      <c r="Q138" s="448"/>
      <c r="R138" s="471"/>
      <c r="S138" s="449"/>
    </row>
    <row r="139" spans="1:19" ht="14.4" customHeight="1" x14ac:dyDescent="0.3">
      <c r="A139" s="443"/>
      <c r="B139" s="444" t="s">
        <v>1590</v>
      </c>
      <c r="C139" s="444" t="s">
        <v>1582</v>
      </c>
      <c r="D139" s="444" t="s">
        <v>1580</v>
      </c>
      <c r="E139" s="444" t="s">
        <v>1661</v>
      </c>
      <c r="F139" s="444" t="s">
        <v>1702</v>
      </c>
      <c r="G139" s="444" t="s">
        <v>1703</v>
      </c>
      <c r="H139" s="448">
        <v>452</v>
      </c>
      <c r="I139" s="448">
        <v>35155.56</v>
      </c>
      <c r="J139" s="444">
        <v>0.99340668780512753</v>
      </c>
      <c r="K139" s="444">
        <v>77.77778761061947</v>
      </c>
      <c r="L139" s="448">
        <v>455</v>
      </c>
      <c r="M139" s="448">
        <v>35388.89</v>
      </c>
      <c r="N139" s="444">
        <v>1</v>
      </c>
      <c r="O139" s="444">
        <v>77.777780219780212</v>
      </c>
      <c r="P139" s="448">
        <v>437</v>
      </c>
      <c r="Q139" s="448">
        <v>33988.89</v>
      </c>
      <c r="R139" s="471">
        <v>0.96043956168164646</v>
      </c>
      <c r="S139" s="449">
        <v>77.777780320366134</v>
      </c>
    </row>
    <row r="140" spans="1:19" ht="14.4" customHeight="1" x14ac:dyDescent="0.3">
      <c r="A140" s="443"/>
      <c r="B140" s="444" t="s">
        <v>1590</v>
      </c>
      <c r="C140" s="444" t="s">
        <v>1582</v>
      </c>
      <c r="D140" s="444" t="s">
        <v>1580</v>
      </c>
      <c r="E140" s="444" t="s">
        <v>1661</v>
      </c>
      <c r="F140" s="444" t="s">
        <v>1706</v>
      </c>
      <c r="G140" s="444" t="s">
        <v>1707</v>
      </c>
      <c r="H140" s="448">
        <v>8</v>
      </c>
      <c r="I140" s="448">
        <v>2160</v>
      </c>
      <c r="J140" s="444">
        <v>0.72727272727272729</v>
      </c>
      <c r="K140" s="444">
        <v>270</v>
      </c>
      <c r="L140" s="448">
        <v>11</v>
      </c>
      <c r="M140" s="448">
        <v>2970</v>
      </c>
      <c r="N140" s="444">
        <v>1</v>
      </c>
      <c r="O140" s="444">
        <v>270</v>
      </c>
      <c r="P140" s="448"/>
      <c r="Q140" s="448"/>
      <c r="R140" s="471"/>
      <c r="S140" s="449"/>
    </row>
    <row r="141" spans="1:19" ht="14.4" customHeight="1" x14ac:dyDescent="0.3">
      <c r="A141" s="443"/>
      <c r="B141" s="444" t="s">
        <v>1590</v>
      </c>
      <c r="C141" s="444" t="s">
        <v>1582</v>
      </c>
      <c r="D141" s="444" t="s">
        <v>1580</v>
      </c>
      <c r="E141" s="444" t="s">
        <v>1661</v>
      </c>
      <c r="F141" s="444" t="s">
        <v>1708</v>
      </c>
      <c r="G141" s="444" t="s">
        <v>1709</v>
      </c>
      <c r="H141" s="448">
        <v>679</v>
      </c>
      <c r="I141" s="448">
        <v>60355.56</v>
      </c>
      <c r="J141" s="444">
        <v>0.80791244883078983</v>
      </c>
      <c r="K141" s="444">
        <v>88.888895434462441</v>
      </c>
      <c r="L141" s="448">
        <v>791</v>
      </c>
      <c r="M141" s="448">
        <v>74705.570000000007</v>
      </c>
      <c r="N141" s="444">
        <v>1</v>
      </c>
      <c r="O141" s="444">
        <v>94.444462705436166</v>
      </c>
      <c r="P141" s="448">
        <v>632</v>
      </c>
      <c r="Q141" s="448">
        <v>59688.89</v>
      </c>
      <c r="R141" s="471">
        <v>0.79898848238491449</v>
      </c>
      <c r="S141" s="449">
        <v>94.444446202531651</v>
      </c>
    </row>
    <row r="142" spans="1:19" ht="14.4" customHeight="1" x14ac:dyDescent="0.3">
      <c r="A142" s="443"/>
      <c r="B142" s="444" t="s">
        <v>1590</v>
      </c>
      <c r="C142" s="444" t="s">
        <v>1582</v>
      </c>
      <c r="D142" s="444" t="s">
        <v>1580</v>
      </c>
      <c r="E142" s="444" t="s">
        <v>1661</v>
      </c>
      <c r="F142" s="444" t="s">
        <v>1710</v>
      </c>
      <c r="G142" s="444" t="s">
        <v>1711</v>
      </c>
      <c r="H142" s="448"/>
      <c r="I142" s="448"/>
      <c r="J142" s="444"/>
      <c r="K142" s="444"/>
      <c r="L142" s="448">
        <v>1</v>
      </c>
      <c r="M142" s="448">
        <v>43.33</v>
      </c>
      <c r="N142" s="444">
        <v>1</v>
      </c>
      <c r="O142" s="444">
        <v>43.33</v>
      </c>
      <c r="P142" s="448"/>
      <c r="Q142" s="448"/>
      <c r="R142" s="471"/>
      <c r="S142" s="449"/>
    </row>
    <row r="143" spans="1:19" ht="14.4" customHeight="1" x14ac:dyDescent="0.3">
      <c r="A143" s="443"/>
      <c r="B143" s="444" t="s">
        <v>1590</v>
      </c>
      <c r="C143" s="444" t="s">
        <v>1582</v>
      </c>
      <c r="D143" s="444" t="s">
        <v>1580</v>
      </c>
      <c r="E143" s="444" t="s">
        <v>1661</v>
      </c>
      <c r="F143" s="444" t="s">
        <v>1712</v>
      </c>
      <c r="G143" s="444" t="s">
        <v>1713</v>
      </c>
      <c r="H143" s="448">
        <v>90</v>
      </c>
      <c r="I143" s="448">
        <v>8699.99</v>
      </c>
      <c r="J143" s="444">
        <v>89.996793214027093</v>
      </c>
      <c r="K143" s="444">
        <v>96.666555555555547</v>
      </c>
      <c r="L143" s="448">
        <v>1</v>
      </c>
      <c r="M143" s="448">
        <v>96.67</v>
      </c>
      <c r="N143" s="444">
        <v>1</v>
      </c>
      <c r="O143" s="444">
        <v>96.67</v>
      </c>
      <c r="P143" s="448"/>
      <c r="Q143" s="448"/>
      <c r="R143" s="471"/>
      <c r="S143" s="449"/>
    </row>
    <row r="144" spans="1:19" ht="14.4" customHeight="1" x14ac:dyDescent="0.3">
      <c r="A144" s="443"/>
      <c r="B144" s="444" t="s">
        <v>1590</v>
      </c>
      <c r="C144" s="444" t="s">
        <v>1582</v>
      </c>
      <c r="D144" s="444" t="s">
        <v>1580</v>
      </c>
      <c r="E144" s="444" t="s">
        <v>1661</v>
      </c>
      <c r="F144" s="444" t="s">
        <v>1714</v>
      </c>
      <c r="G144" s="444" t="s">
        <v>1715</v>
      </c>
      <c r="H144" s="448"/>
      <c r="I144" s="448"/>
      <c r="J144" s="444"/>
      <c r="K144" s="444"/>
      <c r="L144" s="448"/>
      <c r="M144" s="448"/>
      <c r="N144" s="444"/>
      <c r="O144" s="444"/>
      <c r="P144" s="448">
        <v>1</v>
      </c>
      <c r="Q144" s="448">
        <v>201.11</v>
      </c>
      <c r="R144" s="471"/>
      <c r="S144" s="449">
        <v>201.11</v>
      </c>
    </row>
    <row r="145" spans="1:19" ht="14.4" customHeight="1" x14ac:dyDescent="0.3">
      <c r="A145" s="443"/>
      <c r="B145" s="444" t="s">
        <v>1590</v>
      </c>
      <c r="C145" s="444" t="s">
        <v>1582</v>
      </c>
      <c r="D145" s="444" t="s">
        <v>1580</v>
      </c>
      <c r="E145" s="444" t="s">
        <v>1661</v>
      </c>
      <c r="F145" s="444" t="s">
        <v>1716</v>
      </c>
      <c r="G145" s="444" t="s">
        <v>1717</v>
      </c>
      <c r="H145" s="448">
        <v>121</v>
      </c>
      <c r="I145" s="448">
        <v>16940</v>
      </c>
      <c r="J145" s="444">
        <v>43.31151564737165</v>
      </c>
      <c r="K145" s="444">
        <v>140</v>
      </c>
      <c r="L145" s="448">
        <v>2</v>
      </c>
      <c r="M145" s="448">
        <v>391.12</v>
      </c>
      <c r="N145" s="444">
        <v>1</v>
      </c>
      <c r="O145" s="444">
        <v>195.56</v>
      </c>
      <c r="P145" s="448">
        <v>3</v>
      </c>
      <c r="Q145" s="448">
        <v>586.67000000000007</v>
      </c>
      <c r="R145" s="471">
        <v>1.4999744323992639</v>
      </c>
      <c r="S145" s="449">
        <v>195.5566666666667</v>
      </c>
    </row>
    <row r="146" spans="1:19" ht="14.4" customHeight="1" x14ac:dyDescent="0.3">
      <c r="A146" s="443"/>
      <c r="B146" s="444" t="s">
        <v>1590</v>
      </c>
      <c r="C146" s="444" t="s">
        <v>1582</v>
      </c>
      <c r="D146" s="444" t="s">
        <v>1580</v>
      </c>
      <c r="E146" s="444" t="s">
        <v>1661</v>
      </c>
      <c r="F146" s="444" t="s">
        <v>1740</v>
      </c>
      <c r="G146" s="444" t="s">
        <v>1741</v>
      </c>
      <c r="H146" s="448">
        <v>83</v>
      </c>
      <c r="I146" s="448">
        <v>6271.119999999999</v>
      </c>
      <c r="J146" s="444"/>
      <c r="K146" s="444">
        <v>75.5556626506024</v>
      </c>
      <c r="L146" s="448"/>
      <c r="M146" s="448"/>
      <c r="N146" s="444"/>
      <c r="O146" s="444"/>
      <c r="P146" s="448">
        <v>2</v>
      </c>
      <c r="Q146" s="448">
        <v>151.12</v>
      </c>
      <c r="R146" s="471"/>
      <c r="S146" s="449">
        <v>75.56</v>
      </c>
    </row>
    <row r="147" spans="1:19" ht="14.4" customHeight="1" x14ac:dyDescent="0.3">
      <c r="A147" s="443"/>
      <c r="B147" s="444" t="s">
        <v>1590</v>
      </c>
      <c r="C147" s="444" t="s">
        <v>1582</v>
      </c>
      <c r="D147" s="444" t="s">
        <v>1580</v>
      </c>
      <c r="E147" s="444" t="s">
        <v>1661</v>
      </c>
      <c r="F147" s="444" t="s">
        <v>1718</v>
      </c>
      <c r="G147" s="444" t="s">
        <v>1719</v>
      </c>
      <c r="H147" s="448">
        <v>12</v>
      </c>
      <c r="I147" s="448">
        <v>1400</v>
      </c>
      <c r="J147" s="444">
        <v>0.85714460641756418</v>
      </c>
      <c r="K147" s="444">
        <v>116.66666666666667</v>
      </c>
      <c r="L147" s="448">
        <v>14</v>
      </c>
      <c r="M147" s="448">
        <v>1633.33</v>
      </c>
      <c r="N147" s="444">
        <v>1</v>
      </c>
      <c r="O147" s="444">
        <v>116.66642857142857</v>
      </c>
      <c r="P147" s="448">
        <v>13</v>
      </c>
      <c r="Q147" s="448">
        <v>1516.68</v>
      </c>
      <c r="R147" s="471">
        <v>0.92858148690099374</v>
      </c>
      <c r="S147" s="449">
        <v>116.66769230769231</v>
      </c>
    </row>
    <row r="148" spans="1:19" ht="14.4" customHeight="1" x14ac:dyDescent="0.3">
      <c r="A148" s="443"/>
      <c r="B148" s="444" t="s">
        <v>1590</v>
      </c>
      <c r="C148" s="444" t="s">
        <v>1582</v>
      </c>
      <c r="D148" s="444" t="s">
        <v>1580</v>
      </c>
      <c r="E148" s="444" t="s">
        <v>1661</v>
      </c>
      <c r="F148" s="444" t="s">
        <v>1720</v>
      </c>
      <c r="G148" s="444" t="s">
        <v>1721</v>
      </c>
      <c r="H148" s="448"/>
      <c r="I148" s="448"/>
      <c r="J148" s="444"/>
      <c r="K148" s="444"/>
      <c r="L148" s="448">
        <v>17</v>
      </c>
      <c r="M148" s="448">
        <v>831.1099999999999</v>
      </c>
      <c r="N148" s="444">
        <v>1</v>
      </c>
      <c r="O148" s="444">
        <v>48.888823529411759</v>
      </c>
      <c r="P148" s="448">
        <v>20</v>
      </c>
      <c r="Q148" s="448">
        <v>977.78</v>
      </c>
      <c r="R148" s="471">
        <v>1.176474834859405</v>
      </c>
      <c r="S148" s="449">
        <v>48.888999999999996</v>
      </c>
    </row>
    <row r="149" spans="1:19" ht="14.4" customHeight="1" x14ac:dyDescent="0.3">
      <c r="A149" s="443"/>
      <c r="B149" s="444" t="s">
        <v>1590</v>
      </c>
      <c r="C149" s="444" t="s">
        <v>1582</v>
      </c>
      <c r="D149" s="444" t="s">
        <v>1580</v>
      </c>
      <c r="E149" s="444" t="s">
        <v>1661</v>
      </c>
      <c r="F149" s="444" t="s">
        <v>1722</v>
      </c>
      <c r="G149" s="444" t="s">
        <v>1723</v>
      </c>
      <c r="H149" s="448">
        <v>3</v>
      </c>
      <c r="I149" s="448">
        <v>983.33999999999992</v>
      </c>
      <c r="J149" s="444">
        <v>1.427426729956887</v>
      </c>
      <c r="K149" s="444">
        <v>327.78</v>
      </c>
      <c r="L149" s="448">
        <v>2</v>
      </c>
      <c r="M149" s="448">
        <v>688.89</v>
      </c>
      <c r="N149" s="444">
        <v>1</v>
      </c>
      <c r="O149" s="444">
        <v>344.44499999999999</v>
      </c>
      <c r="P149" s="448"/>
      <c r="Q149" s="448"/>
      <c r="R149" s="471"/>
      <c r="S149" s="449"/>
    </row>
    <row r="150" spans="1:19" ht="14.4" customHeight="1" x14ac:dyDescent="0.3">
      <c r="A150" s="443"/>
      <c r="B150" s="444" t="s">
        <v>1590</v>
      </c>
      <c r="C150" s="444" t="s">
        <v>1582</v>
      </c>
      <c r="D150" s="444" t="s">
        <v>1580</v>
      </c>
      <c r="E150" s="444" t="s">
        <v>1661</v>
      </c>
      <c r="F150" s="444" t="s">
        <v>1724</v>
      </c>
      <c r="G150" s="444" t="s">
        <v>1725</v>
      </c>
      <c r="H150" s="448">
        <v>13</v>
      </c>
      <c r="I150" s="448">
        <v>3798.88</v>
      </c>
      <c r="J150" s="444">
        <v>1.0833328580472585</v>
      </c>
      <c r="K150" s="444">
        <v>292.22153846153844</v>
      </c>
      <c r="L150" s="448">
        <v>12</v>
      </c>
      <c r="M150" s="448">
        <v>3506.6600000000003</v>
      </c>
      <c r="N150" s="444">
        <v>1</v>
      </c>
      <c r="O150" s="444">
        <v>292.22166666666669</v>
      </c>
      <c r="P150" s="448">
        <v>14</v>
      </c>
      <c r="Q150" s="448">
        <v>4091.11</v>
      </c>
      <c r="R150" s="471">
        <v>1.1666685678109654</v>
      </c>
      <c r="S150" s="449">
        <v>292.22214285714284</v>
      </c>
    </row>
    <row r="151" spans="1:19" ht="14.4" customHeight="1" x14ac:dyDescent="0.3">
      <c r="A151" s="443"/>
      <c r="B151" s="444" t="s">
        <v>1590</v>
      </c>
      <c r="C151" s="444" t="s">
        <v>1582</v>
      </c>
      <c r="D151" s="444" t="s">
        <v>1580</v>
      </c>
      <c r="E151" s="444" t="s">
        <v>1661</v>
      </c>
      <c r="F151" s="444" t="s">
        <v>1730</v>
      </c>
      <c r="G151" s="444" t="s">
        <v>1731</v>
      </c>
      <c r="H151" s="448">
        <v>7</v>
      </c>
      <c r="I151" s="448">
        <v>2512.23</v>
      </c>
      <c r="J151" s="444"/>
      <c r="K151" s="444">
        <v>358.89</v>
      </c>
      <c r="L151" s="448"/>
      <c r="M151" s="448"/>
      <c r="N151" s="444"/>
      <c r="O151" s="444"/>
      <c r="P151" s="448"/>
      <c r="Q151" s="448"/>
      <c r="R151" s="471"/>
      <c r="S151" s="449"/>
    </row>
    <row r="152" spans="1:19" ht="14.4" customHeight="1" x14ac:dyDescent="0.3">
      <c r="A152" s="443"/>
      <c r="B152" s="444" t="s">
        <v>1590</v>
      </c>
      <c r="C152" s="444" t="s">
        <v>1583</v>
      </c>
      <c r="D152" s="444" t="s">
        <v>1580</v>
      </c>
      <c r="E152" s="444" t="s">
        <v>1591</v>
      </c>
      <c r="F152" s="444" t="s">
        <v>1742</v>
      </c>
      <c r="G152" s="444"/>
      <c r="H152" s="448">
        <v>1</v>
      </c>
      <c r="I152" s="448">
        <v>1657</v>
      </c>
      <c r="J152" s="444">
        <v>1</v>
      </c>
      <c r="K152" s="444">
        <v>1657</v>
      </c>
      <c r="L152" s="448">
        <v>1</v>
      </c>
      <c r="M152" s="448">
        <v>1657</v>
      </c>
      <c r="N152" s="444">
        <v>1</v>
      </c>
      <c r="O152" s="444">
        <v>1657</v>
      </c>
      <c r="P152" s="448">
        <v>1</v>
      </c>
      <c r="Q152" s="448">
        <v>1657</v>
      </c>
      <c r="R152" s="471">
        <v>1</v>
      </c>
      <c r="S152" s="449">
        <v>1657</v>
      </c>
    </row>
    <row r="153" spans="1:19" ht="14.4" customHeight="1" x14ac:dyDescent="0.3">
      <c r="A153" s="443"/>
      <c r="B153" s="444" t="s">
        <v>1590</v>
      </c>
      <c r="C153" s="444" t="s">
        <v>1583</v>
      </c>
      <c r="D153" s="444" t="s">
        <v>1580</v>
      </c>
      <c r="E153" s="444" t="s">
        <v>1591</v>
      </c>
      <c r="F153" s="444" t="s">
        <v>1743</v>
      </c>
      <c r="G153" s="444"/>
      <c r="H153" s="448"/>
      <c r="I153" s="448"/>
      <c r="J153" s="444"/>
      <c r="K153" s="444"/>
      <c r="L153" s="448"/>
      <c r="M153" s="448"/>
      <c r="N153" s="444"/>
      <c r="O153" s="444"/>
      <c r="P153" s="448">
        <v>1</v>
      </c>
      <c r="Q153" s="448">
        <v>1179</v>
      </c>
      <c r="R153" s="471"/>
      <c r="S153" s="449">
        <v>1179</v>
      </c>
    </row>
    <row r="154" spans="1:19" ht="14.4" customHeight="1" x14ac:dyDescent="0.3">
      <c r="A154" s="443"/>
      <c r="B154" s="444" t="s">
        <v>1590</v>
      </c>
      <c r="C154" s="444" t="s">
        <v>1583</v>
      </c>
      <c r="D154" s="444" t="s">
        <v>1580</v>
      </c>
      <c r="E154" s="444" t="s">
        <v>1591</v>
      </c>
      <c r="F154" s="444" t="s">
        <v>1744</v>
      </c>
      <c r="G154" s="444"/>
      <c r="H154" s="448">
        <v>1</v>
      </c>
      <c r="I154" s="448">
        <v>185</v>
      </c>
      <c r="J154" s="444"/>
      <c r="K154" s="444">
        <v>185</v>
      </c>
      <c r="L154" s="448"/>
      <c r="M154" s="448"/>
      <c r="N154" s="444"/>
      <c r="O154" s="444"/>
      <c r="P154" s="448"/>
      <c r="Q154" s="448"/>
      <c r="R154" s="471"/>
      <c r="S154" s="449"/>
    </row>
    <row r="155" spans="1:19" ht="14.4" customHeight="1" x14ac:dyDescent="0.3">
      <c r="A155" s="443"/>
      <c r="B155" s="444" t="s">
        <v>1590</v>
      </c>
      <c r="C155" s="444" t="s">
        <v>1583</v>
      </c>
      <c r="D155" s="444" t="s">
        <v>1580</v>
      </c>
      <c r="E155" s="444" t="s">
        <v>1591</v>
      </c>
      <c r="F155" s="444" t="s">
        <v>1745</v>
      </c>
      <c r="G155" s="444"/>
      <c r="H155" s="448">
        <v>1</v>
      </c>
      <c r="I155" s="448">
        <v>1281</v>
      </c>
      <c r="J155" s="444">
        <v>1</v>
      </c>
      <c r="K155" s="444">
        <v>1281</v>
      </c>
      <c r="L155" s="448">
        <v>1</v>
      </c>
      <c r="M155" s="448">
        <v>1281</v>
      </c>
      <c r="N155" s="444">
        <v>1</v>
      </c>
      <c r="O155" s="444">
        <v>1281</v>
      </c>
      <c r="P155" s="448">
        <v>1</v>
      </c>
      <c r="Q155" s="448">
        <v>1281</v>
      </c>
      <c r="R155" s="471">
        <v>1</v>
      </c>
      <c r="S155" s="449">
        <v>1281</v>
      </c>
    </row>
    <row r="156" spans="1:19" ht="14.4" customHeight="1" x14ac:dyDescent="0.3">
      <c r="A156" s="443"/>
      <c r="B156" s="444" t="s">
        <v>1590</v>
      </c>
      <c r="C156" s="444" t="s">
        <v>1583</v>
      </c>
      <c r="D156" s="444" t="s">
        <v>1580</v>
      </c>
      <c r="E156" s="444" t="s">
        <v>1591</v>
      </c>
      <c r="F156" s="444" t="s">
        <v>1746</v>
      </c>
      <c r="G156" s="444"/>
      <c r="H156" s="448"/>
      <c r="I156" s="448"/>
      <c r="J156" s="444"/>
      <c r="K156" s="444"/>
      <c r="L156" s="448"/>
      <c r="M156" s="448"/>
      <c r="N156" s="444"/>
      <c r="O156" s="444"/>
      <c r="P156" s="448">
        <v>1</v>
      </c>
      <c r="Q156" s="448">
        <v>1008</v>
      </c>
      <c r="R156" s="471"/>
      <c r="S156" s="449">
        <v>1008</v>
      </c>
    </row>
    <row r="157" spans="1:19" ht="14.4" customHeight="1" x14ac:dyDescent="0.3">
      <c r="A157" s="443"/>
      <c r="B157" s="444" t="s">
        <v>1590</v>
      </c>
      <c r="C157" s="444" t="s">
        <v>1583</v>
      </c>
      <c r="D157" s="444" t="s">
        <v>1580</v>
      </c>
      <c r="E157" s="444" t="s">
        <v>1591</v>
      </c>
      <c r="F157" s="444" t="s">
        <v>1597</v>
      </c>
      <c r="G157" s="444"/>
      <c r="H157" s="448"/>
      <c r="I157" s="448"/>
      <c r="J157" s="444"/>
      <c r="K157" s="444"/>
      <c r="L157" s="448"/>
      <c r="M157" s="448"/>
      <c r="N157" s="444"/>
      <c r="O157" s="444"/>
      <c r="P157" s="448">
        <v>1</v>
      </c>
      <c r="Q157" s="448">
        <v>219</v>
      </c>
      <c r="R157" s="471"/>
      <c r="S157" s="449">
        <v>219</v>
      </c>
    </row>
    <row r="158" spans="1:19" ht="14.4" customHeight="1" x14ac:dyDescent="0.3">
      <c r="A158" s="443"/>
      <c r="B158" s="444" t="s">
        <v>1590</v>
      </c>
      <c r="C158" s="444" t="s">
        <v>1583</v>
      </c>
      <c r="D158" s="444" t="s">
        <v>1580</v>
      </c>
      <c r="E158" s="444" t="s">
        <v>1591</v>
      </c>
      <c r="F158" s="444" t="s">
        <v>1621</v>
      </c>
      <c r="G158" s="444"/>
      <c r="H158" s="448"/>
      <c r="I158" s="448"/>
      <c r="J158" s="444"/>
      <c r="K158" s="444"/>
      <c r="L158" s="448"/>
      <c r="M158" s="448"/>
      <c r="N158" s="444"/>
      <c r="O158" s="444"/>
      <c r="P158" s="448">
        <v>1</v>
      </c>
      <c r="Q158" s="448">
        <v>2000</v>
      </c>
      <c r="R158" s="471"/>
      <c r="S158" s="449">
        <v>2000</v>
      </c>
    </row>
    <row r="159" spans="1:19" ht="14.4" customHeight="1" x14ac:dyDescent="0.3">
      <c r="A159" s="443"/>
      <c r="B159" s="444" t="s">
        <v>1590</v>
      </c>
      <c r="C159" s="444" t="s">
        <v>1583</v>
      </c>
      <c r="D159" s="444" t="s">
        <v>1580</v>
      </c>
      <c r="E159" s="444" t="s">
        <v>1591</v>
      </c>
      <c r="F159" s="444" t="s">
        <v>1631</v>
      </c>
      <c r="G159" s="444"/>
      <c r="H159" s="448">
        <v>1</v>
      </c>
      <c r="I159" s="448">
        <v>225</v>
      </c>
      <c r="J159" s="444"/>
      <c r="K159" s="444">
        <v>225</v>
      </c>
      <c r="L159" s="448"/>
      <c r="M159" s="448"/>
      <c r="N159" s="444"/>
      <c r="O159" s="444"/>
      <c r="P159" s="448"/>
      <c r="Q159" s="448"/>
      <c r="R159" s="471"/>
      <c r="S159" s="449"/>
    </row>
    <row r="160" spans="1:19" ht="14.4" customHeight="1" x14ac:dyDescent="0.3">
      <c r="A160" s="443"/>
      <c r="B160" s="444" t="s">
        <v>1590</v>
      </c>
      <c r="C160" s="444" t="s">
        <v>1583</v>
      </c>
      <c r="D160" s="444" t="s">
        <v>1580</v>
      </c>
      <c r="E160" s="444" t="s">
        <v>1591</v>
      </c>
      <c r="F160" s="444" t="s">
        <v>1747</v>
      </c>
      <c r="G160" s="444"/>
      <c r="H160" s="448">
        <v>1</v>
      </c>
      <c r="I160" s="448">
        <v>258</v>
      </c>
      <c r="J160" s="444"/>
      <c r="K160" s="444">
        <v>258</v>
      </c>
      <c r="L160" s="448"/>
      <c r="M160" s="448"/>
      <c r="N160" s="444"/>
      <c r="O160" s="444"/>
      <c r="P160" s="448"/>
      <c r="Q160" s="448"/>
      <c r="R160" s="471"/>
      <c r="S160" s="449"/>
    </row>
    <row r="161" spans="1:19" ht="14.4" customHeight="1" x14ac:dyDescent="0.3">
      <c r="A161" s="443"/>
      <c r="B161" s="444" t="s">
        <v>1590</v>
      </c>
      <c r="C161" s="444" t="s">
        <v>1583</v>
      </c>
      <c r="D161" s="444" t="s">
        <v>1580</v>
      </c>
      <c r="E161" s="444" t="s">
        <v>1591</v>
      </c>
      <c r="F161" s="444" t="s">
        <v>1654</v>
      </c>
      <c r="G161" s="444"/>
      <c r="H161" s="448"/>
      <c r="I161" s="448"/>
      <c r="J161" s="444"/>
      <c r="K161" s="444"/>
      <c r="L161" s="448">
        <v>2</v>
      </c>
      <c r="M161" s="448">
        <v>1490</v>
      </c>
      <c r="N161" s="444">
        <v>1</v>
      </c>
      <c r="O161" s="444">
        <v>745</v>
      </c>
      <c r="P161" s="448"/>
      <c r="Q161" s="448"/>
      <c r="R161" s="471"/>
      <c r="S161" s="449"/>
    </row>
    <row r="162" spans="1:19" ht="14.4" customHeight="1" x14ac:dyDescent="0.3">
      <c r="A162" s="443"/>
      <c r="B162" s="444" t="s">
        <v>1590</v>
      </c>
      <c r="C162" s="444" t="s">
        <v>1583</v>
      </c>
      <c r="D162" s="444" t="s">
        <v>1580</v>
      </c>
      <c r="E162" s="444" t="s">
        <v>1591</v>
      </c>
      <c r="F162" s="444" t="s">
        <v>1748</v>
      </c>
      <c r="G162" s="444"/>
      <c r="H162" s="448"/>
      <c r="I162" s="448"/>
      <c r="J162" s="444"/>
      <c r="K162" s="444"/>
      <c r="L162" s="448"/>
      <c r="M162" s="448"/>
      <c r="N162" s="444"/>
      <c r="O162" s="444"/>
      <c r="P162" s="448">
        <v>1</v>
      </c>
      <c r="Q162" s="448">
        <v>2931</v>
      </c>
      <c r="R162" s="471"/>
      <c r="S162" s="449">
        <v>2931</v>
      </c>
    </row>
    <row r="163" spans="1:19" ht="14.4" customHeight="1" x14ac:dyDescent="0.3">
      <c r="A163" s="443"/>
      <c r="B163" s="444" t="s">
        <v>1590</v>
      </c>
      <c r="C163" s="444" t="s">
        <v>1583</v>
      </c>
      <c r="D163" s="444" t="s">
        <v>1580</v>
      </c>
      <c r="E163" s="444" t="s">
        <v>1661</v>
      </c>
      <c r="F163" s="444" t="s">
        <v>1662</v>
      </c>
      <c r="G163" s="444" t="s">
        <v>1663</v>
      </c>
      <c r="H163" s="448">
        <v>95</v>
      </c>
      <c r="I163" s="448">
        <v>42011.12</v>
      </c>
      <c r="J163" s="444">
        <v>1.0643511165508142</v>
      </c>
      <c r="K163" s="444">
        <v>442.22231578947373</v>
      </c>
      <c r="L163" s="448">
        <v>83</v>
      </c>
      <c r="M163" s="448">
        <v>39471.11</v>
      </c>
      <c r="N163" s="444">
        <v>1</v>
      </c>
      <c r="O163" s="444">
        <v>475.55554216867472</v>
      </c>
      <c r="P163" s="448">
        <v>56</v>
      </c>
      <c r="Q163" s="448">
        <v>28497.78</v>
      </c>
      <c r="R163" s="471">
        <v>0.72199084342953612</v>
      </c>
      <c r="S163" s="449">
        <v>508.88892857142855</v>
      </c>
    </row>
    <row r="164" spans="1:19" ht="14.4" customHeight="1" x14ac:dyDescent="0.3">
      <c r="A164" s="443"/>
      <c r="B164" s="444" t="s">
        <v>1590</v>
      </c>
      <c r="C164" s="444" t="s">
        <v>1583</v>
      </c>
      <c r="D164" s="444" t="s">
        <v>1580</v>
      </c>
      <c r="E164" s="444" t="s">
        <v>1661</v>
      </c>
      <c r="F164" s="444" t="s">
        <v>1662</v>
      </c>
      <c r="G164" s="444" t="s">
        <v>1664</v>
      </c>
      <c r="H164" s="448">
        <v>4</v>
      </c>
      <c r="I164" s="448">
        <v>1768.89</v>
      </c>
      <c r="J164" s="444">
        <v>0.37196250283878241</v>
      </c>
      <c r="K164" s="444">
        <v>442.22250000000003</v>
      </c>
      <c r="L164" s="448">
        <v>10</v>
      </c>
      <c r="M164" s="448">
        <v>4755.5600000000004</v>
      </c>
      <c r="N164" s="444">
        <v>1</v>
      </c>
      <c r="O164" s="444">
        <v>475.55600000000004</v>
      </c>
      <c r="P164" s="448">
        <v>3</v>
      </c>
      <c r="Q164" s="448">
        <v>1526.67</v>
      </c>
      <c r="R164" s="471">
        <v>0.32102843829117916</v>
      </c>
      <c r="S164" s="449">
        <v>508.89000000000004</v>
      </c>
    </row>
    <row r="165" spans="1:19" ht="14.4" customHeight="1" x14ac:dyDescent="0.3">
      <c r="A165" s="443"/>
      <c r="B165" s="444" t="s">
        <v>1590</v>
      </c>
      <c r="C165" s="444" t="s">
        <v>1583</v>
      </c>
      <c r="D165" s="444" t="s">
        <v>1580</v>
      </c>
      <c r="E165" s="444" t="s">
        <v>1661</v>
      </c>
      <c r="F165" s="444" t="s">
        <v>1665</v>
      </c>
      <c r="G165" s="444" t="s">
        <v>1666</v>
      </c>
      <c r="H165" s="448">
        <v>134</v>
      </c>
      <c r="I165" s="448">
        <v>61044.45</v>
      </c>
      <c r="J165" s="444">
        <v>0.58771933287165168</v>
      </c>
      <c r="K165" s="444">
        <v>455.55559701492535</v>
      </c>
      <c r="L165" s="448">
        <v>228</v>
      </c>
      <c r="M165" s="448">
        <v>103866.67</v>
      </c>
      <c r="N165" s="444">
        <v>1</v>
      </c>
      <c r="O165" s="444">
        <v>455.55557017543856</v>
      </c>
      <c r="P165" s="448">
        <v>92</v>
      </c>
      <c r="Q165" s="448">
        <v>46000</v>
      </c>
      <c r="R165" s="471">
        <v>0.44287546717344456</v>
      </c>
      <c r="S165" s="449">
        <v>500</v>
      </c>
    </row>
    <row r="166" spans="1:19" ht="14.4" customHeight="1" x14ac:dyDescent="0.3">
      <c r="A166" s="443"/>
      <c r="B166" s="444" t="s">
        <v>1590</v>
      </c>
      <c r="C166" s="444" t="s">
        <v>1583</v>
      </c>
      <c r="D166" s="444" t="s">
        <v>1580</v>
      </c>
      <c r="E166" s="444" t="s">
        <v>1661</v>
      </c>
      <c r="F166" s="444" t="s">
        <v>1732</v>
      </c>
      <c r="G166" s="444" t="s">
        <v>1733</v>
      </c>
      <c r="H166" s="448">
        <v>659</v>
      </c>
      <c r="I166" s="448">
        <v>69561.119999999995</v>
      </c>
      <c r="J166" s="444">
        <v>0.87983991117756877</v>
      </c>
      <c r="K166" s="444">
        <v>105.55556904400606</v>
      </c>
      <c r="L166" s="448">
        <v>749</v>
      </c>
      <c r="M166" s="448">
        <v>79061.11</v>
      </c>
      <c r="N166" s="444">
        <v>1</v>
      </c>
      <c r="O166" s="444">
        <v>105.55555407209613</v>
      </c>
      <c r="P166" s="448">
        <v>765</v>
      </c>
      <c r="Q166" s="448">
        <v>80750</v>
      </c>
      <c r="R166" s="471">
        <v>1.0213618301083807</v>
      </c>
      <c r="S166" s="449">
        <v>105.55555555555556</v>
      </c>
    </row>
    <row r="167" spans="1:19" ht="14.4" customHeight="1" x14ac:dyDescent="0.3">
      <c r="A167" s="443"/>
      <c r="B167" s="444" t="s">
        <v>1590</v>
      </c>
      <c r="C167" s="444" t="s">
        <v>1583</v>
      </c>
      <c r="D167" s="444" t="s">
        <v>1580</v>
      </c>
      <c r="E167" s="444" t="s">
        <v>1661</v>
      </c>
      <c r="F167" s="444" t="s">
        <v>1667</v>
      </c>
      <c r="G167" s="444" t="s">
        <v>1668</v>
      </c>
      <c r="H167" s="448">
        <v>274</v>
      </c>
      <c r="I167" s="448">
        <v>21311.11</v>
      </c>
      <c r="J167" s="444">
        <v>0.79651145406786472</v>
      </c>
      <c r="K167" s="444">
        <v>77.777773722627742</v>
      </c>
      <c r="L167" s="448">
        <v>344</v>
      </c>
      <c r="M167" s="448">
        <v>26755.56</v>
      </c>
      <c r="N167" s="444">
        <v>1</v>
      </c>
      <c r="O167" s="444">
        <v>77.777790697674419</v>
      </c>
      <c r="P167" s="448">
        <v>506</v>
      </c>
      <c r="Q167" s="448">
        <v>39355.569999999992</v>
      </c>
      <c r="R167" s="471">
        <v>1.4709305280846294</v>
      </c>
      <c r="S167" s="449">
        <v>77.777806324110657</v>
      </c>
    </row>
    <row r="168" spans="1:19" ht="14.4" customHeight="1" x14ac:dyDescent="0.3">
      <c r="A168" s="443"/>
      <c r="B168" s="444" t="s">
        <v>1590</v>
      </c>
      <c r="C168" s="444" t="s">
        <v>1583</v>
      </c>
      <c r="D168" s="444" t="s">
        <v>1580</v>
      </c>
      <c r="E168" s="444" t="s">
        <v>1661</v>
      </c>
      <c r="F168" s="444" t="s">
        <v>1673</v>
      </c>
      <c r="G168" s="444" t="s">
        <v>1674</v>
      </c>
      <c r="H168" s="448">
        <v>384</v>
      </c>
      <c r="I168" s="448">
        <v>42666.68</v>
      </c>
      <c r="J168" s="444">
        <v>1.0215487664084224</v>
      </c>
      <c r="K168" s="444">
        <v>111.11114583333334</v>
      </c>
      <c r="L168" s="448">
        <v>358</v>
      </c>
      <c r="M168" s="448">
        <v>41766.660000000003</v>
      </c>
      <c r="N168" s="444">
        <v>1</v>
      </c>
      <c r="O168" s="444">
        <v>116.66664804469275</v>
      </c>
      <c r="P168" s="448">
        <v>377</v>
      </c>
      <c r="Q168" s="448">
        <v>43983.34</v>
      </c>
      <c r="R168" s="471">
        <v>1.0530729534035039</v>
      </c>
      <c r="S168" s="449">
        <v>116.66668435013261</v>
      </c>
    </row>
    <row r="169" spans="1:19" ht="14.4" customHeight="1" x14ac:dyDescent="0.3">
      <c r="A169" s="443"/>
      <c r="B169" s="444" t="s">
        <v>1590</v>
      </c>
      <c r="C169" s="444" t="s">
        <v>1583</v>
      </c>
      <c r="D169" s="444" t="s">
        <v>1580</v>
      </c>
      <c r="E169" s="444" t="s">
        <v>1661</v>
      </c>
      <c r="F169" s="444" t="s">
        <v>1734</v>
      </c>
      <c r="G169" s="444" t="s">
        <v>1735</v>
      </c>
      <c r="H169" s="448">
        <v>87</v>
      </c>
      <c r="I169" s="448">
        <v>30450</v>
      </c>
      <c r="J169" s="444">
        <v>1.0302630029679696</v>
      </c>
      <c r="K169" s="444">
        <v>350</v>
      </c>
      <c r="L169" s="448">
        <v>76</v>
      </c>
      <c r="M169" s="448">
        <v>29555.559999999998</v>
      </c>
      <c r="N169" s="444">
        <v>1</v>
      </c>
      <c r="O169" s="444">
        <v>388.88894736842104</v>
      </c>
      <c r="P169" s="448">
        <v>94</v>
      </c>
      <c r="Q169" s="448">
        <v>36555.56</v>
      </c>
      <c r="R169" s="471">
        <v>1.2368420696478091</v>
      </c>
      <c r="S169" s="449">
        <v>388.88893617021273</v>
      </c>
    </row>
    <row r="170" spans="1:19" ht="14.4" customHeight="1" x14ac:dyDescent="0.3">
      <c r="A170" s="443"/>
      <c r="B170" s="444" t="s">
        <v>1590</v>
      </c>
      <c r="C170" s="444" t="s">
        <v>1583</v>
      </c>
      <c r="D170" s="444" t="s">
        <v>1580</v>
      </c>
      <c r="E170" s="444" t="s">
        <v>1661</v>
      </c>
      <c r="F170" s="444" t="s">
        <v>1675</v>
      </c>
      <c r="G170" s="444" t="s">
        <v>1676</v>
      </c>
      <c r="H170" s="448">
        <v>641</v>
      </c>
      <c r="I170" s="448">
        <v>172357.78999999998</v>
      </c>
      <c r="J170" s="444">
        <v>0.49528100574712636</v>
      </c>
      <c r="K170" s="444">
        <v>268.88890795631823</v>
      </c>
      <c r="L170" s="448">
        <v>1160</v>
      </c>
      <c r="M170" s="448">
        <v>348000</v>
      </c>
      <c r="N170" s="444">
        <v>1</v>
      </c>
      <c r="O170" s="444">
        <v>300</v>
      </c>
      <c r="P170" s="448">
        <v>971</v>
      </c>
      <c r="Q170" s="448">
        <v>291300</v>
      </c>
      <c r="R170" s="471">
        <v>0.83706896551724141</v>
      </c>
      <c r="S170" s="449">
        <v>300</v>
      </c>
    </row>
    <row r="171" spans="1:19" ht="14.4" customHeight="1" x14ac:dyDescent="0.3">
      <c r="A171" s="443"/>
      <c r="B171" s="444" t="s">
        <v>1590</v>
      </c>
      <c r="C171" s="444" t="s">
        <v>1583</v>
      </c>
      <c r="D171" s="444" t="s">
        <v>1580</v>
      </c>
      <c r="E171" s="444" t="s">
        <v>1661</v>
      </c>
      <c r="F171" s="444" t="s">
        <v>1677</v>
      </c>
      <c r="G171" s="444" t="s">
        <v>1678</v>
      </c>
      <c r="H171" s="448">
        <v>35</v>
      </c>
      <c r="I171" s="448">
        <v>10305.550000000001</v>
      </c>
      <c r="J171" s="444">
        <v>1.2499984838285152</v>
      </c>
      <c r="K171" s="444">
        <v>294.44428571428574</v>
      </c>
      <c r="L171" s="448">
        <v>28</v>
      </c>
      <c r="M171" s="448">
        <v>8244.4499999999989</v>
      </c>
      <c r="N171" s="444">
        <v>1</v>
      </c>
      <c r="O171" s="444">
        <v>294.44464285714281</v>
      </c>
      <c r="P171" s="448">
        <v>16</v>
      </c>
      <c r="Q171" s="448">
        <v>4711.1100000000006</v>
      </c>
      <c r="R171" s="471">
        <v>0.57142805159834809</v>
      </c>
      <c r="S171" s="449">
        <v>294.44437500000004</v>
      </c>
    </row>
    <row r="172" spans="1:19" ht="14.4" customHeight="1" x14ac:dyDescent="0.3">
      <c r="A172" s="443"/>
      <c r="B172" s="444" t="s">
        <v>1590</v>
      </c>
      <c r="C172" s="444" t="s">
        <v>1583</v>
      </c>
      <c r="D172" s="444" t="s">
        <v>1580</v>
      </c>
      <c r="E172" s="444" t="s">
        <v>1661</v>
      </c>
      <c r="F172" s="444" t="s">
        <v>1749</v>
      </c>
      <c r="G172" s="444" t="s">
        <v>1750</v>
      </c>
      <c r="H172" s="448"/>
      <c r="I172" s="448"/>
      <c r="J172" s="444"/>
      <c r="K172" s="444"/>
      <c r="L172" s="448"/>
      <c r="M172" s="448"/>
      <c r="N172" s="444"/>
      <c r="O172" s="444"/>
      <c r="P172" s="448">
        <v>1</v>
      </c>
      <c r="Q172" s="448">
        <v>93.33</v>
      </c>
      <c r="R172" s="471"/>
      <c r="S172" s="449">
        <v>93.33</v>
      </c>
    </row>
    <row r="173" spans="1:19" ht="14.4" customHeight="1" x14ac:dyDescent="0.3">
      <c r="A173" s="443"/>
      <c r="B173" s="444" t="s">
        <v>1590</v>
      </c>
      <c r="C173" s="444" t="s">
        <v>1583</v>
      </c>
      <c r="D173" s="444" t="s">
        <v>1580</v>
      </c>
      <c r="E173" s="444" t="s">
        <v>1661</v>
      </c>
      <c r="F173" s="444" t="s">
        <v>1679</v>
      </c>
      <c r="G173" s="444" t="s">
        <v>1680</v>
      </c>
      <c r="H173" s="448"/>
      <c r="I173" s="448"/>
      <c r="J173" s="444"/>
      <c r="K173" s="444"/>
      <c r="L173" s="448">
        <v>17</v>
      </c>
      <c r="M173" s="448">
        <v>566.67000000000007</v>
      </c>
      <c r="N173" s="444">
        <v>1</v>
      </c>
      <c r="O173" s="444">
        <v>33.333529411764708</v>
      </c>
      <c r="P173" s="448">
        <v>13</v>
      </c>
      <c r="Q173" s="448">
        <v>433.34</v>
      </c>
      <c r="R173" s="471">
        <v>0.76471314874618368</v>
      </c>
      <c r="S173" s="449">
        <v>33.333846153846153</v>
      </c>
    </row>
    <row r="174" spans="1:19" ht="14.4" customHeight="1" x14ac:dyDescent="0.3">
      <c r="A174" s="443"/>
      <c r="B174" s="444" t="s">
        <v>1590</v>
      </c>
      <c r="C174" s="444" t="s">
        <v>1583</v>
      </c>
      <c r="D174" s="444" t="s">
        <v>1580</v>
      </c>
      <c r="E174" s="444" t="s">
        <v>1661</v>
      </c>
      <c r="F174" s="444" t="s">
        <v>1681</v>
      </c>
      <c r="G174" s="444" t="s">
        <v>1666</v>
      </c>
      <c r="H174" s="448">
        <v>1008</v>
      </c>
      <c r="I174" s="448">
        <v>376320</v>
      </c>
      <c r="J174" s="444">
        <v>0.92732291470070727</v>
      </c>
      <c r="K174" s="444">
        <v>373.33333333333331</v>
      </c>
      <c r="L174" s="448">
        <v>1087</v>
      </c>
      <c r="M174" s="448">
        <v>405813.33</v>
      </c>
      <c r="N174" s="444">
        <v>1</v>
      </c>
      <c r="O174" s="444">
        <v>373.33333026678935</v>
      </c>
      <c r="P174" s="448">
        <v>1124</v>
      </c>
      <c r="Q174" s="448">
        <v>469582.23</v>
      </c>
      <c r="R174" s="471">
        <v>1.1571385050362932</v>
      </c>
      <c r="S174" s="449">
        <v>417.77778469750888</v>
      </c>
    </row>
    <row r="175" spans="1:19" ht="14.4" customHeight="1" x14ac:dyDescent="0.3">
      <c r="A175" s="443"/>
      <c r="B175" s="444" t="s">
        <v>1590</v>
      </c>
      <c r="C175" s="444" t="s">
        <v>1583</v>
      </c>
      <c r="D175" s="444" t="s">
        <v>1580</v>
      </c>
      <c r="E175" s="444" t="s">
        <v>1661</v>
      </c>
      <c r="F175" s="444" t="s">
        <v>1682</v>
      </c>
      <c r="G175" s="444" t="s">
        <v>1683</v>
      </c>
      <c r="H175" s="448">
        <v>62</v>
      </c>
      <c r="I175" s="448">
        <v>11573.33</v>
      </c>
      <c r="J175" s="444">
        <v>0.69393708275322008</v>
      </c>
      <c r="K175" s="444">
        <v>186.6666129032258</v>
      </c>
      <c r="L175" s="448">
        <v>79</v>
      </c>
      <c r="M175" s="448">
        <v>16677.780000000002</v>
      </c>
      <c r="N175" s="444">
        <v>1</v>
      </c>
      <c r="O175" s="444">
        <v>211.11113924050636</v>
      </c>
      <c r="P175" s="448">
        <v>79</v>
      </c>
      <c r="Q175" s="448">
        <v>16677.780000000002</v>
      </c>
      <c r="R175" s="471">
        <v>1</v>
      </c>
      <c r="S175" s="449">
        <v>211.11113924050636</v>
      </c>
    </row>
    <row r="176" spans="1:19" ht="14.4" customHeight="1" x14ac:dyDescent="0.3">
      <c r="A176" s="443"/>
      <c r="B176" s="444" t="s">
        <v>1590</v>
      </c>
      <c r="C176" s="444" t="s">
        <v>1583</v>
      </c>
      <c r="D176" s="444" t="s">
        <v>1580</v>
      </c>
      <c r="E176" s="444" t="s">
        <v>1661</v>
      </c>
      <c r="F176" s="444" t="s">
        <v>1684</v>
      </c>
      <c r="G176" s="444" t="s">
        <v>1685</v>
      </c>
      <c r="H176" s="448">
        <v>56</v>
      </c>
      <c r="I176" s="448">
        <v>32666.67</v>
      </c>
      <c r="J176" s="444">
        <v>2.0000006122450227</v>
      </c>
      <c r="K176" s="444">
        <v>583.33339285714283</v>
      </c>
      <c r="L176" s="448">
        <v>28</v>
      </c>
      <c r="M176" s="448">
        <v>16333.33</v>
      </c>
      <c r="N176" s="444">
        <v>1</v>
      </c>
      <c r="O176" s="444">
        <v>583.33321428571423</v>
      </c>
      <c r="P176" s="448">
        <v>37</v>
      </c>
      <c r="Q176" s="448">
        <v>21583.33</v>
      </c>
      <c r="R176" s="471">
        <v>1.3214286370262525</v>
      </c>
      <c r="S176" s="449">
        <v>583.33324324324326</v>
      </c>
    </row>
    <row r="177" spans="1:19" ht="14.4" customHeight="1" x14ac:dyDescent="0.3">
      <c r="A177" s="443"/>
      <c r="B177" s="444" t="s">
        <v>1590</v>
      </c>
      <c r="C177" s="444" t="s">
        <v>1583</v>
      </c>
      <c r="D177" s="444" t="s">
        <v>1580</v>
      </c>
      <c r="E177" s="444" t="s">
        <v>1661</v>
      </c>
      <c r="F177" s="444" t="s">
        <v>1686</v>
      </c>
      <c r="G177" s="444" t="s">
        <v>1687</v>
      </c>
      <c r="H177" s="448">
        <v>20</v>
      </c>
      <c r="I177" s="448">
        <v>9333.34</v>
      </c>
      <c r="J177" s="444">
        <v>0.58823596144368129</v>
      </c>
      <c r="K177" s="444">
        <v>466.66700000000003</v>
      </c>
      <c r="L177" s="448">
        <v>34</v>
      </c>
      <c r="M177" s="448">
        <v>15866.66</v>
      </c>
      <c r="N177" s="444">
        <v>1</v>
      </c>
      <c r="O177" s="444">
        <v>466.66647058823531</v>
      </c>
      <c r="P177" s="448">
        <v>21</v>
      </c>
      <c r="Q177" s="448">
        <v>9800.01</v>
      </c>
      <c r="R177" s="471">
        <v>0.61764794859157501</v>
      </c>
      <c r="S177" s="449">
        <v>466.66714285714289</v>
      </c>
    </row>
    <row r="178" spans="1:19" ht="14.4" customHeight="1" x14ac:dyDescent="0.3">
      <c r="A178" s="443"/>
      <c r="B178" s="444" t="s">
        <v>1590</v>
      </c>
      <c r="C178" s="444" t="s">
        <v>1583</v>
      </c>
      <c r="D178" s="444" t="s">
        <v>1580</v>
      </c>
      <c r="E178" s="444" t="s">
        <v>1661</v>
      </c>
      <c r="F178" s="444" t="s">
        <v>1751</v>
      </c>
      <c r="G178" s="444" t="s">
        <v>1687</v>
      </c>
      <c r="H178" s="448">
        <v>8</v>
      </c>
      <c r="I178" s="448">
        <v>8000</v>
      </c>
      <c r="J178" s="444">
        <v>1.6</v>
      </c>
      <c r="K178" s="444">
        <v>1000</v>
      </c>
      <c r="L178" s="448">
        <v>5</v>
      </c>
      <c r="M178" s="448">
        <v>5000</v>
      </c>
      <c r="N178" s="444">
        <v>1</v>
      </c>
      <c r="O178" s="444">
        <v>1000</v>
      </c>
      <c r="P178" s="448">
        <v>6</v>
      </c>
      <c r="Q178" s="448">
        <v>6000</v>
      </c>
      <c r="R178" s="471">
        <v>1.2</v>
      </c>
      <c r="S178" s="449">
        <v>1000</v>
      </c>
    </row>
    <row r="179" spans="1:19" ht="14.4" customHeight="1" x14ac:dyDescent="0.3">
      <c r="A179" s="443"/>
      <c r="B179" s="444" t="s">
        <v>1590</v>
      </c>
      <c r="C179" s="444" t="s">
        <v>1583</v>
      </c>
      <c r="D179" s="444" t="s">
        <v>1580</v>
      </c>
      <c r="E179" s="444" t="s">
        <v>1661</v>
      </c>
      <c r="F179" s="444" t="s">
        <v>1688</v>
      </c>
      <c r="G179" s="444" t="s">
        <v>1689</v>
      </c>
      <c r="H179" s="448">
        <v>185</v>
      </c>
      <c r="I179" s="448">
        <v>9250</v>
      </c>
      <c r="J179" s="444">
        <v>0.9946236559139785</v>
      </c>
      <c r="K179" s="444">
        <v>50</v>
      </c>
      <c r="L179" s="448">
        <v>186</v>
      </c>
      <c r="M179" s="448">
        <v>9300</v>
      </c>
      <c r="N179" s="444">
        <v>1</v>
      </c>
      <c r="O179" s="444">
        <v>50</v>
      </c>
      <c r="P179" s="448">
        <v>219</v>
      </c>
      <c r="Q179" s="448">
        <v>10950</v>
      </c>
      <c r="R179" s="471">
        <v>1.1774193548387097</v>
      </c>
      <c r="S179" s="449">
        <v>50</v>
      </c>
    </row>
    <row r="180" spans="1:19" ht="14.4" customHeight="1" x14ac:dyDescent="0.3">
      <c r="A180" s="443"/>
      <c r="B180" s="444" t="s">
        <v>1590</v>
      </c>
      <c r="C180" s="444" t="s">
        <v>1583</v>
      </c>
      <c r="D180" s="444" t="s">
        <v>1580</v>
      </c>
      <c r="E180" s="444" t="s">
        <v>1661</v>
      </c>
      <c r="F180" s="444" t="s">
        <v>1752</v>
      </c>
      <c r="G180" s="444" t="s">
        <v>1753</v>
      </c>
      <c r="H180" s="448">
        <v>1</v>
      </c>
      <c r="I180" s="448">
        <v>0</v>
      </c>
      <c r="J180" s="444"/>
      <c r="K180" s="444">
        <v>0</v>
      </c>
      <c r="L180" s="448"/>
      <c r="M180" s="448"/>
      <c r="N180" s="444"/>
      <c r="O180" s="444"/>
      <c r="P180" s="448"/>
      <c r="Q180" s="448"/>
      <c r="R180" s="471"/>
      <c r="S180" s="449"/>
    </row>
    <row r="181" spans="1:19" ht="14.4" customHeight="1" x14ac:dyDescent="0.3">
      <c r="A181" s="443"/>
      <c r="B181" s="444" t="s">
        <v>1590</v>
      </c>
      <c r="C181" s="444" t="s">
        <v>1583</v>
      </c>
      <c r="D181" s="444" t="s">
        <v>1580</v>
      </c>
      <c r="E181" s="444" t="s">
        <v>1661</v>
      </c>
      <c r="F181" s="444" t="s">
        <v>1694</v>
      </c>
      <c r="G181" s="444" t="s">
        <v>1695</v>
      </c>
      <c r="H181" s="448">
        <v>9</v>
      </c>
      <c r="I181" s="448">
        <v>0</v>
      </c>
      <c r="J181" s="444"/>
      <c r="K181" s="444">
        <v>0</v>
      </c>
      <c r="L181" s="448">
        <v>3</v>
      </c>
      <c r="M181" s="448">
        <v>0</v>
      </c>
      <c r="N181" s="444"/>
      <c r="O181" s="444">
        <v>0</v>
      </c>
      <c r="P181" s="448">
        <v>4</v>
      </c>
      <c r="Q181" s="448">
        <v>0</v>
      </c>
      <c r="R181" s="471"/>
      <c r="S181" s="449">
        <v>0</v>
      </c>
    </row>
    <row r="182" spans="1:19" ht="14.4" customHeight="1" x14ac:dyDescent="0.3">
      <c r="A182" s="443"/>
      <c r="B182" s="444" t="s">
        <v>1590</v>
      </c>
      <c r="C182" s="444" t="s">
        <v>1583</v>
      </c>
      <c r="D182" s="444" t="s">
        <v>1580</v>
      </c>
      <c r="E182" s="444" t="s">
        <v>1661</v>
      </c>
      <c r="F182" s="444" t="s">
        <v>1696</v>
      </c>
      <c r="G182" s="444" t="s">
        <v>1697</v>
      </c>
      <c r="H182" s="448">
        <v>276</v>
      </c>
      <c r="I182" s="448">
        <v>84333.329999999987</v>
      </c>
      <c r="J182" s="444">
        <v>1.0996016138849176</v>
      </c>
      <c r="K182" s="444">
        <v>305.5555434782608</v>
      </c>
      <c r="L182" s="448">
        <v>251</v>
      </c>
      <c r="M182" s="448">
        <v>76694.44</v>
      </c>
      <c r="N182" s="444">
        <v>1</v>
      </c>
      <c r="O182" s="444">
        <v>305.55553784860558</v>
      </c>
      <c r="P182" s="448">
        <v>504</v>
      </c>
      <c r="Q182" s="448">
        <v>154000</v>
      </c>
      <c r="R182" s="471">
        <v>2.007968243851836</v>
      </c>
      <c r="S182" s="449">
        <v>305.55555555555554</v>
      </c>
    </row>
    <row r="183" spans="1:19" ht="14.4" customHeight="1" x14ac:dyDescent="0.3">
      <c r="A183" s="443"/>
      <c r="B183" s="444" t="s">
        <v>1590</v>
      </c>
      <c r="C183" s="444" t="s">
        <v>1583</v>
      </c>
      <c r="D183" s="444" t="s">
        <v>1580</v>
      </c>
      <c r="E183" s="444" t="s">
        <v>1661</v>
      </c>
      <c r="F183" s="444" t="s">
        <v>1698</v>
      </c>
      <c r="G183" s="444" t="s">
        <v>1699</v>
      </c>
      <c r="H183" s="448">
        <v>210</v>
      </c>
      <c r="I183" s="448">
        <v>3800</v>
      </c>
      <c r="J183" s="444">
        <v>0.85074753842916184</v>
      </c>
      <c r="K183" s="444">
        <v>18.095238095238095</v>
      </c>
      <c r="L183" s="448">
        <v>134</v>
      </c>
      <c r="M183" s="448">
        <v>4466.66</v>
      </c>
      <c r="N183" s="444">
        <v>1</v>
      </c>
      <c r="O183" s="444">
        <v>33.33328358208955</v>
      </c>
      <c r="P183" s="448">
        <v>122</v>
      </c>
      <c r="Q183" s="448">
        <v>4066.66</v>
      </c>
      <c r="R183" s="471">
        <v>0.9104476275337724</v>
      </c>
      <c r="S183" s="449">
        <v>33.333278688524587</v>
      </c>
    </row>
    <row r="184" spans="1:19" ht="14.4" customHeight="1" x14ac:dyDescent="0.3">
      <c r="A184" s="443"/>
      <c r="B184" s="444" t="s">
        <v>1590</v>
      </c>
      <c r="C184" s="444" t="s">
        <v>1583</v>
      </c>
      <c r="D184" s="444" t="s">
        <v>1580</v>
      </c>
      <c r="E184" s="444" t="s">
        <v>1661</v>
      </c>
      <c r="F184" s="444" t="s">
        <v>1700</v>
      </c>
      <c r="G184" s="444" t="s">
        <v>1701</v>
      </c>
      <c r="H184" s="448">
        <v>1084</v>
      </c>
      <c r="I184" s="448">
        <v>493822.23</v>
      </c>
      <c r="J184" s="444">
        <v>0.98277426317239347</v>
      </c>
      <c r="K184" s="444">
        <v>455.55556273062729</v>
      </c>
      <c r="L184" s="448">
        <v>1103</v>
      </c>
      <c r="M184" s="448">
        <v>502477.77999999997</v>
      </c>
      <c r="N184" s="444">
        <v>1</v>
      </c>
      <c r="O184" s="444">
        <v>455.55555757026292</v>
      </c>
      <c r="P184" s="448">
        <v>1278</v>
      </c>
      <c r="Q184" s="448">
        <v>582200</v>
      </c>
      <c r="R184" s="471">
        <v>1.1586581997715402</v>
      </c>
      <c r="S184" s="449">
        <v>455.55555555555554</v>
      </c>
    </row>
    <row r="185" spans="1:19" ht="14.4" customHeight="1" x14ac:dyDescent="0.3">
      <c r="A185" s="443"/>
      <c r="B185" s="444" t="s">
        <v>1590</v>
      </c>
      <c r="C185" s="444" t="s">
        <v>1583</v>
      </c>
      <c r="D185" s="444" t="s">
        <v>1580</v>
      </c>
      <c r="E185" s="444" t="s">
        <v>1661</v>
      </c>
      <c r="F185" s="444" t="s">
        <v>1702</v>
      </c>
      <c r="G185" s="444" t="s">
        <v>1703</v>
      </c>
      <c r="H185" s="448">
        <v>384</v>
      </c>
      <c r="I185" s="448">
        <v>29866.65</v>
      </c>
      <c r="J185" s="444">
        <v>1.0786514297436374</v>
      </c>
      <c r="K185" s="444">
        <v>77.777734375000009</v>
      </c>
      <c r="L185" s="448">
        <v>356</v>
      </c>
      <c r="M185" s="448">
        <v>27688.879999999997</v>
      </c>
      <c r="N185" s="444">
        <v>1</v>
      </c>
      <c r="O185" s="444">
        <v>77.777752808988751</v>
      </c>
      <c r="P185" s="448">
        <v>638</v>
      </c>
      <c r="Q185" s="448">
        <v>49622.22</v>
      </c>
      <c r="R185" s="471">
        <v>1.792135326528195</v>
      </c>
      <c r="S185" s="449">
        <v>77.777774294670849</v>
      </c>
    </row>
    <row r="186" spans="1:19" ht="14.4" customHeight="1" x14ac:dyDescent="0.3">
      <c r="A186" s="443"/>
      <c r="B186" s="444" t="s">
        <v>1590</v>
      </c>
      <c r="C186" s="444" t="s">
        <v>1583</v>
      </c>
      <c r="D186" s="444" t="s">
        <v>1580</v>
      </c>
      <c r="E186" s="444" t="s">
        <v>1661</v>
      </c>
      <c r="F186" s="444" t="s">
        <v>1754</v>
      </c>
      <c r="G186" s="444" t="s">
        <v>1755</v>
      </c>
      <c r="H186" s="448">
        <v>29</v>
      </c>
      <c r="I186" s="448">
        <v>20300</v>
      </c>
      <c r="J186" s="444">
        <v>0.78378378378378377</v>
      </c>
      <c r="K186" s="444">
        <v>700</v>
      </c>
      <c r="L186" s="448">
        <v>37</v>
      </c>
      <c r="M186" s="448">
        <v>25900</v>
      </c>
      <c r="N186" s="444">
        <v>1</v>
      </c>
      <c r="O186" s="444">
        <v>700</v>
      </c>
      <c r="P186" s="448">
        <v>43</v>
      </c>
      <c r="Q186" s="448">
        <v>30100</v>
      </c>
      <c r="R186" s="471">
        <v>1.1621621621621621</v>
      </c>
      <c r="S186" s="449">
        <v>700</v>
      </c>
    </row>
    <row r="187" spans="1:19" ht="14.4" customHeight="1" x14ac:dyDescent="0.3">
      <c r="A187" s="443"/>
      <c r="B187" s="444" t="s">
        <v>1590</v>
      </c>
      <c r="C187" s="444" t="s">
        <v>1583</v>
      </c>
      <c r="D187" s="444" t="s">
        <v>1580</v>
      </c>
      <c r="E187" s="444" t="s">
        <v>1661</v>
      </c>
      <c r="F187" s="444" t="s">
        <v>1706</v>
      </c>
      <c r="G187" s="444" t="s">
        <v>1707</v>
      </c>
      <c r="H187" s="448">
        <v>1</v>
      </c>
      <c r="I187" s="448">
        <v>270</v>
      </c>
      <c r="J187" s="444">
        <v>1</v>
      </c>
      <c r="K187" s="444">
        <v>270</v>
      </c>
      <c r="L187" s="448">
        <v>1</v>
      </c>
      <c r="M187" s="448">
        <v>270</v>
      </c>
      <c r="N187" s="444">
        <v>1</v>
      </c>
      <c r="O187" s="444">
        <v>270</v>
      </c>
      <c r="P187" s="448"/>
      <c r="Q187" s="448"/>
      <c r="R187" s="471"/>
      <c r="S187" s="449"/>
    </row>
    <row r="188" spans="1:19" ht="14.4" customHeight="1" x14ac:dyDescent="0.3">
      <c r="A188" s="443"/>
      <c r="B188" s="444" t="s">
        <v>1590</v>
      </c>
      <c r="C188" s="444" t="s">
        <v>1583</v>
      </c>
      <c r="D188" s="444" t="s">
        <v>1580</v>
      </c>
      <c r="E188" s="444" t="s">
        <v>1661</v>
      </c>
      <c r="F188" s="444" t="s">
        <v>1708</v>
      </c>
      <c r="G188" s="444" t="s">
        <v>1709</v>
      </c>
      <c r="H188" s="448">
        <v>695</v>
      </c>
      <c r="I188" s="448">
        <v>61777.780000000006</v>
      </c>
      <c r="J188" s="444">
        <v>0.9493724127788461</v>
      </c>
      <c r="K188" s="444">
        <v>88.888892086330941</v>
      </c>
      <c r="L188" s="448">
        <v>689</v>
      </c>
      <c r="M188" s="448">
        <v>65072.229999999996</v>
      </c>
      <c r="N188" s="444">
        <v>1</v>
      </c>
      <c r="O188" s="444">
        <v>94.444455732946295</v>
      </c>
      <c r="P188" s="448">
        <v>861</v>
      </c>
      <c r="Q188" s="448">
        <v>81316.67</v>
      </c>
      <c r="R188" s="471">
        <v>1.2496370571594058</v>
      </c>
      <c r="S188" s="449">
        <v>94.444448315911728</v>
      </c>
    </row>
    <row r="189" spans="1:19" ht="14.4" customHeight="1" x14ac:dyDescent="0.3">
      <c r="A189" s="443"/>
      <c r="B189" s="444" t="s">
        <v>1590</v>
      </c>
      <c r="C189" s="444" t="s">
        <v>1583</v>
      </c>
      <c r="D189" s="444" t="s">
        <v>1580</v>
      </c>
      <c r="E189" s="444" t="s">
        <v>1661</v>
      </c>
      <c r="F189" s="444" t="s">
        <v>1710</v>
      </c>
      <c r="G189" s="444" t="s">
        <v>1711</v>
      </c>
      <c r="H189" s="448"/>
      <c r="I189" s="448"/>
      <c r="J189" s="444"/>
      <c r="K189" s="444"/>
      <c r="L189" s="448">
        <v>1</v>
      </c>
      <c r="M189" s="448">
        <v>43.33</v>
      </c>
      <c r="N189" s="444">
        <v>1</v>
      </c>
      <c r="O189" s="444">
        <v>43.33</v>
      </c>
      <c r="P189" s="448"/>
      <c r="Q189" s="448"/>
      <c r="R189" s="471"/>
      <c r="S189" s="449"/>
    </row>
    <row r="190" spans="1:19" ht="14.4" customHeight="1" x14ac:dyDescent="0.3">
      <c r="A190" s="443"/>
      <c r="B190" s="444" t="s">
        <v>1590</v>
      </c>
      <c r="C190" s="444" t="s">
        <v>1583</v>
      </c>
      <c r="D190" s="444" t="s">
        <v>1580</v>
      </c>
      <c r="E190" s="444" t="s">
        <v>1661</v>
      </c>
      <c r="F190" s="444" t="s">
        <v>1712</v>
      </c>
      <c r="G190" s="444" t="s">
        <v>1713</v>
      </c>
      <c r="H190" s="448">
        <v>682</v>
      </c>
      <c r="I190" s="448">
        <v>65926.67</v>
      </c>
      <c r="J190" s="444">
        <v>0.98129491626942034</v>
      </c>
      <c r="K190" s="444">
        <v>96.66667155425219</v>
      </c>
      <c r="L190" s="448">
        <v>695</v>
      </c>
      <c r="M190" s="448">
        <v>67183.34</v>
      </c>
      <c r="N190" s="444">
        <v>1</v>
      </c>
      <c r="O190" s="444">
        <v>96.666676258992794</v>
      </c>
      <c r="P190" s="448">
        <v>718</v>
      </c>
      <c r="Q190" s="448">
        <v>69406.66</v>
      </c>
      <c r="R190" s="471">
        <v>1.0330933234340538</v>
      </c>
      <c r="S190" s="449">
        <v>96.666657381615607</v>
      </c>
    </row>
    <row r="191" spans="1:19" ht="14.4" customHeight="1" x14ac:dyDescent="0.3">
      <c r="A191" s="443"/>
      <c r="B191" s="444" t="s">
        <v>1590</v>
      </c>
      <c r="C191" s="444" t="s">
        <v>1583</v>
      </c>
      <c r="D191" s="444" t="s">
        <v>1580</v>
      </c>
      <c r="E191" s="444" t="s">
        <v>1661</v>
      </c>
      <c r="F191" s="444" t="s">
        <v>1716</v>
      </c>
      <c r="G191" s="444" t="s">
        <v>1717</v>
      </c>
      <c r="H191" s="448">
        <v>703</v>
      </c>
      <c r="I191" s="448">
        <v>98420</v>
      </c>
      <c r="J191" s="444">
        <v>0.48161155977356329</v>
      </c>
      <c r="K191" s="444">
        <v>140</v>
      </c>
      <c r="L191" s="448">
        <v>1045</v>
      </c>
      <c r="M191" s="448">
        <v>204355.56</v>
      </c>
      <c r="N191" s="444">
        <v>1</v>
      </c>
      <c r="O191" s="444">
        <v>195.55555980861243</v>
      </c>
      <c r="P191" s="448">
        <v>798</v>
      </c>
      <c r="Q191" s="448">
        <v>156053.32999999999</v>
      </c>
      <c r="R191" s="471">
        <v>0.76363633071691317</v>
      </c>
      <c r="S191" s="449">
        <v>195.5555513784461</v>
      </c>
    </row>
    <row r="192" spans="1:19" ht="14.4" customHeight="1" x14ac:dyDescent="0.3">
      <c r="A192" s="443"/>
      <c r="B192" s="444" t="s">
        <v>1590</v>
      </c>
      <c r="C192" s="444" t="s">
        <v>1583</v>
      </c>
      <c r="D192" s="444" t="s">
        <v>1580</v>
      </c>
      <c r="E192" s="444" t="s">
        <v>1661</v>
      </c>
      <c r="F192" s="444" t="s">
        <v>1740</v>
      </c>
      <c r="G192" s="444" t="s">
        <v>1741</v>
      </c>
      <c r="H192" s="448">
        <v>884</v>
      </c>
      <c r="I192" s="448">
        <v>66791.12000000001</v>
      </c>
      <c r="J192" s="444">
        <v>0.82616837966841017</v>
      </c>
      <c r="K192" s="444">
        <v>75.555565610859745</v>
      </c>
      <c r="L192" s="448">
        <v>1070</v>
      </c>
      <c r="M192" s="448">
        <v>80844.44</v>
      </c>
      <c r="N192" s="444">
        <v>1</v>
      </c>
      <c r="O192" s="444">
        <v>75.555551401869167</v>
      </c>
      <c r="P192" s="448">
        <v>1117</v>
      </c>
      <c r="Q192" s="448">
        <v>84395.56</v>
      </c>
      <c r="R192" s="471">
        <v>1.0439253460101894</v>
      </c>
      <c r="S192" s="449">
        <v>75.555559534467321</v>
      </c>
    </row>
    <row r="193" spans="1:19" ht="14.4" customHeight="1" x14ac:dyDescent="0.3">
      <c r="A193" s="443"/>
      <c r="B193" s="444" t="s">
        <v>1590</v>
      </c>
      <c r="C193" s="444" t="s">
        <v>1583</v>
      </c>
      <c r="D193" s="444" t="s">
        <v>1580</v>
      </c>
      <c r="E193" s="444" t="s">
        <v>1661</v>
      </c>
      <c r="F193" s="444" t="s">
        <v>1756</v>
      </c>
      <c r="G193" s="444" t="s">
        <v>1757</v>
      </c>
      <c r="H193" s="448">
        <v>76</v>
      </c>
      <c r="I193" s="448">
        <v>97533.33</v>
      </c>
      <c r="J193" s="444">
        <v>1.2881356626137497</v>
      </c>
      <c r="K193" s="444">
        <v>1283.3332894736843</v>
      </c>
      <c r="L193" s="448">
        <v>59</v>
      </c>
      <c r="M193" s="448">
        <v>75716.66</v>
      </c>
      <c r="N193" s="444">
        <v>1</v>
      </c>
      <c r="O193" s="444">
        <v>1283.3332203389832</v>
      </c>
      <c r="P193" s="448">
        <v>93</v>
      </c>
      <c r="Q193" s="448">
        <v>119350</v>
      </c>
      <c r="R193" s="471">
        <v>1.5762713252274994</v>
      </c>
      <c r="S193" s="449">
        <v>1283.3333333333333</v>
      </c>
    </row>
    <row r="194" spans="1:19" ht="14.4" customHeight="1" x14ac:dyDescent="0.3">
      <c r="A194" s="443"/>
      <c r="B194" s="444" t="s">
        <v>1590</v>
      </c>
      <c r="C194" s="444" t="s">
        <v>1583</v>
      </c>
      <c r="D194" s="444" t="s">
        <v>1580</v>
      </c>
      <c r="E194" s="444" t="s">
        <v>1661</v>
      </c>
      <c r="F194" s="444" t="s">
        <v>1758</v>
      </c>
      <c r="G194" s="444" t="s">
        <v>1759</v>
      </c>
      <c r="H194" s="448"/>
      <c r="I194" s="448"/>
      <c r="J194" s="444"/>
      <c r="K194" s="444"/>
      <c r="L194" s="448">
        <v>3</v>
      </c>
      <c r="M194" s="448">
        <v>1400.01</v>
      </c>
      <c r="N194" s="444">
        <v>1</v>
      </c>
      <c r="O194" s="444">
        <v>466.67</v>
      </c>
      <c r="P194" s="448">
        <v>3</v>
      </c>
      <c r="Q194" s="448">
        <v>1400</v>
      </c>
      <c r="R194" s="471">
        <v>0.9999928571938772</v>
      </c>
      <c r="S194" s="449">
        <v>466.66666666666669</v>
      </c>
    </row>
    <row r="195" spans="1:19" ht="14.4" customHeight="1" x14ac:dyDescent="0.3">
      <c r="A195" s="443"/>
      <c r="B195" s="444" t="s">
        <v>1590</v>
      </c>
      <c r="C195" s="444" t="s">
        <v>1583</v>
      </c>
      <c r="D195" s="444" t="s">
        <v>1580</v>
      </c>
      <c r="E195" s="444" t="s">
        <v>1661</v>
      </c>
      <c r="F195" s="444" t="s">
        <v>1718</v>
      </c>
      <c r="G195" s="444" t="s">
        <v>1719</v>
      </c>
      <c r="H195" s="448">
        <v>2</v>
      </c>
      <c r="I195" s="448">
        <v>233.34</v>
      </c>
      <c r="J195" s="444">
        <v>0.50001071420918419</v>
      </c>
      <c r="K195" s="444">
        <v>116.67</v>
      </c>
      <c r="L195" s="448">
        <v>4</v>
      </c>
      <c r="M195" s="448">
        <v>466.67</v>
      </c>
      <c r="N195" s="444">
        <v>1</v>
      </c>
      <c r="O195" s="444">
        <v>116.6675</v>
      </c>
      <c r="P195" s="448">
        <v>2</v>
      </c>
      <c r="Q195" s="448">
        <v>233.34</v>
      </c>
      <c r="R195" s="471">
        <v>0.50001071420918419</v>
      </c>
      <c r="S195" s="449">
        <v>116.67</v>
      </c>
    </row>
    <row r="196" spans="1:19" ht="14.4" customHeight="1" x14ac:dyDescent="0.3">
      <c r="A196" s="443"/>
      <c r="B196" s="444" t="s">
        <v>1590</v>
      </c>
      <c r="C196" s="444" t="s">
        <v>1583</v>
      </c>
      <c r="D196" s="444" t="s">
        <v>1580</v>
      </c>
      <c r="E196" s="444" t="s">
        <v>1661</v>
      </c>
      <c r="F196" s="444" t="s">
        <v>1760</v>
      </c>
      <c r="G196" s="444" t="s">
        <v>1761</v>
      </c>
      <c r="H196" s="448"/>
      <c r="I196" s="448"/>
      <c r="J196" s="444"/>
      <c r="K196" s="444"/>
      <c r="L196" s="448"/>
      <c r="M196" s="448"/>
      <c r="N196" s="444"/>
      <c r="O196" s="444"/>
      <c r="P196" s="448">
        <v>2</v>
      </c>
      <c r="Q196" s="448">
        <v>933.34</v>
      </c>
      <c r="R196" s="471"/>
      <c r="S196" s="449">
        <v>466.67</v>
      </c>
    </row>
    <row r="197" spans="1:19" ht="14.4" customHeight="1" x14ac:dyDescent="0.3">
      <c r="A197" s="443"/>
      <c r="B197" s="444" t="s">
        <v>1590</v>
      </c>
      <c r="C197" s="444" t="s">
        <v>1583</v>
      </c>
      <c r="D197" s="444" t="s">
        <v>1580</v>
      </c>
      <c r="E197" s="444" t="s">
        <v>1661</v>
      </c>
      <c r="F197" s="444" t="s">
        <v>1722</v>
      </c>
      <c r="G197" s="444" t="s">
        <v>1723</v>
      </c>
      <c r="H197" s="448">
        <v>2</v>
      </c>
      <c r="I197" s="448">
        <v>655.56</v>
      </c>
      <c r="J197" s="444">
        <v>0.95163163395656714</v>
      </c>
      <c r="K197" s="444">
        <v>327.78</v>
      </c>
      <c r="L197" s="448">
        <v>2</v>
      </c>
      <c r="M197" s="448">
        <v>688.88</v>
      </c>
      <c r="N197" s="444">
        <v>1</v>
      </c>
      <c r="O197" s="444">
        <v>344.44</v>
      </c>
      <c r="P197" s="448">
        <v>4</v>
      </c>
      <c r="Q197" s="448">
        <v>1377.78</v>
      </c>
      <c r="R197" s="471">
        <v>2.0000290326326793</v>
      </c>
      <c r="S197" s="449">
        <v>344.44499999999999</v>
      </c>
    </row>
    <row r="198" spans="1:19" ht="14.4" customHeight="1" x14ac:dyDescent="0.3">
      <c r="A198" s="443"/>
      <c r="B198" s="444" t="s">
        <v>1590</v>
      </c>
      <c r="C198" s="444" t="s">
        <v>1583</v>
      </c>
      <c r="D198" s="444" t="s">
        <v>1580</v>
      </c>
      <c r="E198" s="444" t="s">
        <v>1661</v>
      </c>
      <c r="F198" s="444" t="s">
        <v>1762</v>
      </c>
      <c r="G198" s="444" t="s">
        <v>1763</v>
      </c>
      <c r="H198" s="448"/>
      <c r="I198" s="448"/>
      <c r="J198" s="444"/>
      <c r="K198" s="444"/>
      <c r="L198" s="448">
        <v>1</v>
      </c>
      <c r="M198" s="448">
        <v>466.67</v>
      </c>
      <c r="N198" s="444">
        <v>1</v>
      </c>
      <c r="O198" s="444">
        <v>466.67</v>
      </c>
      <c r="P198" s="448"/>
      <c r="Q198" s="448"/>
      <c r="R198" s="471"/>
      <c r="S198" s="449"/>
    </row>
    <row r="199" spans="1:19" ht="14.4" customHeight="1" x14ac:dyDescent="0.3">
      <c r="A199" s="443"/>
      <c r="B199" s="444" t="s">
        <v>1590</v>
      </c>
      <c r="C199" s="444" t="s">
        <v>1583</v>
      </c>
      <c r="D199" s="444" t="s">
        <v>1580</v>
      </c>
      <c r="E199" s="444" t="s">
        <v>1661</v>
      </c>
      <c r="F199" s="444" t="s">
        <v>1724</v>
      </c>
      <c r="G199" s="444" t="s">
        <v>1725</v>
      </c>
      <c r="H199" s="448"/>
      <c r="I199" s="448"/>
      <c r="J199" s="444"/>
      <c r="K199" s="444"/>
      <c r="L199" s="448">
        <v>1</v>
      </c>
      <c r="M199" s="448">
        <v>292.22000000000003</v>
      </c>
      <c r="N199" s="444">
        <v>1</v>
      </c>
      <c r="O199" s="444">
        <v>292.22000000000003</v>
      </c>
      <c r="P199" s="448">
        <v>5</v>
      </c>
      <c r="Q199" s="448">
        <v>1461.1000000000001</v>
      </c>
      <c r="R199" s="471">
        <v>5</v>
      </c>
      <c r="S199" s="449">
        <v>292.22000000000003</v>
      </c>
    </row>
    <row r="200" spans="1:19" ht="14.4" customHeight="1" x14ac:dyDescent="0.3">
      <c r="A200" s="443"/>
      <c r="B200" s="444" t="s">
        <v>1590</v>
      </c>
      <c r="C200" s="444" t="s">
        <v>1583</v>
      </c>
      <c r="D200" s="444" t="s">
        <v>1580</v>
      </c>
      <c r="E200" s="444" t="s">
        <v>1661</v>
      </c>
      <c r="F200" s="444" t="s">
        <v>1728</v>
      </c>
      <c r="G200" s="444" t="s">
        <v>1729</v>
      </c>
      <c r="H200" s="448">
        <v>6</v>
      </c>
      <c r="I200" s="448">
        <v>700</v>
      </c>
      <c r="J200" s="444">
        <v>0.54545171193915876</v>
      </c>
      <c r="K200" s="444">
        <v>116.66666666666667</v>
      </c>
      <c r="L200" s="448">
        <v>11</v>
      </c>
      <c r="M200" s="448">
        <v>1283.3399999999999</v>
      </c>
      <c r="N200" s="444">
        <v>1</v>
      </c>
      <c r="O200" s="444">
        <v>116.66727272727272</v>
      </c>
      <c r="P200" s="448">
        <v>7</v>
      </c>
      <c r="Q200" s="448">
        <v>816.67000000000007</v>
      </c>
      <c r="R200" s="471">
        <v>0.63636292798478977</v>
      </c>
      <c r="S200" s="449">
        <v>116.66714285714286</v>
      </c>
    </row>
    <row r="201" spans="1:19" ht="14.4" customHeight="1" x14ac:dyDescent="0.3">
      <c r="A201" s="443"/>
      <c r="B201" s="444" t="s">
        <v>1590</v>
      </c>
      <c r="C201" s="444" t="s">
        <v>1583</v>
      </c>
      <c r="D201" s="444" t="s">
        <v>1580</v>
      </c>
      <c r="E201" s="444" t="s">
        <v>1661</v>
      </c>
      <c r="F201" s="444" t="s">
        <v>1764</v>
      </c>
      <c r="G201" s="444" t="s">
        <v>1765</v>
      </c>
      <c r="H201" s="448">
        <v>0</v>
      </c>
      <c r="I201" s="448">
        <v>0</v>
      </c>
      <c r="J201" s="444"/>
      <c r="K201" s="444"/>
      <c r="L201" s="448"/>
      <c r="M201" s="448"/>
      <c r="N201" s="444"/>
      <c r="O201" s="444"/>
      <c r="P201" s="448"/>
      <c r="Q201" s="448"/>
      <c r="R201" s="471"/>
      <c r="S201" s="449"/>
    </row>
    <row r="202" spans="1:19" ht="14.4" customHeight="1" x14ac:dyDescent="0.3">
      <c r="A202" s="443"/>
      <c r="B202" s="444" t="s">
        <v>1590</v>
      </c>
      <c r="C202" s="444" t="s">
        <v>1583</v>
      </c>
      <c r="D202" s="444" t="s">
        <v>1580</v>
      </c>
      <c r="E202" s="444" t="s">
        <v>1661</v>
      </c>
      <c r="F202" s="444" t="s">
        <v>1730</v>
      </c>
      <c r="G202" s="444" t="s">
        <v>1731</v>
      </c>
      <c r="H202" s="448"/>
      <c r="I202" s="448"/>
      <c r="J202" s="444"/>
      <c r="K202" s="444"/>
      <c r="L202" s="448">
        <v>1</v>
      </c>
      <c r="M202" s="448">
        <v>358.89</v>
      </c>
      <c r="N202" s="444">
        <v>1</v>
      </c>
      <c r="O202" s="444">
        <v>358.89</v>
      </c>
      <c r="P202" s="448">
        <v>1</v>
      </c>
      <c r="Q202" s="448">
        <v>358.89</v>
      </c>
      <c r="R202" s="471">
        <v>1</v>
      </c>
      <c r="S202" s="449">
        <v>358.89</v>
      </c>
    </row>
    <row r="203" spans="1:19" ht="14.4" customHeight="1" x14ac:dyDescent="0.3">
      <c r="A203" s="443"/>
      <c r="B203" s="444" t="s">
        <v>1590</v>
      </c>
      <c r="C203" s="444" t="s">
        <v>1584</v>
      </c>
      <c r="D203" s="444" t="s">
        <v>1580</v>
      </c>
      <c r="E203" s="444" t="s">
        <v>1661</v>
      </c>
      <c r="F203" s="444" t="s">
        <v>1662</v>
      </c>
      <c r="G203" s="444" t="s">
        <v>1663</v>
      </c>
      <c r="H203" s="448">
        <v>1</v>
      </c>
      <c r="I203" s="448">
        <v>442.22</v>
      </c>
      <c r="J203" s="444"/>
      <c r="K203" s="444">
        <v>442.22</v>
      </c>
      <c r="L203" s="448"/>
      <c r="M203" s="448"/>
      <c r="N203" s="444"/>
      <c r="O203" s="444"/>
      <c r="P203" s="448"/>
      <c r="Q203" s="448"/>
      <c r="R203" s="471"/>
      <c r="S203" s="449"/>
    </row>
    <row r="204" spans="1:19" ht="14.4" customHeight="1" x14ac:dyDescent="0.3">
      <c r="A204" s="443"/>
      <c r="B204" s="444" t="s">
        <v>1590</v>
      </c>
      <c r="C204" s="444" t="s">
        <v>1584</v>
      </c>
      <c r="D204" s="444" t="s">
        <v>1580</v>
      </c>
      <c r="E204" s="444" t="s">
        <v>1661</v>
      </c>
      <c r="F204" s="444" t="s">
        <v>1667</v>
      </c>
      <c r="G204" s="444" t="s">
        <v>1668</v>
      </c>
      <c r="H204" s="448">
        <v>152</v>
      </c>
      <c r="I204" s="448">
        <v>11822.220000000001</v>
      </c>
      <c r="J204" s="444">
        <v>0.5409253027263099</v>
      </c>
      <c r="K204" s="444">
        <v>77.777763157894739</v>
      </c>
      <c r="L204" s="448">
        <v>281</v>
      </c>
      <c r="M204" s="448">
        <v>21855.55</v>
      </c>
      <c r="N204" s="444">
        <v>1</v>
      </c>
      <c r="O204" s="444">
        <v>77.777758007117441</v>
      </c>
      <c r="P204" s="448">
        <v>569</v>
      </c>
      <c r="Q204" s="448">
        <v>44255.54</v>
      </c>
      <c r="R204" s="471">
        <v>2.0249108350052962</v>
      </c>
      <c r="S204" s="449">
        <v>77.77775043936731</v>
      </c>
    </row>
    <row r="205" spans="1:19" ht="14.4" customHeight="1" x14ac:dyDescent="0.3">
      <c r="A205" s="443"/>
      <c r="B205" s="444" t="s">
        <v>1590</v>
      </c>
      <c r="C205" s="444" t="s">
        <v>1584</v>
      </c>
      <c r="D205" s="444" t="s">
        <v>1580</v>
      </c>
      <c r="E205" s="444" t="s">
        <v>1661</v>
      </c>
      <c r="F205" s="444" t="s">
        <v>1669</v>
      </c>
      <c r="G205" s="444" t="s">
        <v>1670</v>
      </c>
      <c r="H205" s="448">
        <v>5</v>
      </c>
      <c r="I205" s="448">
        <v>1250</v>
      </c>
      <c r="J205" s="444">
        <v>0.83333333333333337</v>
      </c>
      <c r="K205" s="444">
        <v>250</v>
      </c>
      <c r="L205" s="448">
        <v>6</v>
      </c>
      <c r="M205" s="448">
        <v>1500</v>
      </c>
      <c r="N205" s="444">
        <v>1</v>
      </c>
      <c r="O205" s="444">
        <v>250</v>
      </c>
      <c r="P205" s="448">
        <v>15</v>
      </c>
      <c r="Q205" s="448">
        <v>3750</v>
      </c>
      <c r="R205" s="471">
        <v>2.5</v>
      </c>
      <c r="S205" s="449">
        <v>250</v>
      </c>
    </row>
    <row r="206" spans="1:19" ht="14.4" customHeight="1" x14ac:dyDescent="0.3">
      <c r="A206" s="443"/>
      <c r="B206" s="444" t="s">
        <v>1590</v>
      </c>
      <c r="C206" s="444" t="s">
        <v>1584</v>
      </c>
      <c r="D206" s="444" t="s">
        <v>1580</v>
      </c>
      <c r="E206" s="444" t="s">
        <v>1661</v>
      </c>
      <c r="F206" s="444" t="s">
        <v>1671</v>
      </c>
      <c r="G206" s="444" t="s">
        <v>1672</v>
      </c>
      <c r="H206" s="448"/>
      <c r="I206" s="448"/>
      <c r="J206" s="444"/>
      <c r="K206" s="444"/>
      <c r="L206" s="448">
        <v>3</v>
      </c>
      <c r="M206" s="448">
        <v>900</v>
      </c>
      <c r="N206" s="444">
        <v>1</v>
      </c>
      <c r="O206" s="444">
        <v>300</v>
      </c>
      <c r="P206" s="448"/>
      <c r="Q206" s="448"/>
      <c r="R206" s="471"/>
      <c r="S206" s="449"/>
    </row>
    <row r="207" spans="1:19" ht="14.4" customHeight="1" x14ac:dyDescent="0.3">
      <c r="A207" s="443"/>
      <c r="B207" s="444" t="s">
        <v>1590</v>
      </c>
      <c r="C207" s="444" t="s">
        <v>1584</v>
      </c>
      <c r="D207" s="444" t="s">
        <v>1580</v>
      </c>
      <c r="E207" s="444" t="s">
        <v>1661</v>
      </c>
      <c r="F207" s="444" t="s">
        <v>1673</v>
      </c>
      <c r="G207" s="444" t="s">
        <v>1674</v>
      </c>
      <c r="H207" s="448">
        <v>210</v>
      </c>
      <c r="I207" s="448">
        <v>23333.329999999998</v>
      </c>
      <c r="J207" s="444">
        <v>0.77821009207449598</v>
      </c>
      <c r="K207" s="444">
        <v>111.11109523809523</v>
      </c>
      <c r="L207" s="448">
        <v>257</v>
      </c>
      <c r="M207" s="448">
        <v>29983.33</v>
      </c>
      <c r="N207" s="444">
        <v>1</v>
      </c>
      <c r="O207" s="444">
        <v>116.66665369649806</v>
      </c>
      <c r="P207" s="448">
        <v>413</v>
      </c>
      <c r="Q207" s="448">
        <v>48183.33</v>
      </c>
      <c r="R207" s="471">
        <v>1.6070039585329581</v>
      </c>
      <c r="S207" s="449">
        <v>116.66665859564165</v>
      </c>
    </row>
    <row r="208" spans="1:19" ht="14.4" customHeight="1" x14ac:dyDescent="0.3">
      <c r="A208" s="443"/>
      <c r="B208" s="444" t="s">
        <v>1590</v>
      </c>
      <c r="C208" s="444" t="s">
        <v>1584</v>
      </c>
      <c r="D208" s="444" t="s">
        <v>1580</v>
      </c>
      <c r="E208" s="444" t="s">
        <v>1661</v>
      </c>
      <c r="F208" s="444" t="s">
        <v>1675</v>
      </c>
      <c r="G208" s="444" t="s">
        <v>1676</v>
      </c>
      <c r="H208" s="448">
        <v>18</v>
      </c>
      <c r="I208" s="448">
        <v>4840</v>
      </c>
      <c r="J208" s="444">
        <v>0.67222222222222228</v>
      </c>
      <c r="K208" s="444">
        <v>268.88888888888891</v>
      </c>
      <c r="L208" s="448">
        <v>24</v>
      </c>
      <c r="M208" s="448">
        <v>7200</v>
      </c>
      <c r="N208" s="444">
        <v>1</v>
      </c>
      <c r="O208" s="444">
        <v>300</v>
      </c>
      <c r="P208" s="448">
        <v>49</v>
      </c>
      <c r="Q208" s="448">
        <v>14700</v>
      </c>
      <c r="R208" s="471">
        <v>2.0416666666666665</v>
      </c>
      <c r="S208" s="449">
        <v>300</v>
      </c>
    </row>
    <row r="209" spans="1:19" ht="14.4" customHeight="1" x14ac:dyDescent="0.3">
      <c r="A209" s="443"/>
      <c r="B209" s="444" t="s">
        <v>1590</v>
      </c>
      <c r="C209" s="444" t="s">
        <v>1584</v>
      </c>
      <c r="D209" s="444" t="s">
        <v>1580</v>
      </c>
      <c r="E209" s="444" t="s">
        <v>1661</v>
      </c>
      <c r="F209" s="444" t="s">
        <v>1677</v>
      </c>
      <c r="G209" s="444" t="s">
        <v>1678</v>
      </c>
      <c r="H209" s="448">
        <v>10</v>
      </c>
      <c r="I209" s="448">
        <v>2944.44</v>
      </c>
      <c r="J209" s="444">
        <v>1.2500063679665809</v>
      </c>
      <c r="K209" s="444">
        <v>294.44400000000002</v>
      </c>
      <c r="L209" s="448">
        <v>8</v>
      </c>
      <c r="M209" s="448">
        <v>2355.54</v>
      </c>
      <c r="N209" s="444">
        <v>1</v>
      </c>
      <c r="O209" s="444">
        <v>294.4425</v>
      </c>
      <c r="P209" s="448">
        <v>3</v>
      </c>
      <c r="Q209" s="448">
        <v>883.33</v>
      </c>
      <c r="R209" s="471">
        <v>0.37500106132776351</v>
      </c>
      <c r="S209" s="449">
        <v>294.44333333333333</v>
      </c>
    </row>
    <row r="210" spans="1:19" ht="14.4" customHeight="1" x14ac:dyDescent="0.3">
      <c r="A210" s="443"/>
      <c r="B210" s="444" t="s">
        <v>1590</v>
      </c>
      <c r="C210" s="444" t="s">
        <v>1584</v>
      </c>
      <c r="D210" s="444" t="s">
        <v>1580</v>
      </c>
      <c r="E210" s="444" t="s">
        <v>1661</v>
      </c>
      <c r="F210" s="444" t="s">
        <v>1766</v>
      </c>
      <c r="G210" s="444" t="s">
        <v>1767</v>
      </c>
      <c r="H210" s="448">
        <v>2790</v>
      </c>
      <c r="I210" s="448">
        <v>2170000</v>
      </c>
      <c r="J210" s="444">
        <v>1.7318435754189945</v>
      </c>
      <c r="K210" s="444">
        <v>777.77777777777783</v>
      </c>
      <c r="L210" s="448">
        <v>1611</v>
      </c>
      <c r="M210" s="448">
        <v>1253000</v>
      </c>
      <c r="N210" s="444">
        <v>1</v>
      </c>
      <c r="O210" s="444">
        <v>777.77777777777783</v>
      </c>
      <c r="P210" s="448">
        <v>1203</v>
      </c>
      <c r="Q210" s="448">
        <v>935666.66999999993</v>
      </c>
      <c r="R210" s="471">
        <v>0.74674115722266554</v>
      </c>
      <c r="S210" s="449">
        <v>777.77778054862836</v>
      </c>
    </row>
    <row r="211" spans="1:19" ht="14.4" customHeight="1" x14ac:dyDescent="0.3">
      <c r="A211" s="443"/>
      <c r="B211" s="444" t="s">
        <v>1590</v>
      </c>
      <c r="C211" s="444" t="s">
        <v>1584</v>
      </c>
      <c r="D211" s="444" t="s">
        <v>1580</v>
      </c>
      <c r="E211" s="444" t="s">
        <v>1661</v>
      </c>
      <c r="F211" s="444" t="s">
        <v>1749</v>
      </c>
      <c r="G211" s="444" t="s">
        <v>1750</v>
      </c>
      <c r="H211" s="448">
        <v>2205</v>
      </c>
      <c r="I211" s="448">
        <v>205800</v>
      </c>
      <c r="J211" s="444">
        <v>0.70627804306484032</v>
      </c>
      <c r="K211" s="444">
        <v>93.333333333333329</v>
      </c>
      <c r="L211" s="448">
        <v>3122</v>
      </c>
      <c r="M211" s="448">
        <v>291386.66000000003</v>
      </c>
      <c r="N211" s="444">
        <v>1</v>
      </c>
      <c r="O211" s="444">
        <v>93.333331197950045</v>
      </c>
      <c r="P211" s="448">
        <v>3880</v>
      </c>
      <c r="Q211" s="448">
        <v>362133.32</v>
      </c>
      <c r="R211" s="471">
        <v>1.2427930640338853</v>
      </c>
      <c r="S211" s="449">
        <v>93.333329896907216</v>
      </c>
    </row>
    <row r="212" spans="1:19" ht="14.4" customHeight="1" x14ac:dyDescent="0.3">
      <c r="A212" s="443"/>
      <c r="B212" s="444" t="s">
        <v>1590</v>
      </c>
      <c r="C212" s="444" t="s">
        <v>1584</v>
      </c>
      <c r="D212" s="444" t="s">
        <v>1580</v>
      </c>
      <c r="E212" s="444" t="s">
        <v>1661</v>
      </c>
      <c r="F212" s="444" t="s">
        <v>1768</v>
      </c>
      <c r="G212" s="444" t="s">
        <v>1769</v>
      </c>
      <c r="H212" s="448">
        <v>48</v>
      </c>
      <c r="I212" s="448">
        <v>32000.010000000002</v>
      </c>
      <c r="J212" s="444">
        <v>0.87272722809918979</v>
      </c>
      <c r="K212" s="444">
        <v>666.666875</v>
      </c>
      <c r="L212" s="448">
        <v>55</v>
      </c>
      <c r="M212" s="448">
        <v>36666.68</v>
      </c>
      <c r="N212" s="444">
        <v>1</v>
      </c>
      <c r="O212" s="444">
        <v>666.66690909090914</v>
      </c>
      <c r="P212" s="448">
        <v>75</v>
      </c>
      <c r="Q212" s="448">
        <v>50000</v>
      </c>
      <c r="R212" s="471">
        <v>1.3636358677687754</v>
      </c>
      <c r="S212" s="449">
        <v>666.66666666666663</v>
      </c>
    </row>
    <row r="213" spans="1:19" ht="14.4" customHeight="1" x14ac:dyDescent="0.3">
      <c r="A213" s="443"/>
      <c r="B213" s="444" t="s">
        <v>1590</v>
      </c>
      <c r="C213" s="444" t="s">
        <v>1584</v>
      </c>
      <c r="D213" s="444" t="s">
        <v>1580</v>
      </c>
      <c r="E213" s="444" t="s">
        <v>1661</v>
      </c>
      <c r="F213" s="444" t="s">
        <v>1770</v>
      </c>
      <c r="G213" s="444" t="s">
        <v>1771</v>
      </c>
      <c r="H213" s="448">
        <v>230</v>
      </c>
      <c r="I213" s="448">
        <v>178888.89</v>
      </c>
      <c r="J213" s="444">
        <v>1.0132158398183553</v>
      </c>
      <c r="K213" s="444">
        <v>777.7777826086957</v>
      </c>
      <c r="L213" s="448">
        <v>227</v>
      </c>
      <c r="M213" s="448">
        <v>176555.56</v>
      </c>
      <c r="N213" s="444">
        <v>1</v>
      </c>
      <c r="O213" s="444">
        <v>777.77779735682816</v>
      </c>
      <c r="P213" s="448">
        <v>212</v>
      </c>
      <c r="Q213" s="448">
        <v>164888.88999999998</v>
      </c>
      <c r="R213" s="471">
        <v>0.93392068762943514</v>
      </c>
      <c r="S213" s="449">
        <v>777.77778301886781</v>
      </c>
    </row>
    <row r="214" spans="1:19" ht="14.4" customHeight="1" x14ac:dyDescent="0.3">
      <c r="A214" s="443"/>
      <c r="B214" s="444" t="s">
        <v>1590</v>
      </c>
      <c r="C214" s="444" t="s">
        <v>1584</v>
      </c>
      <c r="D214" s="444" t="s">
        <v>1580</v>
      </c>
      <c r="E214" s="444" t="s">
        <v>1661</v>
      </c>
      <c r="F214" s="444" t="s">
        <v>1772</v>
      </c>
      <c r="G214" s="444" t="s">
        <v>1773</v>
      </c>
      <c r="H214" s="448">
        <v>133</v>
      </c>
      <c r="I214" s="448">
        <v>44333.34</v>
      </c>
      <c r="J214" s="444">
        <v>1.1271191956336255</v>
      </c>
      <c r="K214" s="444">
        <v>333.33338345864661</v>
      </c>
      <c r="L214" s="448">
        <v>118</v>
      </c>
      <c r="M214" s="448">
        <v>39333.32</v>
      </c>
      <c r="N214" s="444">
        <v>1</v>
      </c>
      <c r="O214" s="444">
        <v>333.33322033898304</v>
      </c>
      <c r="P214" s="448">
        <v>128</v>
      </c>
      <c r="Q214" s="448">
        <v>42666.68</v>
      </c>
      <c r="R214" s="471">
        <v>1.0847464694055828</v>
      </c>
      <c r="S214" s="449">
        <v>333.3334375</v>
      </c>
    </row>
    <row r="215" spans="1:19" ht="14.4" customHeight="1" x14ac:dyDescent="0.3">
      <c r="A215" s="443"/>
      <c r="B215" s="444" t="s">
        <v>1590</v>
      </c>
      <c r="C215" s="444" t="s">
        <v>1584</v>
      </c>
      <c r="D215" s="444" t="s">
        <v>1580</v>
      </c>
      <c r="E215" s="444" t="s">
        <v>1661</v>
      </c>
      <c r="F215" s="444" t="s">
        <v>1681</v>
      </c>
      <c r="G215" s="444" t="s">
        <v>1666</v>
      </c>
      <c r="H215" s="448">
        <v>2</v>
      </c>
      <c r="I215" s="448">
        <v>746.67</v>
      </c>
      <c r="J215" s="444">
        <v>0.50000669648836149</v>
      </c>
      <c r="K215" s="444">
        <v>373.33499999999998</v>
      </c>
      <c r="L215" s="448">
        <v>4</v>
      </c>
      <c r="M215" s="448">
        <v>1493.32</v>
      </c>
      <c r="N215" s="444">
        <v>1</v>
      </c>
      <c r="O215" s="444">
        <v>373.33</v>
      </c>
      <c r="P215" s="448">
        <v>12</v>
      </c>
      <c r="Q215" s="448">
        <v>5013.33</v>
      </c>
      <c r="R215" s="471">
        <v>3.3571705997374979</v>
      </c>
      <c r="S215" s="449">
        <v>417.77749999999997</v>
      </c>
    </row>
    <row r="216" spans="1:19" ht="14.4" customHeight="1" x14ac:dyDescent="0.3">
      <c r="A216" s="443"/>
      <c r="B216" s="444" t="s">
        <v>1590</v>
      </c>
      <c r="C216" s="444" t="s">
        <v>1584</v>
      </c>
      <c r="D216" s="444" t="s">
        <v>1580</v>
      </c>
      <c r="E216" s="444" t="s">
        <v>1661</v>
      </c>
      <c r="F216" s="444" t="s">
        <v>1682</v>
      </c>
      <c r="G216" s="444" t="s">
        <v>1683</v>
      </c>
      <c r="H216" s="448">
        <v>50</v>
      </c>
      <c r="I216" s="448">
        <v>9333.33</v>
      </c>
      <c r="J216" s="444">
        <v>0.37466536015456559</v>
      </c>
      <c r="K216" s="444">
        <v>186.66659999999999</v>
      </c>
      <c r="L216" s="448">
        <v>118</v>
      </c>
      <c r="M216" s="448">
        <v>24911.11</v>
      </c>
      <c r="N216" s="444">
        <v>1</v>
      </c>
      <c r="O216" s="444">
        <v>211.11110169491525</v>
      </c>
      <c r="P216" s="448">
        <v>94</v>
      </c>
      <c r="Q216" s="448">
        <v>19844.45</v>
      </c>
      <c r="R216" s="471">
        <v>0.79661042803793169</v>
      </c>
      <c r="S216" s="449">
        <v>211.11117021276596</v>
      </c>
    </row>
    <row r="217" spans="1:19" ht="14.4" customHeight="1" x14ac:dyDescent="0.3">
      <c r="A217" s="443"/>
      <c r="B217" s="444" t="s">
        <v>1590</v>
      </c>
      <c r="C217" s="444" t="s">
        <v>1584</v>
      </c>
      <c r="D217" s="444" t="s">
        <v>1580</v>
      </c>
      <c r="E217" s="444" t="s">
        <v>1661</v>
      </c>
      <c r="F217" s="444" t="s">
        <v>1684</v>
      </c>
      <c r="G217" s="444" t="s">
        <v>1685</v>
      </c>
      <c r="H217" s="448">
        <v>75</v>
      </c>
      <c r="I217" s="448">
        <v>43750</v>
      </c>
      <c r="J217" s="444">
        <v>1.1538460524091383</v>
      </c>
      <c r="K217" s="444">
        <v>583.33333333333337</v>
      </c>
      <c r="L217" s="448">
        <v>65</v>
      </c>
      <c r="M217" s="448">
        <v>37916.67</v>
      </c>
      <c r="N217" s="444">
        <v>1</v>
      </c>
      <c r="O217" s="444">
        <v>583.3333846153846</v>
      </c>
      <c r="P217" s="448">
        <v>63</v>
      </c>
      <c r="Q217" s="448">
        <v>36750</v>
      </c>
      <c r="R217" s="471">
        <v>0.96923068402367618</v>
      </c>
      <c r="S217" s="449">
        <v>583.33333333333337</v>
      </c>
    </row>
    <row r="218" spans="1:19" ht="14.4" customHeight="1" x14ac:dyDescent="0.3">
      <c r="A218" s="443"/>
      <c r="B218" s="444" t="s">
        <v>1590</v>
      </c>
      <c r="C218" s="444" t="s">
        <v>1584</v>
      </c>
      <c r="D218" s="444" t="s">
        <v>1580</v>
      </c>
      <c r="E218" s="444" t="s">
        <v>1661</v>
      </c>
      <c r="F218" s="444" t="s">
        <v>1686</v>
      </c>
      <c r="G218" s="444" t="s">
        <v>1687</v>
      </c>
      <c r="H218" s="448">
        <v>93</v>
      </c>
      <c r="I218" s="448">
        <v>43400</v>
      </c>
      <c r="J218" s="444">
        <v>1.3880604413968236</v>
      </c>
      <c r="K218" s="444">
        <v>466.66666666666669</v>
      </c>
      <c r="L218" s="448">
        <v>67</v>
      </c>
      <c r="M218" s="448">
        <v>31266.65</v>
      </c>
      <c r="N218" s="444">
        <v>1</v>
      </c>
      <c r="O218" s="444">
        <v>466.66641791044776</v>
      </c>
      <c r="P218" s="448">
        <v>62</v>
      </c>
      <c r="Q218" s="448">
        <v>28933.33</v>
      </c>
      <c r="R218" s="471">
        <v>0.92537352098801762</v>
      </c>
      <c r="S218" s="449">
        <v>466.66661290322583</v>
      </c>
    </row>
    <row r="219" spans="1:19" ht="14.4" customHeight="1" x14ac:dyDescent="0.3">
      <c r="A219" s="443"/>
      <c r="B219" s="444" t="s">
        <v>1590</v>
      </c>
      <c r="C219" s="444" t="s">
        <v>1584</v>
      </c>
      <c r="D219" s="444" t="s">
        <v>1580</v>
      </c>
      <c r="E219" s="444" t="s">
        <v>1661</v>
      </c>
      <c r="F219" s="444" t="s">
        <v>1751</v>
      </c>
      <c r="G219" s="444" t="s">
        <v>1687</v>
      </c>
      <c r="H219" s="448">
        <v>48</v>
      </c>
      <c r="I219" s="448">
        <v>48000</v>
      </c>
      <c r="J219" s="444">
        <v>0.94117647058823528</v>
      </c>
      <c r="K219" s="444">
        <v>1000</v>
      </c>
      <c r="L219" s="448">
        <v>51</v>
      </c>
      <c r="M219" s="448">
        <v>51000</v>
      </c>
      <c r="N219" s="444">
        <v>1</v>
      </c>
      <c r="O219" s="444">
        <v>1000</v>
      </c>
      <c r="P219" s="448">
        <v>38</v>
      </c>
      <c r="Q219" s="448">
        <v>38000</v>
      </c>
      <c r="R219" s="471">
        <v>0.74509803921568629</v>
      </c>
      <c r="S219" s="449">
        <v>1000</v>
      </c>
    </row>
    <row r="220" spans="1:19" ht="14.4" customHeight="1" x14ac:dyDescent="0.3">
      <c r="A220" s="443"/>
      <c r="B220" s="444" t="s">
        <v>1590</v>
      </c>
      <c r="C220" s="444" t="s">
        <v>1584</v>
      </c>
      <c r="D220" s="444" t="s">
        <v>1580</v>
      </c>
      <c r="E220" s="444" t="s">
        <v>1661</v>
      </c>
      <c r="F220" s="444" t="s">
        <v>1688</v>
      </c>
      <c r="G220" s="444" t="s">
        <v>1689</v>
      </c>
      <c r="H220" s="448">
        <v>460</v>
      </c>
      <c r="I220" s="448">
        <v>23000</v>
      </c>
      <c r="J220" s="444">
        <v>0.98501070663811563</v>
      </c>
      <c r="K220" s="444">
        <v>50</v>
      </c>
      <c r="L220" s="448">
        <v>467</v>
      </c>
      <c r="M220" s="448">
        <v>23350</v>
      </c>
      <c r="N220" s="444">
        <v>1</v>
      </c>
      <c r="O220" s="444">
        <v>50</v>
      </c>
      <c r="P220" s="448">
        <v>453</v>
      </c>
      <c r="Q220" s="448">
        <v>22650</v>
      </c>
      <c r="R220" s="471">
        <v>0.97002141327623126</v>
      </c>
      <c r="S220" s="449">
        <v>50</v>
      </c>
    </row>
    <row r="221" spans="1:19" ht="14.4" customHeight="1" x14ac:dyDescent="0.3">
      <c r="A221" s="443"/>
      <c r="B221" s="444" t="s">
        <v>1590</v>
      </c>
      <c r="C221" s="444" t="s">
        <v>1584</v>
      </c>
      <c r="D221" s="444" t="s">
        <v>1580</v>
      </c>
      <c r="E221" s="444" t="s">
        <v>1661</v>
      </c>
      <c r="F221" s="444" t="s">
        <v>1690</v>
      </c>
      <c r="G221" s="444" t="s">
        <v>1691</v>
      </c>
      <c r="H221" s="448"/>
      <c r="I221" s="448"/>
      <c r="J221" s="444"/>
      <c r="K221" s="444"/>
      <c r="L221" s="448"/>
      <c r="M221" s="448"/>
      <c r="N221" s="444"/>
      <c r="O221" s="444"/>
      <c r="P221" s="448">
        <v>1</v>
      </c>
      <c r="Q221" s="448">
        <v>101.11</v>
      </c>
      <c r="R221" s="471"/>
      <c r="S221" s="449">
        <v>101.11</v>
      </c>
    </row>
    <row r="222" spans="1:19" ht="14.4" customHeight="1" x14ac:dyDescent="0.3">
      <c r="A222" s="443"/>
      <c r="B222" s="444" t="s">
        <v>1590</v>
      </c>
      <c r="C222" s="444" t="s">
        <v>1584</v>
      </c>
      <c r="D222" s="444" t="s">
        <v>1580</v>
      </c>
      <c r="E222" s="444" t="s">
        <v>1661</v>
      </c>
      <c r="F222" s="444" t="s">
        <v>1692</v>
      </c>
      <c r="G222" s="444" t="s">
        <v>1693</v>
      </c>
      <c r="H222" s="448"/>
      <c r="I222" s="448"/>
      <c r="J222" s="444"/>
      <c r="K222" s="444"/>
      <c r="L222" s="448"/>
      <c r="M222" s="448"/>
      <c r="N222" s="444"/>
      <c r="O222" s="444"/>
      <c r="P222" s="448">
        <v>1</v>
      </c>
      <c r="Q222" s="448">
        <v>76.67</v>
      </c>
      <c r="R222" s="471"/>
      <c r="S222" s="449">
        <v>76.67</v>
      </c>
    </row>
    <row r="223" spans="1:19" ht="14.4" customHeight="1" x14ac:dyDescent="0.3">
      <c r="A223" s="443"/>
      <c r="B223" s="444" t="s">
        <v>1590</v>
      </c>
      <c r="C223" s="444" t="s">
        <v>1584</v>
      </c>
      <c r="D223" s="444" t="s">
        <v>1580</v>
      </c>
      <c r="E223" s="444" t="s">
        <v>1661</v>
      </c>
      <c r="F223" s="444" t="s">
        <v>1752</v>
      </c>
      <c r="G223" s="444" t="s">
        <v>1753</v>
      </c>
      <c r="H223" s="448">
        <v>2</v>
      </c>
      <c r="I223" s="448">
        <v>0</v>
      </c>
      <c r="J223" s="444"/>
      <c r="K223" s="444">
        <v>0</v>
      </c>
      <c r="L223" s="448">
        <v>1</v>
      </c>
      <c r="M223" s="448">
        <v>0</v>
      </c>
      <c r="N223" s="444"/>
      <c r="O223" s="444">
        <v>0</v>
      </c>
      <c r="P223" s="448">
        <v>1</v>
      </c>
      <c r="Q223" s="448">
        <v>0</v>
      </c>
      <c r="R223" s="471"/>
      <c r="S223" s="449">
        <v>0</v>
      </c>
    </row>
    <row r="224" spans="1:19" ht="14.4" customHeight="1" x14ac:dyDescent="0.3">
      <c r="A224" s="443"/>
      <c r="B224" s="444" t="s">
        <v>1590</v>
      </c>
      <c r="C224" s="444" t="s">
        <v>1584</v>
      </c>
      <c r="D224" s="444" t="s">
        <v>1580</v>
      </c>
      <c r="E224" s="444" t="s">
        <v>1661</v>
      </c>
      <c r="F224" s="444" t="s">
        <v>1696</v>
      </c>
      <c r="G224" s="444" t="s">
        <v>1697</v>
      </c>
      <c r="H224" s="448">
        <v>527</v>
      </c>
      <c r="I224" s="448">
        <v>161027.78</v>
      </c>
      <c r="J224" s="444">
        <v>1.1002087918026859</v>
      </c>
      <c r="K224" s="444">
        <v>305.55555977229602</v>
      </c>
      <c r="L224" s="448">
        <v>479</v>
      </c>
      <c r="M224" s="448">
        <v>146361.10999999999</v>
      </c>
      <c r="N224" s="444">
        <v>1</v>
      </c>
      <c r="O224" s="444">
        <v>305.55555323590812</v>
      </c>
      <c r="P224" s="448">
        <v>636</v>
      </c>
      <c r="Q224" s="448">
        <v>194333.33000000002</v>
      </c>
      <c r="R224" s="471">
        <v>1.3277661668458243</v>
      </c>
      <c r="S224" s="449">
        <v>305.55555031446545</v>
      </c>
    </row>
    <row r="225" spans="1:19" ht="14.4" customHeight="1" x14ac:dyDescent="0.3">
      <c r="A225" s="443"/>
      <c r="B225" s="444" t="s">
        <v>1590</v>
      </c>
      <c r="C225" s="444" t="s">
        <v>1584</v>
      </c>
      <c r="D225" s="444" t="s">
        <v>1580</v>
      </c>
      <c r="E225" s="444" t="s">
        <v>1661</v>
      </c>
      <c r="F225" s="444" t="s">
        <v>1698</v>
      </c>
      <c r="G225" s="444" t="s">
        <v>1699</v>
      </c>
      <c r="H225" s="448">
        <v>3369</v>
      </c>
      <c r="I225" s="448">
        <v>61366.67</v>
      </c>
      <c r="J225" s="444">
        <v>0.48665083267248216</v>
      </c>
      <c r="K225" s="444">
        <v>18.215099436034432</v>
      </c>
      <c r="L225" s="448">
        <v>3783</v>
      </c>
      <c r="M225" s="448">
        <v>126100</v>
      </c>
      <c r="N225" s="444">
        <v>1</v>
      </c>
      <c r="O225" s="444">
        <v>33.333333333333336</v>
      </c>
      <c r="P225" s="448">
        <v>3717</v>
      </c>
      <c r="Q225" s="448">
        <v>123900</v>
      </c>
      <c r="R225" s="471">
        <v>0.98255352894528147</v>
      </c>
      <c r="S225" s="449">
        <v>33.333333333333336</v>
      </c>
    </row>
    <row r="226" spans="1:19" ht="14.4" customHeight="1" x14ac:dyDescent="0.3">
      <c r="A226" s="443"/>
      <c r="B226" s="444" t="s">
        <v>1590</v>
      </c>
      <c r="C226" s="444" t="s">
        <v>1584</v>
      </c>
      <c r="D226" s="444" t="s">
        <v>1580</v>
      </c>
      <c r="E226" s="444" t="s">
        <v>1661</v>
      </c>
      <c r="F226" s="444" t="s">
        <v>1700</v>
      </c>
      <c r="G226" s="444" t="s">
        <v>1701</v>
      </c>
      <c r="H226" s="448">
        <v>281</v>
      </c>
      <c r="I226" s="448">
        <v>128011.09000000001</v>
      </c>
      <c r="J226" s="444">
        <v>1.0071683719251276</v>
      </c>
      <c r="K226" s="444">
        <v>455.55548042704629</v>
      </c>
      <c r="L226" s="448">
        <v>279</v>
      </c>
      <c r="M226" s="448">
        <v>127099.99</v>
      </c>
      <c r="N226" s="444">
        <v>1</v>
      </c>
      <c r="O226" s="444">
        <v>455.55551971326167</v>
      </c>
      <c r="P226" s="448">
        <v>336</v>
      </c>
      <c r="Q226" s="448">
        <v>153066.66999999998</v>
      </c>
      <c r="R226" s="471">
        <v>1.2043011962471435</v>
      </c>
      <c r="S226" s="449">
        <v>455.55556547619045</v>
      </c>
    </row>
    <row r="227" spans="1:19" ht="14.4" customHeight="1" x14ac:dyDescent="0.3">
      <c r="A227" s="443"/>
      <c r="B227" s="444" t="s">
        <v>1590</v>
      </c>
      <c r="C227" s="444" t="s">
        <v>1584</v>
      </c>
      <c r="D227" s="444" t="s">
        <v>1580</v>
      </c>
      <c r="E227" s="444" t="s">
        <v>1661</v>
      </c>
      <c r="F227" s="444" t="s">
        <v>1738</v>
      </c>
      <c r="G227" s="444" t="s">
        <v>1739</v>
      </c>
      <c r="H227" s="448">
        <v>152</v>
      </c>
      <c r="I227" s="448">
        <v>8951.1200000000008</v>
      </c>
      <c r="J227" s="444">
        <v>0.80000071499496384</v>
      </c>
      <c r="K227" s="444">
        <v>58.888947368421057</v>
      </c>
      <c r="L227" s="448">
        <v>190</v>
      </c>
      <c r="M227" s="448">
        <v>11188.89</v>
      </c>
      <c r="N227" s="444">
        <v>1</v>
      </c>
      <c r="O227" s="444">
        <v>58.888894736842104</v>
      </c>
      <c r="P227" s="448">
        <v>203</v>
      </c>
      <c r="Q227" s="448">
        <v>11954.44</v>
      </c>
      <c r="R227" s="471">
        <v>1.0684205493127559</v>
      </c>
      <c r="S227" s="449">
        <v>58.888866995073897</v>
      </c>
    </row>
    <row r="228" spans="1:19" ht="14.4" customHeight="1" x14ac:dyDescent="0.3">
      <c r="A228" s="443"/>
      <c r="B228" s="444" t="s">
        <v>1590</v>
      </c>
      <c r="C228" s="444" t="s">
        <v>1584</v>
      </c>
      <c r="D228" s="444" t="s">
        <v>1580</v>
      </c>
      <c r="E228" s="444" t="s">
        <v>1661</v>
      </c>
      <c r="F228" s="444" t="s">
        <v>1702</v>
      </c>
      <c r="G228" s="444" t="s">
        <v>1703</v>
      </c>
      <c r="H228" s="448">
        <v>543</v>
      </c>
      <c r="I228" s="448">
        <v>42233.34</v>
      </c>
      <c r="J228" s="444">
        <v>1.0055557142857141</v>
      </c>
      <c r="K228" s="444">
        <v>77.777790055248616</v>
      </c>
      <c r="L228" s="448">
        <v>540</v>
      </c>
      <c r="M228" s="448">
        <v>42000</v>
      </c>
      <c r="N228" s="444">
        <v>1</v>
      </c>
      <c r="O228" s="444">
        <v>77.777777777777771</v>
      </c>
      <c r="P228" s="448">
        <v>633</v>
      </c>
      <c r="Q228" s="448">
        <v>49233.34</v>
      </c>
      <c r="R228" s="471">
        <v>1.1722223809523808</v>
      </c>
      <c r="S228" s="449">
        <v>77.777788309636648</v>
      </c>
    </row>
    <row r="229" spans="1:19" ht="14.4" customHeight="1" x14ac:dyDescent="0.3">
      <c r="A229" s="443"/>
      <c r="B229" s="444" t="s">
        <v>1590</v>
      </c>
      <c r="C229" s="444" t="s">
        <v>1584</v>
      </c>
      <c r="D229" s="444" t="s">
        <v>1580</v>
      </c>
      <c r="E229" s="444" t="s">
        <v>1661</v>
      </c>
      <c r="F229" s="444" t="s">
        <v>1754</v>
      </c>
      <c r="G229" s="444" t="s">
        <v>1755</v>
      </c>
      <c r="H229" s="448"/>
      <c r="I229" s="448"/>
      <c r="J229" s="444"/>
      <c r="K229" s="444"/>
      <c r="L229" s="448">
        <v>0</v>
      </c>
      <c r="M229" s="448">
        <v>0</v>
      </c>
      <c r="N229" s="444"/>
      <c r="O229" s="444"/>
      <c r="P229" s="448">
        <v>1</v>
      </c>
      <c r="Q229" s="448">
        <v>700</v>
      </c>
      <c r="R229" s="471"/>
      <c r="S229" s="449">
        <v>700</v>
      </c>
    </row>
    <row r="230" spans="1:19" ht="14.4" customHeight="1" x14ac:dyDescent="0.3">
      <c r="A230" s="443"/>
      <c r="B230" s="444" t="s">
        <v>1590</v>
      </c>
      <c r="C230" s="444" t="s">
        <v>1584</v>
      </c>
      <c r="D230" s="444" t="s">
        <v>1580</v>
      </c>
      <c r="E230" s="444" t="s">
        <v>1661</v>
      </c>
      <c r="F230" s="444" t="s">
        <v>1774</v>
      </c>
      <c r="G230" s="444" t="s">
        <v>1775</v>
      </c>
      <c r="H230" s="448">
        <v>198</v>
      </c>
      <c r="I230" s="448">
        <v>219999.99000000002</v>
      </c>
      <c r="J230" s="444">
        <v>0.89592761784156849</v>
      </c>
      <c r="K230" s="444">
        <v>1111.1110606060606</v>
      </c>
      <c r="L230" s="448">
        <v>221</v>
      </c>
      <c r="M230" s="448">
        <v>245555.54000000004</v>
      </c>
      <c r="N230" s="444">
        <v>1</v>
      </c>
      <c r="O230" s="444">
        <v>1111.1110407239821</v>
      </c>
      <c r="P230" s="448">
        <v>207</v>
      </c>
      <c r="Q230" s="448">
        <v>230000</v>
      </c>
      <c r="R230" s="471">
        <v>0.93665164304580528</v>
      </c>
      <c r="S230" s="449">
        <v>1111.1111111111111</v>
      </c>
    </row>
    <row r="231" spans="1:19" ht="14.4" customHeight="1" x14ac:dyDescent="0.3">
      <c r="A231" s="443"/>
      <c r="B231" s="444" t="s">
        <v>1590</v>
      </c>
      <c r="C231" s="444" t="s">
        <v>1584</v>
      </c>
      <c r="D231" s="444" t="s">
        <v>1580</v>
      </c>
      <c r="E231" s="444" t="s">
        <v>1661</v>
      </c>
      <c r="F231" s="444" t="s">
        <v>1706</v>
      </c>
      <c r="G231" s="444" t="s">
        <v>1707</v>
      </c>
      <c r="H231" s="448">
        <v>462</v>
      </c>
      <c r="I231" s="448">
        <v>124740</v>
      </c>
      <c r="J231" s="444">
        <v>0.2803398058252427</v>
      </c>
      <c r="K231" s="444">
        <v>270</v>
      </c>
      <c r="L231" s="448">
        <v>1648</v>
      </c>
      <c r="M231" s="448">
        <v>444960</v>
      </c>
      <c r="N231" s="444">
        <v>1</v>
      </c>
      <c r="O231" s="444">
        <v>270</v>
      </c>
      <c r="P231" s="448">
        <v>1886</v>
      </c>
      <c r="Q231" s="448">
        <v>509220</v>
      </c>
      <c r="R231" s="471">
        <v>1.1444174757281553</v>
      </c>
      <c r="S231" s="449">
        <v>270</v>
      </c>
    </row>
    <row r="232" spans="1:19" ht="14.4" customHeight="1" x14ac:dyDescent="0.3">
      <c r="A232" s="443"/>
      <c r="B232" s="444" t="s">
        <v>1590</v>
      </c>
      <c r="C232" s="444" t="s">
        <v>1584</v>
      </c>
      <c r="D232" s="444" t="s">
        <v>1580</v>
      </c>
      <c r="E232" s="444" t="s">
        <v>1661</v>
      </c>
      <c r="F232" s="444" t="s">
        <v>1708</v>
      </c>
      <c r="G232" s="444" t="s">
        <v>1709</v>
      </c>
      <c r="H232" s="448">
        <v>780</v>
      </c>
      <c r="I232" s="448">
        <v>69333.33</v>
      </c>
      <c r="J232" s="444">
        <v>0.64966155598510267</v>
      </c>
      <c r="K232" s="444">
        <v>88.888884615384612</v>
      </c>
      <c r="L232" s="448">
        <v>1130</v>
      </c>
      <c r="M232" s="448">
        <v>106722.23</v>
      </c>
      <c r="N232" s="444">
        <v>1</v>
      </c>
      <c r="O232" s="444">
        <v>94.444451327433626</v>
      </c>
      <c r="P232" s="448">
        <v>1056</v>
      </c>
      <c r="Q232" s="448">
        <v>99733.34</v>
      </c>
      <c r="R232" s="471">
        <v>0.93451326869762752</v>
      </c>
      <c r="S232" s="449">
        <v>94.444450757575751</v>
      </c>
    </row>
    <row r="233" spans="1:19" ht="14.4" customHeight="1" x14ac:dyDescent="0.3">
      <c r="A233" s="443"/>
      <c r="B233" s="444" t="s">
        <v>1590</v>
      </c>
      <c r="C233" s="444" t="s">
        <v>1584</v>
      </c>
      <c r="D233" s="444" t="s">
        <v>1580</v>
      </c>
      <c r="E233" s="444" t="s">
        <v>1661</v>
      </c>
      <c r="F233" s="444" t="s">
        <v>1712</v>
      </c>
      <c r="G233" s="444" t="s">
        <v>1713</v>
      </c>
      <c r="H233" s="448">
        <v>6</v>
      </c>
      <c r="I233" s="448">
        <v>580</v>
      </c>
      <c r="J233" s="444">
        <v>5.9997931105823934</v>
      </c>
      <c r="K233" s="444">
        <v>96.666666666666671</v>
      </c>
      <c r="L233" s="448">
        <v>1</v>
      </c>
      <c r="M233" s="448">
        <v>96.67</v>
      </c>
      <c r="N233" s="444">
        <v>1</v>
      </c>
      <c r="O233" s="444">
        <v>96.67</v>
      </c>
      <c r="P233" s="448">
        <v>5</v>
      </c>
      <c r="Q233" s="448">
        <v>483.34000000000003</v>
      </c>
      <c r="R233" s="471">
        <v>4.9998965552911967</v>
      </c>
      <c r="S233" s="449">
        <v>96.668000000000006</v>
      </c>
    </row>
    <row r="234" spans="1:19" ht="14.4" customHeight="1" x14ac:dyDescent="0.3">
      <c r="A234" s="443"/>
      <c r="B234" s="444" t="s">
        <v>1590</v>
      </c>
      <c r="C234" s="444" t="s">
        <v>1584</v>
      </c>
      <c r="D234" s="444" t="s">
        <v>1580</v>
      </c>
      <c r="E234" s="444" t="s">
        <v>1661</v>
      </c>
      <c r="F234" s="444" t="s">
        <v>1740</v>
      </c>
      <c r="G234" s="444" t="s">
        <v>1741</v>
      </c>
      <c r="H234" s="448"/>
      <c r="I234" s="448"/>
      <c r="J234" s="444"/>
      <c r="K234" s="444"/>
      <c r="L234" s="448"/>
      <c r="M234" s="448"/>
      <c r="N234" s="444"/>
      <c r="O234" s="444"/>
      <c r="P234" s="448">
        <v>11</v>
      </c>
      <c r="Q234" s="448">
        <v>831.11</v>
      </c>
      <c r="R234" s="471"/>
      <c r="S234" s="449">
        <v>75.555454545454552</v>
      </c>
    </row>
    <row r="235" spans="1:19" ht="14.4" customHeight="1" x14ac:dyDescent="0.3">
      <c r="A235" s="443"/>
      <c r="B235" s="444" t="s">
        <v>1590</v>
      </c>
      <c r="C235" s="444" t="s">
        <v>1584</v>
      </c>
      <c r="D235" s="444" t="s">
        <v>1580</v>
      </c>
      <c r="E235" s="444" t="s">
        <v>1661</v>
      </c>
      <c r="F235" s="444" t="s">
        <v>1756</v>
      </c>
      <c r="G235" s="444" t="s">
        <v>1757</v>
      </c>
      <c r="H235" s="448">
        <v>33</v>
      </c>
      <c r="I235" s="448">
        <v>42350</v>
      </c>
      <c r="J235" s="444">
        <v>1.0312501674107415</v>
      </c>
      <c r="K235" s="444">
        <v>1283.3333333333333</v>
      </c>
      <c r="L235" s="448">
        <v>32</v>
      </c>
      <c r="M235" s="448">
        <v>41066.659999999996</v>
      </c>
      <c r="N235" s="444">
        <v>1</v>
      </c>
      <c r="O235" s="444">
        <v>1283.3331249999999</v>
      </c>
      <c r="P235" s="448">
        <v>30</v>
      </c>
      <c r="Q235" s="448">
        <v>38500</v>
      </c>
      <c r="R235" s="471">
        <v>0.93750015219158322</v>
      </c>
      <c r="S235" s="449">
        <v>1283.3333333333333</v>
      </c>
    </row>
    <row r="236" spans="1:19" ht="14.4" customHeight="1" x14ac:dyDescent="0.3">
      <c r="A236" s="443"/>
      <c r="B236" s="444" t="s">
        <v>1590</v>
      </c>
      <c r="C236" s="444" t="s">
        <v>1584</v>
      </c>
      <c r="D236" s="444" t="s">
        <v>1580</v>
      </c>
      <c r="E236" s="444" t="s">
        <v>1661</v>
      </c>
      <c r="F236" s="444" t="s">
        <v>1718</v>
      </c>
      <c r="G236" s="444" t="s">
        <v>1719</v>
      </c>
      <c r="H236" s="448">
        <v>6</v>
      </c>
      <c r="I236" s="448">
        <v>700</v>
      </c>
      <c r="J236" s="444">
        <v>1.1999862858710186</v>
      </c>
      <c r="K236" s="444">
        <v>116.66666666666667</v>
      </c>
      <c r="L236" s="448">
        <v>5</v>
      </c>
      <c r="M236" s="448">
        <v>583.34</v>
      </c>
      <c r="N236" s="444">
        <v>1</v>
      </c>
      <c r="O236" s="444">
        <v>116.66800000000001</v>
      </c>
      <c r="P236" s="448">
        <v>9</v>
      </c>
      <c r="Q236" s="448">
        <v>1050.01</v>
      </c>
      <c r="R236" s="471">
        <v>1.7999965714677546</v>
      </c>
      <c r="S236" s="449">
        <v>116.66777777777777</v>
      </c>
    </row>
    <row r="237" spans="1:19" ht="14.4" customHeight="1" x14ac:dyDescent="0.3">
      <c r="A237" s="443"/>
      <c r="B237" s="444" t="s">
        <v>1590</v>
      </c>
      <c r="C237" s="444" t="s">
        <v>1584</v>
      </c>
      <c r="D237" s="444" t="s">
        <v>1580</v>
      </c>
      <c r="E237" s="444" t="s">
        <v>1661</v>
      </c>
      <c r="F237" s="444" t="s">
        <v>1720</v>
      </c>
      <c r="G237" s="444" t="s">
        <v>1721</v>
      </c>
      <c r="H237" s="448">
        <v>79</v>
      </c>
      <c r="I237" s="448">
        <v>3862.2199999999993</v>
      </c>
      <c r="J237" s="444">
        <v>1.6458370620371079</v>
      </c>
      <c r="K237" s="444">
        <v>48.88886075949366</v>
      </c>
      <c r="L237" s="448">
        <v>48</v>
      </c>
      <c r="M237" s="448">
        <v>2346.66</v>
      </c>
      <c r="N237" s="444">
        <v>1</v>
      </c>
      <c r="O237" s="444">
        <v>48.888749999999995</v>
      </c>
      <c r="P237" s="448">
        <v>47</v>
      </c>
      <c r="Q237" s="448">
        <v>2297.79</v>
      </c>
      <c r="R237" s="471">
        <v>0.97917465674618398</v>
      </c>
      <c r="S237" s="449">
        <v>48.889148936170209</v>
      </c>
    </row>
    <row r="238" spans="1:19" ht="14.4" customHeight="1" x14ac:dyDescent="0.3">
      <c r="A238" s="443"/>
      <c r="B238" s="444" t="s">
        <v>1590</v>
      </c>
      <c r="C238" s="444" t="s">
        <v>1584</v>
      </c>
      <c r="D238" s="444" t="s">
        <v>1580</v>
      </c>
      <c r="E238" s="444" t="s">
        <v>1661</v>
      </c>
      <c r="F238" s="444" t="s">
        <v>1760</v>
      </c>
      <c r="G238" s="444" t="s">
        <v>1761</v>
      </c>
      <c r="H238" s="448">
        <v>9</v>
      </c>
      <c r="I238" s="448">
        <v>4200</v>
      </c>
      <c r="J238" s="444">
        <v>0.89999935714331636</v>
      </c>
      <c r="K238" s="444">
        <v>466.66666666666669</v>
      </c>
      <c r="L238" s="448">
        <v>10</v>
      </c>
      <c r="M238" s="448">
        <v>4666.67</v>
      </c>
      <c r="N238" s="444">
        <v>1</v>
      </c>
      <c r="O238" s="444">
        <v>466.66700000000003</v>
      </c>
      <c r="P238" s="448">
        <v>7</v>
      </c>
      <c r="Q238" s="448">
        <v>3266.67</v>
      </c>
      <c r="R238" s="471">
        <v>0.70000021428556125</v>
      </c>
      <c r="S238" s="449">
        <v>466.66714285714289</v>
      </c>
    </row>
    <row r="239" spans="1:19" ht="14.4" customHeight="1" x14ac:dyDescent="0.3">
      <c r="A239" s="443"/>
      <c r="B239" s="444" t="s">
        <v>1590</v>
      </c>
      <c r="C239" s="444" t="s">
        <v>1584</v>
      </c>
      <c r="D239" s="444" t="s">
        <v>1580</v>
      </c>
      <c r="E239" s="444" t="s">
        <v>1661</v>
      </c>
      <c r="F239" s="444" t="s">
        <v>1722</v>
      </c>
      <c r="G239" s="444" t="s">
        <v>1723</v>
      </c>
      <c r="H239" s="448">
        <v>1</v>
      </c>
      <c r="I239" s="448">
        <v>327.78</v>
      </c>
      <c r="J239" s="444">
        <v>0.95163163395656714</v>
      </c>
      <c r="K239" s="444">
        <v>327.78</v>
      </c>
      <c r="L239" s="448">
        <v>1</v>
      </c>
      <c r="M239" s="448">
        <v>344.44</v>
      </c>
      <c r="N239" s="444">
        <v>1</v>
      </c>
      <c r="O239" s="444">
        <v>344.44</v>
      </c>
      <c r="P239" s="448">
        <v>1</v>
      </c>
      <c r="Q239" s="448">
        <v>344.44</v>
      </c>
      <c r="R239" s="471">
        <v>1</v>
      </c>
      <c r="S239" s="449">
        <v>344.44</v>
      </c>
    </row>
    <row r="240" spans="1:19" ht="14.4" customHeight="1" x14ac:dyDescent="0.3">
      <c r="A240" s="443"/>
      <c r="B240" s="444" t="s">
        <v>1590</v>
      </c>
      <c r="C240" s="444" t="s">
        <v>1584</v>
      </c>
      <c r="D240" s="444" t="s">
        <v>1580</v>
      </c>
      <c r="E240" s="444" t="s">
        <v>1661</v>
      </c>
      <c r="F240" s="444" t="s">
        <v>1762</v>
      </c>
      <c r="G240" s="444" t="s">
        <v>1763</v>
      </c>
      <c r="H240" s="448">
        <v>151</v>
      </c>
      <c r="I240" s="448">
        <v>70466.66</v>
      </c>
      <c r="J240" s="444">
        <v>1.0134227714967772</v>
      </c>
      <c r="K240" s="444">
        <v>466.66662251655629</v>
      </c>
      <c r="L240" s="448">
        <v>149</v>
      </c>
      <c r="M240" s="448">
        <v>69533.33</v>
      </c>
      <c r="N240" s="444">
        <v>1</v>
      </c>
      <c r="O240" s="444">
        <v>466.66664429530204</v>
      </c>
      <c r="P240" s="448">
        <v>110</v>
      </c>
      <c r="Q240" s="448">
        <v>51333.320000000007</v>
      </c>
      <c r="R240" s="471">
        <v>0.73825487719342664</v>
      </c>
      <c r="S240" s="449">
        <v>466.66654545454554</v>
      </c>
    </row>
    <row r="241" spans="1:19" ht="14.4" customHeight="1" x14ac:dyDescent="0.3">
      <c r="A241" s="443"/>
      <c r="B241" s="444" t="s">
        <v>1590</v>
      </c>
      <c r="C241" s="444" t="s">
        <v>1584</v>
      </c>
      <c r="D241" s="444" t="s">
        <v>1580</v>
      </c>
      <c r="E241" s="444" t="s">
        <v>1661</v>
      </c>
      <c r="F241" s="444" t="s">
        <v>1776</v>
      </c>
      <c r="G241" s="444" t="s">
        <v>1777</v>
      </c>
      <c r="H241" s="448">
        <v>33</v>
      </c>
      <c r="I241" s="448">
        <v>3226.6699999999996</v>
      </c>
      <c r="J241" s="444">
        <v>0.97059053554884422</v>
      </c>
      <c r="K241" s="444">
        <v>97.777878787878777</v>
      </c>
      <c r="L241" s="448">
        <v>34</v>
      </c>
      <c r="M241" s="448">
        <v>3324.44</v>
      </c>
      <c r="N241" s="444">
        <v>1</v>
      </c>
      <c r="O241" s="444">
        <v>97.777647058823533</v>
      </c>
      <c r="P241" s="448">
        <v>29</v>
      </c>
      <c r="Q241" s="448">
        <v>2835.57</v>
      </c>
      <c r="R241" s="471">
        <v>0.85294666169339806</v>
      </c>
      <c r="S241" s="449">
        <v>97.778275862068966</v>
      </c>
    </row>
    <row r="242" spans="1:19" ht="14.4" customHeight="1" x14ac:dyDescent="0.3">
      <c r="A242" s="443"/>
      <c r="B242" s="444" t="s">
        <v>1590</v>
      </c>
      <c r="C242" s="444" t="s">
        <v>1584</v>
      </c>
      <c r="D242" s="444" t="s">
        <v>1580</v>
      </c>
      <c r="E242" s="444" t="s">
        <v>1661</v>
      </c>
      <c r="F242" s="444" t="s">
        <v>1778</v>
      </c>
      <c r="G242" s="444" t="s">
        <v>1779</v>
      </c>
      <c r="H242" s="448"/>
      <c r="I242" s="448"/>
      <c r="J242" s="444"/>
      <c r="K242" s="444"/>
      <c r="L242" s="448">
        <v>2</v>
      </c>
      <c r="M242" s="448">
        <v>962.22</v>
      </c>
      <c r="N242" s="444">
        <v>1</v>
      </c>
      <c r="O242" s="444">
        <v>481.11</v>
      </c>
      <c r="P242" s="448"/>
      <c r="Q242" s="448"/>
      <c r="R242" s="471"/>
      <c r="S242" s="449"/>
    </row>
    <row r="243" spans="1:19" ht="14.4" customHeight="1" x14ac:dyDescent="0.3">
      <c r="A243" s="443"/>
      <c r="B243" s="444" t="s">
        <v>1780</v>
      </c>
      <c r="C243" s="444" t="s">
        <v>1581</v>
      </c>
      <c r="D243" s="444" t="s">
        <v>1580</v>
      </c>
      <c r="E243" s="444" t="s">
        <v>1591</v>
      </c>
      <c r="F243" s="444" t="s">
        <v>1781</v>
      </c>
      <c r="G243" s="444"/>
      <c r="H243" s="448">
        <v>10</v>
      </c>
      <c r="I243" s="448">
        <v>1130</v>
      </c>
      <c r="J243" s="444">
        <v>2</v>
      </c>
      <c r="K243" s="444">
        <v>113</v>
      </c>
      <c r="L243" s="448">
        <v>5</v>
      </c>
      <c r="M243" s="448">
        <v>565</v>
      </c>
      <c r="N243" s="444">
        <v>1</v>
      </c>
      <c r="O243" s="444">
        <v>113</v>
      </c>
      <c r="P243" s="448">
        <v>15</v>
      </c>
      <c r="Q243" s="448">
        <v>1695</v>
      </c>
      <c r="R243" s="471">
        <v>3</v>
      </c>
      <c r="S243" s="449">
        <v>113</v>
      </c>
    </row>
    <row r="244" spans="1:19" ht="14.4" customHeight="1" x14ac:dyDescent="0.3">
      <c r="A244" s="443"/>
      <c r="B244" s="444" t="s">
        <v>1780</v>
      </c>
      <c r="C244" s="444" t="s">
        <v>1581</v>
      </c>
      <c r="D244" s="444" t="s">
        <v>1580</v>
      </c>
      <c r="E244" s="444" t="s">
        <v>1591</v>
      </c>
      <c r="F244" s="444" t="s">
        <v>1742</v>
      </c>
      <c r="G244" s="444"/>
      <c r="H244" s="448">
        <v>1</v>
      </c>
      <c r="I244" s="448">
        <v>1657</v>
      </c>
      <c r="J244" s="444">
        <v>1</v>
      </c>
      <c r="K244" s="444">
        <v>1657</v>
      </c>
      <c r="L244" s="448">
        <v>1</v>
      </c>
      <c r="M244" s="448">
        <v>1657</v>
      </c>
      <c r="N244" s="444">
        <v>1</v>
      </c>
      <c r="O244" s="444">
        <v>1657</v>
      </c>
      <c r="P244" s="448"/>
      <c r="Q244" s="448"/>
      <c r="R244" s="471"/>
      <c r="S244" s="449"/>
    </row>
    <row r="245" spans="1:19" ht="14.4" customHeight="1" x14ac:dyDescent="0.3">
      <c r="A245" s="443"/>
      <c r="B245" s="444" t="s">
        <v>1780</v>
      </c>
      <c r="C245" s="444" t="s">
        <v>1581</v>
      </c>
      <c r="D245" s="444" t="s">
        <v>1580</v>
      </c>
      <c r="E245" s="444" t="s">
        <v>1591</v>
      </c>
      <c r="F245" s="444" t="s">
        <v>1746</v>
      </c>
      <c r="G245" s="444"/>
      <c r="H245" s="448">
        <v>12</v>
      </c>
      <c r="I245" s="448">
        <v>12096</v>
      </c>
      <c r="J245" s="444">
        <v>6</v>
      </c>
      <c r="K245" s="444">
        <v>1008</v>
      </c>
      <c r="L245" s="448">
        <v>2</v>
      </c>
      <c r="M245" s="448">
        <v>2016</v>
      </c>
      <c r="N245" s="444">
        <v>1</v>
      </c>
      <c r="O245" s="444">
        <v>1008</v>
      </c>
      <c r="P245" s="448">
        <v>8</v>
      </c>
      <c r="Q245" s="448">
        <v>8064</v>
      </c>
      <c r="R245" s="471">
        <v>4</v>
      </c>
      <c r="S245" s="449">
        <v>1008</v>
      </c>
    </row>
    <row r="246" spans="1:19" ht="14.4" customHeight="1" x14ac:dyDescent="0.3">
      <c r="A246" s="443"/>
      <c r="B246" s="444" t="s">
        <v>1780</v>
      </c>
      <c r="C246" s="444" t="s">
        <v>1581</v>
      </c>
      <c r="D246" s="444" t="s">
        <v>1580</v>
      </c>
      <c r="E246" s="444" t="s">
        <v>1591</v>
      </c>
      <c r="F246" s="444" t="s">
        <v>1782</v>
      </c>
      <c r="G246" s="444"/>
      <c r="H246" s="448">
        <v>373</v>
      </c>
      <c r="I246" s="448">
        <v>80941</v>
      </c>
      <c r="J246" s="444">
        <v>1.0418994413407821</v>
      </c>
      <c r="K246" s="444">
        <v>217</v>
      </c>
      <c r="L246" s="448">
        <v>358</v>
      </c>
      <c r="M246" s="448">
        <v>77686</v>
      </c>
      <c r="N246" s="444">
        <v>1</v>
      </c>
      <c r="O246" s="444">
        <v>217</v>
      </c>
      <c r="P246" s="448">
        <v>400</v>
      </c>
      <c r="Q246" s="448">
        <v>86800</v>
      </c>
      <c r="R246" s="471">
        <v>1.1173184357541899</v>
      </c>
      <c r="S246" s="449">
        <v>217</v>
      </c>
    </row>
    <row r="247" spans="1:19" ht="14.4" customHeight="1" x14ac:dyDescent="0.3">
      <c r="A247" s="443"/>
      <c r="B247" s="444" t="s">
        <v>1780</v>
      </c>
      <c r="C247" s="444" t="s">
        <v>1581</v>
      </c>
      <c r="D247" s="444" t="s">
        <v>1580</v>
      </c>
      <c r="E247" s="444" t="s">
        <v>1591</v>
      </c>
      <c r="F247" s="444" t="s">
        <v>1783</v>
      </c>
      <c r="G247" s="444"/>
      <c r="H247" s="448">
        <v>1</v>
      </c>
      <c r="I247" s="448">
        <v>1289</v>
      </c>
      <c r="J247" s="444">
        <v>0.5</v>
      </c>
      <c r="K247" s="444">
        <v>1289</v>
      </c>
      <c r="L247" s="448">
        <v>2</v>
      </c>
      <c r="M247" s="448">
        <v>2578</v>
      </c>
      <c r="N247" s="444">
        <v>1</v>
      </c>
      <c r="O247" s="444">
        <v>1289</v>
      </c>
      <c r="P247" s="448">
        <v>1</v>
      </c>
      <c r="Q247" s="448">
        <v>1289</v>
      </c>
      <c r="R247" s="471">
        <v>0.5</v>
      </c>
      <c r="S247" s="449">
        <v>1289</v>
      </c>
    </row>
    <row r="248" spans="1:19" ht="14.4" customHeight="1" x14ac:dyDescent="0.3">
      <c r="A248" s="443"/>
      <c r="B248" s="444" t="s">
        <v>1780</v>
      </c>
      <c r="C248" s="444" t="s">
        <v>1581</v>
      </c>
      <c r="D248" s="444" t="s">
        <v>1580</v>
      </c>
      <c r="E248" s="444" t="s">
        <v>1591</v>
      </c>
      <c r="F248" s="444" t="s">
        <v>1784</v>
      </c>
      <c r="G248" s="444"/>
      <c r="H248" s="448"/>
      <c r="I248" s="448"/>
      <c r="J248" s="444"/>
      <c r="K248" s="444"/>
      <c r="L248" s="448">
        <v>3</v>
      </c>
      <c r="M248" s="448">
        <v>5310</v>
      </c>
      <c r="N248" s="444">
        <v>1</v>
      </c>
      <c r="O248" s="444">
        <v>1770</v>
      </c>
      <c r="P248" s="448">
        <v>2</v>
      </c>
      <c r="Q248" s="448">
        <v>3540</v>
      </c>
      <c r="R248" s="471">
        <v>0.66666666666666663</v>
      </c>
      <c r="S248" s="449">
        <v>1770</v>
      </c>
    </row>
    <row r="249" spans="1:19" ht="14.4" customHeight="1" x14ac:dyDescent="0.3">
      <c r="A249" s="443"/>
      <c r="B249" s="444" t="s">
        <v>1780</v>
      </c>
      <c r="C249" s="444" t="s">
        <v>1581</v>
      </c>
      <c r="D249" s="444" t="s">
        <v>1580</v>
      </c>
      <c r="E249" s="444" t="s">
        <v>1591</v>
      </c>
      <c r="F249" s="444" t="s">
        <v>1785</v>
      </c>
      <c r="G249" s="444"/>
      <c r="H249" s="448">
        <v>4</v>
      </c>
      <c r="I249" s="448">
        <v>9800</v>
      </c>
      <c r="J249" s="444">
        <v>1.3333333333333333</v>
      </c>
      <c r="K249" s="444">
        <v>2450</v>
      </c>
      <c r="L249" s="448">
        <v>3</v>
      </c>
      <c r="M249" s="448">
        <v>7350</v>
      </c>
      <c r="N249" s="444">
        <v>1</v>
      </c>
      <c r="O249" s="444">
        <v>2450</v>
      </c>
      <c r="P249" s="448">
        <v>4</v>
      </c>
      <c r="Q249" s="448">
        <v>9800</v>
      </c>
      <c r="R249" s="471">
        <v>1.3333333333333333</v>
      </c>
      <c r="S249" s="449">
        <v>2450</v>
      </c>
    </row>
    <row r="250" spans="1:19" ht="14.4" customHeight="1" x14ac:dyDescent="0.3">
      <c r="A250" s="443"/>
      <c r="B250" s="444" t="s">
        <v>1780</v>
      </c>
      <c r="C250" s="444" t="s">
        <v>1581</v>
      </c>
      <c r="D250" s="444" t="s">
        <v>1580</v>
      </c>
      <c r="E250" s="444" t="s">
        <v>1591</v>
      </c>
      <c r="F250" s="444" t="s">
        <v>1786</v>
      </c>
      <c r="G250" s="444"/>
      <c r="H250" s="448">
        <v>2</v>
      </c>
      <c r="I250" s="448">
        <v>2606</v>
      </c>
      <c r="J250" s="444">
        <v>1</v>
      </c>
      <c r="K250" s="444">
        <v>1303</v>
      </c>
      <c r="L250" s="448">
        <v>2</v>
      </c>
      <c r="M250" s="448">
        <v>2606</v>
      </c>
      <c r="N250" s="444">
        <v>1</v>
      </c>
      <c r="O250" s="444">
        <v>1303</v>
      </c>
      <c r="P250" s="448"/>
      <c r="Q250" s="448"/>
      <c r="R250" s="471"/>
      <c r="S250" s="449"/>
    </row>
    <row r="251" spans="1:19" ht="14.4" customHeight="1" x14ac:dyDescent="0.3">
      <c r="A251" s="443"/>
      <c r="B251" s="444" t="s">
        <v>1780</v>
      </c>
      <c r="C251" s="444" t="s">
        <v>1581</v>
      </c>
      <c r="D251" s="444" t="s">
        <v>1580</v>
      </c>
      <c r="E251" s="444" t="s">
        <v>1591</v>
      </c>
      <c r="F251" s="444" t="s">
        <v>1787</v>
      </c>
      <c r="G251" s="444"/>
      <c r="H251" s="448">
        <v>167</v>
      </c>
      <c r="I251" s="448">
        <v>174181</v>
      </c>
      <c r="J251" s="444">
        <v>0.90760869565217395</v>
      </c>
      <c r="K251" s="444">
        <v>1043</v>
      </c>
      <c r="L251" s="448">
        <v>184</v>
      </c>
      <c r="M251" s="448">
        <v>191912</v>
      </c>
      <c r="N251" s="444">
        <v>1</v>
      </c>
      <c r="O251" s="444">
        <v>1043</v>
      </c>
      <c r="P251" s="448">
        <v>198</v>
      </c>
      <c r="Q251" s="448">
        <v>206514</v>
      </c>
      <c r="R251" s="471">
        <v>1.076086956521739</v>
      </c>
      <c r="S251" s="449">
        <v>1043</v>
      </c>
    </row>
    <row r="252" spans="1:19" ht="14.4" customHeight="1" x14ac:dyDescent="0.3">
      <c r="A252" s="443"/>
      <c r="B252" s="444" t="s">
        <v>1780</v>
      </c>
      <c r="C252" s="444" t="s">
        <v>1581</v>
      </c>
      <c r="D252" s="444" t="s">
        <v>1580</v>
      </c>
      <c r="E252" s="444" t="s">
        <v>1591</v>
      </c>
      <c r="F252" s="444" t="s">
        <v>1788</v>
      </c>
      <c r="G252" s="444"/>
      <c r="H252" s="448"/>
      <c r="I252" s="448"/>
      <c r="J252" s="444"/>
      <c r="K252" s="444"/>
      <c r="L252" s="448">
        <v>1</v>
      </c>
      <c r="M252" s="448">
        <v>1654</v>
      </c>
      <c r="N252" s="444">
        <v>1</v>
      </c>
      <c r="O252" s="444">
        <v>1654</v>
      </c>
      <c r="P252" s="448">
        <v>2</v>
      </c>
      <c r="Q252" s="448">
        <v>3308</v>
      </c>
      <c r="R252" s="471">
        <v>2</v>
      </c>
      <c r="S252" s="449">
        <v>1654</v>
      </c>
    </row>
    <row r="253" spans="1:19" ht="14.4" customHeight="1" x14ac:dyDescent="0.3">
      <c r="A253" s="443"/>
      <c r="B253" s="444" t="s">
        <v>1780</v>
      </c>
      <c r="C253" s="444" t="s">
        <v>1581</v>
      </c>
      <c r="D253" s="444" t="s">
        <v>1580</v>
      </c>
      <c r="E253" s="444" t="s">
        <v>1591</v>
      </c>
      <c r="F253" s="444" t="s">
        <v>1789</v>
      </c>
      <c r="G253" s="444"/>
      <c r="H253" s="448">
        <v>29</v>
      </c>
      <c r="I253" s="448">
        <v>38367</v>
      </c>
      <c r="J253" s="444">
        <v>0.93548387096774188</v>
      </c>
      <c r="K253" s="444">
        <v>1323</v>
      </c>
      <c r="L253" s="448">
        <v>31</v>
      </c>
      <c r="M253" s="448">
        <v>41013</v>
      </c>
      <c r="N253" s="444">
        <v>1</v>
      </c>
      <c r="O253" s="444">
        <v>1323</v>
      </c>
      <c r="P253" s="448">
        <v>33</v>
      </c>
      <c r="Q253" s="448">
        <v>43659</v>
      </c>
      <c r="R253" s="471">
        <v>1.064516129032258</v>
      </c>
      <c r="S253" s="449">
        <v>1323</v>
      </c>
    </row>
    <row r="254" spans="1:19" ht="14.4" customHeight="1" x14ac:dyDescent="0.3">
      <c r="A254" s="443"/>
      <c r="B254" s="444" t="s">
        <v>1780</v>
      </c>
      <c r="C254" s="444" t="s">
        <v>1581</v>
      </c>
      <c r="D254" s="444" t="s">
        <v>1580</v>
      </c>
      <c r="E254" s="444" t="s">
        <v>1591</v>
      </c>
      <c r="F254" s="444" t="s">
        <v>1790</v>
      </c>
      <c r="G254" s="444"/>
      <c r="H254" s="448"/>
      <c r="I254" s="448"/>
      <c r="J254" s="444"/>
      <c r="K254" s="444"/>
      <c r="L254" s="448">
        <v>1</v>
      </c>
      <c r="M254" s="448">
        <v>2416</v>
      </c>
      <c r="N254" s="444">
        <v>1</v>
      </c>
      <c r="O254" s="444">
        <v>2416</v>
      </c>
      <c r="P254" s="448"/>
      <c r="Q254" s="448"/>
      <c r="R254" s="471"/>
      <c r="S254" s="449"/>
    </row>
    <row r="255" spans="1:19" ht="14.4" customHeight="1" x14ac:dyDescent="0.3">
      <c r="A255" s="443"/>
      <c r="B255" s="444" t="s">
        <v>1780</v>
      </c>
      <c r="C255" s="444" t="s">
        <v>1581</v>
      </c>
      <c r="D255" s="444" t="s">
        <v>1580</v>
      </c>
      <c r="E255" s="444" t="s">
        <v>1591</v>
      </c>
      <c r="F255" s="444" t="s">
        <v>1791</v>
      </c>
      <c r="G255" s="444"/>
      <c r="H255" s="448">
        <v>5</v>
      </c>
      <c r="I255" s="448">
        <v>9665</v>
      </c>
      <c r="J255" s="444">
        <v>2.5</v>
      </c>
      <c r="K255" s="444">
        <v>1933</v>
      </c>
      <c r="L255" s="448">
        <v>2</v>
      </c>
      <c r="M255" s="448">
        <v>3866</v>
      </c>
      <c r="N255" s="444">
        <v>1</v>
      </c>
      <c r="O255" s="444">
        <v>1933</v>
      </c>
      <c r="P255" s="448">
        <v>3</v>
      </c>
      <c r="Q255" s="448">
        <v>5799</v>
      </c>
      <c r="R255" s="471">
        <v>1.5</v>
      </c>
      <c r="S255" s="449">
        <v>1933</v>
      </c>
    </row>
    <row r="256" spans="1:19" ht="14.4" customHeight="1" x14ac:dyDescent="0.3">
      <c r="A256" s="443"/>
      <c r="B256" s="444" t="s">
        <v>1780</v>
      </c>
      <c r="C256" s="444" t="s">
        <v>1581</v>
      </c>
      <c r="D256" s="444" t="s">
        <v>1580</v>
      </c>
      <c r="E256" s="444" t="s">
        <v>1591</v>
      </c>
      <c r="F256" s="444" t="s">
        <v>1792</v>
      </c>
      <c r="G256" s="444"/>
      <c r="H256" s="448"/>
      <c r="I256" s="448"/>
      <c r="J256" s="444"/>
      <c r="K256" s="444"/>
      <c r="L256" s="448"/>
      <c r="M256" s="448"/>
      <c r="N256" s="444"/>
      <c r="O256" s="444"/>
      <c r="P256" s="448">
        <v>1</v>
      </c>
      <c r="Q256" s="448">
        <v>678</v>
      </c>
      <c r="R256" s="471"/>
      <c r="S256" s="449">
        <v>678</v>
      </c>
    </row>
    <row r="257" spans="1:19" ht="14.4" customHeight="1" x14ac:dyDescent="0.3">
      <c r="A257" s="443"/>
      <c r="B257" s="444" t="s">
        <v>1780</v>
      </c>
      <c r="C257" s="444" t="s">
        <v>1581</v>
      </c>
      <c r="D257" s="444" t="s">
        <v>1580</v>
      </c>
      <c r="E257" s="444" t="s">
        <v>1591</v>
      </c>
      <c r="F257" s="444" t="s">
        <v>1793</v>
      </c>
      <c r="G257" s="444"/>
      <c r="H257" s="448">
        <v>85</v>
      </c>
      <c r="I257" s="448">
        <v>46070</v>
      </c>
      <c r="J257" s="444">
        <v>1.3076923076923077</v>
      </c>
      <c r="K257" s="444">
        <v>542</v>
      </c>
      <c r="L257" s="448">
        <v>65</v>
      </c>
      <c r="M257" s="448">
        <v>35230</v>
      </c>
      <c r="N257" s="444">
        <v>1</v>
      </c>
      <c r="O257" s="444">
        <v>542</v>
      </c>
      <c r="P257" s="448">
        <v>71</v>
      </c>
      <c r="Q257" s="448">
        <v>38482</v>
      </c>
      <c r="R257" s="471">
        <v>1.0923076923076922</v>
      </c>
      <c r="S257" s="449">
        <v>542</v>
      </c>
    </row>
    <row r="258" spans="1:19" ht="14.4" customHeight="1" x14ac:dyDescent="0.3">
      <c r="A258" s="443"/>
      <c r="B258" s="444" t="s">
        <v>1780</v>
      </c>
      <c r="C258" s="444" t="s">
        <v>1581</v>
      </c>
      <c r="D258" s="444" t="s">
        <v>1580</v>
      </c>
      <c r="E258" s="444" t="s">
        <v>1591</v>
      </c>
      <c r="F258" s="444" t="s">
        <v>1794</v>
      </c>
      <c r="G258" s="444"/>
      <c r="H258" s="448">
        <v>1</v>
      </c>
      <c r="I258" s="448">
        <v>298</v>
      </c>
      <c r="J258" s="444">
        <v>0.5</v>
      </c>
      <c r="K258" s="444">
        <v>298</v>
      </c>
      <c r="L258" s="448">
        <v>2</v>
      </c>
      <c r="M258" s="448">
        <v>596</v>
      </c>
      <c r="N258" s="444">
        <v>1</v>
      </c>
      <c r="O258" s="444">
        <v>298</v>
      </c>
      <c r="P258" s="448"/>
      <c r="Q258" s="448"/>
      <c r="R258" s="471"/>
      <c r="S258" s="449"/>
    </row>
    <row r="259" spans="1:19" ht="14.4" customHeight="1" x14ac:dyDescent="0.3">
      <c r="A259" s="443"/>
      <c r="B259" s="444" t="s">
        <v>1780</v>
      </c>
      <c r="C259" s="444" t="s">
        <v>1581</v>
      </c>
      <c r="D259" s="444" t="s">
        <v>1580</v>
      </c>
      <c r="E259" s="444" t="s">
        <v>1591</v>
      </c>
      <c r="F259" s="444" t="s">
        <v>1795</v>
      </c>
      <c r="G259" s="444"/>
      <c r="H259" s="448">
        <v>47</v>
      </c>
      <c r="I259" s="448">
        <v>27213</v>
      </c>
      <c r="J259" s="444">
        <v>0.90384615384615385</v>
      </c>
      <c r="K259" s="444">
        <v>579</v>
      </c>
      <c r="L259" s="448">
        <v>52</v>
      </c>
      <c r="M259" s="448">
        <v>30108</v>
      </c>
      <c r="N259" s="444">
        <v>1</v>
      </c>
      <c r="O259" s="444">
        <v>579</v>
      </c>
      <c r="P259" s="448">
        <v>55</v>
      </c>
      <c r="Q259" s="448">
        <v>31845</v>
      </c>
      <c r="R259" s="471">
        <v>1.0576923076923077</v>
      </c>
      <c r="S259" s="449">
        <v>579</v>
      </c>
    </row>
    <row r="260" spans="1:19" ht="14.4" customHeight="1" x14ac:dyDescent="0.3">
      <c r="A260" s="443"/>
      <c r="B260" s="444" t="s">
        <v>1780</v>
      </c>
      <c r="C260" s="444" t="s">
        <v>1581</v>
      </c>
      <c r="D260" s="444" t="s">
        <v>1580</v>
      </c>
      <c r="E260" s="444" t="s">
        <v>1591</v>
      </c>
      <c r="F260" s="444" t="s">
        <v>1594</v>
      </c>
      <c r="G260" s="444"/>
      <c r="H260" s="448">
        <v>13</v>
      </c>
      <c r="I260" s="448">
        <v>1469</v>
      </c>
      <c r="J260" s="444">
        <v>1</v>
      </c>
      <c r="K260" s="444">
        <v>113</v>
      </c>
      <c r="L260" s="448">
        <v>13</v>
      </c>
      <c r="M260" s="448">
        <v>1469</v>
      </c>
      <c r="N260" s="444">
        <v>1</v>
      </c>
      <c r="O260" s="444">
        <v>113</v>
      </c>
      <c r="P260" s="448">
        <v>21</v>
      </c>
      <c r="Q260" s="448">
        <v>2373</v>
      </c>
      <c r="R260" s="471">
        <v>1.6153846153846154</v>
      </c>
      <c r="S260" s="449">
        <v>113</v>
      </c>
    </row>
    <row r="261" spans="1:19" ht="14.4" customHeight="1" x14ac:dyDescent="0.3">
      <c r="A261" s="443"/>
      <c r="B261" s="444" t="s">
        <v>1780</v>
      </c>
      <c r="C261" s="444" t="s">
        <v>1581</v>
      </c>
      <c r="D261" s="444" t="s">
        <v>1580</v>
      </c>
      <c r="E261" s="444" t="s">
        <v>1591</v>
      </c>
      <c r="F261" s="444" t="s">
        <v>1595</v>
      </c>
      <c r="G261" s="444"/>
      <c r="H261" s="448">
        <v>3</v>
      </c>
      <c r="I261" s="448">
        <v>396</v>
      </c>
      <c r="J261" s="444">
        <v>1</v>
      </c>
      <c r="K261" s="444">
        <v>132</v>
      </c>
      <c r="L261" s="448">
        <v>3</v>
      </c>
      <c r="M261" s="448">
        <v>396</v>
      </c>
      <c r="N261" s="444">
        <v>1</v>
      </c>
      <c r="O261" s="444">
        <v>132</v>
      </c>
      <c r="P261" s="448">
        <v>4</v>
      </c>
      <c r="Q261" s="448">
        <v>528</v>
      </c>
      <c r="R261" s="471">
        <v>1.3333333333333333</v>
      </c>
      <c r="S261" s="449">
        <v>132</v>
      </c>
    </row>
    <row r="262" spans="1:19" ht="14.4" customHeight="1" x14ac:dyDescent="0.3">
      <c r="A262" s="443"/>
      <c r="B262" s="444" t="s">
        <v>1780</v>
      </c>
      <c r="C262" s="444" t="s">
        <v>1581</v>
      </c>
      <c r="D262" s="444" t="s">
        <v>1580</v>
      </c>
      <c r="E262" s="444" t="s">
        <v>1591</v>
      </c>
      <c r="F262" s="444" t="s">
        <v>1596</v>
      </c>
      <c r="G262" s="444"/>
      <c r="H262" s="448">
        <v>2</v>
      </c>
      <c r="I262" s="448">
        <v>312</v>
      </c>
      <c r="J262" s="444">
        <v>0.66666666666666663</v>
      </c>
      <c r="K262" s="444">
        <v>156</v>
      </c>
      <c r="L262" s="448">
        <v>3</v>
      </c>
      <c r="M262" s="448">
        <v>468</v>
      </c>
      <c r="N262" s="444">
        <v>1</v>
      </c>
      <c r="O262" s="444">
        <v>156</v>
      </c>
      <c r="P262" s="448">
        <v>4</v>
      </c>
      <c r="Q262" s="448">
        <v>624</v>
      </c>
      <c r="R262" s="471">
        <v>1.3333333333333333</v>
      </c>
      <c r="S262" s="449">
        <v>156</v>
      </c>
    </row>
    <row r="263" spans="1:19" ht="14.4" customHeight="1" x14ac:dyDescent="0.3">
      <c r="A263" s="443"/>
      <c r="B263" s="444" t="s">
        <v>1780</v>
      </c>
      <c r="C263" s="444" t="s">
        <v>1581</v>
      </c>
      <c r="D263" s="444" t="s">
        <v>1580</v>
      </c>
      <c r="E263" s="444" t="s">
        <v>1591</v>
      </c>
      <c r="F263" s="444" t="s">
        <v>1621</v>
      </c>
      <c r="G263" s="444"/>
      <c r="H263" s="448">
        <v>6</v>
      </c>
      <c r="I263" s="448">
        <v>10440</v>
      </c>
      <c r="J263" s="444"/>
      <c r="K263" s="444">
        <v>1740</v>
      </c>
      <c r="L263" s="448"/>
      <c r="M263" s="448"/>
      <c r="N263" s="444"/>
      <c r="O263" s="444"/>
      <c r="P263" s="448">
        <v>3</v>
      </c>
      <c r="Q263" s="448">
        <v>6000</v>
      </c>
      <c r="R263" s="471"/>
      <c r="S263" s="449">
        <v>2000</v>
      </c>
    </row>
    <row r="264" spans="1:19" ht="14.4" customHeight="1" x14ac:dyDescent="0.3">
      <c r="A264" s="443"/>
      <c r="B264" s="444" t="s">
        <v>1780</v>
      </c>
      <c r="C264" s="444" t="s">
        <v>1581</v>
      </c>
      <c r="D264" s="444" t="s">
        <v>1580</v>
      </c>
      <c r="E264" s="444" t="s">
        <v>1591</v>
      </c>
      <c r="F264" s="444" t="s">
        <v>1637</v>
      </c>
      <c r="G264" s="444"/>
      <c r="H264" s="448">
        <v>1</v>
      </c>
      <c r="I264" s="448">
        <v>1008</v>
      </c>
      <c r="J264" s="444">
        <v>0.25</v>
      </c>
      <c r="K264" s="444">
        <v>1008</v>
      </c>
      <c r="L264" s="448">
        <v>4</v>
      </c>
      <c r="M264" s="448">
        <v>4032</v>
      </c>
      <c r="N264" s="444">
        <v>1</v>
      </c>
      <c r="O264" s="444">
        <v>1008</v>
      </c>
      <c r="P264" s="448">
        <v>8</v>
      </c>
      <c r="Q264" s="448">
        <v>8064</v>
      </c>
      <c r="R264" s="471">
        <v>2</v>
      </c>
      <c r="S264" s="449">
        <v>1008</v>
      </c>
    </row>
    <row r="265" spans="1:19" ht="14.4" customHeight="1" x14ac:dyDescent="0.3">
      <c r="A265" s="443"/>
      <c r="B265" s="444" t="s">
        <v>1780</v>
      </c>
      <c r="C265" s="444" t="s">
        <v>1581</v>
      </c>
      <c r="D265" s="444" t="s">
        <v>1580</v>
      </c>
      <c r="E265" s="444" t="s">
        <v>1591</v>
      </c>
      <c r="F265" s="444" t="s">
        <v>1796</v>
      </c>
      <c r="G265" s="444"/>
      <c r="H265" s="448">
        <v>175</v>
      </c>
      <c r="I265" s="448">
        <v>37975</v>
      </c>
      <c r="J265" s="444">
        <v>0.95108695652173914</v>
      </c>
      <c r="K265" s="444">
        <v>217</v>
      </c>
      <c r="L265" s="448">
        <v>184</v>
      </c>
      <c r="M265" s="448">
        <v>39928</v>
      </c>
      <c r="N265" s="444">
        <v>1</v>
      </c>
      <c r="O265" s="444">
        <v>217</v>
      </c>
      <c r="P265" s="448">
        <v>185</v>
      </c>
      <c r="Q265" s="448">
        <v>40145</v>
      </c>
      <c r="R265" s="471">
        <v>1.0054347826086956</v>
      </c>
      <c r="S265" s="449">
        <v>217</v>
      </c>
    </row>
    <row r="266" spans="1:19" ht="14.4" customHeight="1" x14ac:dyDescent="0.3">
      <c r="A266" s="443"/>
      <c r="B266" s="444" t="s">
        <v>1780</v>
      </c>
      <c r="C266" s="444" t="s">
        <v>1581</v>
      </c>
      <c r="D266" s="444" t="s">
        <v>1580</v>
      </c>
      <c r="E266" s="444" t="s">
        <v>1591</v>
      </c>
      <c r="F266" s="444" t="s">
        <v>1797</v>
      </c>
      <c r="G266" s="444"/>
      <c r="H266" s="448">
        <v>108</v>
      </c>
      <c r="I266" s="448">
        <v>112644</v>
      </c>
      <c r="J266" s="444">
        <v>0.86399999999999999</v>
      </c>
      <c r="K266" s="444">
        <v>1043</v>
      </c>
      <c r="L266" s="448">
        <v>125</v>
      </c>
      <c r="M266" s="448">
        <v>130375</v>
      </c>
      <c r="N266" s="444">
        <v>1</v>
      </c>
      <c r="O266" s="444">
        <v>1043</v>
      </c>
      <c r="P266" s="448">
        <v>120</v>
      </c>
      <c r="Q266" s="448">
        <v>125160</v>
      </c>
      <c r="R266" s="471">
        <v>0.96</v>
      </c>
      <c r="S266" s="449">
        <v>1043</v>
      </c>
    </row>
    <row r="267" spans="1:19" ht="14.4" customHeight="1" x14ac:dyDescent="0.3">
      <c r="A267" s="443"/>
      <c r="B267" s="444" t="s">
        <v>1780</v>
      </c>
      <c r="C267" s="444" t="s">
        <v>1581</v>
      </c>
      <c r="D267" s="444" t="s">
        <v>1580</v>
      </c>
      <c r="E267" s="444" t="s">
        <v>1591</v>
      </c>
      <c r="F267" s="444" t="s">
        <v>1798</v>
      </c>
      <c r="G267" s="444"/>
      <c r="H267" s="448">
        <v>3</v>
      </c>
      <c r="I267" s="448">
        <v>3969</v>
      </c>
      <c r="J267" s="444">
        <v>1</v>
      </c>
      <c r="K267" s="444">
        <v>1323</v>
      </c>
      <c r="L267" s="448">
        <v>3</v>
      </c>
      <c r="M267" s="448">
        <v>3969</v>
      </c>
      <c r="N267" s="444">
        <v>1</v>
      </c>
      <c r="O267" s="444">
        <v>1323</v>
      </c>
      <c r="P267" s="448">
        <v>2</v>
      </c>
      <c r="Q267" s="448">
        <v>2646</v>
      </c>
      <c r="R267" s="471">
        <v>0.66666666666666663</v>
      </c>
      <c r="S267" s="449">
        <v>1323</v>
      </c>
    </row>
    <row r="268" spans="1:19" ht="14.4" customHeight="1" x14ac:dyDescent="0.3">
      <c r="A268" s="443"/>
      <c r="B268" s="444" t="s">
        <v>1780</v>
      </c>
      <c r="C268" s="444" t="s">
        <v>1581</v>
      </c>
      <c r="D268" s="444" t="s">
        <v>1580</v>
      </c>
      <c r="E268" s="444" t="s">
        <v>1591</v>
      </c>
      <c r="F268" s="444" t="s">
        <v>1799</v>
      </c>
      <c r="G268" s="444"/>
      <c r="H268" s="448">
        <v>19</v>
      </c>
      <c r="I268" s="448">
        <v>10298</v>
      </c>
      <c r="J268" s="444">
        <v>1.7272727272727273</v>
      </c>
      <c r="K268" s="444">
        <v>542</v>
      </c>
      <c r="L268" s="448">
        <v>11</v>
      </c>
      <c r="M268" s="448">
        <v>5962</v>
      </c>
      <c r="N268" s="444">
        <v>1</v>
      </c>
      <c r="O268" s="444">
        <v>542</v>
      </c>
      <c r="P268" s="448">
        <v>24</v>
      </c>
      <c r="Q268" s="448">
        <v>13008</v>
      </c>
      <c r="R268" s="471">
        <v>2.1818181818181817</v>
      </c>
      <c r="S268" s="449">
        <v>542</v>
      </c>
    </row>
    <row r="269" spans="1:19" ht="14.4" customHeight="1" x14ac:dyDescent="0.3">
      <c r="A269" s="443"/>
      <c r="B269" s="444" t="s">
        <v>1780</v>
      </c>
      <c r="C269" s="444" t="s">
        <v>1581</v>
      </c>
      <c r="D269" s="444" t="s">
        <v>1580</v>
      </c>
      <c r="E269" s="444" t="s">
        <v>1591</v>
      </c>
      <c r="F269" s="444" t="s">
        <v>1800</v>
      </c>
      <c r="G269" s="444"/>
      <c r="H269" s="448"/>
      <c r="I269" s="448"/>
      <c r="J269" s="444"/>
      <c r="K269" s="444"/>
      <c r="L269" s="448">
        <v>5</v>
      </c>
      <c r="M269" s="448">
        <v>1490</v>
      </c>
      <c r="N269" s="444">
        <v>1</v>
      </c>
      <c r="O269" s="444">
        <v>298</v>
      </c>
      <c r="P269" s="448"/>
      <c r="Q269" s="448"/>
      <c r="R269" s="471"/>
      <c r="S269" s="449"/>
    </row>
    <row r="270" spans="1:19" ht="14.4" customHeight="1" x14ac:dyDescent="0.3">
      <c r="A270" s="443"/>
      <c r="B270" s="444" t="s">
        <v>1780</v>
      </c>
      <c r="C270" s="444" t="s">
        <v>1581</v>
      </c>
      <c r="D270" s="444" t="s">
        <v>1580</v>
      </c>
      <c r="E270" s="444" t="s">
        <v>1591</v>
      </c>
      <c r="F270" s="444" t="s">
        <v>1801</v>
      </c>
      <c r="G270" s="444"/>
      <c r="H270" s="448">
        <v>79</v>
      </c>
      <c r="I270" s="448">
        <v>45741</v>
      </c>
      <c r="J270" s="444">
        <v>1.234375</v>
      </c>
      <c r="K270" s="444">
        <v>579</v>
      </c>
      <c r="L270" s="448">
        <v>64</v>
      </c>
      <c r="M270" s="448">
        <v>37056</v>
      </c>
      <c r="N270" s="444">
        <v>1</v>
      </c>
      <c r="O270" s="444">
        <v>579</v>
      </c>
      <c r="P270" s="448">
        <v>77</v>
      </c>
      <c r="Q270" s="448">
        <v>44583</v>
      </c>
      <c r="R270" s="471">
        <v>1.203125</v>
      </c>
      <c r="S270" s="449">
        <v>579</v>
      </c>
    </row>
    <row r="271" spans="1:19" ht="14.4" customHeight="1" x14ac:dyDescent="0.3">
      <c r="A271" s="443"/>
      <c r="B271" s="444" t="s">
        <v>1780</v>
      </c>
      <c r="C271" s="444" t="s">
        <v>1581</v>
      </c>
      <c r="D271" s="444" t="s">
        <v>1580</v>
      </c>
      <c r="E271" s="444" t="s">
        <v>1591</v>
      </c>
      <c r="F271" s="444" t="s">
        <v>1802</v>
      </c>
      <c r="G271" s="444"/>
      <c r="H271" s="448"/>
      <c r="I271" s="448"/>
      <c r="J271" s="444"/>
      <c r="K271" s="444"/>
      <c r="L271" s="448">
        <v>3</v>
      </c>
      <c r="M271" s="448">
        <v>30213</v>
      </c>
      <c r="N271" s="444">
        <v>1</v>
      </c>
      <c r="O271" s="444">
        <v>10071</v>
      </c>
      <c r="P271" s="448"/>
      <c r="Q271" s="448"/>
      <c r="R271" s="471"/>
      <c r="S271" s="449"/>
    </row>
    <row r="272" spans="1:19" ht="14.4" customHeight="1" x14ac:dyDescent="0.3">
      <c r="A272" s="443"/>
      <c r="B272" s="444" t="s">
        <v>1780</v>
      </c>
      <c r="C272" s="444" t="s">
        <v>1581</v>
      </c>
      <c r="D272" s="444" t="s">
        <v>1580</v>
      </c>
      <c r="E272" s="444" t="s">
        <v>1591</v>
      </c>
      <c r="F272" s="444" t="s">
        <v>1803</v>
      </c>
      <c r="G272" s="444"/>
      <c r="H272" s="448">
        <v>1</v>
      </c>
      <c r="I272" s="448">
        <v>678</v>
      </c>
      <c r="J272" s="444"/>
      <c r="K272" s="444">
        <v>678</v>
      </c>
      <c r="L272" s="448"/>
      <c r="M272" s="448"/>
      <c r="N272" s="444"/>
      <c r="O272" s="444"/>
      <c r="P272" s="448"/>
      <c r="Q272" s="448"/>
      <c r="R272" s="471"/>
      <c r="S272" s="449"/>
    </row>
    <row r="273" spans="1:19" ht="14.4" customHeight="1" x14ac:dyDescent="0.3">
      <c r="A273" s="443"/>
      <c r="B273" s="444" t="s">
        <v>1780</v>
      </c>
      <c r="C273" s="444" t="s">
        <v>1581</v>
      </c>
      <c r="D273" s="444" t="s">
        <v>1580</v>
      </c>
      <c r="E273" s="444" t="s">
        <v>1591</v>
      </c>
      <c r="F273" s="444" t="s">
        <v>1804</v>
      </c>
      <c r="G273" s="444"/>
      <c r="H273" s="448">
        <v>3</v>
      </c>
      <c r="I273" s="448">
        <v>3909</v>
      </c>
      <c r="J273" s="444">
        <v>3</v>
      </c>
      <c r="K273" s="444">
        <v>1303</v>
      </c>
      <c r="L273" s="448">
        <v>1</v>
      </c>
      <c r="M273" s="448">
        <v>1303</v>
      </c>
      <c r="N273" s="444">
        <v>1</v>
      </c>
      <c r="O273" s="444">
        <v>1303</v>
      </c>
      <c r="P273" s="448"/>
      <c r="Q273" s="448"/>
      <c r="R273" s="471"/>
      <c r="S273" s="449"/>
    </row>
    <row r="274" spans="1:19" ht="14.4" customHeight="1" x14ac:dyDescent="0.3">
      <c r="A274" s="443"/>
      <c r="B274" s="444" t="s">
        <v>1780</v>
      </c>
      <c r="C274" s="444" t="s">
        <v>1581</v>
      </c>
      <c r="D274" s="444" t="s">
        <v>1580</v>
      </c>
      <c r="E274" s="444" t="s">
        <v>1591</v>
      </c>
      <c r="F274" s="444" t="s">
        <v>1805</v>
      </c>
      <c r="G274" s="444"/>
      <c r="H274" s="448"/>
      <c r="I274" s="448"/>
      <c r="J274" s="444"/>
      <c r="K274" s="444"/>
      <c r="L274" s="448">
        <v>1</v>
      </c>
      <c r="M274" s="448">
        <v>2416</v>
      </c>
      <c r="N274" s="444">
        <v>1</v>
      </c>
      <c r="O274" s="444">
        <v>2416</v>
      </c>
      <c r="P274" s="448"/>
      <c r="Q274" s="448"/>
      <c r="R274" s="471"/>
      <c r="S274" s="449"/>
    </row>
    <row r="275" spans="1:19" ht="14.4" customHeight="1" x14ac:dyDescent="0.3">
      <c r="A275" s="443"/>
      <c r="B275" s="444" t="s">
        <v>1780</v>
      </c>
      <c r="C275" s="444" t="s">
        <v>1581</v>
      </c>
      <c r="D275" s="444" t="s">
        <v>1580</v>
      </c>
      <c r="E275" s="444" t="s">
        <v>1591</v>
      </c>
      <c r="F275" s="444" t="s">
        <v>1806</v>
      </c>
      <c r="G275" s="444"/>
      <c r="H275" s="448"/>
      <c r="I275" s="448"/>
      <c r="J275" s="444"/>
      <c r="K275" s="444"/>
      <c r="L275" s="448"/>
      <c r="M275" s="448"/>
      <c r="N275" s="444"/>
      <c r="O275" s="444"/>
      <c r="P275" s="448">
        <v>1</v>
      </c>
      <c r="Q275" s="448">
        <v>136</v>
      </c>
      <c r="R275" s="471"/>
      <c r="S275" s="449">
        <v>136</v>
      </c>
    </row>
    <row r="276" spans="1:19" ht="14.4" customHeight="1" x14ac:dyDescent="0.3">
      <c r="A276" s="443"/>
      <c r="B276" s="444" t="s">
        <v>1780</v>
      </c>
      <c r="C276" s="444" t="s">
        <v>1581</v>
      </c>
      <c r="D276" s="444" t="s">
        <v>1580</v>
      </c>
      <c r="E276" s="444" t="s">
        <v>1591</v>
      </c>
      <c r="F276" s="444" t="s">
        <v>1807</v>
      </c>
      <c r="G276" s="444"/>
      <c r="H276" s="448"/>
      <c r="I276" s="448"/>
      <c r="J276" s="444"/>
      <c r="K276" s="444"/>
      <c r="L276" s="448"/>
      <c r="M276" s="448"/>
      <c r="N276" s="444"/>
      <c r="O276" s="444"/>
      <c r="P276" s="448">
        <v>1</v>
      </c>
      <c r="Q276" s="448">
        <v>224</v>
      </c>
      <c r="R276" s="471"/>
      <c r="S276" s="449">
        <v>224</v>
      </c>
    </row>
    <row r="277" spans="1:19" ht="14.4" customHeight="1" x14ac:dyDescent="0.3">
      <c r="A277" s="443"/>
      <c r="B277" s="444" t="s">
        <v>1780</v>
      </c>
      <c r="C277" s="444" t="s">
        <v>1581</v>
      </c>
      <c r="D277" s="444" t="s">
        <v>1580</v>
      </c>
      <c r="E277" s="444" t="s">
        <v>1661</v>
      </c>
      <c r="F277" s="444" t="s">
        <v>1667</v>
      </c>
      <c r="G277" s="444" t="s">
        <v>1668</v>
      </c>
      <c r="H277" s="448">
        <v>25</v>
      </c>
      <c r="I277" s="448">
        <v>1944.4499999999998</v>
      </c>
      <c r="J277" s="444">
        <v>1.7857175655943209</v>
      </c>
      <c r="K277" s="444">
        <v>77.777999999999992</v>
      </c>
      <c r="L277" s="448">
        <v>14</v>
      </c>
      <c r="M277" s="448">
        <v>1088.8899999999999</v>
      </c>
      <c r="N277" s="444">
        <v>1</v>
      </c>
      <c r="O277" s="444">
        <v>77.77785714285713</v>
      </c>
      <c r="P277" s="448">
        <v>14</v>
      </c>
      <c r="Q277" s="448">
        <v>1088.8899999999999</v>
      </c>
      <c r="R277" s="471">
        <v>1</v>
      </c>
      <c r="S277" s="449">
        <v>77.77785714285713</v>
      </c>
    </row>
    <row r="278" spans="1:19" ht="14.4" customHeight="1" x14ac:dyDescent="0.3">
      <c r="A278" s="443"/>
      <c r="B278" s="444" t="s">
        <v>1780</v>
      </c>
      <c r="C278" s="444" t="s">
        <v>1581</v>
      </c>
      <c r="D278" s="444" t="s">
        <v>1580</v>
      </c>
      <c r="E278" s="444" t="s">
        <v>1661</v>
      </c>
      <c r="F278" s="444" t="s">
        <v>1669</v>
      </c>
      <c r="G278" s="444" t="s">
        <v>1670</v>
      </c>
      <c r="H278" s="448">
        <v>41</v>
      </c>
      <c r="I278" s="448">
        <v>10250</v>
      </c>
      <c r="J278" s="444">
        <v>0.87234042553191493</v>
      </c>
      <c r="K278" s="444">
        <v>250</v>
      </c>
      <c r="L278" s="448">
        <v>47</v>
      </c>
      <c r="M278" s="448">
        <v>11750</v>
      </c>
      <c r="N278" s="444">
        <v>1</v>
      </c>
      <c r="O278" s="444">
        <v>250</v>
      </c>
      <c r="P278" s="448">
        <v>37</v>
      </c>
      <c r="Q278" s="448">
        <v>9250</v>
      </c>
      <c r="R278" s="471">
        <v>0.78723404255319152</v>
      </c>
      <c r="S278" s="449">
        <v>250</v>
      </c>
    </row>
    <row r="279" spans="1:19" ht="14.4" customHeight="1" x14ac:dyDescent="0.3">
      <c r="A279" s="443"/>
      <c r="B279" s="444" t="s">
        <v>1780</v>
      </c>
      <c r="C279" s="444" t="s">
        <v>1581</v>
      </c>
      <c r="D279" s="444" t="s">
        <v>1580</v>
      </c>
      <c r="E279" s="444" t="s">
        <v>1661</v>
      </c>
      <c r="F279" s="444" t="s">
        <v>1671</v>
      </c>
      <c r="G279" s="444" t="s">
        <v>1672</v>
      </c>
      <c r="H279" s="448">
        <v>528</v>
      </c>
      <c r="I279" s="448">
        <v>158400</v>
      </c>
      <c r="J279" s="444">
        <v>1.0434782608695652</v>
      </c>
      <c r="K279" s="444">
        <v>300</v>
      </c>
      <c r="L279" s="448">
        <v>506</v>
      </c>
      <c r="M279" s="448">
        <v>151800</v>
      </c>
      <c r="N279" s="444">
        <v>1</v>
      </c>
      <c r="O279" s="444">
        <v>300</v>
      </c>
      <c r="P279" s="448">
        <v>540</v>
      </c>
      <c r="Q279" s="448">
        <v>162000</v>
      </c>
      <c r="R279" s="471">
        <v>1.0671936758893281</v>
      </c>
      <c r="S279" s="449">
        <v>300</v>
      </c>
    </row>
    <row r="280" spans="1:19" ht="14.4" customHeight="1" x14ac:dyDescent="0.3">
      <c r="A280" s="443"/>
      <c r="B280" s="444" t="s">
        <v>1780</v>
      </c>
      <c r="C280" s="444" t="s">
        <v>1581</v>
      </c>
      <c r="D280" s="444" t="s">
        <v>1580</v>
      </c>
      <c r="E280" s="444" t="s">
        <v>1661</v>
      </c>
      <c r="F280" s="444" t="s">
        <v>1808</v>
      </c>
      <c r="G280" s="444" t="s">
        <v>1809</v>
      </c>
      <c r="H280" s="448">
        <v>303</v>
      </c>
      <c r="I280" s="448">
        <v>201999.99</v>
      </c>
      <c r="J280" s="444">
        <v>0.9528301415094339</v>
      </c>
      <c r="K280" s="444">
        <v>666.66663366336627</v>
      </c>
      <c r="L280" s="448">
        <v>318</v>
      </c>
      <c r="M280" s="448">
        <v>212000</v>
      </c>
      <c r="N280" s="444">
        <v>1</v>
      </c>
      <c r="O280" s="444">
        <v>666.66666666666663</v>
      </c>
      <c r="P280" s="448">
        <v>301</v>
      </c>
      <c r="Q280" s="448">
        <v>200666.66</v>
      </c>
      <c r="R280" s="471">
        <v>0.94654084905660374</v>
      </c>
      <c r="S280" s="449">
        <v>666.66664451827239</v>
      </c>
    </row>
    <row r="281" spans="1:19" ht="14.4" customHeight="1" x14ac:dyDescent="0.3">
      <c r="A281" s="443"/>
      <c r="B281" s="444" t="s">
        <v>1780</v>
      </c>
      <c r="C281" s="444" t="s">
        <v>1581</v>
      </c>
      <c r="D281" s="444" t="s">
        <v>1580</v>
      </c>
      <c r="E281" s="444" t="s">
        <v>1661</v>
      </c>
      <c r="F281" s="444" t="s">
        <v>1810</v>
      </c>
      <c r="G281" s="444" t="s">
        <v>1811</v>
      </c>
      <c r="H281" s="448">
        <v>483</v>
      </c>
      <c r="I281" s="448">
        <v>112700.01</v>
      </c>
      <c r="J281" s="444">
        <v>0.90280384253147772</v>
      </c>
      <c r="K281" s="444">
        <v>233.33335403726707</v>
      </c>
      <c r="L281" s="448">
        <v>535</v>
      </c>
      <c r="M281" s="448">
        <v>124833.33</v>
      </c>
      <c r="N281" s="444">
        <v>1</v>
      </c>
      <c r="O281" s="444">
        <v>233.33332710280374</v>
      </c>
      <c r="P281" s="448">
        <v>577</v>
      </c>
      <c r="Q281" s="448">
        <v>134633.34</v>
      </c>
      <c r="R281" s="471">
        <v>1.0785047551002604</v>
      </c>
      <c r="S281" s="449">
        <v>233.33334488734835</v>
      </c>
    </row>
    <row r="282" spans="1:19" ht="14.4" customHeight="1" x14ac:dyDescent="0.3">
      <c r="A282" s="443"/>
      <c r="B282" s="444" t="s">
        <v>1780</v>
      </c>
      <c r="C282" s="444" t="s">
        <v>1581</v>
      </c>
      <c r="D282" s="444" t="s">
        <v>1580</v>
      </c>
      <c r="E282" s="444" t="s">
        <v>1661</v>
      </c>
      <c r="F282" s="444" t="s">
        <v>1812</v>
      </c>
      <c r="G282" s="444" t="s">
        <v>1813</v>
      </c>
      <c r="H282" s="448">
        <v>311</v>
      </c>
      <c r="I282" s="448">
        <v>241888.89</v>
      </c>
      <c r="J282" s="444">
        <v>1.0196721023995095</v>
      </c>
      <c r="K282" s="444">
        <v>777.77778135048231</v>
      </c>
      <c r="L282" s="448">
        <v>305</v>
      </c>
      <c r="M282" s="448">
        <v>237222.23</v>
      </c>
      <c r="N282" s="444">
        <v>1</v>
      </c>
      <c r="O282" s="444">
        <v>777.77780327868857</v>
      </c>
      <c r="P282" s="448">
        <v>353</v>
      </c>
      <c r="Q282" s="448">
        <v>274555.56</v>
      </c>
      <c r="R282" s="471">
        <v>1.157377029968903</v>
      </c>
      <c r="S282" s="449">
        <v>777.77779036827189</v>
      </c>
    </row>
    <row r="283" spans="1:19" ht="14.4" customHeight="1" x14ac:dyDescent="0.3">
      <c r="A283" s="443"/>
      <c r="B283" s="444" t="s">
        <v>1780</v>
      </c>
      <c r="C283" s="444" t="s">
        <v>1581</v>
      </c>
      <c r="D283" s="444" t="s">
        <v>1580</v>
      </c>
      <c r="E283" s="444" t="s">
        <v>1661</v>
      </c>
      <c r="F283" s="444" t="s">
        <v>1814</v>
      </c>
      <c r="G283" s="444" t="s">
        <v>1815</v>
      </c>
      <c r="H283" s="448">
        <v>1042</v>
      </c>
      <c r="I283" s="448">
        <v>254711.11000000002</v>
      </c>
      <c r="J283" s="444">
        <v>1.2676399181758446</v>
      </c>
      <c r="K283" s="444">
        <v>244.44444337811902</v>
      </c>
      <c r="L283" s="448">
        <v>822</v>
      </c>
      <c r="M283" s="448">
        <v>200933.33000000002</v>
      </c>
      <c r="N283" s="444">
        <v>1</v>
      </c>
      <c r="O283" s="444">
        <v>244.44444038929441</v>
      </c>
      <c r="P283" s="448">
        <v>803</v>
      </c>
      <c r="Q283" s="448">
        <v>196288.89</v>
      </c>
      <c r="R283" s="471">
        <v>0.97688566650440722</v>
      </c>
      <c r="S283" s="449">
        <v>244.44444582814447</v>
      </c>
    </row>
    <row r="284" spans="1:19" ht="14.4" customHeight="1" x14ac:dyDescent="0.3">
      <c r="A284" s="443"/>
      <c r="B284" s="444" t="s">
        <v>1780</v>
      </c>
      <c r="C284" s="444" t="s">
        <v>1581</v>
      </c>
      <c r="D284" s="444" t="s">
        <v>1580</v>
      </c>
      <c r="E284" s="444" t="s">
        <v>1661</v>
      </c>
      <c r="F284" s="444" t="s">
        <v>1816</v>
      </c>
      <c r="G284" s="444" t="s">
        <v>1817</v>
      </c>
      <c r="H284" s="448">
        <v>8</v>
      </c>
      <c r="I284" s="448">
        <v>4204.4499999999989</v>
      </c>
      <c r="J284" s="444">
        <v>0.61538562868291702</v>
      </c>
      <c r="K284" s="444">
        <v>525.55624999999986</v>
      </c>
      <c r="L284" s="448">
        <v>13</v>
      </c>
      <c r="M284" s="448">
        <v>6832.2199999999993</v>
      </c>
      <c r="N284" s="444">
        <v>1</v>
      </c>
      <c r="O284" s="444">
        <v>525.55538461538458</v>
      </c>
      <c r="P284" s="448">
        <v>19</v>
      </c>
      <c r="Q284" s="448">
        <v>9985.5600000000013</v>
      </c>
      <c r="R284" s="471">
        <v>1.4615395874254637</v>
      </c>
      <c r="S284" s="449">
        <v>525.55578947368429</v>
      </c>
    </row>
    <row r="285" spans="1:19" ht="14.4" customHeight="1" x14ac:dyDescent="0.3">
      <c r="A285" s="443"/>
      <c r="B285" s="444" t="s">
        <v>1780</v>
      </c>
      <c r="C285" s="444" t="s">
        <v>1581</v>
      </c>
      <c r="D285" s="444" t="s">
        <v>1580</v>
      </c>
      <c r="E285" s="444" t="s">
        <v>1661</v>
      </c>
      <c r="F285" s="444" t="s">
        <v>1818</v>
      </c>
      <c r="G285" s="444" t="s">
        <v>1819</v>
      </c>
      <c r="H285" s="448">
        <v>9</v>
      </c>
      <c r="I285" s="448">
        <v>9000</v>
      </c>
      <c r="J285" s="444">
        <v>1.2857142857142858</v>
      </c>
      <c r="K285" s="444">
        <v>1000</v>
      </c>
      <c r="L285" s="448">
        <v>7</v>
      </c>
      <c r="M285" s="448">
        <v>7000</v>
      </c>
      <c r="N285" s="444">
        <v>1</v>
      </c>
      <c r="O285" s="444">
        <v>1000</v>
      </c>
      <c r="P285" s="448">
        <v>7</v>
      </c>
      <c r="Q285" s="448">
        <v>7000</v>
      </c>
      <c r="R285" s="471">
        <v>1</v>
      </c>
      <c r="S285" s="449">
        <v>1000</v>
      </c>
    </row>
    <row r="286" spans="1:19" ht="14.4" customHeight="1" x14ac:dyDescent="0.3">
      <c r="A286" s="443"/>
      <c r="B286" s="444" t="s">
        <v>1780</v>
      </c>
      <c r="C286" s="444" t="s">
        <v>1581</v>
      </c>
      <c r="D286" s="444" t="s">
        <v>1580</v>
      </c>
      <c r="E286" s="444" t="s">
        <v>1661</v>
      </c>
      <c r="F286" s="444" t="s">
        <v>1752</v>
      </c>
      <c r="G286" s="444" t="s">
        <v>1753</v>
      </c>
      <c r="H286" s="448">
        <v>3</v>
      </c>
      <c r="I286" s="448">
        <v>0</v>
      </c>
      <c r="J286" s="444"/>
      <c r="K286" s="444">
        <v>0</v>
      </c>
      <c r="L286" s="448">
        <v>2</v>
      </c>
      <c r="M286" s="448">
        <v>0</v>
      </c>
      <c r="N286" s="444"/>
      <c r="O286" s="444">
        <v>0</v>
      </c>
      <c r="P286" s="448"/>
      <c r="Q286" s="448"/>
      <c r="R286" s="471"/>
      <c r="S286" s="449"/>
    </row>
    <row r="287" spans="1:19" ht="14.4" customHeight="1" x14ac:dyDescent="0.3">
      <c r="A287" s="443"/>
      <c r="B287" s="444" t="s">
        <v>1780</v>
      </c>
      <c r="C287" s="444" t="s">
        <v>1581</v>
      </c>
      <c r="D287" s="444" t="s">
        <v>1580</v>
      </c>
      <c r="E287" s="444" t="s">
        <v>1661</v>
      </c>
      <c r="F287" s="444" t="s">
        <v>1694</v>
      </c>
      <c r="G287" s="444" t="s">
        <v>1695</v>
      </c>
      <c r="H287" s="448">
        <v>873</v>
      </c>
      <c r="I287" s="448">
        <v>0</v>
      </c>
      <c r="J287" s="444"/>
      <c r="K287" s="444">
        <v>0</v>
      </c>
      <c r="L287" s="448">
        <v>834</v>
      </c>
      <c r="M287" s="448">
        <v>0</v>
      </c>
      <c r="N287" s="444"/>
      <c r="O287" s="444">
        <v>0</v>
      </c>
      <c r="P287" s="448">
        <v>919</v>
      </c>
      <c r="Q287" s="448">
        <v>0</v>
      </c>
      <c r="R287" s="471"/>
      <c r="S287" s="449">
        <v>0</v>
      </c>
    </row>
    <row r="288" spans="1:19" ht="14.4" customHeight="1" x14ac:dyDescent="0.3">
      <c r="A288" s="443"/>
      <c r="B288" s="444" t="s">
        <v>1780</v>
      </c>
      <c r="C288" s="444" t="s">
        <v>1581</v>
      </c>
      <c r="D288" s="444" t="s">
        <v>1580</v>
      </c>
      <c r="E288" s="444" t="s">
        <v>1661</v>
      </c>
      <c r="F288" s="444" t="s">
        <v>1696</v>
      </c>
      <c r="G288" s="444" t="s">
        <v>1697</v>
      </c>
      <c r="H288" s="448">
        <v>641</v>
      </c>
      <c r="I288" s="448">
        <v>195861.12</v>
      </c>
      <c r="J288" s="444">
        <v>0.95671647171469709</v>
      </c>
      <c r="K288" s="444">
        <v>305.5555694227769</v>
      </c>
      <c r="L288" s="448">
        <v>670</v>
      </c>
      <c r="M288" s="448">
        <v>204722.22</v>
      </c>
      <c r="N288" s="444">
        <v>1</v>
      </c>
      <c r="O288" s="444">
        <v>305.55555223880594</v>
      </c>
      <c r="P288" s="448">
        <v>629</v>
      </c>
      <c r="Q288" s="448">
        <v>192194.44000000003</v>
      </c>
      <c r="R288" s="471">
        <v>0.9388059586301869</v>
      </c>
      <c r="S288" s="449">
        <v>305.55554848966619</v>
      </c>
    </row>
    <row r="289" spans="1:19" ht="14.4" customHeight="1" x14ac:dyDescent="0.3">
      <c r="A289" s="443"/>
      <c r="B289" s="444" t="s">
        <v>1780</v>
      </c>
      <c r="C289" s="444" t="s">
        <v>1581</v>
      </c>
      <c r="D289" s="444" t="s">
        <v>1580</v>
      </c>
      <c r="E289" s="444" t="s">
        <v>1661</v>
      </c>
      <c r="F289" s="444" t="s">
        <v>1698</v>
      </c>
      <c r="G289" s="444" t="s">
        <v>1699</v>
      </c>
      <c r="H289" s="448">
        <v>1394</v>
      </c>
      <c r="I289" s="448">
        <v>20900</v>
      </c>
      <c r="J289" s="444">
        <v>0.41633466135458169</v>
      </c>
      <c r="K289" s="444">
        <v>14.992826398852223</v>
      </c>
      <c r="L289" s="448">
        <v>1506</v>
      </c>
      <c r="M289" s="448">
        <v>50200</v>
      </c>
      <c r="N289" s="444">
        <v>1</v>
      </c>
      <c r="O289" s="444">
        <v>33.333333333333336</v>
      </c>
      <c r="P289" s="448">
        <v>1484</v>
      </c>
      <c r="Q289" s="448">
        <v>49466.66</v>
      </c>
      <c r="R289" s="471">
        <v>0.98539163346613556</v>
      </c>
      <c r="S289" s="449">
        <v>33.333328840970353</v>
      </c>
    </row>
    <row r="290" spans="1:19" ht="14.4" customHeight="1" x14ac:dyDescent="0.3">
      <c r="A290" s="443"/>
      <c r="B290" s="444" t="s">
        <v>1780</v>
      </c>
      <c r="C290" s="444" t="s">
        <v>1581</v>
      </c>
      <c r="D290" s="444" t="s">
        <v>1580</v>
      </c>
      <c r="E290" s="444" t="s">
        <v>1661</v>
      </c>
      <c r="F290" s="444" t="s">
        <v>1700</v>
      </c>
      <c r="G290" s="444" t="s">
        <v>1701</v>
      </c>
      <c r="H290" s="448">
        <v>626</v>
      </c>
      <c r="I290" s="448">
        <v>285177.78000000003</v>
      </c>
      <c r="J290" s="444">
        <v>0.94704993872587695</v>
      </c>
      <c r="K290" s="444">
        <v>455.55555910543137</v>
      </c>
      <c r="L290" s="448">
        <v>661</v>
      </c>
      <c r="M290" s="448">
        <v>301122.21999999997</v>
      </c>
      <c r="N290" s="444">
        <v>1</v>
      </c>
      <c r="O290" s="444">
        <v>455.55555219364595</v>
      </c>
      <c r="P290" s="448">
        <v>599</v>
      </c>
      <c r="Q290" s="448">
        <v>272877.78999999998</v>
      </c>
      <c r="R290" s="471">
        <v>0.90620277042325204</v>
      </c>
      <c r="S290" s="449">
        <v>455.55557595993321</v>
      </c>
    </row>
    <row r="291" spans="1:19" ht="14.4" customHeight="1" x14ac:dyDescent="0.3">
      <c r="A291" s="443"/>
      <c r="B291" s="444" t="s">
        <v>1780</v>
      </c>
      <c r="C291" s="444" t="s">
        <v>1581</v>
      </c>
      <c r="D291" s="444" t="s">
        <v>1580</v>
      </c>
      <c r="E291" s="444" t="s">
        <v>1661</v>
      </c>
      <c r="F291" s="444" t="s">
        <v>1702</v>
      </c>
      <c r="G291" s="444" t="s">
        <v>1703</v>
      </c>
      <c r="H291" s="448">
        <v>669</v>
      </c>
      <c r="I291" s="448">
        <v>52033.33</v>
      </c>
      <c r="J291" s="444">
        <v>0.93697478613294038</v>
      </c>
      <c r="K291" s="444">
        <v>77.777772795216748</v>
      </c>
      <c r="L291" s="448">
        <v>714</v>
      </c>
      <c r="M291" s="448">
        <v>55533.33</v>
      </c>
      <c r="N291" s="444">
        <v>1</v>
      </c>
      <c r="O291" s="444">
        <v>77.777773109243697</v>
      </c>
      <c r="P291" s="448">
        <v>696</v>
      </c>
      <c r="Q291" s="448">
        <v>54133.320000000007</v>
      </c>
      <c r="R291" s="471">
        <v>0.97478973438113659</v>
      </c>
      <c r="S291" s="449">
        <v>77.777758620689667</v>
      </c>
    </row>
    <row r="292" spans="1:19" ht="14.4" customHeight="1" x14ac:dyDescent="0.3">
      <c r="A292" s="443"/>
      <c r="B292" s="444" t="s">
        <v>1780</v>
      </c>
      <c r="C292" s="444" t="s">
        <v>1581</v>
      </c>
      <c r="D292" s="444" t="s">
        <v>1580</v>
      </c>
      <c r="E292" s="444" t="s">
        <v>1661</v>
      </c>
      <c r="F292" s="444" t="s">
        <v>1820</v>
      </c>
      <c r="G292" s="444" t="s">
        <v>1821</v>
      </c>
      <c r="H292" s="448">
        <v>325</v>
      </c>
      <c r="I292" s="448">
        <v>469444.44</v>
      </c>
      <c r="J292" s="444">
        <v>0.98187310476847112</v>
      </c>
      <c r="K292" s="444">
        <v>1444.4444307692308</v>
      </c>
      <c r="L292" s="448">
        <v>331</v>
      </c>
      <c r="M292" s="448">
        <v>478111.11</v>
      </c>
      <c r="N292" s="444">
        <v>1</v>
      </c>
      <c r="O292" s="444">
        <v>1444.4444410876133</v>
      </c>
      <c r="P292" s="448">
        <v>319</v>
      </c>
      <c r="Q292" s="448">
        <v>460777.77999999997</v>
      </c>
      <c r="R292" s="471">
        <v>0.96374623045258245</v>
      </c>
      <c r="S292" s="449">
        <v>1444.4444514106583</v>
      </c>
    </row>
    <row r="293" spans="1:19" ht="14.4" customHeight="1" x14ac:dyDescent="0.3">
      <c r="A293" s="443"/>
      <c r="B293" s="444" t="s">
        <v>1780</v>
      </c>
      <c r="C293" s="444" t="s">
        <v>1581</v>
      </c>
      <c r="D293" s="444" t="s">
        <v>1580</v>
      </c>
      <c r="E293" s="444" t="s">
        <v>1661</v>
      </c>
      <c r="F293" s="444" t="s">
        <v>1704</v>
      </c>
      <c r="G293" s="444" t="s">
        <v>1705</v>
      </c>
      <c r="H293" s="448"/>
      <c r="I293" s="448"/>
      <c r="J293" s="444"/>
      <c r="K293" s="444"/>
      <c r="L293" s="448">
        <v>0</v>
      </c>
      <c r="M293" s="448">
        <v>0</v>
      </c>
      <c r="N293" s="444"/>
      <c r="O293" s="444"/>
      <c r="P293" s="448"/>
      <c r="Q293" s="448"/>
      <c r="R293" s="471"/>
      <c r="S293" s="449"/>
    </row>
    <row r="294" spans="1:19" ht="14.4" customHeight="1" x14ac:dyDescent="0.3">
      <c r="A294" s="443"/>
      <c r="B294" s="444" t="s">
        <v>1780</v>
      </c>
      <c r="C294" s="444" t="s">
        <v>1581</v>
      </c>
      <c r="D294" s="444" t="s">
        <v>1580</v>
      </c>
      <c r="E294" s="444" t="s">
        <v>1661</v>
      </c>
      <c r="F294" s="444" t="s">
        <v>1708</v>
      </c>
      <c r="G294" s="444" t="s">
        <v>1709</v>
      </c>
      <c r="H294" s="448">
        <v>4</v>
      </c>
      <c r="I294" s="448">
        <v>355.56</v>
      </c>
      <c r="J294" s="444">
        <v>1.254932410969541</v>
      </c>
      <c r="K294" s="444">
        <v>88.89</v>
      </c>
      <c r="L294" s="448">
        <v>3</v>
      </c>
      <c r="M294" s="448">
        <v>283.33</v>
      </c>
      <c r="N294" s="444">
        <v>1</v>
      </c>
      <c r="O294" s="444">
        <v>94.443333333333328</v>
      </c>
      <c r="P294" s="448">
        <v>3</v>
      </c>
      <c r="Q294" s="448">
        <v>283.33</v>
      </c>
      <c r="R294" s="471">
        <v>1</v>
      </c>
      <c r="S294" s="449">
        <v>94.443333333333328</v>
      </c>
    </row>
    <row r="295" spans="1:19" ht="14.4" customHeight="1" x14ac:dyDescent="0.3">
      <c r="A295" s="443"/>
      <c r="B295" s="444" t="s">
        <v>1780</v>
      </c>
      <c r="C295" s="444" t="s">
        <v>1581</v>
      </c>
      <c r="D295" s="444" t="s">
        <v>1580</v>
      </c>
      <c r="E295" s="444" t="s">
        <v>1661</v>
      </c>
      <c r="F295" s="444" t="s">
        <v>1712</v>
      </c>
      <c r="G295" s="444" t="s">
        <v>1713</v>
      </c>
      <c r="H295" s="448">
        <v>6</v>
      </c>
      <c r="I295" s="448">
        <v>580.01</v>
      </c>
      <c r="J295" s="444">
        <v>0.54546053002802497</v>
      </c>
      <c r="K295" s="444">
        <v>96.668333333333337</v>
      </c>
      <c r="L295" s="448">
        <v>11</v>
      </c>
      <c r="M295" s="448">
        <v>1063.3399999999999</v>
      </c>
      <c r="N295" s="444">
        <v>1</v>
      </c>
      <c r="O295" s="444">
        <v>96.667272727272717</v>
      </c>
      <c r="P295" s="448">
        <v>6</v>
      </c>
      <c r="Q295" s="448">
        <v>580.01</v>
      </c>
      <c r="R295" s="471">
        <v>0.54546053002802497</v>
      </c>
      <c r="S295" s="449">
        <v>96.668333333333337</v>
      </c>
    </row>
    <row r="296" spans="1:19" ht="14.4" customHeight="1" x14ac:dyDescent="0.3">
      <c r="A296" s="443"/>
      <c r="B296" s="444" t="s">
        <v>1780</v>
      </c>
      <c r="C296" s="444" t="s">
        <v>1581</v>
      </c>
      <c r="D296" s="444" t="s">
        <v>1580</v>
      </c>
      <c r="E296" s="444" t="s">
        <v>1661</v>
      </c>
      <c r="F296" s="444" t="s">
        <v>1822</v>
      </c>
      <c r="G296" s="444" t="s">
        <v>1823</v>
      </c>
      <c r="H296" s="448">
        <v>377</v>
      </c>
      <c r="I296" s="448">
        <v>131950</v>
      </c>
      <c r="J296" s="444">
        <v>1</v>
      </c>
      <c r="K296" s="444">
        <v>350</v>
      </c>
      <c r="L296" s="448">
        <v>377</v>
      </c>
      <c r="M296" s="448">
        <v>131950</v>
      </c>
      <c r="N296" s="444">
        <v>1</v>
      </c>
      <c r="O296" s="444">
        <v>350</v>
      </c>
      <c r="P296" s="448">
        <v>393</v>
      </c>
      <c r="Q296" s="448">
        <v>137550</v>
      </c>
      <c r="R296" s="471">
        <v>1.0424403183023874</v>
      </c>
      <c r="S296" s="449">
        <v>350</v>
      </c>
    </row>
    <row r="297" spans="1:19" ht="14.4" customHeight="1" x14ac:dyDescent="0.3">
      <c r="A297" s="443"/>
      <c r="B297" s="444" t="s">
        <v>1780</v>
      </c>
      <c r="C297" s="444" t="s">
        <v>1581</v>
      </c>
      <c r="D297" s="444" t="s">
        <v>1580</v>
      </c>
      <c r="E297" s="444" t="s">
        <v>1661</v>
      </c>
      <c r="F297" s="444" t="s">
        <v>1824</v>
      </c>
      <c r="G297" s="444" t="s">
        <v>1825</v>
      </c>
      <c r="H297" s="448">
        <v>36</v>
      </c>
      <c r="I297" s="448">
        <v>2120</v>
      </c>
      <c r="J297" s="444">
        <v>0.75000176887209646</v>
      </c>
      <c r="K297" s="444">
        <v>58.888888888888886</v>
      </c>
      <c r="L297" s="448">
        <v>48</v>
      </c>
      <c r="M297" s="448">
        <v>2826.66</v>
      </c>
      <c r="N297" s="444">
        <v>1</v>
      </c>
      <c r="O297" s="444">
        <v>58.888749999999995</v>
      </c>
      <c r="P297" s="448">
        <v>35</v>
      </c>
      <c r="Q297" s="448">
        <v>2061.11</v>
      </c>
      <c r="R297" s="471">
        <v>0.72916799332073901</v>
      </c>
      <c r="S297" s="449">
        <v>58.888857142857148</v>
      </c>
    </row>
    <row r="298" spans="1:19" ht="14.4" customHeight="1" x14ac:dyDescent="0.3">
      <c r="A298" s="443"/>
      <c r="B298" s="444" t="s">
        <v>1780</v>
      </c>
      <c r="C298" s="444" t="s">
        <v>1581</v>
      </c>
      <c r="D298" s="444" t="s">
        <v>1580</v>
      </c>
      <c r="E298" s="444" t="s">
        <v>1661</v>
      </c>
      <c r="F298" s="444" t="s">
        <v>1826</v>
      </c>
      <c r="G298" s="444" t="s">
        <v>1827</v>
      </c>
      <c r="H298" s="448">
        <v>526</v>
      </c>
      <c r="I298" s="448">
        <v>67795.55</v>
      </c>
      <c r="J298" s="444">
        <v>1.0293541578161198</v>
      </c>
      <c r="K298" s="444">
        <v>128.88887832699621</v>
      </c>
      <c r="L298" s="448">
        <v>511</v>
      </c>
      <c r="M298" s="448">
        <v>65862.22</v>
      </c>
      <c r="N298" s="444">
        <v>1</v>
      </c>
      <c r="O298" s="444">
        <v>128.88888454011743</v>
      </c>
      <c r="P298" s="448">
        <v>553</v>
      </c>
      <c r="Q298" s="448">
        <v>71275.55</v>
      </c>
      <c r="R298" s="471">
        <v>1.0821917329844029</v>
      </c>
      <c r="S298" s="449">
        <v>128.88887884267632</v>
      </c>
    </row>
    <row r="299" spans="1:19" ht="14.4" customHeight="1" x14ac:dyDescent="0.3">
      <c r="A299" s="443"/>
      <c r="B299" s="444" t="s">
        <v>1780</v>
      </c>
      <c r="C299" s="444" t="s">
        <v>1581</v>
      </c>
      <c r="D299" s="444" t="s">
        <v>1580</v>
      </c>
      <c r="E299" s="444" t="s">
        <v>1661</v>
      </c>
      <c r="F299" s="444" t="s">
        <v>1720</v>
      </c>
      <c r="G299" s="444" t="s">
        <v>1721</v>
      </c>
      <c r="H299" s="448">
        <v>1412</v>
      </c>
      <c r="I299" s="448">
        <v>69031.12</v>
      </c>
      <c r="J299" s="444">
        <v>1.0428361056240025</v>
      </c>
      <c r="K299" s="444">
        <v>48.888895184135976</v>
      </c>
      <c r="L299" s="448">
        <v>1354</v>
      </c>
      <c r="M299" s="448">
        <v>66195.56</v>
      </c>
      <c r="N299" s="444">
        <v>1</v>
      </c>
      <c r="O299" s="444">
        <v>48.88889217134416</v>
      </c>
      <c r="P299" s="448">
        <v>1545</v>
      </c>
      <c r="Q299" s="448">
        <v>75533.33</v>
      </c>
      <c r="R299" s="471">
        <v>1.1410633885414672</v>
      </c>
      <c r="S299" s="449">
        <v>48.888886731391587</v>
      </c>
    </row>
    <row r="300" spans="1:19" ht="14.4" customHeight="1" x14ac:dyDescent="0.3">
      <c r="A300" s="443"/>
      <c r="B300" s="444" t="s">
        <v>1780</v>
      </c>
      <c r="C300" s="444" t="s">
        <v>1581</v>
      </c>
      <c r="D300" s="444" t="s">
        <v>1580</v>
      </c>
      <c r="E300" s="444" t="s">
        <v>1661</v>
      </c>
      <c r="F300" s="444" t="s">
        <v>1828</v>
      </c>
      <c r="G300" s="444" t="s">
        <v>1829</v>
      </c>
      <c r="H300" s="448">
        <v>1892</v>
      </c>
      <c r="I300" s="448">
        <v>1681777.78</v>
      </c>
      <c r="J300" s="444">
        <v>1.0221501987208281</v>
      </c>
      <c r="K300" s="444">
        <v>888.88889006342492</v>
      </c>
      <c r="L300" s="448">
        <v>1851</v>
      </c>
      <c r="M300" s="448">
        <v>1645333.32</v>
      </c>
      <c r="N300" s="444">
        <v>1</v>
      </c>
      <c r="O300" s="444">
        <v>888.88888168557537</v>
      </c>
      <c r="P300" s="448">
        <v>1791</v>
      </c>
      <c r="Q300" s="448">
        <v>1592000.0100000002</v>
      </c>
      <c r="R300" s="471">
        <v>0.96758510305984702</v>
      </c>
      <c r="S300" s="449">
        <v>888.88889447236193</v>
      </c>
    </row>
    <row r="301" spans="1:19" ht="14.4" customHeight="1" x14ac:dyDescent="0.3">
      <c r="A301" s="443"/>
      <c r="B301" s="444" t="s">
        <v>1780</v>
      </c>
      <c r="C301" s="444" t="s">
        <v>1581</v>
      </c>
      <c r="D301" s="444" t="s">
        <v>1580</v>
      </c>
      <c r="E301" s="444" t="s">
        <v>1661</v>
      </c>
      <c r="F301" s="444" t="s">
        <v>1830</v>
      </c>
      <c r="G301" s="444" t="s">
        <v>1831</v>
      </c>
      <c r="H301" s="448">
        <v>29</v>
      </c>
      <c r="I301" s="448">
        <v>9666.67</v>
      </c>
      <c r="J301" s="444">
        <v>0.72499988750005628</v>
      </c>
      <c r="K301" s="444">
        <v>333.33344827586205</v>
      </c>
      <c r="L301" s="448">
        <v>40</v>
      </c>
      <c r="M301" s="448">
        <v>13333.34</v>
      </c>
      <c r="N301" s="444">
        <v>1</v>
      </c>
      <c r="O301" s="444">
        <v>333.33350000000002</v>
      </c>
      <c r="P301" s="448">
        <v>40</v>
      </c>
      <c r="Q301" s="448">
        <v>13333.34</v>
      </c>
      <c r="R301" s="471">
        <v>1</v>
      </c>
      <c r="S301" s="449">
        <v>333.33350000000002</v>
      </c>
    </row>
    <row r="302" spans="1:19" ht="14.4" customHeight="1" x14ac:dyDescent="0.3">
      <c r="A302" s="443"/>
      <c r="B302" s="444" t="s">
        <v>1780</v>
      </c>
      <c r="C302" s="444" t="s">
        <v>1581</v>
      </c>
      <c r="D302" s="444" t="s">
        <v>1580</v>
      </c>
      <c r="E302" s="444" t="s">
        <v>1661</v>
      </c>
      <c r="F302" s="444" t="s">
        <v>1832</v>
      </c>
      <c r="G302" s="444" t="s">
        <v>1833</v>
      </c>
      <c r="H302" s="448"/>
      <c r="I302" s="448"/>
      <c r="J302" s="444"/>
      <c r="K302" s="444"/>
      <c r="L302" s="448"/>
      <c r="M302" s="448"/>
      <c r="N302" s="444"/>
      <c r="O302" s="444"/>
      <c r="P302" s="448">
        <v>1</v>
      </c>
      <c r="Q302" s="448">
        <v>645.55999999999995</v>
      </c>
      <c r="R302" s="471"/>
      <c r="S302" s="449">
        <v>645.55999999999995</v>
      </c>
    </row>
    <row r="303" spans="1:19" ht="14.4" customHeight="1" x14ac:dyDescent="0.3">
      <c r="A303" s="443"/>
      <c r="B303" s="444" t="s">
        <v>1780</v>
      </c>
      <c r="C303" s="444" t="s">
        <v>1581</v>
      </c>
      <c r="D303" s="444" t="s">
        <v>1580</v>
      </c>
      <c r="E303" s="444" t="s">
        <v>1661</v>
      </c>
      <c r="F303" s="444" t="s">
        <v>1726</v>
      </c>
      <c r="G303" s="444" t="s">
        <v>1727</v>
      </c>
      <c r="H303" s="448"/>
      <c r="I303" s="448"/>
      <c r="J303" s="444"/>
      <c r="K303" s="444"/>
      <c r="L303" s="448"/>
      <c r="M303" s="448"/>
      <c r="N303" s="444"/>
      <c r="O303" s="444"/>
      <c r="P303" s="448">
        <v>1</v>
      </c>
      <c r="Q303" s="448">
        <v>222.22</v>
      </c>
      <c r="R303" s="471"/>
      <c r="S303" s="449">
        <v>222.22</v>
      </c>
    </row>
    <row r="304" spans="1:19" ht="14.4" customHeight="1" thickBot="1" x14ac:dyDescent="0.35">
      <c r="A304" s="450"/>
      <c r="B304" s="451" t="s">
        <v>1780</v>
      </c>
      <c r="C304" s="451" t="s">
        <v>1581</v>
      </c>
      <c r="D304" s="451" t="s">
        <v>1580</v>
      </c>
      <c r="E304" s="451" t="s">
        <v>1661</v>
      </c>
      <c r="F304" s="451" t="s">
        <v>1834</v>
      </c>
      <c r="G304" s="451" t="s">
        <v>1835</v>
      </c>
      <c r="H304" s="455"/>
      <c r="I304" s="455"/>
      <c r="J304" s="451"/>
      <c r="K304" s="451"/>
      <c r="L304" s="455">
        <v>2</v>
      </c>
      <c r="M304" s="455">
        <v>466.66</v>
      </c>
      <c r="N304" s="451">
        <v>1</v>
      </c>
      <c r="O304" s="451">
        <v>233.33</v>
      </c>
      <c r="P304" s="455">
        <v>1</v>
      </c>
      <c r="Q304" s="455">
        <v>233.33</v>
      </c>
      <c r="R304" s="463">
        <v>0.5</v>
      </c>
      <c r="S304" s="456">
        <v>233.33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3" bestFit="1" customWidth="1"/>
    <col min="2" max="2" width="11.6640625" style="133" hidden="1" customWidth="1"/>
    <col min="3" max="4" width="11" style="135" customWidth="1"/>
    <col min="5" max="5" width="11" style="136" customWidth="1"/>
    <col min="6" max="16384" width="8.88671875" style="133"/>
  </cols>
  <sheetData>
    <row r="1" spans="1:5" ht="18.600000000000001" thickBot="1" x14ac:dyDescent="0.4">
      <c r="A1" s="320" t="s">
        <v>104</v>
      </c>
      <c r="B1" s="320"/>
      <c r="C1" s="321"/>
      <c r="D1" s="321"/>
      <c r="E1" s="321"/>
    </row>
    <row r="2" spans="1:5" ht="14.4" customHeight="1" thickBot="1" x14ac:dyDescent="0.35">
      <c r="A2" s="210" t="s">
        <v>233</v>
      </c>
      <c r="B2" s="134"/>
    </row>
    <row r="3" spans="1:5" ht="14.4" customHeight="1" thickBot="1" x14ac:dyDescent="0.35">
      <c r="A3" s="137"/>
      <c r="C3" s="138" t="s">
        <v>92</v>
      </c>
      <c r="D3" s="139" t="s">
        <v>60</v>
      </c>
      <c r="E3" s="140" t="s">
        <v>62</v>
      </c>
    </row>
    <row r="4" spans="1:5" ht="14.4" customHeight="1" thickBot="1" x14ac:dyDescent="0.35">
      <c r="A4" s="141" t="str">
        <f>HYPERLINK("#HI!A1","NÁKLADY CELKEM (v tisících Kč)")</f>
        <v>NÁKLADY CELKEM (v tisících Kč)</v>
      </c>
      <c r="B4" s="142"/>
      <c r="C4" s="143">
        <f ca="1">IF(ISERROR(VLOOKUP("Náklady celkem",INDIRECT("HI!$A:$G"),6,0)),0,VLOOKUP("Náklady celkem",INDIRECT("HI!$A:$G"),6,0))</f>
        <v>27003.748472137449</v>
      </c>
      <c r="D4" s="143">
        <f ca="1">IF(ISERROR(VLOOKUP("Náklady celkem",INDIRECT("HI!$A:$G"),5,0)),0,VLOOKUP("Náklady celkem",INDIRECT("HI!$A:$G"),5,0))</f>
        <v>27556.571349999998</v>
      </c>
      <c r="E4" s="144">
        <f ca="1">IF(C4=0,0,D4/C4)</f>
        <v>1.0204720792164448</v>
      </c>
    </row>
    <row r="5" spans="1:5" ht="14.4" customHeight="1" x14ac:dyDescent="0.3">
      <c r="A5" s="145" t="s">
        <v>126</v>
      </c>
      <c r="B5" s="146"/>
      <c r="C5" s="147"/>
      <c r="D5" s="147"/>
      <c r="E5" s="148"/>
    </row>
    <row r="6" spans="1:5" ht="14.4" customHeight="1" x14ac:dyDescent="0.3">
      <c r="A6" s="149" t="s">
        <v>131</v>
      </c>
      <c r="B6" s="150"/>
      <c r="C6" s="151"/>
      <c r="D6" s="151"/>
      <c r="E6" s="148"/>
    </row>
    <row r="7" spans="1:5" ht="14.4" customHeight="1" x14ac:dyDescent="0.3">
      <c r="A7" s="2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0" t="s">
        <v>96</v>
      </c>
      <c r="C7" s="151">
        <f>IF(ISERROR(HI!F5),"",HI!F5)</f>
        <v>210.00000524902345</v>
      </c>
      <c r="D7" s="151">
        <f>IF(ISERROR(HI!E5),"",HI!E5)</f>
        <v>226.95992999999999</v>
      </c>
      <c r="E7" s="148">
        <f t="shared" ref="E7:E13" si="0">IF(C7=0,0,D7/C7)</f>
        <v>1.0807615444145586</v>
      </c>
    </row>
    <row r="8" spans="1:5" ht="14.4" customHeight="1" x14ac:dyDescent="0.3">
      <c r="A8" s="273" t="str">
        <f>HYPERLINK("#'LŽ PL'!A1","Plnění pozitivního listu (min. 90%)")</f>
        <v>Plnění pozitivního listu (min. 90%)</v>
      </c>
      <c r="B8" s="150" t="s">
        <v>124</v>
      </c>
      <c r="C8" s="152">
        <v>0.9</v>
      </c>
      <c r="D8" s="152">
        <f>IF(ISERROR(VLOOKUP("celkem",'LŽ PL'!$A:$F,5,0)),0,VLOOKUP("celkem",'LŽ PL'!$A:$F,5,0))</f>
        <v>1</v>
      </c>
      <c r="E8" s="148">
        <f t="shared" si="0"/>
        <v>1.1111111111111112</v>
      </c>
    </row>
    <row r="9" spans="1:5" ht="14.4" customHeight="1" x14ac:dyDescent="0.3">
      <c r="A9" s="273" t="str">
        <f>HYPERLINK("#'LŽ Statim'!A1","Podíl statimových žádanek (max. 30%)")</f>
        <v>Podíl statimových žádanek (max. 30%)</v>
      </c>
      <c r="B9" s="271" t="s">
        <v>190</v>
      </c>
      <c r="C9" s="272">
        <v>0.3</v>
      </c>
      <c r="D9" s="272">
        <f>IF('LŽ Statim'!G3="",0,'LŽ Statim'!G3)</f>
        <v>0</v>
      </c>
      <c r="E9" s="148">
        <f>IF(C9=0,0,D9/C9)</f>
        <v>0</v>
      </c>
    </row>
    <row r="10" spans="1:5" ht="14.4" customHeight="1" x14ac:dyDescent="0.3">
      <c r="A10" s="153" t="s">
        <v>127</v>
      </c>
      <c r="B10" s="150"/>
      <c r="C10" s="151"/>
      <c r="D10" s="151"/>
      <c r="E10" s="148"/>
    </row>
    <row r="11" spans="1:5" ht="14.4" customHeight="1" x14ac:dyDescent="0.3">
      <c r="A11" s="153" t="s">
        <v>128</v>
      </c>
      <c r="B11" s="150"/>
      <c r="C11" s="151"/>
      <c r="D11" s="151"/>
      <c r="E11" s="148"/>
    </row>
    <row r="12" spans="1:5" ht="14.4" customHeight="1" x14ac:dyDescent="0.3">
      <c r="A12" s="154" t="s">
        <v>132</v>
      </c>
      <c r="B12" s="150"/>
      <c r="C12" s="147"/>
      <c r="D12" s="147"/>
      <c r="E12" s="148"/>
    </row>
    <row r="13" spans="1:5" ht="14.4" customHeight="1" x14ac:dyDescent="0.3">
      <c r="A13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0" t="s">
        <v>96</v>
      </c>
      <c r="C13" s="151">
        <f>IF(ISERROR(HI!F6),"",HI!F6)</f>
        <v>2545.8665819702151</v>
      </c>
      <c r="D13" s="151">
        <f>IF(ISERROR(HI!E6),"",HI!E6)</f>
        <v>2262.548510000001</v>
      </c>
      <c r="E13" s="148">
        <f t="shared" si="0"/>
        <v>0.88871448567781675</v>
      </c>
    </row>
    <row r="14" spans="1:5" ht="14.4" customHeight="1" thickBot="1" x14ac:dyDescent="0.35">
      <c r="A14" s="156" t="str">
        <f>HYPERLINK("#HI!A1","Osobní náklady")</f>
        <v>Osobní náklady</v>
      </c>
      <c r="B14" s="150"/>
      <c r="C14" s="147">
        <f ca="1">IF(ISERROR(VLOOKUP("Osobní náklady (Kč) *",INDIRECT("HI!$A:$G"),6,0)),0,VLOOKUP("Osobní náklady (Kč) *",INDIRECT("HI!$A:$G"),6,0))</f>
        <v>19641.333708496095</v>
      </c>
      <c r="D14" s="147">
        <f ca="1">IF(ISERROR(VLOOKUP("Osobní náklady (Kč) *",INDIRECT("HI!$A:$G"),5,0)),0,VLOOKUP("Osobní náklady (Kč) *",INDIRECT("HI!$A:$G"),5,0))</f>
        <v>20733.241900000001</v>
      </c>
      <c r="E14" s="148">
        <f ca="1">IF(C14=0,0,D14/C14)</f>
        <v>1.05559236494371</v>
      </c>
    </row>
    <row r="15" spans="1:5" ht="14.4" customHeight="1" thickBot="1" x14ac:dyDescent="0.35">
      <c r="A15" s="160"/>
      <c r="B15" s="161"/>
      <c r="C15" s="162"/>
      <c r="D15" s="162"/>
      <c r="E15" s="163"/>
    </row>
    <row r="16" spans="1:5" ht="14.4" customHeight="1" thickBot="1" x14ac:dyDescent="0.35">
      <c r="A16" s="164" t="str">
        <f>HYPERLINK("#HI!A1","VÝNOSY CELKEM (v tisících)")</f>
        <v>VÝNOSY CELKEM (v tisících)</v>
      </c>
      <c r="B16" s="165"/>
      <c r="C16" s="166">
        <f ca="1">IF(ISERROR(VLOOKUP("Výnosy celkem",INDIRECT("HI!$A:$G"),6,0)),0,VLOOKUP("Výnosy celkem",INDIRECT("HI!$A:$G"),6,0))</f>
        <v>12410.393239999996</v>
      </c>
      <c r="D16" s="166">
        <f ca="1">IF(ISERROR(VLOOKUP("Výnosy celkem",INDIRECT("HI!$A:$G"),5,0)),0,VLOOKUP("Výnosy celkem",INDIRECT("HI!$A:$G"),5,0))</f>
        <v>12177.920069999996</v>
      </c>
      <c r="E16" s="167">
        <f t="shared" ref="E16:E19" ca="1" si="1">IF(C16=0,0,D16/C16)</f>
        <v>0.98126786432111479</v>
      </c>
    </row>
    <row r="17" spans="1:5" ht="14.4" customHeight="1" x14ac:dyDescent="0.3">
      <c r="A17" s="168" t="str">
        <f>HYPERLINK("#HI!A1","Ambulance (body za výkony + Kč za ZUM a ZULP)")</f>
        <v>Ambulance (body za výkony + Kč za ZUM a ZULP)</v>
      </c>
      <c r="B17" s="146"/>
      <c r="C17" s="147">
        <f ca="1">IF(ISERROR(VLOOKUP("Ambulance *",INDIRECT("HI!$A:$G"),6,0)),0,VLOOKUP("Ambulance *",INDIRECT("HI!$A:$G"),6,0))</f>
        <v>12410.393239999996</v>
      </c>
      <c r="D17" s="147">
        <f ca="1">IF(ISERROR(VLOOKUP("Ambulance *",INDIRECT("HI!$A:$G"),5,0)),0,VLOOKUP("Ambulance *",INDIRECT("HI!$A:$G"),5,0))</f>
        <v>12177.920069999996</v>
      </c>
      <c r="E17" s="148">
        <f t="shared" ca="1" si="1"/>
        <v>0.98126786432111479</v>
      </c>
    </row>
    <row r="18" spans="1:5" ht="14.4" customHeight="1" x14ac:dyDescent="0.3">
      <c r="A18" s="281" t="str">
        <f>HYPERLINK("#'ZV Vykáz.-A'!A1","Zdravotní výkony vykázané u ambulantních pacientů (min. 100 % 2016)")</f>
        <v>Zdravotní výkony vykázané u ambulantních pacientů (min. 100 % 2016)</v>
      </c>
      <c r="B18" s="282" t="s">
        <v>106</v>
      </c>
      <c r="C18" s="152">
        <v>1</v>
      </c>
      <c r="D18" s="152">
        <f>IF(ISERROR(VLOOKUP("Celkem:",'ZV Vykáz.-A'!$A:$AB,10,0)),"",VLOOKUP("Celkem:",'ZV Vykáz.-A'!$A:$AB,10,0))</f>
        <v>0.98126786432111479</v>
      </c>
      <c r="E18" s="148">
        <f t="shared" si="1"/>
        <v>0.98126786432111479</v>
      </c>
    </row>
    <row r="19" spans="1:5" ht="14.4" customHeight="1" x14ac:dyDescent="0.3">
      <c r="A19" s="280" t="str">
        <f>HYPERLINK("#'ZV Vykáz.-A'!A1","Specializovaná ambulantní péče")</f>
        <v>Specializovaná ambulantní péče</v>
      </c>
      <c r="B19" s="282" t="s">
        <v>106</v>
      </c>
      <c r="C19" s="152">
        <v>1</v>
      </c>
      <c r="D19" s="272">
        <f>IF(ISERROR(VLOOKUP("Specializovaná ambulantní péče",'ZV Vykáz.-A'!$A:$AB,10,0)),"",VLOOKUP("Specializovaná ambulantní péče",'ZV Vykáz.-A'!$A:$AB,10,0))</f>
        <v>0.98126786432111524</v>
      </c>
      <c r="E19" s="148">
        <f t="shared" si="1"/>
        <v>0.98126786432111524</v>
      </c>
    </row>
    <row r="20" spans="1:5" ht="14.4" customHeight="1" x14ac:dyDescent="0.3">
      <c r="A20" s="280" t="str">
        <f>HYPERLINK("#'ZV Vykáz.-A'!A1","Ambulantní péče ve vyjmenovaných odbornostech (§9)")</f>
        <v>Ambulantní péče ve vyjmenovaných odbornostech (§9)</v>
      </c>
      <c r="B20" s="282" t="s">
        <v>106</v>
      </c>
      <c r="C20" s="152">
        <v>1</v>
      </c>
      <c r="D20" s="272" t="str">
        <f>IF(ISERROR(VLOOKUP("Ambulantní péče ve vyjmenovaných odbornostech (§9) *",'ZV Vykáz.-A'!$A:$AB,10,0)),"",VLOOKUP("Ambulantní péče ve vyjmenovaných odbornostech (§9) *",'ZV Vykáz.-A'!$A:$AB,10,0))</f>
        <v/>
      </c>
      <c r="E20" s="148">
        <f>IF(OR(C20=0,D20=""),0,IF(C20="","",D20/C20))</f>
        <v>0</v>
      </c>
    </row>
    <row r="21" spans="1:5" ht="14.4" customHeight="1" x14ac:dyDescent="0.3">
      <c r="A21" s="169" t="str">
        <f>HYPERLINK("#HI!A1","Hospitalizace (casemix * 30000)")</f>
        <v>Hospitalizace (casemix * 30000)</v>
      </c>
      <c r="B21" s="150"/>
      <c r="C21" s="147">
        <f ca="1">IF(ISERROR(VLOOKUP("Hospitalizace *",INDIRECT("HI!$A:$G"),6,0)),0,VLOOKUP("Hospitalizace *",INDIRECT("HI!$A:$G"),6,0))</f>
        <v>0</v>
      </c>
      <c r="D21" s="147">
        <f ca="1">IF(ISERROR(VLOOKUP("Hospitalizace *",INDIRECT("HI!$A:$G"),5,0)),0,VLOOKUP("Hospitalizace *",INDIRECT("HI!$A:$G"),5,0))</f>
        <v>0</v>
      </c>
      <c r="E21" s="148">
        <f ca="1">IF(C21=0,0,D21/C21)</f>
        <v>0</v>
      </c>
    </row>
    <row r="22" spans="1:5" ht="14.4" customHeight="1" thickBot="1" x14ac:dyDescent="0.35">
      <c r="A22" s="170" t="s">
        <v>129</v>
      </c>
      <c r="B22" s="157"/>
      <c r="C22" s="158"/>
      <c r="D22" s="158"/>
      <c r="E22" s="159"/>
    </row>
    <row r="23" spans="1:5" ht="14.4" customHeight="1" thickBot="1" x14ac:dyDescent="0.35">
      <c r="A23" s="171"/>
      <c r="B23" s="172"/>
      <c r="C23" s="173"/>
      <c r="D23" s="173"/>
      <c r="E23" s="174"/>
    </row>
    <row r="24" spans="1:5" ht="14.4" customHeight="1" thickBot="1" x14ac:dyDescent="0.35">
      <c r="A24" s="175" t="s">
        <v>130</v>
      </c>
      <c r="B24" s="176"/>
      <c r="C24" s="177"/>
      <c r="D24" s="177"/>
      <c r="E24" s="178"/>
    </row>
  </sheetData>
  <mergeCells count="1">
    <mergeCell ref="A1:E1"/>
  </mergeCells>
  <conditionalFormatting sqref="E5">
    <cfRule type="cellIs" dxfId="6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53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">
    <cfRule type="cellIs" dxfId="52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4" bestFit="1" customWidth="1"/>
    <col min="2" max="2" width="9.5546875" style="114" hidden="1" customWidth="1" outlineLevel="1"/>
    <col min="3" max="3" width="9.5546875" style="114" customWidth="1" collapsed="1"/>
    <col min="4" max="4" width="2.21875" style="114" customWidth="1"/>
    <col min="5" max="8" width="9.5546875" style="114" customWidth="1"/>
    <col min="9" max="10" width="9.77734375" style="114" hidden="1" customWidth="1" outlineLevel="1"/>
    <col min="11" max="11" width="8.88671875" style="114" collapsed="1"/>
    <col min="12" max="16384" width="8.88671875" style="114"/>
  </cols>
  <sheetData>
    <row r="1" spans="1:10" ht="18.600000000000001" customHeight="1" thickBot="1" x14ac:dyDescent="0.4">
      <c r="A1" s="331" t="s">
        <v>117</v>
      </c>
      <c r="B1" s="331"/>
      <c r="C1" s="331"/>
      <c r="D1" s="331"/>
      <c r="E1" s="331"/>
      <c r="F1" s="331"/>
      <c r="G1" s="331"/>
      <c r="H1" s="331"/>
      <c r="I1" s="331"/>
      <c r="J1" s="331"/>
    </row>
    <row r="2" spans="1:10" ht="14.4" customHeight="1" thickBot="1" x14ac:dyDescent="0.35">
      <c r="A2" s="210" t="s">
        <v>233</v>
      </c>
      <c r="B2" s="96"/>
      <c r="C2" s="96"/>
      <c r="D2" s="96"/>
      <c r="E2" s="96"/>
      <c r="F2" s="96"/>
    </row>
    <row r="3" spans="1:10" ht="14.4" customHeight="1" x14ac:dyDescent="0.3">
      <c r="A3" s="322"/>
      <c r="B3" s="92">
        <v>2015</v>
      </c>
      <c r="C3" s="40">
        <v>2016</v>
      </c>
      <c r="D3" s="7"/>
      <c r="E3" s="326">
        <v>2017</v>
      </c>
      <c r="F3" s="327"/>
      <c r="G3" s="327"/>
      <c r="H3" s="328"/>
      <c r="I3" s="329">
        <v>2017</v>
      </c>
      <c r="J3" s="330"/>
    </row>
    <row r="4" spans="1:10" ht="14.4" customHeight="1" thickBot="1" x14ac:dyDescent="0.35">
      <c r="A4" s="323"/>
      <c r="B4" s="324" t="s">
        <v>60</v>
      </c>
      <c r="C4" s="325"/>
      <c r="D4" s="7"/>
      <c r="E4" s="113" t="s">
        <v>60</v>
      </c>
      <c r="F4" s="94" t="s">
        <v>61</v>
      </c>
      <c r="G4" s="94" t="s">
        <v>55</v>
      </c>
      <c r="H4" s="95" t="s">
        <v>62</v>
      </c>
      <c r="I4" s="285" t="s">
        <v>224</v>
      </c>
      <c r="J4" s="286" t="s">
        <v>225</v>
      </c>
    </row>
    <row r="5" spans="1:10" ht="14.4" customHeight="1" x14ac:dyDescent="0.3">
      <c r="A5" s="97" t="str">
        <f>HYPERLINK("#'Léky Žádanky'!A1","Léky (Kč)")</f>
        <v>Léky (Kč)</v>
      </c>
      <c r="B5" s="27">
        <v>193.07076999999998</v>
      </c>
      <c r="C5" s="29">
        <v>195.39825999999999</v>
      </c>
      <c r="D5" s="8"/>
      <c r="E5" s="102">
        <v>226.95992999999999</v>
      </c>
      <c r="F5" s="28">
        <v>210.00000524902345</v>
      </c>
      <c r="G5" s="101">
        <f>E5-F5</f>
        <v>16.959924750976541</v>
      </c>
      <c r="H5" s="107">
        <f>IF(F5&lt;0.00000001,"",E5/F5)</f>
        <v>1.0807615444145586</v>
      </c>
    </row>
    <row r="6" spans="1:10" ht="14.4" customHeight="1" x14ac:dyDescent="0.3">
      <c r="A6" s="97" t="str">
        <f>HYPERLINK("#'Materiál Žádanky'!A1","Materiál - SZM (Kč)")</f>
        <v>Materiál - SZM (Kč)</v>
      </c>
      <c r="B6" s="10">
        <v>2301.9334899999999</v>
      </c>
      <c r="C6" s="31">
        <v>2290.4471499999995</v>
      </c>
      <c r="D6" s="8"/>
      <c r="E6" s="103">
        <v>2262.548510000001</v>
      </c>
      <c r="F6" s="30">
        <v>2545.8665819702151</v>
      </c>
      <c r="G6" s="104">
        <f>E6-F6</f>
        <v>-283.31807197021408</v>
      </c>
      <c r="H6" s="108">
        <f>IF(F6&lt;0.00000001,"",E6/F6)</f>
        <v>0.88871448567781675</v>
      </c>
    </row>
    <row r="7" spans="1:10" ht="14.4" customHeight="1" x14ac:dyDescent="0.3">
      <c r="A7" s="97" t="str">
        <f>HYPERLINK("#'Osobní náklady'!A1","Osobní náklady (Kč) *")</f>
        <v>Osobní náklady (Kč) *</v>
      </c>
      <c r="B7" s="10">
        <v>18369.891920000002</v>
      </c>
      <c r="C7" s="31">
        <v>19136.664219999999</v>
      </c>
      <c r="D7" s="8"/>
      <c r="E7" s="103">
        <v>20733.241900000001</v>
      </c>
      <c r="F7" s="30">
        <v>19641.333708496095</v>
      </c>
      <c r="G7" s="104">
        <f>E7-F7</f>
        <v>1091.908191503906</v>
      </c>
      <c r="H7" s="108">
        <f>IF(F7&lt;0.00000001,"",E7/F7)</f>
        <v>1.05559236494371</v>
      </c>
    </row>
    <row r="8" spans="1:10" ht="14.4" customHeight="1" thickBot="1" x14ac:dyDescent="0.35">
      <c r="A8" s="1" t="s">
        <v>63</v>
      </c>
      <c r="B8" s="11">
        <v>4750.2034899999944</v>
      </c>
      <c r="C8" s="33">
        <v>4943.1978000000036</v>
      </c>
      <c r="D8" s="8"/>
      <c r="E8" s="105">
        <v>4333.821009999996</v>
      </c>
      <c r="F8" s="32">
        <v>4606.5481764221167</v>
      </c>
      <c r="G8" s="106">
        <f>E8-F8</f>
        <v>-272.72716642212072</v>
      </c>
      <c r="H8" s="109">
        <f>IF(F8&lt;0.00000001,"",E8/F8)</f>
        <v>0.94079576377426566</v>
      </c>
    </row>
    <row r="9" spans="1:10" ht="14.4" customHeight="1" thickBot="1" x14ac:dyDescent="0.35">
      <c r="A9" s="2" t="s">
        <v>64</v>
      </c>
      <c r="B9" s="3">
        <v>25615.099669999996</v>
      </c>
      <c r="C9" s="35">
        <v>26565.707430000002</v>
      </c>
      <c r="D9" s="8"/>
      <c r="E9" s="3">
        <v>27556.571349999998</v>
      </c>
      <c r="F9" s="34">
        <v>27003.748472137449</v>
      </c>
      <c r="G9" s="34">
        <f>E9-F9</f>
        <v>552.82287786254892</v>
      </c>
      <c r="H9" s="110">
        <f>IF(F9&lt;0.00000001,"",E9/F9)</f>
        <v>1.0204720792164448</v>
      </c>
    </row>
    <row r="10" spans="1:10" ht="14.4" customHeight="1" thickBot="1" x14ac:dyDescent="0.35">
      <c r="A10" s="12"/>
      <c r="B10" s="12"/>
      <c r="C10" s="93"/>
      <c r="D10" s="8"/>
      <c r="E10" s="12"/>
      <c r="F10" s="13"/>
    </row>
    <row r="11" spans="1:10" ht="14.4" customHeight="1" x14ac:dyDescent="0.3">
      <c r="A11" s="117" t="str">
        <f>HYPERLINK("#'ZV Vykáz.-A'!A1","Ambulance *")</f>
        <v>Ambulance *</v>
      </c>
      <c r="B11" s="9">
        <f>IF(ISERROR(VLOOKUP("Celkem:",'ZV Vykáz.-A'!A:H,2,0)),0,VLOOKUP("Celkem:",'ZV Vykáz.-A'!A:H,2,0)/1000)</f>
        <v>12757.182310000002</v>
      </c>
      <c r="C11" s="29">
        <f>IF(ISERROR(VLOOKUP("Celkem:",'ZV Vykáz.-A'!A:H,5,0)),0,VLOOKUP("Celkem:",'ZV Vykáz.-A'!A:H,5,0)/1000)</f>
        <v>12410.393239999996</v>
      </c>
      <c r="D11" s="8"/>
      <c r="E11" s="102">
        <f>IF(ISERROR(VLOOKUP("Celkem:",'ZV Vykáz.-A'!A:H,8,0)),0,VLOOKUP("Celkem:",'ZV Vykáz.-A'!A:H,8,0)/1000)</f>
        <v>12177.920069999996</v>
      </c>
      <c r="F11" s="28">
        <f>C11</f>
        <v>12410.393239999996</v>
      </c>
      <c r="G11" s="101">
        <f>E11-F11</f>
        <v>-232.4731699999993</v>
      </c>
      <c r="H11" s="107">
        <f>IF(F11&lt;0.00000001,"",E11/F11)</f>
        <v>0.98126786432111479</v>
      </c>
      <c r="I11" s="101">
        <f>E11-B11</f>
        <v>-579.26224000000548</v>
      </c>
      <c r="J11" s="107">
        <f>IF(B11&lt;0.00000001,"",E11/B11)</f>
        <v>0.9545932459124663</v>
      </c>
    </row>
    <row r="12" spans="1:10" ht="14.4" customHeight="1" thickBot="1" x14ac:dyDescent="0.35">
      <c r="A12" s="11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C12</f>
        <v>0</v>
      </c>
      <c r="G12" s="106">
        <f>E12-F12</f>
        <v>0</v>
      </c>
      <c r="H12" s="109" t="str">
        <f>IF(F12&lt;0.00000001,"",E12/F12)</f>
        <v/>
      </c>
      <c r="I12" s="106">
        <f>E12-B12</f>
        <v>0</v>
      </c>
      <c r="J12" s="109" t="str">
        <f>IF(B12&lt;0.00000001,"",E12/B12)</f>
        <v/>
      </c>
    </row>
    <row r="13" spans="1:10" ht="14.4" customHeight="1" thickBot="1" x14ac:dyDescent="0.35">
      <c r="A13" s="4" t="s">
        <v>67</v>
      </c>
      <c r="B13" s="5">
        <f>SUM(B11:B12)</f>
        <v>12757.182310000002</v>
      </c>
      <c r="C13" s="37">
        <f>SUM(C11:C12)</f>
        <v>12410.393239999996</v>
      </c>
      <c r="D13" s="8"/>
      <c r="E13" s="5">
        <f>SUM(E11:E12)</f>
        <v>12177.920069999996</v>
      </c>
      <c r="F13" s="36">
        <f>SUM(F11:F12)</f>
        <v>12410.393239999996</v>
      </c>
      <c r="G13" s="36">
        <f>E13-F13</f>
        <v>-232.4731699999993</v>
      </c>
      <c r="H13" s="111">
        <f>IF(F13&lt;0.00000001,"",E13/F13)</f>
        <v>0.98126786432111479</v>
      </c>
      <c r="I13" s="36">
        <f>SUM(I11:I12)</f>
        <v>-579.26224000000548</v>
      </c>
      <c r="J13" s="111">
        <f>IF(B13&lt;0.00000001,"",E13/B13)</f>
        <v>0.9545932459124663</v>
      </c>
    </row>
    <row r="14" spans="1:10" ht="14.4" customHeight="1" thickBot="1" x14ac:dyDescent="0.35">
      <c r="A14" s="12"/>
      <c r="B14" s="12"/>
      <c r="C14" s="93"/>
      <c r="D14" s="8"/>
      <c r="E14" s="12"/>
      <c r="F14" s="13"/>
    </row>
    <row r="15" spans="1:10" ht="14.4" customHeight="1" thickBot="1" x14ac:dyDescent="0.35">
      <c r="A15" s="119" t="str">
        <f>HYPERLINK("#'HI Graf'!A1","Hospodářský index (Výnosy / Náklady) *")</f>
        <v>Hospodářský index (Výnosy / Náklady) *</v>
      </c>
      <c r="B15" s="6">
        <f>IF(B9=0,"",B13/B9)</f>
        <v>0.49803367835187518</v>
      </c>
      <c r="C15" s="39">
        <f>IF(C9=0,"",C13/C9)</f>
        <v>0.46715839481034271</v>
      </c>
      <c r="D15" s="8"/>
      <c r="E15" s="6">
        <f>IF(E9=0,"",E13/E9)</f>
        <v>0.4419243568195213</v>
      </c>
      <c r="F15" s="38">
        <f>IF(F9=0,"",F13/F9)</f>
        <v>0.45958038947093133</v>
      </c>
      <c r="G15" s="38">
        <f>IF(ISERROR(F15-E15),"",E15-F15)</f>
        <v>-1.7656032651410025E-2</v>
      </c>
      <c r="H15" s="112">
        <f>IF(ISERROR(F15-E15),"",IF(F15&lt;0.00000001,"",E15/F15))</f>
        <v>0.96158227579785194</v>
      </c>
    </row>
    <row r="17" spans="1:8" ht="14.4" customHeight="1" x14ac:dyDescent="0.3">
      <c r="A17" s="98" t="s">
        <v>134</v>
      </c>
    </row>
    <row r="18" spans="1:8" ht="14.4" customHeight="1" x14ac:dyDescent="0.3">
      <c r="A18" s="249" t="s">
        <v>168</v>
      </c>
      <c r="B18" s="250"/>
      <c r="C18" s="250"/>
      <c r="D18" s="250"/>
      <c r="E18" s="250"/>
      <c r="F18" s="250"/>
      <c r="G18" s="250"/>
      <c r="H18" s="250"/>
    </row>
    <row r="19" spans="1:8" x14ac:dyDescent="0.3">
      <c r="A19" s="248" t="s">
        <v>167</v>
      </c>
      <c r="B19" s="250"/>
      <c r="C19" s="250"/>
      <c r="D19" s="250"/>
      <c r="E19" s="250"/>
      <c r="F19" s="250"/>
      <c r="G19" s="250"/>
      <c r="H19" s="250"/>
    </row>
    <row r="20" spans="1:8" ht="14.4" customHeight="1" x14ac:dyDescent="0.3">
      <c r="A20" s="99" t="s">
        <v>191</v>
      </c>
    </row>
    <row r="21" spans="1:8" ht="14.4" customHeight="1" x14ac:dyDescent="0.3">
      <c r="A21" s="99" t="s">
        <v>135</v>
      </c>
    </row>
    <row r="22" spans="1:8" ht="14.4" customHeight="1" x14ac:dyDescent="0.3">
      <c r="A22" s="100" t="s">
        <v>223</v>
      </c>
    </row>
    <row r="23" spans="1:8" ht="14.4" customHeight="1" x14ac:dyDescent="0.3">
      <c r="A23" s="100" t="s">
        <v>136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1" priority="8" operator="greaterThan">
      <formula>0</formula>
    </cfRule>
  </conditionalFormatting>
  <conditionalFormatting sqref="G11:G13 G15">
    <cfRule type="cellIs" dxfId="50" priority="7" operator="lessThan">
      <formula>0</formula>
    </cfRule>
  </conditionalFormatting>
  <conditionalFormatting sqref="H5:H9">
    <cfRule type="cellIs" dxfId="49" priority="6" operator="greaterThan">
      <formula>1</formula>
    </cfRule>
  </conditionalFormatting>
  <conditionalFormatting sqref="H11:H13 H15">
    <cfRule type="cellIs" dxfId="48" priority="5" operator="lessThan">
      <formula>1</formula>
    </cfRule>
  </conditionalFormatting>
  <conditionalFormatting sqref="I11:I13">
    <cfRule type="cellIs" dxfId="47" priority="4" operator="lessThan">
      <formula>0</formula>
    </cfRule>
  </conditionalFormatting>
  <conditionalFormatting sqref="J11:J13">
    <cfRule type="cellIs" dxfId="4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4"/>
    <col min="2" max="13" width="8.88671875" style="114" customWidth="1"/>
    <col min="14" max="16384" width="8.88671875" style="114"/>
  </cols>
  <sheetData>
    <row r="1" spans="1:13" ht="18.600000000000001" customHeight="1" thickBot="1" x14ac:dyDescent="0.4">
      <c r="A1" s="320" t="s">
        <v>90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</row>
    <row r="2" spans="1:13" ht="14.4" customHeight="1" x14ac:dyDescent="0.3">
      <c r="A2" s="210" t="s">
        <v>233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4.4" customHeight="1" x14ac:dyDescent="0.3">
      <c r="A3" s="180"/>
      <c r="B3" s="181" t="s">
        <v>69</v>
      </c>
      <c r="C3" s="182" t="s">
        <v>70</v>
      </c>
      <c r="D3" s="182" t="s">
        <v>71</v>
      </c>
      <c r="E3" s="181" t="s">
        <v>72</v>
      </c>
      <c r="F3" s="182" t="s">
        <v>73</v>
      </c>
      <c r="G3" s="182" t="s">
        <v>74</v>
      </c>
      <c r="H3" s="182" t="s">
        <v>75</v>
      </c>
      <c r="I3" s="182" t="s">
        <v>76</v>
      </c>
      <c r="J3" s="182" t="s">
        <v>77</v>
      </c>
      <c r="K3" s="182" t="s">
        <v>78</v>
      </c>
      <c r="L3" s="182" t="s">
        <v>79</v>
      </c>
      <c r="M3" s="182" t="s">
        <v>80</v>
      </c>
    </row>
    <row r="4" spans="1:13" ht="14.4" customHeight="1" x14ac:dyDescent="0.3">
      <c r="A4" s="180" t="s">
        <v>68</v>
      </c>
      <c r="B4" s="183">
        <f>(B10+B8)/B6</f>
        <v>0.57682746191550582</v>
      </c>
      <c r="C4" s="183">
        <f t="shared" ref="C4:M4" si="0">(C10+C8)/C6</f>
        <v>0.52308078754766041</v>
      </c>
      <c r="D4" s="183">
        <f t="shared" si="0"/>
        <v>0.53649541517770638</v>
      </c>
      <c r="E4" s="183">
        <f t="shared" si="0"/>
        <v>0.55907977653441587</v>
      </c>
      <c r="F4" s="183">
        <f t="shared" si="0"/>
        <v>0.55165677900600452</v>
      </c>
      <c r="G4" s="183">
        <f t="shared" si="0"/>
        <v>0.52260284323191242</v>
      </c>
      <c r="H4" s="183">
        <f t="shared" si="0"/>
        <v>0.46823441767372198</v>
      </c>
      <c r="I4" s="183">
        <f t="shared" si="0"/>
        <v>0.44192439020538721</v>
      </c>
      <c r="J4" s="183">
        <f t="shared" si="0"/>
        <v>0.44192439020538721</v>
      </c>
      <c r="K4" s="183">
        <f t="shared" si="0"/>
        <v>0.44192439020538721</v>
      </c>
      <c r="L4" s="183">
        <f t="shared" si="0"/>
        <v>0.44192439020538721</v>
      </c>
      <c r="M4" s="183">
        <f t="shared" si="0"/>
        <v>0.44192439020538721</v>
      </c>
    </row>
    <row r="5" spans="1:13" ht="14.4" customHeight="1" x14ac:dyDescent="0.3">
      <c r="A5" s="184" t="s">
        <v>40</v>
      </c>
      <c r="B5" s="183">
        <f>IF(ISERROR(VLOOKUP($A5,'Man Tab'!$A:$Q,COLUMN()+2,0)),0,VLOOKUP($A5,'Man Tab'!$A:$Q,COLUMN()+2,0))</f>
        <v>3350.9464400000002</v>
      </c>
      <c r="C5" s="183">
        <f>IF(ISERROR(VLOOKUP($A5,'Man Tab'!$A:$Q,COLUMN()+2,0)),0,VLOOKUP($A5,'Man Tab'!$A:$Q,COLUMN()+2,0))</f>
        <v>3447.9147200000002</v>
      </c>
      <c r="D5" s="183">
        <f>IF(ISERROR(VLOOKUP($A5,'Man Tab'!$A:$Q,COLUMN()+2,0)),0,VLOOKUP($A5,'Man Tab'!$A:$Q,COLUMN()+2,0))</f>
        <v>3563.1293300000102</v>
      </c>
      <c r="E5" s="183">
        <f>IF(ISERROR(VLOOKUP($A5,'Man Tab'!$A:$Q,COLUMN()+2,0)),0,VLOOKUP($A5,'Man Tab'!$A:$Q,COLUMN()+2,0))</f>
        <v>3103.27405</v>
      </c>
      <c r="F5" s="183">
        <f>IF(ISERROR(VLOOKUP($A5,'Man Tab'!$A:$Q,COLUMN()+2,0)),0,VLOOKUP($A5,'Man Tab'!$A:$Q,COLUMN()+2,0))</f>
        <v>3512.23119</v>
      </c>
      <c r="G5" s="183">
        <f>IF(ISERROR(VLOOKUP($A5,'Man Tab'!$A:$Q,COLUMN()+2,0)),0,VLOOKUP($A5,'Man Tab'!$A:$Q,COLUMN()+2,0))</f>
        <v>3313.32323</v>
      </c>
      <c r="H5" s="183">
        <f>IF(ISERROR(VLOOKUP($A5,'Man Tab'!$A:$Q,COLUMN()+2,0)),0,VLOOKUP($A5,'Man Tab'!$A:$Q,COLUMN()+2,0))</f>
        <v>4099.3189899999998</v>
      </c>
      <c r="I5" s="183">
        <f>IF(ISERROR(VLOOKUP($A5,'Man Tab'!$A:$Q,COLUMN()+2,0)),0,VLOOKUP($A5,'Man Tab'!$A:$Q,COLUMN()+2,0))</f>
        <v>3166.4334000000099</v>
      </c>
      <c r="J5" s="183">
        <f>IF(ISERROR(VLOOKUP($A5,'Man Tab'!$A:$Q,COLUMN()+2,0)),0,VLOOKUP($A5,'Man Tab'!$A:$Q,COLUMN()+2,0))</f>
        <v>0</v>
      </c>
      <c r="K5" s="183">
        <f>IF(ISERROR(VLOOKUP($A5,'Man Tab'!$A:$Q,COLUMN()+2,0)),0,VLOOKUP($A5,'Man Tab'!$A:$Q,COLUMN()+2,0))</f>
        <v>0</v>
      </c>
      <c r="L5" s="183">
        <f>IF(ISERROR(VLOOKUP($A5,'Man Tab'!$A:$Q,COLUMN()+2,0)),0,VLOOKUP($A5,'Man Tab'!$A:$Q,COLUMN()+2,0))</f>
        <v>0</v>
      </c>
      <c r="M5" s="183">
        <f>IF(ISERROR(VLOOKUP($A5,'Man Tab'!$A:$Q,COLUMN()+2,0)),0,VLOOKUP($A5,'Man Tab'!$A:$Q,COLUMN()+2,0))</f>
        <v>0</v>
      </c>
    </row>
    <row r="6" spans="1:13" ht="14.4" customHeight="1" x14ac:dyDescent="0.3">
      <c r="A6" s="184" t="s">
        <v>64</v>
      </c>
      <c r="B6" s="185">
        <f>B5</f>
        <v>3350.9464400000002</v>
      </c>
      <c r="C6" s="185">
        <f t="shared" ref="C6:M6" si="1">C5+B6</f>
        <v>6798.8611600000004</v>
      </c>
      <c r="D6" s="185">
        <f t="shared" si="1"/>
        <v>10361.990490000011</v>
      </c>
      <c r="E6" s="185">
        <f t="shared" si="1"/>
        <v>13465.264540000011</v>
      </c>
      <c r="F6" s="185">
        <f t="shared" si="1"/>
        <v>16977.49573000001</v>
      </c>
      <c r="G6" s="185">
        <f t="shared" si="1"/>
        <v>20290.818960000011</v>
      </c>
      <c r="H6" s="185">
        <f t="shared" si="1"/>
        <v>24390.137950000011</v>
      </c>
      <c r="I6" s="185">
        <f t="shared" si="1"/>
        <v>27556.57135000002</v>
      </c>
      <c r="J6" s="185">
        <f t="shared" si="1"/>
        <v>27556.57135000002</v>
      </c>
      <c r="K6" s="185">
        <f t="shared" si="1"/>
        <v>27556.57135000002</v>
      </c>
      <c r="L6" s="185">
        <f t="shared" si="1"/>
        <v>27556.57135000002</v>
      </c>
      <c r="M6" s="185">
        <f t="shared" si="1"/>
        <v>27556.57135000002</v>
      </c>
    </row>
    <row r="7" spans="1:13" ht="14.4" customHeight="1" x14ac:dyDescent="0.3">
      <c r="A7" s="184" t="s">
        <v>88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spans="1:13" ht="14.4" customHeight="1" x14ac:dyDescent="0.3">
      <c r="A8" s="184" t="s">
        <v>65</v>
      </c>
      <c r="B8" s="185">
        <f>B7*30</f>
        <v>0</v>
      </c>
      <c r="C8" s="185">
        <f t="shared" ref="C8:M8" si="2">C7*30</f>
        <v>0</v>
      </c>
      <c r="D8" s="185">
        <f t="shared" si="2"/>
        <v>0</v>
      </c>
      <c r="E8" s="185">
        <f t="shared" si="2"/>
        <v>0</v>
      </c>
      <c r="F8" s="185">
        <f t="shared" si="2"/>
        <v>0</v>
      </c>
      <c r="G8" s="185">
        <f t="shared" si="2"/>
        <v>0</v>
      </c>
      <c r="H8" s="185">
        <f t="shared" si="2"/>
        <v>0</v>
      </c>
      <c r="I8" s="185">
        <f t="shared" si="2"/>
        <v>0</v>
      </c>
      <c r="J8" s="185">
        <f t="shared" si="2"/>
        <v>0</v>
      </c>
      <c r="K8" s="185">
        <f t="shared" si="2"/>
        <v>0</v>
      </c>
      <c r="L8" s="185">
        <f t="shared" si="2"/>
        <v>0</v>
      </c>
      <c r="M8" s="185">
        <f t="shared" si="2"/>
        <v>0</v>
      </c>
    </row>
    <row r="9" spans="1:13" ht="14.4" customHeight="1" x14ac:dyDescent="0.3">
      <c r="A9" s="184" t="s">
        <v>89</v>
      </c>
      <c r="B9" s="184">
        <v>1932917.9300000002</v>
      </c>
      <c r="C9" s="184">
        <v>1623435.7199999997</v>
      </c>
      <c r="D9" s="184">
        <v>2002806.7400000012</v>
      </c>
      <c r="E9" s="184">
        <v>1968996.6999999997</v>
      </c>
      <c r="F9" s="184">
        <v>1837593.5199999998</v>
      </c>
      <c r="G9" s="184">
        <v>1238289.07</v>
      </c>
      <c r="H9" s="184">
        <v>816262.35999999987</v>
      </c>
      <c r="I9" s="184">
        <v>757618.95</v>
      </c>
      <c r="J9" s="184">
        <v>0</v>
      </c>
      <c r="K9" s="184">
        <v>0</v>
      </c>
      <c r="L9" s="184">
        <v>0</v>
      </c>
      <c r="M9" s="184">
        <v>0</v>
      </c>
    </row>
    <row r="10" spans="1:13" ht="14.4" customHeight="1" x14ac:dyDescent="0.3">
      <c r="A10" s="184" t="s">
        <v>66</v>
      </c>
      <c r="B10" s="185">
        <f>B9/1000</f>
        <v>1932.9179300000001</v>
      </c>
      <c r="C10" s="185">
        <f t="shared" ref="C10:M10" si="3">C9/1000+B10</f>
        <v>3556.35365</v>
      </c>
      <c r="D10" s="185">
        <f t="shared" si="3"/>
        <v>5559.1603900000009</v>
      </c>
      <c r="E10" s="185">
        <f t="shared" si="3"/>
        <v>7528.1570900000006</v>
      </c>
      <c r="F10" s="185">
        <f t="shared" si="3"/>
        <v>9365.750610000001</v>
      </c>
      <c r="G10" s="185">
        <f t="shared" si="3"/>
        <v>10604.039680000002</v>
      </c>
      <c r="H10" s="185">
        <f t="shared" si="3"/>
        <v>11420.302040000002</v>
      </c>
      <c r="I10" s="185">
        <f t="shared" si="3"/>
        <v>12177.920990000002</v>
      </c>
      <c r="J10" s="185">
        <f t="shared" si="3"/>
        <v>12177.920990000002</v>
      </c>
      <c r="K10" s="185">
        <f t="shared" si="3"/>
        <v>12177.920990000002</v>
      </c>
      <c r="L10" s="185">
        <f t="shared" si="3"/>
        <v>12177.920990000002</v>
      </c>
      <c r="M10" s="185">
        <f t="shared" si="3"/>
        <v>12177.920990000002</v>
      </c>
    </row>
    <row r="11" spans="1:13" ht="14.4" customHeight="1" x14ac:dyDescent="0.3">
      <c r="A11" s="180"/>
      <c r="B11" s="180" t="s">
        <v>81</v>
      </c>
      <c r="C11" s="180">
        <f ca="1">IF(MONTH(TODAY())=1,12,MONTH(TODAY())-1)</f>
        <v>8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</row>
    <row r="12" spans="1:13" ht="14.4" customHeight="1" x14ac:dyDescent="0.3">
      <c r="A12" s="180">
        <v>0</v>
      </c>
      <c r="B12" s="183">
        <f>IF(ISERROR(HI!F15),#REF!,HI!F15)</f>
        <v>0.45958038947093133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</row>
    <row r="13" spans="1:13" ht="14.4" customHeight="1" x14ac:dyDescent="0.3">
      <c r="A13" s="180">
        <v>1</v>
      </c>
      <c r="B13" s="183">
        <f>IF(ISERROR(HI!F15),#REF!,HI!F15)</f>
        <v>0.45958038947093133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4" bestFit="1" customWidth="1"/>
    <col min="2" max="2" width="12.77734375" style="114" bestFit="1" customWidth="1"/>
    <col min="3" max="3" width="13.6640625" style="114" bestFit="1" customWidth="1"/>
    <col min="4" max="15" width="7.77734375" style="114" bestFit="1" customWidth="1"/>
    <col min="16" max="16" width="8.88671875" style="114" customWidth="1"/>
    <col min="17" max="17" width="6.6640625" style="114" bestFit="1" customWidth="1"/>
    <col min="18" max="16384" width="8.88671875" style="114"/>
  </cols>
  <sheetData>
    <row r="1" spans="1:17" s="186" customFormat="1" ht="18.600000000000001" customHeight="1" thickBot="1" x14ac:dyDescent="0.4">
      <c r="A1" s="332" t="s">
        <v>235</v>
      </c>
      <c r="B1" s="332"/>
      <c r="C1" s="332"/>
      <c r="D1" s="332"/>
      <c r="E1" s="332"/>
      <c r="F1" s="332"/>
      <c r="G1" s="332"/>
      <c r="H1" s="320"/>
      <c r="I1" s="320"/>
      <c r="J1" s="320"/>
      <c r="K1" s="320"/>
      <c r="L1" s="320"/>
      <c r="M1" s="320"/>
      <c r="N1" s="320"/>
      <c r="O1" s="320"/>
      <c r="P1" s="320"/>
      <c r="Q1" s="320"/>
    </row>
    <row r="2" spans="1:17" s="186" customFormat="1" ht="14.4" customHeight="1" thickBot="1" x14ac:dyDescent="0.3">
      <c r="A2" s="210" t="s">
        <v>233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 ht="14.4" customHeight="1" x14ac:dyDescent="0.3">
      <c r="A3" s="68"/>
      <c r="B3" s="333" t="s">
        <v>16</v>
      </c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122"/>
      <c r="Q3" s="124"/>
    </row>
    <row r="4" spans="1:17" ht="14.4" customHeight="1" x14ac:dyDescent="0.3">
      <c r="A4" s="69"/>
      <c r="B4" s="20">
        <v>2017</v>
      </c>
      <c r="C4" s="123" t="s">
        <v>17</v>
      </c>
      <c r="D4" s="279" t="s">
        <v>199</v>
      </c>
      <c r="E4" s="279" t="s">
        <v>200</v>
      </c>
      <c r="F4" s="279" t="s">
        <v>201</v>
      </c>
      <c r="G4" s="279" t="s">
        <v>202</v>
      </c>
      <c r="H4" s="279" t="s">
        <v>203</v>
      </c>
      <c r="I4" s="279" t="s">
        <v>204</v>
      </c>
      <c r="J4" s="279" t="s">
        <v>205</v>
      </c>
      <c r="K4" s="279" t="s">
        <v>206</v>
      </c>
      <c r="L4" s="279" t="s">
        <v>207</v>
      </c>
      <c r="M4" s="279" t="s">
        <v>208</v>
      </c>
      <c r="N4" s="279" t="s">
        <v>209</v>
      </c>
      <c r="O4" s="279" t="s">
        <v>210</v>
      </c>
      <c r="P4" s="335" t="s">
        <v>3</v>
      </c>
      <c r="Q4" s="336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234</v>
      </c>
    </row>
    <row r="7" spans="1:17" ht="14.4" customHeight="1" x14ac:dyDescent="0.3">
      <c r="A7" s="15" t="s">
        <v>22</v>
      </c>
      <c r="B7" s="51">
        <v>315</v>
      </c>
      <c r="C7" s="52">
        <v>26.25</v>
      </c>
      <c r="D7" s="52">
        <v>52.911580000000001</v>
      </c>
      <c r="E7" s="52">
        <v>29.51229</v>
      </c>
      <c r="F7" s="52">
        <v>19.572199999999999</v>
      </c>
      <c r="G7" s="52">
        <v>26.040769999999998</v>
      </c>
      <c r="H7" s="52">
        <v>40.044609999999999</v>
      </c>
      <c r="I7" s="52">
        <v>27.63044</v>
      </c>
      <c r="J7" s="52">
        <v>23.65804</v>
      </c>
      <c r="K7" s="52">
        <v>7.59</v>
      </c>
      <c r="L7" s="52">
        <v>0</v>
      </c>
      <c r="M7" s="52">
        <v>0</v>
      </c>
      <c r="N7" s="52">
        <v>0</v>
      </c>
      <c r="O7" s="52">
        <v>0</v>
      </c>
      <c r="P7" s="53">
        <v>226.95993000000001</v>
      </c>
      <c r="Q7" s="81">
        <v>1.0807615714279999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234</v>
      </c>
    </row>
    <row r="9" spans="1:17" ht="14.4" customHeight="1" x14ac:dyDescent="0.3">
      <c r="A9" s="15" t="s">
        <v>24</v>
      </c>
      <c r="B9" s="51">
        <v>3818.8</v>
      </c>
      <c r="C9" s="52">
        <v>318.23333333333301</v>
      </c>
      <c r="D9" s="52">
        <v>332.72593999999998</v>
      </c>
      <c r="E9" s="52">
        <v>215.90207000000001</v>
      </c>
      <c r="F9" s="52">
        <v>366.45630000000102</v>
      </c>
      <c r="G9" s="52">
        <v>271.45558</v>
      </c>
      <c r="H9" s="52">
        <v>329.22966000000002</v>
      </c>
      <c r="I9" s="52">
        <v>286.66818000000001</v>
      </c>
      <c r="J9" s="52">
        <v>260.87508000000003</v>
      </c>
      <c r="K9" s="52">
        <v>199.235700000001</v>
      </c>
      <c r="L9" s="52">
        <v>0</v>
      </c>
      <c r="M9" s="52">
        <v>0</v>
      </c>
      <c r="N9" s="52">
        <v>0</v>
      </c>
      <c r="O9" s="52">
        <v>0</v>
      </c>
      <c r="P9" s="53">
        <v>2262.5485100000001</v>
      </c>
      <c r="Q9" s="81">
        <v>0.88871445611099997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234</v>
      </c>
    </row>
    <row r="11" spans="1:17" ht="14.4" customHeight="1" x14ac:dyDescent="0.3">
      <c r="A11" s="15" t="s">
        <v>26</v>
      </c>
      <c r="B11" s="51">
        <v>485.88508802796503</v>
      </c>
      <c r="C11" s="52">
        <v>40.490424002330002</v>
      </c>
      <c r="D11" s="52">
        <v>43.405250000000002</v>
      </c>
      <c r="E11" s="52">
        <v>32.659709999999997</v>
      </c>
      <c r="F11" s="52">
        <v>47.863439999999997</v>
      </c>
      <c r="G11" s="52">
        <v>37.566760000000002</v>
      </c>
      <c r="H11" s="52">
        <v>48.207569999999997</v>
      </c>
      <c r="I11" s="52">
        <v>40.803829999999998</v>
      </c>
      <c r="J11" s="52">
        <v>43.490319999999997</v>
      </c>
      <c r="K11" s="52">
        <v>9.2942099999999996</v>
      </c>
      <c r="L11" s="52">
        <v>0</v>
      </c>
      <c r="M11" s="52">
        <v>0</v>
      </c>
      <c r="N11" s="52">
        <v>0</v>
      </c>
      <c r="O11" s="52">
        <v>0</v>
      </c>
      <c r="P11" s="53">
        <v>303.29109</v>
      </c>
      <c r="Q11" s="81">
        <v>0.93630499517099997</v>
      </c>
    </row>
    <row r="12" spans="1:17" ht="14.4" customHeight="1" x14ac:dyDescent="0.3">
      <c r="A12" s="15" t="s">
        <v>27</v>
      </c>
      <c r="B12" s="51">
        <v>80.304315999897995</v>
      </c>
      <c r="C12" s="52">
        <v>6.6920263333239998</v>
      </c>
      <c r="D12" s="52">
        <v>7.1068800000000003</v>
      </c>
      <c r="E12" s="52">
        <v>-4.2706799999999996</v>
      </c>
      <c r="F12" s="52">
        <v>8.5530500000000007</v>
      </c>
      <c r="G12" s="52">
        <v>3.0950700000000002</v>
      </c>
      <c r="H12" s="52">
        <v>1.8520000000000001</v>
      </c>
      <c r="I12" s="52">
        <v>4.1951000000000001</v>
      </c>
      <c r="J12" s="52">
        <v>2.1231200000000001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22.654540000000001</v>
      </c>
      <c r="Q12" s="81">
        <v>0.423162934356</v>
      </c>
    </row>
    <row r="13" spans="1:17" ht="14.4" customHeight="1" x14ac:dyDescent="0.3">
      <c r="A13" s="15" t="s">
        <v>28</v>
      </c>
      <c r="B13" s="51">
        <v>119.150595699832</v>
      </c>
      <c r="C13" s="52">
        <v>9.9292163083190008</v>
      </c>
      <c r="D13" s="52">
        <v>8.7081300000000006</v>
      </c>
      <c r="E13" s="52">
        <v>10.794219999999999</v>
      </c>
      <c r="F13" s="52">
        <v>6.9953500000000002</v>
      </c>
      <c r="G13" s="52">
        <v>11.860609999999999</v>
      </c>
      <c r="H13" s="52">
        <v>14.943720000000001</v>
      </c>
      <c r="I13" s="52">
        <v>8.5970399999999998</v>
      </c>
      <c r="J13" s="52">
        <v>5.6326299999999998</v>
      </c>
      <c r="K13" s="52">
        <v>2.0254500000000002</v>
      </c>
      <c r="L13" s="52">
        <v>0</v>
      </c>
      <c r="M13" s="52">
        <v>0</v>
      </c>
      <c r="N13" s="52">
        <v>0</v>
      </c>
      <c r="O13" s="52">
        <v>0</v>
      </c>
      <c r="P13" s="53">
        <v>69.557149999999993</v>
      </c>
      <c r="Q13" s="81">
        <v>0.87566263842100001</v>
      </c>
    </row>
    <row r="14" spans="1:17" ht="14.4" customHeight="1" x14ac:dyDescent="0.3">
      <c r="A14" s="15" t="s">
        <v>29</v>
      </c>
      <c r="B14" s="51">
        <v>1510.8689016810499</v>
      </c>
      <c r="C14" s="52">
        <v>125.90574180675399</v>
      </c>
      <c r="D14" s="52">
        <v>194.45689999999999</v>
      </c>
      <c r="E14" s="52">
        <v>165.60106999999999</v>
      </c>
      <c r="F14" s="52">
        <v>194.39254</v>
      </c>
      <c r="G14" s="52">
        <v>69.297989999999999</v>
      </c>
      <c r="H14" s="52">
        <v>92.94417</v>
      </c>
      <c r="I14" s="52">
        <v>115.78991000000001</v>
      </c>
      <c r="J14" s="52">
        <v>29.341380000000001</v>
      </c>
      <c r="K14" s="52">
        <v>58.633139999999997</v>
      </c>
      <c r="L14" s="52">
        <v>0</v>
      </c>
      <c r="M14" s="52">
        <v>0</v>
      </c>
      <c r="N14" s="52">
        <v>0</v>
      </c>
      <c r="O14" s="52">
        <v>0</v>
      </c>
      <c r="P14" s="53">
        <v>920.45709999999997</v>
      </c>
      <c r="Q14" s="81">
        <v>0.91383550780800005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234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234</v>
      </c>
    </row>
    <row r="17" spans="1:17" ht="14.4" customHeight="1" x14ac:dyDescent="0.3">
      <c r="A17" s="15" t="s">
        <v>32</v>
      </c>
      <c r="B17" s="51">
        <v>798.75325861768897</v>
      </c>
      <c r="C17" s="52">
        <v>66.562771551474</v>
      </c>
      <c r="D17" s="52">
        <v>92.604439999999997</v>
      </c>
      <c r="E17" s="52">
        <v>76.889489999999995</v>
      </c>
      <c r="F17" s="52">
        <v>23.642720000000001</v>
      </c>
      <c r="G17" s="52">
        <v>12.7453</v>
      </c>
      <c r="H17" s="52">
        <v>70.819289999999995</v>
      </c>
      <c r="I17" s="52">
        <v>8.9439200000000003</v>
      </c>
      <c r="J17" s="52">
        <v>10.519</v>
      </c>
      <c r="K17" s="52">
        <v>24.304780000000001</v>
      </c>
      <c r="L17" s="52">
        <v>0</v>
      </c>
      <c r="M17" s="52">
        <v>0</v>
      </c>
      <c r="N17" s="52">
        <v>0</v>
      </c>
      <c r="O17" s="52">
        <v>0</v>
      </c>
      <c r="P17" s="53">
        <v>320.46893999999998</v>
      </c>
      <c r="Q17" s="81">
        <v>0.60181715043200001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15.573</v>
      </c>
      <c r="I18" s="52">
        <v>16.129000000000001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31.702000000000002</v>
      </c>
      <c r="Q18" s="81" t="s">
        <v>234</v>
      </c>
    </row>
    <row r="19" spans="1:17" ht="14.4" customHeight="1" x14ac:dyDescent="0.3">
      <c r="A19" s="15" t="s">
        <v>34</v>
      </c>
      <c r="B19" s="51">
        <v>2518.8601691208801</v>
      </c>
      <c r="C19" s="52">
        <v>209.905014093407</v>
      </c>
      <c r="D19" s="52">
        <v>100.86099</v>
      </c>
      <c r="E19" s="52">
        <v>286.33215999999999</v>
      </c>
      <c r="F19" s="52">
        <v>285.24347</v>
      </c>
      <c r="G19" s="52">
        <v>104.41596</v>
      </c>
      <c r="H19" s="52">
        <v>321.23038000000003</v>
      </c>
      <c r="I19" s="52">
        <v>215.64877999999999</v>
      </c>
      <c r="J19" s="52">
        <v>127.64502</v>
      </c>
      <c r="K19" s="52">
        <v>170.23272</v>
      </c>
      <c r="L19" s="52">
        <v>0</v>
      </c>
      <c r="M19" s="52">
        <v>0</v>
      </c>
      <c r="N19" s="52">
        <v>0</v>
      </c>
      <c r="O19" s="52">
        <v>0</v>
      </c>
      <c r="P19" s="53">
        <v>1611.6094800000001</v>
      </c>
      <c r="Q19" s="81">
        <v>0.95972545424900002</v>
      </c>
    </row>
    <row r="20" spans="1:17" ht="14.4" customHeight="1" x14ac:dyDescent="0.3">
      <c r="A20" s="15" t="s">
        <v>35</v>
      </c>
      <c r="B20" s="51">
        <v>29462</v>
      </c>
      <c r="C20" s="52">
        <v>2455.1666666666702</v>
      </c>
      <c r="D20" s="52">
        <v>2396.08151</v>
      </c>
      <c r="E20" s="52">
        <v>2479.8608599999998</v>
      </c>
      <c r="F20" s="52">
        <v>2491.0756999999999</v>
      </c>
      <c r="G20" s="52">
        <v>2437.1869999999999</v>
      </c>
      <c r="H20" s="52">
        <v>2444.6385799999998</v>
      </c>
      <c r="I20" s="52">
        <v>2465.9626400000002</v>
      </c>
      <c r="J20" s="52">
        <v>3482.5647899999999</v>
      </c>
      <c r="K20" s="52">
        <v>2535.8708200000101</v>
      </c>
      <c r="L20" s="52">
        <v>0</v>
      </c>
      <c r="M20" s="52">
        <v>0</v>
      </c>
      <c r="N20" s="52">
        <v>0</v>
      </c>
      <c r="O20" s="52">
        <v>0</v>
      </c>
      <c r="P20" s="53">
        <v>20733.241900000001</v>
      </c>
      <c r="Q20" s="81">
        <v>1.0555923851060001</v>
      </c>
    </row>
    <row r="21" spans="1:17" ht="14.4" customHeight="1" x14ac:dyDescent="0.3">
      <c r="A21" s="16" t="s">
        <v>36</v>
      </c>
      <c r="B21" s="51">
        <v>1393</v>
      </c>
      <c r="C21" s="52">
        <v>116.083333333334</v>
      </c>
      <c r="D21" s="52">
        <v>122.08499999999999</v>
      </c>
      <c r="E21" s="52">
        <v>120.29600000000001</v>
      </c>
      <c r="F21" s="52">
        <v>119.083</v>
      </c>
      <c r="G21" s="52">
        <v>119.083</v>
      </c>
      <c r="H21" s="52">
        <v>119.083</v>
      </c>
      <c r="I21" s="52">
        <v>119.083</v>
      </c>
      <c r="J21" s="52">
        <v>113.47199999999999</v>
      </c>
      <c r="K21" s="52">
        <v>112.245</v>
      </c>
      <c r="L21" s="52">
        <v>0</v>
      </c>
      <c r="M21" s="52">
        <v>0</v>
      </c>
      <c r="N21" s="52">
        <v>0</v>
      </c>
      <c r="O21" s="52">
        <v>0</v>
      </c>
      <c r="P21" s="53">
        <v>944.43000000000097</v>
      </c>
      <c r="Q21" s="81">
        <v>1.016974156496</v>
      </c>
    </row>
    <row r="22" spans="1:17" ht="14.4" customHeight="1" x14ac:dyDescent="0.3">
      <c r="A22" s="15" t="s">
        <v>37</v>
      </c>
      <c r="B22" s="51">
        <v>3</v>
      </c>
      <c r="C22" s="52">
        <v>0.25</v>
      </c>
      <c r="D22" s="52">
        <v>0</v>
      </c>
      <c r="E22" s="52">
        <v>5.8810000000000002</v>
      </c>
      <c r="F22" s="52">
        <v>0</v>
      </c>
      <c r="G22" s="52">
        <v>5.048</v>
      </c>
      <c r="H22" s="52">
        <v>13.587999999999999</v>
      </c>
      <c r="I22" s="52">
        <v>3.8719999999999999</v>
      </c>
      <c r="J22" s="52">
        <v>0</v>
      </c>
      <c r="K22" s="52">
        <v>3.9</v>
      </c>
      <c r="L22" s="52">
        <v>0</v>
      </c>
      <c r="M22" s="52">
        <v>0</v>
      </c>
      <c r="N22" s="52">
        <v>0</v>
      </c>
      <c r="O22" s="52">
        <v>0</v>
      </c>
      <c r="P22" s="53">
        <v>32.289000000000001</v>
      </c>
      <c r="Q22" s="81">
        <v>16.144500000000001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234</v>
      </c>
    </row>
    <row r="24" spans="1:17" ht="14.4" customHeight="1" x14ac:dyDescent="0.3">
      <c r="A24" s="16" t="s">
        <v>39</v>
      </c>
      <c r="B24" s="51">
        <v>0</v>
      </c>
      <c r="C24" s="52">
        <v>-9.0949470177292804E-13</v>
      </c>
      <c r="D24" s="52">
        <v>-1.8000000000000001E-4</v>
      </c>
      <c r="E24" s="52">
        <v>28.456530000000001</v>
      </c>
      <c r="F24" s="52">
        <v>0.25155999999899997</v>
      </c>
      <c r="G24" s="52">
        <v>5.4780099999990002</v>
      </c>
      <c r="H24" s="52">
        <v>7.7210000000000001E-2</v>
      </c>
      <c r="I24" s="52">
        <v>-6.0999999999999997E-4</v>
      </c>
      <c r="J24" s="52">
        <v>-2.3900000000000002E-3</v>
      </c>
      <c r="K24" s="52">
        <v>43.101579999999998</v>
      </c>
      <c r="L24" s="52">
        <v>0</v>
      </c>
      <c r="M24" s="52">
        <v>0</v>
      </c>
      <c r="N24" s="52">
        <v>0</v>
      </c>
      <c r="O24" s="52">
        <v>0</v>
      </c>
      <c r="P24" s="53">
        <v>77.361710000000002</v>
      </c>
      <c r="Q24" s="81"/>
    </row>
    <row r="25" spans="1:17" ht="14.4" customHeight="1" x14ac:dyDescent="0.3">
      <c r="A25" s="17" t="s">
        <v>40</v>
      </c>
      <c r="B25" s="54">
        <v>40505.6223291473</v>
      </c>
      <c r="C25" s="55">
        <v>3375.46852742894</v>
      </c>
      <c r="D25" s="55">
        <v>3350.9464400000002</v>
      </c>
      <c r="E25" s="55">
        <v>3447.9147200000002</v>
      </c>
      <c r="F25" s="55">
        <v>3563.1293300000102</v>
      </c>
      <c r="G25" s="55">
        <v>3103.27405</v>
      </c>
      <c r="H25" s="55">
        <v>3512.23119</v>
      </c>
      <c r="I25" s="55">
        <v>3313.32323</v>
      </c>
      <c r="J25" s="55">
        <v>4099.3189899999998</v>
      </c>
      <c r="K25" s="55">
        <v>3166.4334000000099</v>
      </c>
      <c r="L25" s="55">
        <v>0</v>
      </c>
      <c r="M25" s="55">
        <v>0</v>
      </c>
      <c r="N25" s="55">
        <v>0</v>
      </c>
      <c r="O25" s="55">
        <v>0</v>
      </c>
      <c r="P25" s="56">
        <v>27556.571349999998</v>
      </c>
      <c r="Q25" s="82">
        <v>1.0204720887659999</v>
      </c>
    </row>
    <row r="26" spans="1:17" ht="14.4" customHeight="1" x14ac:dyDescent="0.3">
      <c r="A26" s="15" t="s">
        <v>41</v>
      </c>
      <c r="B26" s="51">
        <v>3652.4431301675199</v>
      </c>
      <c r="C26" s="52">
        <v>304.37026084729303</v>
      </c>
      <c r="D26" s="52">
        <v>278.19148999999999</v>
      </c>
      <c r="E26" s="52">
        <v>279.25601</v>
      </c>
      <c r="F26" s="52">
        <v>326.05703999999997</v>
      </c>
      <c r="G26" s="52">
        <v>311.05477000000002</v>
      </c>
      <c r="H26" s="52">
        <v>339.93146999999999</v>
      </c>
      <c r="I26" s="52">
        <v>348.42977000000002</v>
      </c>
      <c r="J26" s="52">
        <v>402.55464000000001</v>
      </c>
      <c r="K26" s="52">
        <v>393.49736999999999</v>
      </c>
      <c r="L26" s="52">
        <v>0</v>
      </c>
      <c r="M26" s="52">
        <v>0</v>
      </c>
      <c r="N26" s="52">
        <v>0</v>
      </c>
      <c r="O26" s="52">
        <v>0</v>
      </c>
      <c r="P26" s="53">
        <v>2678.9725600000002</v>
      </c>
      <c r="Q26" s="81">
        <v>1.1002112002260001</v>
      </c>
    </row>
    <row r="27" spans="1:17" ht="14.4" customHeight="1" x14ac:dyDescent="0.3">
      <c r="A27" s="18" t="s">
        <v>42</v>
      </c>
      <c r="B27" s="54">
        <v>44158.065459314799</v>
      </c>
      <c r="C27" s="55">
        <v>3679.8387882762399</v>
      </c>
      <c r="D27" s="55">
        <v>3629.1379299999999</v>
      </c>
      <c r="E27" s="55">
        <v>3727.1707299999998</v>
      </c>
      <c r="F27" s="55">
        <v>3889.1863700000099</v>
      </c>
      <c r="G27" s="55">
        <v>3414.3288200000002</v>
      </c>
      <c r="H27" s="55">
        <v>3852.16266</v>
      </c>
      <c r="I27" s="55">
        <v>3661.7530000000002</v>
      </c>
      <c r="J27" s="55">
        <v>4501.87363</v>
      </c>
      <c r="K27" s="55">
        <v>3559.9307700000099</v>
      </c>
      <c r="L27" s="55">
        <v>0</v>
      </c>
      <c r="M27" s="55">
        <v>0</v>
      </c>
      <c r="N27" s="55">
        <v>0</v>
      </c>
      <c r="O27" s="55">
        <v>0</v>
      </c>
      <c r="P27" s="56">
        <v>30235.54391</v>
      </c>
      <c r="Q27" s="82">
        <v>1.027067544586</v>
      </c>
    </row>
    <row r="28" spans="1:17" ht="14.4" customHeight="1" x14ac:dyDescent="0.3">
      <c r="A28" s="16" t="s">
        <v>43</v>
      </c>
      <c r="B28" s="51">
        <v>9269.5</v>
      </c>
      <c r="C28" s="52">
        <v>772.45833333333303</v>
      </c>
      <c r="D28" s="52">
        <v>830.69600000000003</v>
      </c>
      <c r="E28" s="52">
        <v>899.64080000000001</v>
      </c>
      <c r="F28" s="52">
        <v>1218.3420000000001</v>
      </c>
      <c r="G28" s="52">
        <v>978.77486999999996</v>
      </c>
      <c r="H28" s="52">
        <v>1005.654</v>
      </c>
      <c r="I28" s="52">
        <v>1155.6584700000001</v>
      </c>
      <c r="J28" s="52">
        <v>310.38040000000001</v>
      </c>
      <c r="K28" s="52">
        <v>522.10790999999995</v>
      </c>
      <c r="L28" s="52">
        <v>0</v>
      </c>
      <c r="M28" s="52">
        <v>0</v>
      </c>
      <c r="N28" s="52">
        <v>0</v>
      </c>
      <c r="O28" s="52">
        <v>0</v>
      </c>
      <c r="P28" s="53">
        <v>6921.2544500000004</v>
      </c>
      <c r="Q28" s="81">
        <v>1.1200044959269999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234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234</v>
      </c>
    </row>
    <row r="32" spans="1:17" ht="14.4" customHeight="1" x14ac:dyDescent="0.3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ht="14.4" customHeight="1" x14ac:dyDescent="0.3">
      <c r="A33" s="98" t="s">
        <v>134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</row>
    <row r="34" spans="1:17" ht="14.4" customHeight="1" x14ac:dyDescent="0.3">
      <c r="A34" s="120" t="s">
        <v>211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</row>
    <row r="35" spans="1:17" ht="14.4" customHeight="1" x14ac:dyDescent="0.3">
      <c r="A35" s="121" t="s">
        <v>47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4" customWidth="1"/>
    <col min="2" max="11" width="10" style="114" customWidth="1"/>
    <col min="12" max="16384" width="8.88671875" style="114"/>
  </cols>
  <sheetData>
    <row r="1" spans="1:11" s="60" customFormat="1" ht="18.600000000000001" customHeight="1" thickBot="1" x14ac:dyDescent="0.4">
      <c r="A1" s="332" t="s">
        <v>48</v>
      </c>
      <c r="B1" s="332"/>
      <c r="C1" s="332"/>
      <c r="D1" s="332"/>
      <c r="E1" s="332"/>
      <c r="F1" s="332"/>
      <c r="G1" s="332"/>
      <c r="H1" s="337"/>
      <c r="I1" s="337"/>
      <c r="J1" s="337"/>
      <c r="K1" s="337"/>
    </row>
    <row r="2" spans="1:11" s="60" customFormat="1" ht="14.4" customHeight="1" thickBot="1" x14ac:dyDescent="0.35">
      <c r="A2" s="210" t="s">
        <v>233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33" t="s">
        <v>49</v>
      </c>
      <c r="C3" s="334"/>
      <c r="D3" s="334"/>
      <c r="E3" s="334"/>
      <c r="F3" s="340" t="s">
        <v>50</v>
      </c>
      <c r="G3" s="334"/>
      <c r="H3" s="334"/>
      <c r="I3" s="334"/>
      <c r="J3" s="334"/>
      <c r="K3" s="341"/>
    </row>
    <row r="4" spans="1:11" ht="14.4" customHeight="1" x14ac:dyDescent="0.3">
      <c r="A4" s="69"/>
      <c r="B4" s="338"/>
      <c r="C4" s="339"/>
      <c r="D4" s="339"/>
      <c r="E4" s="339"/>
      <c r="F4" s="342" t="s">
        <v>212</v>
      </c>
      <c r="G4" s="344" t="s">
        <v>51</v>
      </c>
      <c r="H4" s="125" t="s">
        <v>121</v>
      </c>
      <c r="I4" s="342" t="s">
        <v>52</v>
      </c>
      <c r="J4" s="344" t="s">
        <v>219</v>
      </c>
      <c r="K4" s="345" t="s">
        <v>213</v>
      </c>
    </row>
    <row r="5" spans="1:11" ht="42" thickBot="1" x14ac:dyDescent="0.35">
      <c r="A5" s="70"/>
      <c r="B5" s="24" t="s">
        <v>215</v>
      </c>
      <c r="C5" s="25" t="s">
        <v>216</v>
      </c>
      <c r="D5" s="26" t="s">
        <v>217</v>
      </c>
      <c r="E5" s="26" t="s">
        <v>218</v>
      </c>
      <c r="F5" s="343"/>
      <c r="G5" s="343"/>
      <c r="H5" s="25" t="s">
        <v>214</v>
      </c>
      <c r="I5" s="343"/>
      <c r="J5" s="343"/>
      <c r="K5" s="346"/>
    </row>
    <row r="6" spans="1:11" ht="14.4" customHeight="1" thickBot="1" x14ac:dyDescent="0.35">
      <c r="A6" s="413" t="s">
        <v>236</v>
      </c>
      <c r="B6" s="395">
        <v>38971.941760049303</v>
      </c>
      <c r="C6" s="395">
        <v>41339.829729999998</v>
      </c>
      <c r="D6" s="396">
        <v>2367.8879699507202</v>
      </c>
      <c r="E6" s="397">
        <v>1.0607587885800001</v>
      </c>
      <c r="F6" s="395">
        <v>40505.6223291473</v>
      </c>
      <c r="G6" s="396">
        <v>27003.748219431502</v>
      </c>
      <c r="H6" s="398">
        <v>3166.4334000000099</v>
      </c>
      <c r="I6" s="395">
        <v>27556.571349999998</v>
      </c>
      <c r="J6" s="396">
        <v>552.82313056847102</v>
      </c>
      <c r="K6" s="399">
        <v>0.68031472584399999</v>
      </c>
    </row>
    <row r="7" spans="1:11" ht="14.4" customHeight="1" thickBot="1" x14ac:dyDescent="0.35">
      <c r="A7" s="414" t="s">
        <v>237</v>
      </c>
      <c r="B7" s="395">
        <v>6353.0735140751603</v>
      </c>
      <c r="C7" s="395">
        <v>5939.9261100000003</v>
      </c>
      <c r="D7" s="396">
        <v>-413.147404075162</v>
      </c>
      <c r="E7" s="397">
        <v>0.93496889290499996</v>
      </c>
      <c r="F7" s="395">
        <v>6330.0089014087398</v>
      </c>
      <c r="G7" s="396">
        <v>4220.0059342724999</v>
      </c>
      <c r="H7" s="398">
        <v>276.77783000000102</v>
      </c>
      <c r="I7" s="395">
        <v>3805.45984</v>
      </c>
      <c r="J7" s="396">
        <v>-414.54609427249397</v>
      </c>
      <c r="K7" s="399">
        <v>0.60117764433900001</v>
      </c>
    </row>
    <row r="8" spans="1:11" ht="14.4" customHeight="1" thickBot="1" x14ac:dyDescent="0.35">
      <c r="A8" s="415" t="s">
        <v>238</v>
      </c>
      <c r="B8" s="395">
        <v>4806.2026411638599</v>
      </c>
      <c r="C8" s="395">
        <v>4446.4444599999997</v>
      </c>
      <c r="D8" s="396">
        <v>-359.75818116385301</v>
      </c>
      <c r="E8" s="397">
        <v>0.92514710509999998</v>
      </c>
      <c r="F8" s="395">
        <v>4819.1399997277003</v>
      </c>
      <c r="G8" s="396">
        <v>3212.7599998184601</v>
      </c>
      <c r="H8" s="398">
        <v>218.14469000000099</v>
      </c>
      <c r="I8" s="395">
        <v>2885.0027399999999</v>
      </c>
      <c r="J8" s="396">
        <v>-327.75725981846301</v>
      </c>
      <c r="K8" s="399">
        <v>0.598655100321</v>
      </c>
    </row>
    <row r="9" spans="1:11" ht="14.4" customHeight="1" thickBot="1" x14ac:dyDescent="0.35">
      <c r="A9" s="416" t="s">
        <v>239</v>
      </c>
      <c r="B9" s="400">
        <v>0</v>
      </c>
      <c r="C9" s="400">
        <v>-2.1360000000000001E-2</v>
      </c>
      <c r="D9" s="401">
        <v>-2.1360000000000001E-2</v>
      </c>
      <c r="E9" s="402" t="s">
        <v>234</v>
      </c>
      <c r="F9" s="400">
        <v>0</v>
      </c>
      <c r="G9" s="401">
        <v>0</v>
      </c>
      <c r="H9" s="403">
        <v>-6.7000000000000002E-4</v>
      </c>
      <c r="I9" s="400">
        <v>-8.4799999999999997E-3</v>
      </c>
      <c r="J9" s="401">
        <v>-8.4799999999999997E-3</v>
      </c>
      <c r="K9" s="404" t="s">
        <v>234</v>
      </c>
    </row>
    <row r="10" spans="1:11" ht="14.4" customHeight="1" thickBot="1" x14ac:dyDescent="0.35">
      <c r="A10" s="417" t="s">
        <v>240</v>
      </c>
      <c r="B10" s="395">
        <v>0</v>
      </c>
      <c r="C10" s="395">
        <v>-2.1360000000000001E-2</v>
      </c>
      <c r="D10" s="396">
        <v>-2.1360000000000001E-2</v>
      </c>
      <c r="E10" s="405" t="s">
        <v>234</v>
      </c>
      <c r="F10" s="395">
        <v>0</v>
      </c>
      <c r="G10" s="396">
        <v>0</v>
      </c>
      <c r="H10" s="398">
        <v>-6.7000000000000002E-4</v>
      </c>
      <c r="I10" s="395">
        <v>-8.4799999999999997E-3</v>
      </c>
      <c r="J10" s="396">
        <v>-8.4799999999999997E-3</v>
      </c>
      <c r="K10" s="406" t="s">
        <v>234</v>
      </c>
    </row>
    <row r="11" spans="1:11" ht="14.4" customHeight="1" thickBot="1" x14ac:dyDescent="0.35">
      <c r="A11" s="416" t="s">
        <v>241</v>
      </c>
      <c r="B11" s="400">
        <v>325.12253011157702</v>
      </c>
      <c r="C11" s="400">
        <v>318.94376</v>
      </c>
      <c r="D11" s="401">
        <v>-6.1787701115760001</v>
      </c>
      <c r="E11" s="407">
        <v>0.98099556462699999</v>
      </c>
      <c r="F11" s="400">
        <v>315</v>
      </c>
      <c r="G11" s="401">
        <v>210</v>
      </c>
      <c r="H11" s="403">
        <v>7.59</v>
      </c>
      <c r="I11" s="400">
        <v>226.95993000000001</v>
      </c>
      <c r="J11" s="401">
        <v>16.95993</v>
      </c>
      <c r="K11" s="408">
        <v>0.72050771428500004</v>
      </c>
    </row>
    <row r="12" spans="1:11" ht="14.4" customHeight="1" thickBot="1" x14ac:dyDescent="0.35">
      <c r="A12" s="417" t="s">
        <v>242</v>
      </c>
      <c r="B12" s="395">
        <v>268.02147828136799</v>
      </c>
      <c r="C12" s="395">
        <v>270.30925999999999</v>
      </c>
      <c r="D12" s="396">
        <v>2.287781718632</v>
      </c>
      <c r="E12" s="397">
        <v>1.0085358148650001</v>
      </c>
      <c r="F12" s="395">
        <v>268</v>
      </c>
      <c r="G12" s="396">
        <v>178.666666666667</v>
      </c>
      <c r="H12" s="398">
        <v>0</v>
      </c>
      <c r="I12" s="395">
        <v>157.05403999999999</v>
      </c>
      <c r="J12" s="396">
        <v>-21.612626666665999</v>
      </c>
      <c r="K12" s="399">
        <v>0.58602253731300002</v>
      </c>
    </row>
    <row r="13" spans="1:11" ht="14.4" customHeight="1" thickBot="1" x14ac:dyDescent="0.35">
      <c r="A13" s="417" t="s">
        <v>243</v>
      </c>
      <c r="B13" s="395">
        <v>2.0000001805580001</v>
      </c>
      <c r="C13" s="395">
        <v>1.4384999999999999</v>
      </c>
      <c r="D13" s="396">
        <v>-0.56150018055799999</v>
      </c>
      <c r="E13" s="397">
        <v>0.71924993506599999</v>
      </c>
      <c r="F13" s="395">
        <v>2</v>
      </c>
      <c r="G13" s="396">
        <v>1.333333333333</v>
      </c>
      <c r="H13" s="398">
        <v>0</v>
      </c>
      <c r="I13" s="395">
        <v>1.1818900000000001</v>
      </c>
      <c r="J13" s="396">
        <v>-0.151443333333</v>
      </c>
      <c r="K13" s="399">
        <v>0.59094500000000005</v>
      </c>
    </row>
    <row r="14" spans="1:11" ht="14.4" customHeight="1" thickBot="1" x14ac:dyDescent="0.35">
      <c r="A14" s="417" t="s">
        <v>244</v>
      </c>
      <c r="B14" s="395">
        <v>0.101046684277</v>
      </c>
      <c r="C14" s="395">
        <v>0</v>
      </c>
      <c r="D14" s="396">
        <v>-0.101046684277</v>
      </c>
      <c r="E14" s="397">
        <v>0</v>
      </c>
      <c r="F14" s="395">
        <v>0</v>
      </c>
      <c r="G14" s="396">
        <v>0</v>
      </c>
      <c r="H14" s="398">
        <v>0</v>
      </c>
      <c r="I14" s="395">
        <v>0</v>
      </c>
      <c r="J14" s="396">
        <v>0</v>
      </c>
      <c r="K14" s="399">
        <v>0</v>
      </c>
    </row>
    <row r="15" spans="1:11" ht="14.4" customHeight="1" thickBot="1" x14ac:dyDescent="0.35">
      <c r="A15" s="417" t="s">
        <v>245</v>
      </c>
      <c r="B15" s="395">
        <v>55.000004965370998</v>
      </c>
      <c r="C15" s="395">
        <v>47.195999999999998</v>
      </c>
      <c r="D15" s="396">
        <v>-7.804004965371</v>
      </c>
      <c r="E15" s="397">
        <v>0.85810901343900003</v>
      </c>
      <c r="F15" s="395">
        <v>45</v>
      </c>
      <c r="G15" s="396">
        <v>30</v>
      </c>
      <c r="H15" s="398">
        <v>7.59</v>
      </c>
      <c r="I15" s="395">
        <v>68.724000000000004</v>
      </c>
      <c r="J15" s="396">
        <v>38.723999999999997</v>
      </c>
      <c r="K15" s="399">
        <v>1.5271999999999999</v>
      </c>
    </row>
    <row r="16" spans="1:11" ht="14.4" customHeight="1" thickBot="1" x14ac:dyDescent="0.35">
      <c r="A16" s="416" t="s">
        <v>246</v>
      </c>
      <c r="B16" s="400">
        <v>3866.3274490500198</v>
      </c>
      <c r="C16" s="400">
        <v>3428.2334799999999</v>
      </c>
      <c r="D16" s="401">
        <v>-438.09396905001802</v>
      </c>
      <c r="E16" s="407">
        <v>0.88668989504200002</v>
      </c>
      <c r="F16" s="400">
        <v>3818.8</v>
      </c>
      <c r="G16" s="401">
        <v>2545.86666666667</v>
      </c>
      <c r="H16" s="403">
        <v>199.235700000001</v>
      </c>
      <c r="I16" s="400">
        <v>2262.5485100000001</v>
      </c>
      <c r="J16" s="401">
        <v>-283.31815666666603</v>
      </c>
      <c r="K16" s="408">
        <v>0.59247630407399998</v>
      </c>
    </row>
    <row r="17" spans="1:11" ht="14.4" customHeight="1" thickBot="1" x14ac:dyDescent="0.35">
      <c r="A17" s="417" t="s">
        <v>247</v>
      </c>
      <c r="B17" s="395">
        <v>1.252350113061</v>
      </c>
      <c r="C17" s="395">
        <v>0.86099999999999999</v>
      </c>
      <c r="D17" s="396">
        <v>-0.39135011306099998</v>
      </c>
      <c r="E17" s="397">
        <v>0.68750742385800001</v>
      </c>
      <c r="F17" s="395">
        <v>1</v>
      </c>
      <c r="G17" s="396">
        <v>0.66666666666600005</v>
      </c>
      <c r="H17" s="398">
        <v>0</v>
      </c>
      <c r="I17" s="395">
        <v>0.47286</v>
      </c>
      <c r="J17" s="396">
        <v>-0.19380666666599999</v>
      </c>
      <c r="K17" s="399">
        <v>0.47286</v>
      </c>
    </row>
    <row r="18" spans="1:11" ht="14.4" customHeight="1" thickBot="1" x14ac:dyDescent="0.35">
      <c r="A18" s="417" t="s">
        <v>248</v>
      </c>
      <c r="B18" s="395">
        <v>60.000005416769</v>
      </c>
      <c r="C18" s="395">
        <v>57.330399999999997</v>
      </c>
      <c r="D18" s="396">
        <v>-2.669605416769</v>
      </c>
      <c r="E18" s="397">
        <v>0.95550658040400005</v>
      </c>
      <c r="F18" s="395">
        <v>62</v>
      </c>
      <c r="G18" s="396">
        <v>41.333333333333002</v>
      </c>
      <c r="H18" s="398">
        <v>0</v>
      </c>
      <c r="I18" s="395">
        <v>41.529139999999998</v>
      </c>
      <c r="J18" s="396">
        <v>0.195806666666</v>
      </c>
      <c r="K18" s="399">
        <v>0.669824838709</v>
      </c>
    </row>
    <row r="19" spans="1:11" ht="14.4" customHeight="1" thickBot="1" x14ac:dyDescent="0.35">
      <c r="A19" s="417" t="s">
        <v>249</v>
      </c>
      <c r="B19" s="395">
        <v>88.000007944594003</v>
      </c>
      <c r="C19" s="395">
        <v>82.366669999999999</v>
      </c>
      <c r="D19" s="396">
        <v>-5.6333379445940004</v>
      </c>
      <c r="E19" s="397">
        <v>0.93598480186300004</v>
      </c>
      <c r="F19" s="395">
        <v>90</v>
      </c>
      <c r="G19" s="396">
        <v>60</v>
      </c>
      <c r="H19" s="398">
        <v>0.82764000000000004</v>
      </c>
      <c r="I19" s="395">
        <v>43.056229999999999</v>
      </c>
      <c r="J19" s="396">
        <v>-16.943770000000001</v>
      </c>
      <c r="K19" s="399">
        <v>0.478402555555</v>
      </c>
    </row>
    <row r="20" spans="1:11" ht="14.4" customHeight="1" thickBot="1" x14ac:dyDescent="0.35">
      <c r="A20" s="417" t="s">
        <v>250</v>
      </c>
      <c r="B20" s="395">
        <v>75.000006770960994</v>
      </c>
      <c r="C20" s="395">
        <v>75.110209999999995</v>
      </c>
      <c r="D20" s="396">
        <v>0.11020322903800001</v>
      </c>
      <c r="E20" s="397">
        <v>1.0014693762539999</v>
      </c>
      <c r="F20" s="395">
        <v>75</v>
      </c>
      <c r="G20" s="396">
        <v>50</v>
      </c>
      <c r="H20" s="398">
        <v>6.6157199999999996</v>
      </c>
      <c r="I20" s="395">
        <v>55.887720000000002</v>
      </c>
      <c r="J20" s="396">
        <v>5.8877199999999998</v>
      </c>
      <c r="K20" s="399">
        <v>0.74516959999999999</v>
      </c>
    </row>
    <row r="21" spans="1:11" ht="14.4" customHeight="1" thickBot="1" x14ac:dyDescent="0.35">
      <c r="A21" s="417" t="s">
        <v>251</v>
      </c>
      <c r="B21" s="395">
        <v>6.0000005416760001</v>
      </c>
      <c r="C21" s="395">
        <v>7.8138800000000002</v>
      </c>
      <c r="D21" s="396">
        <v>1.813879458323</v>
      </c>
      <c r="E21" s="397">
        <v>1.302313215761</v>
      </c>
      <c r="F21" s="395">
        <v>6</v>
      </c>
      <c r="G21" s="396">
        <v>4</v>
      </c>
      <c r="H21" s="398">
        <v>0.95020000000000004</v>
      </c>
      <c r="I21" s="395">
        <v>5.5312000000000001</v>
      </c>
      <c r="J21" s="396">
        <v>1.5311999999999999</v>
      </c>
      <c r="K21" s="399">
        <v>0.92186666666600003</v>
      </c>
    </row>
    <row r="22" spans="1:11" ht="14.4" customHeight="1" thickBot="1" x14ac:dyDescent="0.35">
      <c r="A22" s="417" t="s">
        <v>252</v>
      </c>
      <c r="B22" s="395">
        <v>180.000016250307</v>
      </c>
      <c r="C22" s="395">
        <v>177.42264</v>
      </c>
      <c r="D22" s="396">
        <v>-2.5773762503070001</v>
      </c>
      <c r="E22" s="397">
        <v>0.98568124434600002</v>
      </c>
      <c r="F22" s="395">
        <v>180</v>
      </c>
      <c r="G22" s="396">
        <v>120</v>
      </c>
      <c r="H22" s="398">
        <v>1.8754999999999999</v>
      </c>
      <c r="I22" s="395">
        <v>108.20407</v>
      </c>
      <c r="J22" s="396">
        <v>-11.79593</v>
      </c>
      <c r="K22" s="399">
        <v>0.60113372222200001</v>
      </c>
    </row>
    <row r="23" spans="1:11" ht="14.4" customHeight="1" thickBot="1" x14ac:dyDescent="0.35">
      <c r="A23" s="417" t="s">
        <v>253</v>
      </c>
      <c r="B23" s="395">
        <v>7.4750006748000003E-2</v>
      </c>
      <c r="C23" s="395">
        <v>2.2835899999999998</v>
      </c>
      <c r="D23" s="396">
        <v>2.2088399932509999</v>
      </c>
      <c r="E23" s="397">
        <v>30.549696238645002</v>
      </c>
      <c r="F23" s="395">
        <v>5</v>
      </c>
      <c r="G23" s="396">
        <v>3.333333333333</v>
      </c>
      <c r="H23" s="398">
        <v>0</v>
      </c>
      <c r="I23" s="395">
        <v>0.17188999999999999</v>
      </c>
      <c r="J23" s="396">
        <v>-3.1614433333330001</v>
      </c>
      <c r="K23" s="399">
        <v>3.4377999999999999E-2</v>
      </c>
    </row>
    <row r="24" spans="1:11" ht="14.4" customHeight="1" thickBot="1" x14ac:dyDescent="0.35">
      <c r="A24" s="417" t="s">
        <v>254</v>
      </c>
      <c r="B24" s="395">
        <v>3456.0003120059</v>
      </c>
      <c r="C24" s="395">
        <v>3025.0450900000001</v>
      </c>
      <c r="D24" s="396">
        <v>-430.95522200589897</v>
      </c>
      <c r="E24" s="397">
        <v>0.87530231970500005</v>
      </c>
      <c r="F24" s="395">
        <v>3399.8</v>
      </c>
      <c r="G24" s="396">
        <v>2266.5333333333301</v>
      </c>
      <c r="H24" s="398">
        <v>188.96664000000101</v>
      </c>
      <c r="I24" s="395">
        <v>2007.6954000000001</v>
      </c>
      <c r="J24" s="396">
        <v>-258.83793333333199</v>
      </c>
      <c r="K24" s="399">
        <v>0.590533384316</v>
      </c>
    </row>
    <row r="25" spans="1:11" ht="14.4" customHeight="1" thickBot="1" x14ac:dyDescent="0.35">
      <c r="A25" s="416" t="s">
        <v>255</v>
      </c>
      <c r="B25" s="400">
        <v>489.530878297664</v>
      </c>
      <c r="C25" s="400">
        <v>493.48662000000002</v>
      </c>
      <c r="D25" s="401">
        <v>3.9557417023350001</v>
      </c>
      <c r="E25" s="407">
        <v>1.0080806786200001</v>
      </c>
      <c r="F25" s="400">
        <v>485.88508802796503</v>
      </c>
      <c r="G25" s="401">
        <v>323.92339201864303</v>
      </c>
      <c r="H25" s="403">
        <v>9.2942099999999996</v>
      </c>
      <c r="I25" s="400">
        <v>303.29109</v>
      </c>
      <c r="J25" s="401">
        <v>-20.632302018642999</v>
      </c>
      <c r="K25" s="408">
        <v>0.62420333011399998</v>
      </c>
    </row>
    <row r="26" spans="1:11" ht="14.4" customHeight="1" thickBot="1" x14ac:dyDescent="0.35">
      <c r="A26" s="417" t="s">
        <v>256</v>
      </c>
      <c r="B26" s="395">
        <v>4.9549018673100003</v>
      </c>
      <c r="C26" s="395">
        <v>3.297999999999</v>
      </c>
      <c r="D26" s="396">
        <v>-1.65690186731</v>
      </c>
      <c r="E26" s="397">
        <v>0.66560349494600002</v>
      </c>
      <c r="F26" s="395">
        <v>0</v>
      </c>
      <c r="G26" s="396">
        <v>0</v>
      </c>
      <c r="H26" s="398">
        <v>0</v>
      </c>
      <c r="I26" s="395">
        <v>7.0678999999999998</v>
      </c>
      <c r="J26" s="396">
        <v>7.0678999999999998</v>
      </c>
      <c r="K26" s="406" t="s">
        <v>234</v>
      </c>
    </row>
    <row r="27" spans="1:11" ht="14.4" customHeight="1" thickBot="1" x14ac:dyDescent="0.35">
      <c r="A27" s="417" t="s">
        <v>257</v>
      </c>
      <c r="B27" s="395">
        <v>8.9117242745180008</v>
      </c>
      <c r="C27" s="395">
        <v>9.2529199999999996</v>
      </c>
      <c r="D27" s="396">
        <v>0.34119572548100002</v>
      </c>
      <c r="E27" s="397">
        <v>1.038286162696</v>
      </c>
      <c r="F27" s="395">
        <v>25</v>
      </c>
      <c r="G27" s="396">
        <v>16.666666666666</v>
      </c>
      <c r="H27" s="398">
        <v>1.9668600000000001</v>
      </c>
      <c r="I27" s="395">
        <v>17.08812</v>
      </c>
      <c r="J27" s="396">
        <v>0.421453333333</v>
      </c>
      <c r="K27" s="399">
        <v>0.68352480000000004</v>
      </c>
    </row>
    <row r="28" spans="1:11" ht="14.4" customHeight="1" thickBot="1" x14ac:dyDescent="0.35">
      <c r="A28" s="417" t="s">
        <v>258</v>
      </c>
      <c r="B28" s="395">
        <v>217.15544959507599</v>
      </c>
      <c r="C28" s="395">
        <v>186.84021000000001</v>
      </c>
      <c r="D28" s="396">
        <v>-30.315239595074999</v>
      </c>
      <c r="E28" s="397">
        <v>0.86039843968100005</v>
      </c>
      <c r="F28" s="395">
        <v>171.546637730523</v>
      </c>
      <c r="G28" s="396">
        <v>114.36442515368201</v>
      </c>
      <c r="H28" s="398">
        <v>0</v>
      </c>
      <c r="I28" s="395">
        <v>119.41692</v>
      </c>
      <c r="J28" s="396">
        <v>5.0524948463169999</v>
      </c>
      <c r="K28" s="399">
        <v>0.69611926867100005</v>
      </c>
    </row>
    <row r="29" spans="1:11" ht="14.4" customHeight="1" thickBot="1" x14ac:dyDescent="0.35">
      <c r="A29" s="417" t="s">
        <v>259</v>
      </c>
      <c r="B29" s="395">
        <v>39.827799437802</v>
      </c>
      <c r="C29" s="395">
        <v>36.095509999999997</v>
      </c>
      <c r="D29" s="396">
        <v>-3.7322894378020002</v>
      </c>
      <c r="E29" s="397">
        <v>0.90628933833900005</v>
      </c>
      <c r="F29" s="395">
        <v>40</v>
      </c>
      <c r="G29" s="396">
        <v>26.666666666666</v>
      </c>
      <c r="H29" s="398">
        <v>0.22650999999999999</v>
      </c>
      <c r="I29" s="395">
        <v>20.98039</v>
      </c>
      <c r="J29" s="396">
        <v>-5.6862766666660001</v>
      </c>
      <c r="K29" s="399">
        <v>0.52450975</v>
      </c>
    </row>
    <row r="30" spans="1:11" ht="14.4" customHeight="1" thickBot="1" x14ac:dyDescent="0.35">
      <c r="A30" s="417" t="s">
        <v>260</v>
      </c>
      <c r="B30" s="395">
        <v>21.456986357068999</v>
      </c>
      <c r="C30" s="395">
        <v>13.326029999999999</v>
      </c>
      <c r="D30" s="396">
        <v>-8.1309563570689996</v>
      </c>
      <c r="E30" s="397">
        <v>0.62105785864899998</v>
      </c>
      <c r="F30" s="395">
        <v>14.389628373447</v>
      </c>
      <c r="G30" s="396">
        <v>9.5930855822980003</v>
      </c>
      <c r="H30" s="398">
        <v>0</v>
      </c>
      <c r="I30" s="395">
        <v>12.47847</v>
      </c>
      <c r="J30" s="396">
        <v>2.8853844177010002</v>
      </c>
      <c r="K30" s="399">
        <v>0.86718500826699996</v>
      </c>
    </row>
    <row r="31" spans="1:11" ht="14.4" customHeight="1" thickBot="1" x14ac:dyDescent="0.35">
      <c r="A31" s="417" t="s">
        <v>261</v>
      </c>
      <c r="B31" s="395">
        <v>0</v>
      </c>
      <c r="C31" s="395">
        <v>0.02</v>
      </c>
      <c r="D31" s="396">
        <v>0.02</v>
      </c>
      <c r="E31" s="405" t="s">
        <v>262</v>
      </c>
      <c r="F31" s="395">
        <v>0</v>
      </c>
      <c r="G31" s="396">
        <v>0</v>
      </c>
      <c r="H31" s="398">
        <v>0</v>
      </c>
      <c r="I31" s="395">
        <v>0.02</v>
      </c>
      <c r="J31" s="396">
        <v>0.02</v>
      </c>
      <c r="K31" s="406" t="s">
        <v>234</v>
      </c>
    </row>
    <row r="32" spans="1:11" ht="14.4" customHeight="1" thickBot="1" x14ac:dyDescent="0.35">
      <c r="A32" s="417" t="s">
        <v>263</v>
      </c>
      <c r="B32" s="395">
        <v>0.862112033103</v>
      </c>
      <c r="C32" s="395">
        <v>15.10975</v>
      </c>
      <c r="D32" s="396">
        <v>14.247637966896001</v>
      </c>
      <c r="E32" s="397">
        <v>17.526434407377</v>
      </c>
      <c r="F32" s="395">
        <v>19</v>
      </c>
      <c r="G32" s="396">
        <v>12.666666666666</v>
      </c>
      <c r="H32" s="398">
        <v>0</v>
      </c>
      <c r="I32" s="395">
        <v>0.16009999999999999</v>
      </c>
      <c r="J32" s="396">
        <v>-12.506566666666</v>
      </c>
      <c r="K32" s="399">
        <v>8.4263157889999992E-3</v>
      </c>
    </row>
    <row r="33" spans="1:11" ht="14.4" customHeight="1" thickBot="1" x14ac:dyDescent="0.35">
      <c r="A33" s="417" t="s">
        <v>264</v>
      </c>
      <c r="B33" s="395">
        <v>106.041054350848</v>
      </c>
      <c r="C33" s="395">
        <v>77.685820000000007</v>
      </c>
      <c r="D33" s="396">
        <v>-28.355234350848001</v>
      </c>
      <c r="E33" s="397">
        <v>0.73260135402799997</v>
      </c>
      <c r="F33" s="395">
        <v>80</v>
      </c>
      <c r="G33" s="396">
        <v>53.333333333333002</v>
      </c>
      <c r="H33" s="398">
        <v>3.7050200000000002</v>
      </c>
      <c r="I33" s="395">
        <v>49.106299999999997</v>
      </c>
      <c r="J33" s="396">
        <v>-4.2270333333329999</v>
      </c>
      <c r="K33" s="399">
        <v>0.61382875000000003</v>
      </c>
    </row>
    <row r="34" spans="1:11" ht="14.4" customHeight="1" thickBot="1" x14ac:dyDescent="0.35">
      <c r="A34" s="417" t="s">
        <v>265</v>
      </c>
      <c r="B34" s="395">
        <v>18.269437384450999</v>
      </c>
      <c r="C34" s="395">
        <v>23.396719999999998</v>
      </c>
      <c r="D34" s="396">
        <v>5.1272826155480002</v>
      </c>
      <c r="E34" s="397">
        <v>1.280648084976</v>
      </c>
      <c r="F34" s="395">
        <v>25.948821923994</v>
      </c>
      <c r="G34" s="396">
        <v>17.299214615996</v>
      </c>
      <c r="H34" s="398">
        <v>1.6559299999999999</v>
      </c>
      <c r="I34" s="395">
        <v>15.443479999999999</v>
      </c>
      <c r="J34" s="396">
        <v>-1.855734615996</v>
      </c>
      <c r="K34" s="399">
        <v>0.59515148877400004</v>
      </c>
    </row>
    <row r="35" spans="1:11" ht="14.4" customHeight="1" thickBot="1" x14ac:dyDescent="0.35">
      <c r="A35" s="417" t="s">
        <v>266</v>
      </c>
      <c r="B35" s="395">
        <v>0</v>
      </c>
      <c r="C35" s="395">
        <v>15.419</v>
      </c>
      <c r="D35" s="396">
        <v>15.419</v>
      </c>
      <c r="E35" s="405" t="s">
        <v>234</v>
      </c>
      <c r="F35" s="395">
        <v>0</v>
      </c>
      <c r="G35" s="396">
        <v>0</v>
      </c>
      <c r="H35" s="398">
        <v>0</v>
      </c>
      <c r="I35" s="395">
        <v>0</v>
      </c>
      <c r="J35" s="396">
        <v>0</v>
      </c>
      <c r="K35" s="406" t="s">
        <v>234</v>
      </c>
    </row>
    <row r="36" spans="1:11" ht="14.4" customHeight="1" thickBot="1" x14ac:dyDescent="0.35">
      <c r="A36" s="417" t="s">
        <v>267</v>
      </c>
      <c r="B36" s="395">
        <v>0</v>
      </c>
      <c r="C36" s="395">
        <v>10.923999999999999</v>
      </c>
      <c r="D36" s="396">
        <v>10.923999999999999</v>
      </c>
      <c r="E36" s="405" t="s">
        <v>262</v>
      </c>
      <c r="F36" s="395">
        <v>0</v>
      </c>
      <c r="G36" s="396">
        <v>0</v>
      </c>
      <c r="H36" s="398">
        <v>1.325</v>
      </c>
      <c r="I36" s="395">
        <v>4.6399999999999997</v>
      </c>
      <c r="J36" s="396">
        <v>4.6399999999999997</v>
      </c>
      <c r="K36" s="406" t="s">
        <v>234</v>
      </c>
    </row>
    <row r="37" spans="1:11" ht="14.4" customHeight="1" thickBot="1" x14ac:dyDescent="0.35">
      <c r="A37" s="417" t="s">
        <v>268</v>
      </c>
      <c r="B37" s="395">
        <v>0</v>
      </c>
      <c r="C37" s="395">
        <v>0</v>
      </c>
      <c r="D37" s="396">
        <v>0</v>
      </c>
      <c r="E37" s="397">
        <v>1</v>
      </c>
      <c r="F37" s="395">
        <v>0</v>
      </c>
      <c r="G37" s="396">
        <v>0</v>
      </c>
      <c r="H37" s="398">
        <v>0</v>
      </c>
      <c r="I37" s="395">
        <v>1.1919999999999999</v>
      </c>
      <c r="J37" s="396">
        <v>1.1919999999999999</v>
      </c>
      <c r="K37" s="406" t="s">
        <v>262</v>
      </c>
    </row>
    <row r="38" spans="1:11" ht="14.4" customHeight="1" thickBot="1" x14ac:dyDescent="0.35">
      <c r="A38" s="417" t="s">
        <v>269</v>
      </c>
      <c r="B38" s="395">
        <v>72.051412997483993</v>
      </c>
      <c r="C38" s="395">
        <v>102.11866000000001</v>
      </c>
      <c r="D38" s="396">
        <v>30.067247002515</v>
      </c>
      <c r="E38" s="397">
        <v>1.4173026697410001</v>
      </c>
      <c r="F38" s="395">
        <v>100</v>
      </c>
      <c r="G38" s="396">
        <v>66.666666666666003</v>
      </c>
      <c r="H38" s="398">
        <v>0.41488999999999998</v>
      </c>
      <c r="I38" s="395">
        <v>55.697409999999998</v>
      </c>
      <c r="J38" s="396">
        <v>-10.969256666666</v>
      </c>
      <c r="K38" s="399">
        <v>0.55697410000000003</v>
      </c>
    </row>
    <row r="39" spans="1:11" ht="14.4" customHeight="1" thickBot="1" x14ac:dyDescent="0.35">
      <c r="A39" s="417" t="s">
        <v>270</v>
      </c>
      <c r="B39" s="395">
        <v>0</v>
      </c>
      <c r="C39" s="395">
        <v>0</v>
      </c>
      <c r="D39" s="396">
        <v>0</v>
      </c>
      <c r="E39" s="397">
        <v>1</v>
      </c>
      <c r="F39" s="395">
        <v>10</v>
      </c>
      <c r="G39" s="396">
        <v>6.6666666666659999</v>
      </c>
      <c r="H39" s="398">
        <v>0</v>
      </c>
      <c r="I39" s="395">
        <v>0</v>
      </c>
      <c r="J39" s="396">
        <v>-6.6666666666659999</v>
      </c>
      <c r="K39" s="399">
        <v>0</v>
      </c>
    </row>
    <row r="40" spans="1:11" ht="14.4" customHeight="1" thickBot="1" x14ac:dyDescent="0.35">
      <c r="A40" s="416" t="s">
        <v>271</v>
      </c>
      <c r="B40" s="400">
        <v>62.663959847645998</v>
      </c>
      <c r="C40" s="400">
        <v>98.949749999999995</v>
      </c>
      <c r="D40" s="401">
        <v>36.285790152353002</v>
      </c>
      <c r="E40" s="407">
        <v>1.5790535778549999</v>
      </c>
      <c r="F40" s="400">
        <v>80.304315999897995</v>
      </c>
      <c r="G40" s="401">
        <v>53.536210666598997</v>
      </c>
      <c r="H40" s="403">
        <v>0</v>
      </c>
      <c r="I40" s="400">
        <v>22.654540000000001</v>
      </c>
      <c r="J40" s="401">
        <v>-30.881670666599</v>
      </c>
      <c r="K40" s="408">
        <v>0.28210862290400002</v>
      </c>
    </row>
    <row r="41" spans="1:11" ht="14.4" customHeight="1" thickBot="1" x14ac:dyDescent="0.35">
      <c r="A41" s="417" t="s">
        <v>272</v>
      </c>
      <c r="B41" s="395">
        <v>58.955127105660999</v>
      </c>
      <c r="C41" s="395">
        <v>26.142679999999999</v>
      </c>
      <c r="D41" s="396">
        <v>-32.812447105661001</v>
      </c>
      <c r="E41" s="397">
        <v>0.44343352789500001</v>
      </c>
      <c r="F41" s="395">
        <v>0</v>
      </c>
      <c r="G41" s="396">
        <v>0</v>
      </c>
      <c r="H41" s="398">
        <v>0</v>
      </c>
      <c r="I41" s="395">
        <v>19.789549999999998</v>
      </c>
      <c r="J41" s="396">
        <v>19.789549999999998</v>
      </c>
      <c r="K41" s="406" t="s">
        <v>234</v>
      </c>
    </row>
    <row r="42" spans="1:11" ht="14.4" customHeight="1" thickBot="1" x14ac:dyDescent="0.35">
      <c r="A42" s="417" t="s">
        <v>273</v>
      </c>
      <c r="B42" s="395">
        <v>0.171065990147</v>
      </c>
      <c r="C42" s="395">
        <v>10.475</v>
      </c>
      <c r="D42" s="396">
        <v>10.303934009852</v>
      </c>
      <c r="E42" s="397">
        <v>61.233679418027002</v>
      </c>
      <c r="F42" s="395">
        <v>13.658759141219001</v>
      </c>
      <c r="G42" s="396">
        <v>9.1058394274789993</v>
      </c>
      <c r="H42" s="398">
        <v>0</v>
      </c>
      <c r="I42" s="395">
        <v>1.0649999999999999</v>
      </c>
      <c r="J42" s="396">
        <v>-8.0408394274789998</v>
      </c>
      <c r="K42" s="399">
        <v>7.7971943789000006E-2</v>
      </c>
    </row>
    <row r="43" spans="1:11" ht="14.4" customHeight="1" thickBot="1" x14ac:dyDescent="0.35">
      <c r="A43" s="417" t="s">
        <v>274</v>
      </c>
      <c r="B43" s="395">
        <v>0</v>
      </c>
      <c r="C43" s="395">
        <v>59.817500000000003</v>
      </c>
      <c r="D43" s="396">
        <v>59.817500000000003</v>
      </c>
      <c r="E43" s="405" t="s">
        <v>262</v>
      </c>
      <c r="F43" s="395">
        <v>64.020197211945003</v>
      </c>
      <c r="G43" s="396">
        <v>42.680131474630002</v>
      </c>
      <c r="H43" s="398">
        <v>0</v>
      </c>
      <c r="I43" s="395">
        <v>0</v>
      </c>
      <c r="J43" s="396">
        <v>-42.680131474630002</v>
      </c>
      <c r="K43" s="399">
        <v>0</v>
      </c>
    </row>
    <row r="44" spans="1:11" ht="14.4" customHeight="1" thickBot="1" x14ac:dyDescent="0.35">
      <c r="A44" s="417" t="s">
        <v>275</v>
      </c>
      <c r="B44" s="395">
        <v>0</v>
      </c>
      <c r="C44" s="395">
        <v>7.9000000000000001E-2</v>
      </c>
      <c r="D44" s="396">
        <v>7.9000000000000001E-2</v>
      </c>
      <c r="E44" s="405" t="s">
        <v>234</v>
      </c>
      <c r="F44" s="395">
        <v>7.3328019063000002E-2</v>
      </c>
      <c r="G44" s="396">
        <v>4.8885346041999997E-2</v>
      </c>
      <c r="H44" s="398">
        <v>0</v>
      </c>
      <c r="I44" s="395">
        <v>0.19800000000000001</v>
      </c>
      <c r="J44" s="396">
        <v>0.14911465395699999</v>
      </c>
      <c r="K44" s="399">
        <v>0</v>
      </c>
    </row>
    <row r="45" spans="1:11" ht="14.4" customHeight="1" thickBot="1" x14ac:dyDescent="0.35">
      <c r="A45" s="417" t="s">
        <v>276</v>
      </c>
      <c r="B45" s="395">
        <v>3.5377667518370002</v>
      </c>
      <c r="C45" s="395">
        <v>2.4355699999999998</v>
      </c>
      <c r="D45" s="396">
        <v>-1.1021967518369999</v>
      </c>
      <c r="E45" s="397">
        <v>0.68844843960799995</v>
      </c>
      <c r="F45" s="395">
        <v>2.5520316276699999</v>
      </c>
      <c r="G45" s="396">
        <v>1.701354418447</v>
      </c>
      <c r="H45" s="398">
        <v>0</v>
      </c>
      <c r="I45" s="395">
        <v>1.60199</v>
      </c>
      <c r="J45" s="396">
        <v>-9.9364418447000002E-2</v>
      </c>
      <c r="K45" s="399">
        <v>0.62773124855899998</v>
      </c>
    </row>
    <row r="46" spans="1:11" ht="14.4" customHeight="1" thickBot="1" x14ac:dyDescent="0.35">
      <c r="A46" s="416" t="s">
        <v>277</v>
      </c>
      <c r="B46" s="400">
        <v>62.557823856949</v>
      </c>
      <c r="C46" s="400">
        <v>106.85221</v>
      </c>
      <c r="D46" s="401">
        <v>44.294386143051</v>
      </c>
      <c r="E46" s="407">
        <v>1.7080550986609999</v>
      </c>
      <c r="F46" s="400">
        <v>119.150595699832</v>
      </c>
      <c r="G46" s="401">
        <v>79.433730466553996</v>
      </c>
      <c r="H46" s="403">
        <v>2.0254500000000002</v>
      </c>
      <c r="I46" s="400">
        <v>69.557149999999993</v>
      </c>
      <c r="J46" s="401">
        <v>-9.8765804665539996</v>
      </c>
      <c r="K46" s="408">
        <v>0.58377509228000002</v>
      </c>
    </row>
    <row r="47" spans="1:11" ht="14.4" customHeight="1" thickBot="1" x14ac:dyDescent="0.35">
      <c r="A47" s="417" t="s">
        <v>278</v>
      </c>
      <c r="B47" s="395">
        <v>0</v>
      </c>
      <c r="C47" s="395">
        <v>44.809170000000002</v>
      </c>
      <c r="D47" s="396">
        <v>44.809170000000002</v>
      </c>
      <c r="E47" s="405" t="s">
        <v>234</v>
      </c>
      <c r="F47" s="395">
        <v>50</v>
      </c>
      <c r="G47" s="396">
        <v>33.333333333333002</v>
      </c>
      <c r="H47" s="398">
        <v>2.0254500000000002</v>
      </c>
      <c r="I47" s="395">
        <v>24.263549999999999</v>
      </c>
      <c r="J47" s="396">
        <v>-9.0697833333329996</v>
      </c>
      <c r="K47" s="399">
        <v>0.48527099999899997</v>
      </c>
    </row>
    <row r="48" spans="1:11" ht="14.4" customHeight="1" thickBot="1" x14ac:dyDescent="0.35">
      <c r="A48" s="417" t="s">
        <v>279</v>
      </c>
      <c r="B48" s="395">
        <v>19.852380248336001</v>
      </c>
      <c r="C48" s="395">
        <v>17.32564</v>
      </c>
      <c r="D48" s="396">
        <v>-2.526740248336</v>
      </c>
      <c r="E48" s="397">
        <v>0.87272356177300003</v>
      </c>
      <c r="F48" s="395">
        <v>23.525565710972</v>
      </c>
      <c r="G48" s="396">
        <v>15.683710473981</v>
      </c>
      <c r="H48" s="398">
        <v>0</v>
      </c>
      <c r="I48" s="395">
        <v>13.513310000000001</v>
      </c>
      <c r="J48" s="396">
        <v>-2.1704004739810001</v>
      </c>
      <c r="K48" s="399">
        <v>0.57440956642700003</v>
      </c>
    </row>
    <row r="49" spans="1:11" ht="14.4" customHeight="1" thickBot="1" x14ac:dyDescent="0.35">
      <c r="A49" s="417" t="s">
        <v>280</v>
      </c>
      <c r="B49" s="395">
        <v>24.705441983581998</v>
      </c>
      <c r="C49" s="395">
        <v>22.167940000000002</v>
      </c>
      <c r="D49" s="396">
        <v>-2.5375019835820001</v>
      </c>
      <c r="E49" s="397">
        <v>0.89728975562199997</v>
      </c>
      <c r="F49" s="395">
        <v>22.625029988859001</v>
      </c>
      <c r="G49" s="396">
        <v>15.083353325906</v>
      </c>
      <c r="H49" s="398">
        <v>0</v>
      </c>
      <c r="I49" s="395">
        <v>11.232810000000001</v>
      </c>
      <c r="J49" s="396">
        <v>-3.850543325906</v>
      </c>
      <c r="K49" s="399">
        <v>0.496477131987</v>
      </c>
    </row>
    <row r="50" spans="1:11" ht="14.4" customHeight="1" thickBot="1" x14ac:dyDescent="0.35">
      <c r="A50" s="417" t="s">
        <v>281</v>
      </c>
      <c r="B50" s="395">
        <v>18.000001625029999</v>
      </c>
      <c r="C50" s="395">
        <v>22.54946</v>
      </c>
      <c r="D50" s="396">
        <v>4.5494583749690003</v>
      </c>
      <c r="E50" s="397">
        <v>1.25274766468</v>
      </c>
      <c r="F50" s="395">
        <v>23</v>
      </c>
      <c r="G50" s="396">
        <v>15.333333333333</v>
      </c>
      <c r="H50" s="398">
        <v>0</v>
      </c>
      <c r="I50" s="395">
        <v>20.54748</v>
      </c>
      <c r="J50" s="396">
        <v>5.2141466666660001</v>
      </c>
      <c r="K50" s="399">
        <v>0.89336869565199994</v>
      </c>
    </row>
    <row r="51" spans="1:11" ht="14.4" customHeight="1" thickBot="1" x14ac:dyDescent="0.35">
      <c r="A51" s="415" t="s">
        <v>29</v>
      </c>
      <c r="B51" s="395">
        <v>1546.87087291131</v>
      </c>
      <c r="C51" s="395">
        <v>1493.4816499999999</v>
      </c>
      <c r="D51" s="396">
        <v>-53.389222911307002</v>
      </c>
      <c r="E51" s="397">
        <v>0.96548566280000003</v>
      </c>
      <c r="F51" s="395">
        <v>1510.8689016810499</v>
      </c>
      <c r="G51" s="396">
        <v>1007.24593445403</v>
      </c>
      <c r="H51" s="398">
        <v>58.633139999999997</v>
      </c>
      <c r="I51" s="395">
        <v>920.45709999999997</v>
      </c>
      <c r="J51" s="396">
        <v>-86.788834454031004</v>
      </c>
      <c r="K51" s="399">
        <v>0.60922367187199999</v>
      </c>
    </row>
    <row r="52" spans="1:11" ht="14.4" customHeight="1" thickBot="1" x14ac:dyDescent="0.35">
      <c r="A52" s="416" t="s">
        <v>282</v>
      </c>
      <c r="B52" s="400">
        <v>1546.87087291131</v>
      </c>
      <c r="C52" s="400">
        <v>1493.4816499999999</v>
      </c>
      <c r="D52" s="401">
        <v>-53.389222911307002</v>
      </c>
      <c r="E52" s="407">
        <v>0.96548566280000003</v>
      </c>
      <c r="F52" s="400">
        <v>1510.8689016810499</v>
      </c>
      <c r="G52" s="401">
        <v>1007.24593445403</v>
      </c>
      <c r="H52" s="403">
        <v>58.633139999999997</v>
      </c>
      <c r="I52" s="400">
        <v>920.45709999999997</v>
      </c>
      <c r="J52" s="401">
        <v>-86.788834454031004</v>
      </c>
      <c r="K52" s="408">
        <v>0.60922367187199999</v>
      </c>
    </row>
    <row r="53" spans="1:11" ht="14.4" customHeight="1" thickBot="1" x14ac:dyDescent="0.35">
      <c r="A53" s="417" t="s">
        <v>283</v>
      </c>
      <c r="B53" s="395">
        <v>538.97442015608499</v>
      </c>
      <c r="C53" s="395">
        <v>503.67574999999999</v>
      </c>
      <c r="D53" s="396">
        <v>-35.298670156084</v>
      </c>
      <c r="E53" s="397">
        <v>0.93450770790500004</v>
      </c>
      <c r="F53" s="395">
        <v>522.99999999999795</v>
      </c>
      <c r="G53" s="396">
        <v>348.66666666666498</v>
      </c>
      <c r="H53" s="398">
        <v>26.262</v>
      </c>
      <c r="I53" s="395">
        <v>303.07125000000002</v>
      </c>
      <c r="J53" s="396">
        <v>-45.595416666665002</v>
      </c>
      <c r="K53" s="399">
        <v>0.57948613766699997</v>
      </c>
    </row>
    <row r="54" spans="1:11" ht="14.4" customHeight="1" thickBot="1" x14ac:dyDescent="0.35">
      <c r="A54" s="417" t="s">
        <v>284</v>
      </c>
      <c r="B54" s="395">
        <v>192.55925688983001</v>
      </c>
      <c r="C54" s="395">
        <v>200.81200000000001</v>
      </c>
      <c r="D54" s="396">
        <v>8.25274311017</v>
      </c>
      <c r="E54" s="397">
        <v>1.042858199826</v>
      </c>
      <c r="F54" s="395">
        <v>216.86890168105299</v>
      </c>
      <c r="G54" s="396">
        <v>144.57926778736899</v>
      </c>
      <c r="H54" s="398">
        <v>16.878</v>
      </c>
      <c r="I54" s="395">
        <v>134.87899999999999</v>
      </c>
      <c r="J54" s="396">
        <v>-9.7002677873680003</v>
      </c>
      <c r="K54" s="399">
        <v>0.62193794939900005</v>
      </c>
    </row>
    <row r="55" spans="1:11" ht="14.4" customHeight="1" thickBot="1" x14ac:dyDescent="0.35">
      <c r="A55" s="417" t="s">
        <v>285</v>
      </c>
      <c r="B55" s="395">
        <v>801.05155680542396</v>
      </c>
      <c r="C55" s="395">
        <v>784.65990000000102</v>
      </c>
      <c r="D55" s="396">
        <v>-16.391656805423001</v>
      </c>
      <c r="E55" s="397">
        <v>0.97953732607300004</v>
      </c>
      <c r="F55" s="395">
        <v>752.99999999999704</v>
      </c>
      <c r="G55" s="396">
        <v>501.99999999999801</v>
      </c>
      <c r="H55" s="398">
        <v>14.893140000000001</v>
      </c>
      <c r="I55" s="395">
        <v>478.30685</v>
      </c>
      <c r="J55" s="396">
        <v>-23.693149999997001</v>
      </c>
      <c r="K55" s="399">
        <v>0.63520166002599998</v>
      </c>
    </row>
    <row r="56" spans="1:11" ht="14.4" customHeight="1" thickBot="1" x14ac:dyDescent="0.35">
      <c r="A56" s="417" t="s">
        <v>286</v>
      </c>
      <c r="B56" s="395">
        <v>14.285639059969</v>
      </c>
      <c r="C56" s="395">
        <v>4.3339999999990004</v>
      </c>
      <c r="D56" s="396">
        <v>-9.9516390599690006</v>
      </c>
      <c r="E56" s="397">
        <v>0.303381597547</v>
      </c>
      <c r="F56" s="395">
        <v>17.999999999999002</v>
      </c>
      <c r="G56" s="396">
        <v>12</v>
      </c>
      <c r="H56" s="398">
        <v>0.6</v>
      </c>
      <c r="I56" s="395">
        <v>4.2</v>
      </c>
      <c r="J56" s="396">
        <v>-7.7999999999989997</v>
      </c>
      <c r="K56" s="399">
        <v>0.23333333333299999</v>
      </c>
    </row>
    <row r="57" spans="1:11" ht="14.4" customHeight="1" thickBot="1" x14ac:dyDescent="0.35">
      <c r="A57" s="418" t="s">
        <v>287</v>
      </c>
      <c r="B57" s="400">
        <v>3582.8642821357698</v>
      </c>
      <c r="C57" s="400">
        <v>4120.9793499999996</v>
      </c>
      <c r="D57" s="401">
        <v>538.11506786423399</v>
      </c>
      <c r="E57" s="407">
        <v>1.1501913065880001</v>
      </c>
      <c r="F57" s="400">
        <v>3317.61342773857</v>
      </c>
      <c r="G57" s="401">
        <v>2211.74228515905</v>
      </c>
      <c r="H57" s="403">
        <v>194.53750000000099</v>
      </c>
      <c r="I57" s="400">
        <v>1963.78042</v>
      </c>
      <c r="J57" s="401">
        <v>-247.96186515904699</v>
      </c>
      <c r="K57" s="408">
        <v>0.59192563050900004</v>
      </c>
    </row>
    <row r="58" spans="1:11" ht="14.4" customHeight="1" thickBot="1" x14ac:dyDescent="0.35">
      <c r="A58" s="415" t="s">
        <v>32</v>
      </c>
      <c r="B58" s="395">
        <v>1434.3185658244499</v>
      </c>
      <c r="C58" s="395">
        <v>1529.16623</v>
      </c>
      <c r="D58" s="396">
        <v>94.847664175545006</v>
      </c>
      <c r="E58" s="397">
        <v>1.066127334913</v>
      </c>
      <c r="F58" s="395">
        <v>798.75325861768897</v>
      </c>
      <c r="G58" s="396">
        <v>532.502172411792</v>
      </c>
      <c r="H58" s="398">
        <v>24.304780000000001</v>
      </c>
      <c r="I58" s="395">
        <v>320.46893999999998</v>
      </c>
      <c r="J58" s="396">
        <v>-212.033232411792</v>
      </c>
      <c r="K58" s="399">
        <v>0.40121143362099998</v>
      </c>
    </row>
    <row r="59" spans="1:11" ht="14.4" customHeight="1" thickBot="1" x14ac:dyDescent="0.35">
      <c r="A59" s="419" t="s">
        <v>288</v>
      </c>
      <c r="B59" s="395">
        <v>1434.3185658244499</v>
      </c>
      <c r="C59" s="395">
        <v>1529.16623</v>
      </c>
      <c r="D59" s="396">
        <v>94.847664175545006</v>
      </c>
      <c r="E59" s="397">
        <v>1.066127334913</v>
      </c>
      <c r="F59" s="395">
        <v>798.75325861768897</v>
      </c>
      <c r="G59" s="396">
        <v>532.502172411792</v>
      </c>
      <c r="H59" s="398">
        <v>24.304780000000001</v>
      </c>
      <c r="I59" s="395">
        <v>320.46893999999998</v>
      </c>
      <c r="J59" s="396">
        <v>-212.033232411792</v>
      </c>
      <c r="K59" s="399">
        <v>0.40121143362099998</v>
      </c>
    </row>
    <row r="60" spans="1:11" ht="14.4" customHeight="1" thickBot="1" x14ac:dyDescent="0.35">
      <c r="A60" s="417" t="s">
        <v>289</v>
      </c>
      <c r="B60" s="395">
        <v>98.873238712524994</v>
      </c>
      <c r="C60" s="395">
        <v>278.61081000000001</v>
      </c>
      <c r="D60" s="396">
        <v>179.737571287474</v>
      </c>
      <c r="E60" s="397">
        <v>2.8178586402939998</v>
      </c>
      <c r="F60" s="395">
        <v>297.57648417584898</v>
      </c>
      <c r="G60" s="396">
        <v>198.38432278389899</v>
      </c>
      <c r="H60" s="398">
        <v>0</v>
      </c>
      <c r="I60" s="395">
        <v>155.39866000000001</v>
      </c>
      <c r="J60" s="396">
        <v>-42.985662783899002</v>
      </c>
      <c r="K60" s="399">
        <v>0.52221418110499995</v>
      </c>
    </row>
    <row r="61" spans="1:11" ht="14.4" customHeight="1" thickBot="1" x14ac:dyDescent="0.35">
      <c r="A61" s="417" t="s">
        <v>290</v>
      </c>
      <c r="B61" s="395">
        <v>4.4787759087619996</v>
      </c>
      <c r="C61" s="395">
        <v>10.372999999999999</v>
      </c>
      <c r="D61" s="396">
        <v>5.8942240912369996</v>
      </c>
      <c r="E61" s="397">
        <v>2.3160346066219999</v>
      </c>
      <c r="F61" s="395">
        <v>0</v>
      </c>
      <c r="G61" s="396">
        <v>0</v>
      </c>
      <c r="H61" s="398">
        <v>0</v>
      </c>
      <c r="I61" s="395">
        <v>0</v>
      </c>
      <c r="J61" s="396">
        <v>0</v>
      </c>
      <c r="K61" s="406" t="s">
        <v>234</v>
      </c>
    </row>
    <row r="62" spans="1:11" ht="14.4" customHeight="1" thickBot="1" x14ac:dyDescent="0.35">
      <c r="A62" s="417" t="s">
        <v>291</v>
      </c>
      <c r="B62" s="395">
        <v>148.965180262464</v>
      </c>
      <c r="C62" s="395">
        <v>263.11066</v>
      </c>
      <c r="D62" s="396">
        <v>114.14547973753599</v>
      </c>
      <c r="E62" s="397">
        <v>1.766256111236</v>
      </c>
      <c r="F62" s="395">
        <v>235.17677444184</v>
      </c>
      <c r="G62" s="396">
        <v>156.78451629456001</v>
      </c>
      <c r="H62" s="398">
        <v>21.5</v>
      </c>
      <c r="I62" s="395">
        <v>23.050820000000002</v>
      </c>
      <c r="J62" s="396">
        <v>-133.73369629455999</v>
      </c>
      <c r="K62" s="399">
        <v>9.8014865857999997E-2</v>
      </c>
    </row>
    <row r="63" spans="1:11" ht="14.4" customHeight="1" thickBot="1" x14ac:dyDescent="0.35">
      <c r="A63" s="417" t="s">
        <v>292</v>
      </c>
      <c r="B63" s="395">
        <v>1072.1771310761501</v>
      </c>
      <c r="C63" s="395">
        <v>805.03980999999999</v>
      </c>
      <c r="D63" s="396">
        <v>-267.13732107614697</v>
      </c>
      <c r="E63" s="397">
        <v>0.75084590658200001</v>
      </c>
      <c r="F63" s="395">
        <v>84.999999999999005</v>
      </c>
      <c r="G63" s="396">
        <v>56.666666666666003</v>
      </c>
      <c r="H63" s="398">
        <v>2.8047800000000001</v>
      </c>
      <c r="I63" s="395">
        <v>42.550150000000002</v>
      </c>
      <c r="J63" s="396">
        <v>-14.116516666666</v>
      </c>
      <c r="K63" s="399">
        <v>0.50058999999999998</v>
      </c>
    </row>
    <row r="64" spans="1:11" ht="14.4" customHeight="1" thickBot="1" x14ac:dyDescent="0.35">
      <c r="A64" s="417" t="s">
        <v>293</v>
      </c>
      <c r="B64" s="395">
        <v>109.82423986455601</v>
      </c>
      <c r="C64" s="395">
        <v>172.03194999999999</v>
      </c>
      <c r="D64" s="396">
        <v>62.207710135443001</v>
      </c>
      <c r="E64" s="397">
        <v>1.566429689949</v>
      </c>
      <c r="F64" s="395">
        <v>180.99999999999901</v>
      </c>
      <c r="G64" s="396">
        <v>120.666666666666</v>
      </c>
      <c r="H64" s="398">
        <v>0</v>
      </c>
      <c r="I64" s="395">
        <v>99.469309999999993</v>
      </c>
      <c r="J64" s="396">
        <v>-21.197356666666</v>
      </c>
      <c r="K64" s="399">
        <v>0.54955419889500001</v>
      </c>
    </row>
    <row r="65" spans="1:11" ht="14.4" customHeight="1" thickBot="1" x14ac:dyDescent="0.35">
      <c r="A65" s="420" t="s">
        <v>33</v>
      </c>
      <c r="B65" s="400">
        <v>0</v>
      </c>
      <c r="C65" s="400">
        <v>12.045</v>
      </c>
      <c r="D65" s="401">
        <v>12.045</v>
      </c>
      <c r="E65" s="402" t="s">
        <v>234</v>
      </c>
      <c r="F65" s="400">
        <v>0</v>
      </c>
      <c r="G65" s="401">
        <v>0</v>
      </c>
      <c r="H65" s="403">
        <v>0</v>
      </c>
      <c r="I65" s="400">
        <v>31.702000000000002</v>
      </c>
      <c r="J65" s="401">
        <v>31.702000000000002</v>
      </c>
      <c r="K65" s="404" t="s">
        <v>262</v>
      </c>
    </row>
    <row r="66" spans="1:11" ht="14.4" customHeight="1" thickBot="1" x14ac:dyDescent="0.35">
      <c r="A66" s="416" t="s">
        <v>294</v>
      </c>
      <c r="B66" s="400">
        <v>0</v>
      </c>
      <c r="C66" s="400">
        <v>0</v>
      </c>
      <c r="D66" s="401">
        <v>0</v>
      </c>
      <c r="E66" s="402" t="s">
        <v>234</v>
      </c>
      <c r="F66" s="400">
        <v>0</v>
      </c>
      <c r="G66" s="401">
        <v>0</v>
      </c>
      <c r="H66" s="403">
        <v>0</v>
      </c>
      <c r="I66" s="400">
        <v>31.702000000000002</v>
      </c>
      <c r="J66" s="401">
        <v>31.702000000000002</v>
      </c>
      <c r="K66" s="404" t="s">
        <v>262</v>
      </c>
    </row>
    <row r="67" spans="1:11" ht="14.4" customHeight="1" thickBot="1" x14ac:dyDescent="0.35">
      <c r="A67" s="417" t="s">
        <v>295</v>
      </c>
      <c r="B67" s="395">
        <v>0</v>
      </c>
      <c r="C67" s="395">
        <v>0</v>
      </c>
      <c r="D67" s="396">
        <v>0</v>
      </c>
      <c r="E67" s="405" t="s">
        <v>234</v>
      </c>
      <c r="F67" s="395">
        <v>0</v>
      </c>
      <c r="G67" s="396">
        <v>0</v>
      </c>
      <c r="H67" s="398">
        <v>0</v>
      </c>
      <c r="I67" s="395">
        <v>31.702000000000002</v>
      </c>
      <c r="J67" s="396">
        <v>31.702000000000002</v>
      </c>
      <c r="K67" s="406" t="s">
        <v>262</v>
      </c>
    </row>
    <row r="68" spans="1:11" ht="14.4" customHeight="1" thickBot="1" x14ac:dyDescent="0.35">
      <c r="A68" s="416" t="s">
        <v>296</v>
      </c>
      <c r="B68" s="400">
        <v>0</v>
      </c>
      <c r="C68" s="400">
        <v>12.045</v>
      </c>
      <c r="D68" s="401">
        <v>12.045</v>
      </c>
      <c r="E68" s="402" t="s">
        <v>262</v>
      </c>
      <c r="F68" s="400">
        <v>0</v>
      </c>
      <c r="G68" s="401">
        <v>0</v>
      </c>
      <c r="H68" s="403">
        <v>0</v>
      </c>
      <c r="I68" s="400">
        <v>0</v>
      </c>
      <c r="J68" s="401">
        <v>0</v>
      </c>
      <c r="K68" s="408">
        <v>0</v>
      </c>
    </row>
    <row r="69" spans="1:11" ht="14.4" customHeight="1" thickBot="1" x14ac:dyDescent="0.35">
      <c r="A69" s="417" t="s">
        <v>297</v>
      </c>
      <c r="B69" s="395">
        <v>0</v>
      </c>
      <c r="C69" s="395">
        <v>12.045</v>
      </c>
      <c r="D69" s="396">
        <v>12.045</v>
      </c>
      <c r="E69" s="405" t="s">
        <v>262</v>
      </c>
      <c r="F69" s="395">
        <v>0</v>
      </c>
      <c r="G69" s="396">
        <v>0</v>
      </c>
      <c r="H69" s="398">
        <v>0</v>
      </c>
      <c r="I69" s="395">
        <v>0</v>
      </c>
      <c r="J69" s="396">
        <v>0</v>
      </c>
      <c r="K69" s="399">
        <v>0</v>
      </c>
    </row>
    <row r="70" spans="1:11" ht="14.4" customHeight="1" thickBot="1" x14ac:dyDescent="0.35">
      <c r="A70" s="415" t="s">
        <v>34</v>
      </c>
      <c r="B70" s="395">
        <v>2148.5457163113101</v>
      </c>
      <c r="C70" s="395">
        <v>2579.7681200000002</v>
      </c>
      <c r="D70" s="396">
        <v>431.22240368868898</v>
      </c>
      <c r="E70" s="397">
        <v>1.2007043184670001</v>
      </c>
      <c r="F70" s="395">
        <v>2518.8601691208801</v>
      </c>
      <c r="G70" s="396">
        <v>1679.2401127472599</v>
      </c>
      <c r="H70" s="398">
        <v>170.23272</v>
      </c>
      <c r="I70" s="395">
        <v>1611.6094800000001</v>
      </c>
      <c r="J70" s="396">
        <v>-67.630632747253998</v>
      </c>
      <c r="K70" s="399">
        <v>0.63981696949900002</v>
      </c>
    </row>
    <row r="71" spans="1:11" ht="14.4" customHeight="1" thickBot="1" x14ac:dyDescent="0.35">
      <c r="A71" s="416" t="s">
        <v>298</v>
      </c>
      <c r="B71" s="400">
        <v>1.199160429128</v>
      </c>
      <c r="C71" s="400">
        <v>0</v>
      </c>
      <c r="D71" s="401">
        <v>-1.199160429128</v>
      </c>
      <c r="E71" s="407">
        <v>0</v>
      </c>
      <c r="F71" s="400">
        <v>0</v>
      </c>
      <c r="G71" s="401">
        <v>0</v>
      </c>
      <c r="H71" s="403">
        <v>0</v>
      </c>
      <c r="I71" s="400">
        <v>0</v>
      </c>
      <c r="J71" s="401">
        <v>0</v>
      </c>
      <c r="K71" s="408">
        <v>0</v>
      </c>
    </row>
    <row r="72" spans="1:11" ht="14.4" customHeight="1" thickBot="1" x14ac:dyDescent="0.35">
      <c r="A72" s="417" t="s">
        <v>299</v>
      </c>
      <c r="B72" s="395">
        <v>1.199160429128</v>
      </c>
      <c r="C72" s="395">
        <v>0</v>
      </c>
      <c r="D72" s="396">
        <v>-1.199160429128</v>
      </c>
      <c r="E72" s="397">
        <v>0</v>
      </c>
      <c r="F72" s="395">
        <v>0</v>
      </c>
      <c r="G72" s="396">
        <v>0</v>
      </c>
      <c r="H72" s="398">
        <v>0</v>
      </c>
      <c r="I72" s="395">
        <v>0</v>
      </c>
      <c r="J72" s="396">
        <v>0</v>
      </c>
      <c r="K72" s="399">
        <v>0</v>
      </c>
    </row>
    <row r="73" spans="1:11" ht="14.4" customHeight="1" thickBot="1" x14ac:dyDescent="0.35">
      <c r="A73" s="416" t="s">
        <v>300</v>
      </c>
      <c r="B73" s="400">
        <v>64.434680221606001</v>
      </c>
      <c r="C73" s="400">
        <v>56.565800000000003</v>
      </c>
      <c r="D73" s="401">
        <v>-7.8688802216060001</v>
      </c>
      <c r="E73" s="407">
        <v>0.87787818307499998</v>
      </c>
      <c r="F73" s="400">
        <v>64.064981655786994</v>
      </c>
      <c r="G73" s="401">
        <v>42.709987770524002</v>
      </c>
      <c r="H73" s="403">
        <v>4.5805699999999998</v>
      </c>
      <c r="I73" s="400">
        <v>36.92389</v>
      </c>
      <c r="J73" s="401">
        <v>-5.786097770524</v>
      </c>
      <c r="K73" s="408">
        <v>0.57635059038000003</v>
      </c>
    </row>
    <row r="74" spans="1:11" ht="14.4" customHeight="1" thickBot="1" x14ac:dyDescent="0.35">
      <c r="A74" s="417" t="s">
        <v>301</v>
      </c>
      <c r="B74" s="395">
        <v>2.4924814617309998</v>
      </c>
      <c r="C74" s="395">
        <v>4.0224000000000002</v>
      </c>
      <c r="D74" s="396">
        <v>1.5299185382680001</v>
      </c>
      <c r="E74" s="397">
        <v>1.613813407144</v>
      </c>
      <c r="F74" s="395">
        <v>3.7763781683870001</v>
      </c>
      <c r="G74" s="396">
        <v>2.5175854455910001</v>
      </c>
      <c r="H74" s="398">
        <v>0.23400000000000001</v>
      </c>
      <c r="I74" s="395">
        <v>1.6688000000000001</v>
      </c>
      <c r="J74" s="396">
        <v>-0.848785445591</v>
      </c>
      <c r="K74" s="399">
        <v>0.44190489553399998</v>
      </c>
    </row>
    <row r="75" spans="1:11" ht="14.4" customHeight="1" thickBot="1" x14ac:dyDescent="0.35">
      <c r="A75" s="417" t="s">
        <v>302</v>
      </c>
      <c r="B75" s="395">
        <v>0</v>
      </c>
      <c r="C75" s="395">
        <v>2</v>
      </c>
      <c r="D75" s="396">
        <v>2</v>
      </c>
      <c r="E75" s="405" t="s">
        <v>262</v>
      </c>
      <c r="F75" s="395">
        <v>2.6494277236110002</v>
      </c>
      <c r="G75" s="396">
        <v>1.7662851490739999</v>
      </c>
      <c r="H75" s="398">
        <v>0</v>
      </c>
      <c r="I75" s="395">
        <v>0</v>
      </c>
      <c r="J75" s="396">
        <v>-1.7662851490739999</v>
      </c>
      <c r="K75" s="399">
        <v>0</v>
      </c>
    </row>
    <row r="76" spans="1:11" ht="14.4" customHeight="1" thickBot="1" x14ac:dyDescent="0.35">
      <c r="A76" s="417" t="s">
        <v>303</v>
      </c>
      <c r="B76" s="395">
        <v>61.942198759874998</v>
      </c>
      <c r="C76" s="395">
        <v>50.543399999999998</v>
      </c>
      <c r="D76" s="396">
        <v>-11.398798759875</v>
      </c>
      <c r="E76" s="397">
        <v>0.81597684634800005</v>
      </c>
      <c r="F76" s="395">
        <v>57.639175763788003</v>
      </c>
      <c r="G76" s="396">
        <v>38.426117175858003</v>
      </c>
      <c r="H76" s="398">
        <v>4.3465699999999998</v>
      </c>
      <c r="I76" s="395">
        <v>35.255090000000003</v>
      </c>
      <c r="J76" s="396">
        <v>-3.1710271758580002</v>
      </c>
      <c r="K76" s="399">
        <v>0.61165152923900001</v>
      </c>
    </row>
    <row r="77" spans="1:11" ht="14.4" customHeight="1" thickBot="1" x14ac:dyDescent="0.35">
      <c r="A77" s="416" t="s">
        <v>304</v>
      </c>
      <c r="B77" s="400">
        <v>39.867680462044</v>
      </c>
      <c r="C77" s="400">
        <v>24.626899999999999</v>
      </c>
      <c r="D77" s="401">
        <v>-15.240780462044</v>
      </c>
      <c r="E77" s="407">
        <v>0.61771589705200003</v>
      </c>
      <c r="F77" s="400">
        <v>18</v>
      </c>
      <c r="G77" s="401">
        <v>12</v>
      </c>
      <c r="H77" s="403">
        <v>0.67371999999999999</v>
      </c>
      <c r="I77" s="400">
        <v>18.448160000000001</v>
      </c>
      <c r="J77" s="401">
        <v>6.4481599999989996</v>
      </c>
      <c r="K77" s="408">
        <v>1.0248977777770001</v>
      </c>
    </row>
    <row r="78" spans="1:11" ht="14.4" customHeight="1" thickBot="1" x14ac:dyDescent="0.35">
      <c r="A78" s="417" t="s">
        <v>305</v>
      </c>
      <c r="B78" s="395">
        <v>2.999995225393</v>
      </c>
      <c r="C78" s="395">
        <v>2.7</v>
      </c>
      <c r="D78" s="396">
        <v>-0.299995225393</v>
      </c>
      <c r="E78" s="397">
        <v>0.90000143238399999</v>
      </c>
      <c r="F78" s="395">
        <v>3</v>
      </c>
      <c r="G78" s="396">
        <v>2</v>
      </c>
      <c r="H78" s="398">
        <v>0</v>
      </c>
      <c r="I78" s="395">
        <v>2.0249999999999999</v>
      </c>
      <c r="J78" s="396">
        <v>2.4999999998999999E-2</v>
      </c>
      <c r="K78" s="399">
        <v>0.67499999999899996</v>
      </c>
    </row>
    <row r="79" spans="1:11" ht="14.4" customHeight="1" thickBot="1" x14ac:dyDescent="0.35">
      <c r="A79" s="417" t="s">
        <v>306</v>
      </c>
      <c r="B79" s="395">
        <v>36.867685236649997</v>
      </c>
      <c r="C79" s="395">
        <v>21.9269</v>
      </c>
      <c r="D79" s="396">
        <v>-14.940785236649999</v>
      </c>
      <c r="E79" s="397">
        <v>0.59474577422599995</v>
      </c>
      <c r="F79" s="395">
        <v>15</v>
      </c>
      <c r="G79" s="396">
        <v>10</v>
      </c>
      <c r="H79" s="398">
        <v>0.67371999999999999</v>
      </c>
      <c r="I79" s="395">
        <v>16.423159999999999</v>
      </c>
      <c r="J79" s="396">
        <v>6.4231599999990001</v>
      </c>
      <c r="K79" s="399">
        <v>1.094877333333</v>
      </c>
    </row>
    <row r="80" spans="1:11" ht="14.4" customHeight="1" thickBot="1" x14ac:dyDescent="0.35">
      <c r="A80" s="416" t="s">
        <v>307</v>
      </c>
      <c r="B80" s="400">
        <v>2.4572564585830001</v>
      </c>
      <c r="C80" s="400">
        <v>0</v>
      </c>
      <c r="D80" s="401">
        <v>-2.4572564585830001</v>
      </c>
      <c r="E80" s="407">
        <v>0</v>
      </c>
      <c r="F80" s="400">
        <v>0</v>
      </c>
      <c r="G80" s="401">
        <v>0</v>
      </c>
      <c r="H80" s="403">
        <v>0</v>
      </c>
      <c r="I80" s="400">
        <v>0</v>
      </c>
      <c r="J80" s="401">
        <v>0</v>
      </c>
      <c r="K80" s="408">
        <v>0</v>
      </c>
    </row>
    <row r="81" spans="1:11" ht="14.4" customHeight="1" thickBot="1" x14ac:dyDescent="0.35">
      <c r="A81" s="417" t="s">
        <v>308</v>
      </c>
      <c r="B81" s="395">
        <v>2.4572564585830001</v>
      </c>
      <c r="C81" s="395">
        <v>0</v>
      </c>
      <c r="D81" s="396">
        <v>-2.4572564585830001</v>
      </c>
      <c r="E81" s="397">
        <v>0</v>
      </c>
      <c r="F81" s="395">
        <v>0</v>
      </c>
      <c r="G81" s="396">
        <v>0</v>
      </c>
      <c r="H81" s="398">
        <v>0</v>
      </c>
      <c r="I81" s="395">
        <v>0</v>
      </c>
      <c r="J81" s="396">
        <v>0</v>
      </c>
      <c r="K81" s="399">
        <v>0</v>
      </c>
    </row>
    <row r="82" spans="1:11" ht="14.4" customHeight="1" thickBot="1" x14ac:dyDescent="0.35">
      <c r="A82" s="416" t="s">
        <v>309</v>
      </c>
      <c r="B82" s="400">
        <v>794.68227416794798</v>
      </c>
      <c r="C82" s="400">
        <v>965.49428</v>
      </c>
      <c r="D82" s="401">
        <v>170.81200583205199</v>
      </c>
      <c r="E82" s="407">
        <v>1.2149437723530001</v>
      </c>
      <c r="F82" s="400">
        <v>837.44211063696696</v>
      </c>
      <c r="G82" s="401">
        <v>558.29474042464403</v>
      </c>
      <c r="H82" s="403">
        <v>71.145430000000005</v>
      </c>
      <c r="I82" s="400">
        <v>553.36815999999999</v>
      </c>
      <c r="J82" s="401">
        <v>-4.9265804246440004</v>
      </c>
      <c r="K82" s="408">
        <v>0.660783775942</v>
      </c>
    </row>
    <row r="83" spans="1:11" ht="14.4" customHeight="1" thickBot="1" x14ac:dyDescent="0.35">
      <c r="A83" s="417" t="s">
        <v>310</v>
      </c>
      <c r="B83" s="395">
        <v>754.58139673198798</v>
      </c>
      <c r="C83" s="395">
        <v>763.08407999999997</v>
      </c>
      <c r="D83" s="396">
        <v>8.5026832680109994</v>
      </c>
      <c r="E83" s="397">
        <v>1.011268079633</v>
      </c>
      <c r="F83" s="395">
        <v>790.00000000000102</v>
      </c>
      <c r="G83" s="396">
        <v>526.66666666666697</v>
      </c>
      <c r="H83" s="398">
        <v>66.440510000000003</v>
      </c>
      <c r="I83" s="395">
        <v>525.69172000000003</v>
      </c>
      <c r="J83" s="396">
        <v>-0.97494666666600005</v>
      </c>
      <c r="K83" s="399">
        <v>0.66543255696199999</v>
      </c>
    </row>
    <row r="84" spans="1:11" ht="14.4" customHeight="1" thickBot="1" x14ac:dyDescent="0.35">
      <c r="A84" s="417" t="s">
        <v>311</v>
      </c>
      <c r="B84" s="395">
        <v>0</v>
      </c>
      <c r="C84" s="395">
        <v>164.06283999999999</v>
      </c>
      <c r="D84" s="396">
        <v>164.06283999999999</v>
      </c>
      <c r="E84" s="405" t="s">
        <v>262</v>
      </c>
      <c r="F84" s="395">
        <v>0</v>
      </c>
      <c r="G84" s="396">
        <v>0</v>
      </c>
      <c r="H84" s="398">
        <v>0</v>
      </c>
      <c r="I84" s="395">
        <v>0</v>
      </c>
      <c r="J84" s="396">
        <v>0</v>
      </c>
      <c r="K84" s="406" t="s">
        <v>234</v>
      </c>
    </row>
    <row r="85" spans="1:11" ht="14.4" customHeight="1" thickBot="1" x14ac:dyDescent="0.35">
      <c r="A85" s="417" t="s">
        <v>312</v>
      </c>
      <c r="B85" s="395">
        <v>1.4794313093889999</v>
      </c>
      <c r="C85" s="395">
        <v>2.3210000000000002</v>
      </c>
      <c r="D85" s="396">
        <v>0.84156869060999995</v>
      </c>
      <c r="E85" s="397">
        <v>1.5688460729930001</v>
      </c>
      <c r="F85" s="395">
        <v>2.6063039891950002</v>
      </c>
      <c r="G85" s="396">
        <v>1.737535992797</v>
      </c>
      <c r="H85" s="398">
        <v>0.48399999999999999</v>
      </c>
      <c r="I85" s="395">
        <v>0.96799999999999997</v>
      </c>
      <c r="J85" s="396">
        <v>-0.76953599279700002</v>
      </c>
      <c r="K85" s="399">
        <v>0.37140717430199999</v>
      </c>
    </row>
    <row r="86" spans="1:11" ht="14.4" customHeight="1" thickBot="1" x14ac:dyDescent="0.35">
      <c r="A86" s="417" t="s">
        <v>313</v>
      </c>
      <c r="B86" s="395">
        <v>38.62144612657</v>
      </c>
      <c r="C86" s="395">
        <v>36.026359999999997</v>
      </c>
      <c r="D86" s="396">
        <v>-2.595086126569</v>
      </c>
      <c r="E86" s="397">
        <v>0.93280712177199998</v>
      </c>
      <c r="F86" s="395">
        <v>44.835806647769999</v>
      </c>
      <c r="G86" s="396">
        <v>29.890537765179999</v>
      </c>
      <c r="H86" s="398">
        <v>4.2209199999999996</v>
      </c>
      <c r="I86" s="395">
        <v>26.70844</v>
      </c>
      <c r="J86" s="396">
        <v>-3.18209776518</v>
      </c>
      <c r="K86" s="399">
        <v>0.595694423651</v>
      </c>
    </row>
    <row r="87" spans="1:11" ht="14.4" customHeight="1" thickBot="1" x14ac:dyDescent="0.35">
      <c r="A87" s="416" t="s">
        <v>314</v>
      </c>
      <c r="B87" s="400">
        <v>631.05861150728299</v>
      </c>
      <c r="C87" s="400">
        <v>559.51346000000001</v>
      </c>
      <c r="D87" s="401">
        <v>-71.545151507282</v>
      </c>
      <c r="E87" s="407">
        <v>0.88662677253300004</v>
      </c>
      <c r="F87" s="400">
        <v>566.31851984489401</v>
      </c>
      <c r="G87" s="401">
        <v>377.54567989659603</v>
      </c>
      <c r="H87" s="403">
        <v>20.8</v>
      </c>
      <c r="I87" s="400">
        <v>166.38781</v>
      </c>
      <c r="J87" s="401">
        <v>-211.157869896596</v>
      </c>
      <c r="K87" s="408">
        <v>0.29380605466600002</v>
      </c>
    </row>
    <row r="88" spans="1:11" ht="14.4" customHeight="1" thickBot="1" x14ac:dyDescent="0.35">
      <c r="A88" s="417" t="s">
        <v>315</v>
      </c>
      <c r="B88" s="395">
        <v>57.999907690939999</v>
      </c>
      <c r="C88" s="395">
        <v>45.912999999999997</v>
      </c>
      <c r="D88" s="396">
        <v>-12.08690769094</v>
      </c>
      <c r="E88" s="397">
        <v>0.79160470814200001</v>
      </c>
      <c r="F88" s="395">
        <v>0</v>
      </c>
      <c r="G88" s="396">
        <v>0</v>
      </c>
      <c r="H88" s="398">
        <v>0</v>
      </c>
      <c r="I88" s="395">
        <v>0</v>
      </c>
      <c r="J88" s="396">
        <v>0</v>
      </c>
      <c r="K88" s="406" t="s">
        <v>234</v>
      </c>
    </row>
    <row r="89" spans="1:11" ht="14.4" customHeight="1" thickBot="1" x14ac:dyDescent="0.35">
      <c r="A89" s="417" t="s">
        <v>316</v>
      </c>
      <c r="B89" s="395">
        <v>553.21407252571396</v>
      </c>
      <c r="C89" s="395">
        <v>376.75454000000002</v>
      </c>
      <c r="D89" s="396">
        <v>-176.459532525714</v>
      </c>
      <c r="E89" s="397">
        <v>0.68102848193900001</v>
      </c>
      <c r="F89" s="395">
        <v>366.68615769480101</v>
      </c>
      <c r="G89" s="396">
        <v>244.45743846320099</v>
      </c>
      <c r="H89" s="398">
        <v>5.1420000000000003</v>
      </c>
      <c r="I89" s="395">
        <v>72.576809999999995</v>
      </c>
      <c r="J89" s="396">
        <v>-171.88062846320099</v>
      </c>
      <c r="K89" s="399">
        <v>0.19792623331100001</v>
      </c>
    </row>
    <row r="90" spans="1:11" ht="14.4" customHeight="1" thickBot="1" x14ac:dyDescent="0.35">
      <c r="A90" s="417" t="s">
        <v>317</v>
      </c>
      <c r="B90" s="395">
        <v>2.999995225393</v>
      </c>
      <c r="C90" s="395">
        <v>6.0460000000000003</v>
      </c>
      <c r="D90" s="396">
        <v>3.0460047746060002</v>
      </c>
      <c r="E90" s="397">
        <v>2.0153365408130002</v>
      </c>
      <c r="F90" s="395">
        <v>3</v>
      </c>
      <c r="G90" s="396">
        <v>2</v>
      </c>
      <c r="H90" s="398">
        <v>0</v>
      </c>
      <c r="I90" s="395">
        <v>0</v>
      </c>
      <c r="J90" s="396">
        <v>-2</v>
      </c>
      <c r="K90" s="399">
        <v>0</v>
      </c>
    </row>
    <row r="91" spans="1:11" ht="14.4" customHeight="1" thickBot="1" x14ac:dyDescent="0.35">
      <c r="A91" s="417" t="s">
        <v>318</v>
      </c>
      <c r="B91" s="395">
        <v>3.7751249817949999</v>
      </c>
      <c r="C91" s="395">
        <v>4.6020399999999997</v>
      </c>
      <c r="D91" s="396">
        <v>0.82691501820400004</v>
      </c>
      <c r="E91" s="397">
        <v>1.2190430839219999</v>
      </c>
      <c r="F91" s="395">
        <v>2.3263803933779998</v>
      </c>
      <c r="G91" s="396">
        <v>1.550920262252</v>
      </c>
      <c r="H91" s="398">
        <v>0</v>
      </c>
      <c r="I91" s="395">
        <v>0</v>
      </c>
      <c r="J91" s="396">
        <v>-1.550920262252</v>
      </c>
      <c r="K91" s="399">
        <v>0</v>
      </c>
    </row>
    <row r="92" spans="1:11" ht="14.4" customHeight="1" thickBot="1" x14ac:dyDescent="0.35">
      <c r="A92" s="417" t="s">
        <v>319</v>
      </c>
      <c r="B92" s="395">
        <v>13.069511083439</v>
      </c>
      <c r="C92" s="395">
        <v>126.19788</v>
      </c>
      <c r="D92" s="396">
        <v>113.12836891656001</v>
      </c>
      <c r="E92" s="397">
        <v>9.655899076431</v>
      </c>
      <c r="F92" s="395">
        <v>194.305981756714</v>
      </c>
      <c r="G92" s="396">
        <v>129.53732117114299</v>
      </c>
      <c r="H92" s="398">
        <v>15.657999999999999</v>
      </c>
      <c r="I92" s="395">
        <v>93.811000000000007</v>
      </c>
      <c r="J92" s="396">
        <v>-35.726321171141997</v>
      </c>
      <c r="K92" s="399">
        <v>0.48280037059000003</v>
      </c>
    </row>
    <row r="93" spans="1:11" ht="14.4" customHeight="1" thickBot="1" x14ac:dyDescent="0.35">
      <c r="A93" s="416" t="s">
        <v>320</v>
      </c>
      <c r="B93" s="400">
        <v>614.84605306471997</v>
      </c>
      <c r="C93" s="400">
        <v>973.56768000000102</v>
      </c>
      <c r="D93" s="401">
        <v>358.72162693528202</v>
      </c>
      <c r="E93" s="407">
        <v>1.5834332434059999</v>
      </c>
      <c r="F93" s="400">
        <v>1033.03455698324</v>
      </c>
      <c r="G93" s="401">
        <v>688.68970465549</v>
      </c>
      <c r="H93" s="403">
        <v>73.033000000000001</v>
      </c>
      <c r="I93" s="400">
        <v>836.48146000000099</v>
      </c>
      <c r="J93" s="401">
        <v>147.79175534450999</v>
      </c>
      <c r="K93" s="408">
        <v>0.80973231180399996</v>
      </c>
    </row>
    <row r="94" spans="1:11" ht="14.4" customHeight="1" thickBot="1" x14ac:dyDescent="0.35">
      <c r="A94" s="417" t="s">
        <v>321</v>
      </c>
      <c r="B94" s="395">
        <v>0</v>
      </c>
      <c r="C94" s="395">
        <v>0</v>
      </c>
      <c r="D94" s="396">
        <v>0</v>
      </c>
      <c r="E94" s="397">
        <v>1</v>
      </c>
      <c r="F94" s="395">
        <v>0</v>
      </c>
      <c r="G94" s="396">
        <v>0</v>
      </c>
      <c r="H94" s="398">
        <v>0</v>
      </c>
      <c r="I94" s="395">
        <v>62.473999999999997</v>
      </c>
      <c r="J94" s="396">
        <v>62.473999999999997</v>
      </c>
      <c r="K94" s="406" t="s">
        <v>262</v>
      </c>
    </row>
    <row r="95" spans="1:11" ht="14.4" customHeight="1" thickBot="1" x14ac:dyDescent="0.35">
      <c r="A95" s="417" t="s">
        <v>322</v>
      </c>
      <c r="B95" s="395">
        <v>0.47187841615800002</v>
      </c>
      <c r="C95" s="395">
        <v>0</v>
      </c>
      <c r="D95" s="396">
        <v>-0.47187841615800002</v>
      </c>
      <c r="E95" s="397">
        <v>0</v>
      </c>
      <c r="F95" s="395">
        <v>0</v>
      </c>
      <c r="G95" s="396">
        <v>0</v>
      </c>
      <c r="H95" s="398">
        <v>0</v>
      </c>
      <c r="I95" s="395">
        <v>0</v>
      </c>
      <c r="J95" s="396">
        <v>0</v>
      </c>
      <c r="K95" s="399">
        <v>0</v>
      </c>
    </row>
    <row r="96" spans="1:11" ht="14.4" customHeight="1" thickBot="1" x14ac:dyDescent="0.35">
      <c r="A96" s="417" t="s">
        <v>323</v>
      </c>
      <c r="B96" s="395">
        <v>614.37417464856105</v>
      </c>
      <c r="C96" s="395">
        <v>912.56468000000098</v>
      </c>
      <c r="D96" s="396">
        <v>298.19050535143998</v>
      </c>
      <c r="E96" s="397">
        <v>1.485356510178</v>
      </c>
      <c r="F96" s="395">
        <v>1033.03455698324</v>
      </c>
      <c r="G96" s="396">
        <v>688.68970465549</v>
      </c>
      <c r="H96" s="398">
        <v>72.661000000000001</v>
      </c>
      <c r="I96" s="395">
        <v>771.40346</v>
      </c>
      <c r="J96" s="396">
        <v>82.713755344510005</v>
      </c>
      <c r="K96" s="399">
        <v>0.74673538729599997</v>
      </c>
    </row>
    <row r="97" spans="1:11" ht="14.4" customHeight="1" thickBot="1" x14ac:dyDescent="0.35">
      <c r="A97" s="417" t="s">
        <v>324</v>
      </c>
      <c r="B97" s="395">
        <v>0</v>
      </c>
      <c r="C97" s="395">
        <v>61.003</v>
      </c>
      <c r="D97" s="396">
        <v>61.003</v>
      </c>
      <c r="E97" s="405" t="s">
        <v>234</v>
      </c>
      <c r="F97" s="395">
        <v>0</v>
      </c>
      <c r="G97" s="396">
        <v>0</v>
      </c>
      <c r="H97" s="398">
        <v>0.372</v>
      </c>
      <c r="I97" s="395">
        <v>2.6040000000000001</v>
      </c>
      <c r="J97" s="396">
        <v>2.6040000000000001</v>
      </c>
      <c r="K97" s="406" t="s">
        <v>234</v>
      </c>
    </row>
    <row r="98" spans="1:11" ht="14.4" customHeight="1" thickBot="1" x14ac:dyDescent="0.35">
      <c r="A98" s="414" t="s">
        <v>35</v>
      </c>
      <c r="B98" s="395">
        <v>28431.002566736301</v>
      </c>
      <c r="C98" s="395">
        <v>29747.021850000001</v>
      </c>
      <c r="D98" s="396">
        <v>1316.0192832637399</v>
      </c>
      <c r="E98" s="397">
        <v>1.046288177146</v>
      </c>
      <c r="F98" s="395">
        <v>29462</v>
      </c>
      <c r="G98" s="396">
        <v>19641.333333333299</v>
      </c>
      <c r="H98" s="398">
        <v>2535.8708200000101</v>
      </c>
      <c r="I98" s="395">
        <v>20733.241900000001</v>
      </c>
      <c r="J98" s="396">
        <v>1091.9085666666799</v>
      </c>
      <c r="K98" s="399">
        <v>0.70372825673700001</v>
      </c>
    </row>
    <row r="99" spans="1:11" ht="14.4" customHeight="1" thickBot="1" x14ac:dyDescent="0.35">
      <c r="A99" s="420" t="s">
        <v>325</v>
      </c>
      <c r="B99" s="400">
        <v>21059.001901195901</v>
      </c>
      <c r="C99" s="400">
        <v>22060.395</v>
      </c>
      <c r="D99" s="401">
        <v>1001.39309880416</v>
      </c>
      <c r="E99" s="407">
        <v>1.047551783484</v>
      </c>
      <c r="F99" s="400">
        <v>21735</v>
      </c>
      <c r="G99" s="401">
        <v>14490</v>
      </c>
      <c r="H99" s="403">
        <v>1871.4780000000101</v>
      </c>
      <c r="I99" s="400">
        <v>15308.36</v>
      </c>
      <c r="J99" s="401">
        <v>818.36000000000104</v>
      </c>
      <c r="K99" s="408">
        <v>0.70431838049200002</v>
      </c>
    </row>
    <row r="100" spans="1:11" ht="14.4" customHeight="1" thickBot="1" x14ac:dyDescent="0.35">
      <c r="A100" s="416" t="s">
        <v>326</v>
      </c>
      <c r="B100" s="400">
        <v>20770.001875105099</v>
      </c>
      <c r="C100" s="400">
        <v>21791.303</v>
      </c>
      <c r="D100" s="401">
        <v>1021.30112489493</v>
      </c>
      <c r="E100" s="407">
        <v>1.049171932243</v>
      </c>
      <c r="F100" s="400">
        <v>21466</v>
      </c>
      <c r="G100" s="401">
        <v>14310.666666666701</v>
      </c>
      <c r="H100" s="403">
        <v>1856.46300000001</v>
      </c>
      <c r="I100" s="400">
        <v>15070.424999999999</v>
      </c>
      <c r="J100" s="401">
        <v>759.75833333333105</v>
      </c>
      <c r="K100" s="408">
        <v>0.70206023478900004</v>
      </c>
    </row>
    <row r="101" spans="1:11" ht="14.4" customHeight="1" thickBot="1" x14ac:dyDescent="0.35">
      <c r="A101" s="417" t="s">
        <v>327</v>
      </c>
      <c r="B101" s="395">
        <v>20770.001875105099</v>
      </c>
      <c r="C101" s="395">
        <v>21791.303</v>
      </c>
      <c r="D101" s="396">
        <v>1021.30112489493</v>
      </c>
      <c r="E101" s="397">
        <v>1.049171932243</v>
      </c>
      <c r="F101" s="395">
        <v>21466</v>
      </c>
      <c r="G101" s="396">
        <v>14310.666666666701</v>
      </c>
      <c r="H101" s="398">
        <v>1856.46300000001</v>
      </c>
      <c r="I101" s="395">
        <v>15070.424999999999</v>
      </c>
      <c r="J101" s="396">
        <v>759.75833333333105</v>
      </c>
      <c r="K101" s="399">
        <v>0.70206023478900004</v>
      </c>
    </row>
    <row r="102" spans="1:11" ht="14.4" customHeight="1" thickBot="1" x14ac:dyDescent="0.35">
      <c r="A102" s="416" t="s">
        <v>328</v>
      </c>
      <c r="B102" s="400">
        <v>230.00002076428399</v>
      </c>
      <c r="C102" s="400">
        <v>209.04</v>
      </c>
      <c r="D102" s="401">
        <v>-20.960020764283001</v>
      </c>
      <c r="E102" s="407">
        <v>0.90886948316500005</v>
      </c>
      <c r="F102" s="400">
        <v>210</v>
      </c>
      <c r="G102" s="401">
        <v>140</v>
      </c>
      <c r="H102" s="403">
        <v>9.5250000000000004</v>
      </c>
      <c r="I102" s="400">
        <v>128.595</v>
      </c>
      <c r="J102" s="401">
        <v>-11.404999999998999</v>
      </c>
      <c r="K102" s="408">
        <v>0.61235714285700005</v>
      </c>
    </row>
    <row r="103" spans="1:11" ht="14.4" customHeight="1" thickBot="1" x14ac:dyDescent="0.35">
      <c r="A103" s="417" t="s">
        <v>329</v>
      </c>
      <c r="B103" s="395">
        <v>230.00002076428399</v>
      </c>
      <c r="C103" s="395">
        <v>209.04</v>
      </c>
      <c r="D103" s="396">
        <v>-20.960020764283001</v>
      </c>
      <c r="E103" s="397">
        <v>0.90886948316500005</v>
      </c>
      <c r="F103" s="395">
        <v>210</v>
      </c>
      <c r="G103" s="396">
        <v>140</v>
      </c>
      <c r="H103" s="398">
        <v>9.5250000000000004</v>
      </c>
      <c r="I103" s="395">
        <v>128.595</v>
      </c>
      <c r="J103" s="396">
        <v>-11.404999999998999</v>
      </c>
      <c r="K103" s="399">
        <v>0.61235714285700005</v>
      </c>
    </row>
    <row r="104" spans="1:11" ht="14.4" customHeight="1" thickBot="1" x14ac:dyDescent="0.35">
      <c r="A104" s="416" t="s">
        <v>330</v>
      </c>
      <c r="B104" s="400">
        <v>59.000005326489998</v>
      </c>
      <c r="C104" s="400">
        <v>60.052</v>
      </c>
      <c r="D104" s="401">
        <v>1.051994673509</v>
      </c>
      <c r="E104" s="407">
        <v>1.0178304165850001</v>
      </c>
      <c r="F104" s="400">
        <v>59</v>
      </c>
      <c r="G104" s="401">
        <v>39.333333333333002</v>
      </c>
      <c r="H104" s="403">
        <v>5.49</v>
      </c>
      <c r="I104" s="400">
        <v>81.84</v>
      </c>
      <c r="J104" s="401">
        <v>42.506666666666</v>
      </c>
      <c r="K104" s="408">
        <v>1.387118644067</v>
      </c>
    </row>
    <row r="105" spans="1:11" ht="14.4" customHeight="1" thickBot="1" x14ac:dyDescent="0.35">
      <c r="A105" s="417" t="s">
        <v>331</v>
      </c>
      <c r="B105" s="395">
        <v>59.000005326489998</v>
      </c>
      <c r="C105" s="395">
        <v>60.052</v>
      </c>
      <c r="D105" s="396">
        <v>1.051994673509</v>
      </c>
      <c r="E105" s="397">
        <v>1.0178304165850001</v>
      </c>
      <c r="F105" s="395">
        <v>59</v>
      </c>
      <c r="G105" s="396">
        <v>39.333333333333002</v>
      </c>
      <c r="H105" s="398">
        <v>5.49</v>
      </c>
      <c r="I105" s="395">
        <v>81.84</v>
      </c>
      <c r="J105" s="396">
        <v>42.506666666666</v>
      </c>
      <c r="K105" s="399">
        <v>1.387118644067</v>
      </c>
    </row>
    <row r="106" spans="1:11" ht="14.4" customHeight="1" thickBot="1" x14ac:dyDescent="0.35">
      <c r="A106" s="419" t="s">
        <v>332</v>
      </c>
      <c r="B106" s="395">
        <v>0</v>
      </c>
      <c r="C106" s="395">
        <v>0</v>
      </c>
      <c r="D106" s="396">
        <v>0</v>
      </c>
      <c r="E106" s="397">
        <v>1</v>
      </c>
      <c r="F106" s="395">
        <v>0</v>
      </c>
      <c r="G106" s="396">
        <v>0</v>
      </c>
      <c r="H106" s="398">
        <v>0</v>
      </c>
      <c r="I106" s="395">
        <v>27.5</v>
      </c>
      <c r="J106" s="396">
        <v>27.5</v>
      </c>
      <c r="K106" s="406" t="s">
        <v>262</v>
      </c>
    </row>
    <row r="107" spans="1:11" ht="14.4" customHeight="1" thickBot="1" x14ac:dyDescent="0.35">
      <c r="A107" s="417" t="s">
        <v>333</v>
      </c>
      <c r="B107" s="395">
        <v>0</v>
      </c>
      <c r="C107" s="395">
        <v>0</v>
      </c>
      <c r="D107" s="396">
        <v>0</v>
      </c>
      <c r="E107" s="397">
        <v>1</v>
      </c>
      <c r="F107" s="395">
        <v>0</v>
      </c>
      <c r="G107" s="396">
        <v>0</v>
      </c>
      <c r="H107" s="398">
        <v>0</v>
      </c>
      <c r="I107" s="395">
        <v>27.5</v>
      </c>
      <c r="J107" s="396">
        <v>27.5</v>
      </c>
      <c r="K107" s="406" t="s">
        <v>262</v>
      </c>
    </row>
    <row r="108" spans="1:11" ht="14.4" customHeight="1" thickBot="1" x14ac:dyDescent="0.35">
      <c r="A108" s="415" t="s">
        <v>334</v>
      </c>
      <c r="B108" s="395">
        <v>7061.0006374635004</v>
      </c>
      <c r="C108" s="395">
        <v>7358.8572700000004</v>
      </c>
      <c r="D108" s="396">
        <v>297.85663253649801</v>
      </c>
      <c r="E108" s="397">
        <v>1.042183345934</v>
      </c>
      <c r="F108" s="395">
        <v>7297.99999999999</v>
      </c>
      <c r="G108" s="396">
        <v>4865.3333333333303</v>
      </c>
      <c r="H108" s="398">
        <v>627.15660000000196</v>
      </c>
      <c r="I108" s="395">
        <v>5121.8392599999997</v>
      </c>
      <c r="J108" s="396">
        <v>256.50592666667501</v>
      </c>
      <c r="K108" s="399">
        <v>0.70181409427200003</v>
      </c>
    </row>
    <row r="109" spans="1:11" ht="14.4" customHeight="1" thickBot="1" x14ac:dyDescent="0.35">
      <c r="A109" s="416" t="s">
        <v>335</v>
      </c>
      <c r="B109" s="400">
        <v>1869.00016873237</v>
      </c>
      <c r="C109" s="400">
        <v>1970.3727699999999</v>
      </c>
      <c r="D109" s="401">
        <v>101.372601267627</v>
      </c>
      <c r="E109" s="407">
        <v>1.0542389470919999</v>
      </c>
      <c r="F109" s="400">
        <v>1930.99999999999</v>
      </c>
      <c r="G109" s="401">
        <v>1287.3333333333301</v>
      </c>
      <c r="H109" s="403">
        <v>167.40684999999999</v>
      </c>
      <c r="I109" s="400">
        <v>1364.5867499999999</v>
      </c>
      <c r="J109" s="401">
        <v>77.253416666671995</v>
      </c>
      <c r="K109" s="408">
        <v>0.70667361470699996</v>
      </c>
    </row>
    <row r="110" spans="1:11" ht="14.4" customHeight="1" thickBot="1" x14ac:dyDescent="0.35">
      <c r="A110" s="417" t="s">
        <v>336</v>
      </c>
      <c r="B110" s="395">
        <v>1869.00016873237</v>
      </c>
      <c r="C110" s="395">
        <v>1970.3727699999999</v>
      </c>
      <c r="D110" s="396">
        <v>101.372601267627</v>
      </c>
      <c r="E110" s="397">
        <v>1.0542389470919999</v>
      </c>
      <c r="F110" s="395">
        <v>1930.99999999999</v>
      </c>
      <c r="G110" s="396">
        <v>1287.3333333333301</v>
      </c>
      <c r="H110" s="398">
        <v>167.40684999999999</v>
      </c>
      <c r="I110" s="395">
        <v>1364.5867499999999</v>
      </c>
      <c r="J110" s="396">
        <v>77.253416666671995</v>
      </c>
      <c r="K110" s="399">
        <v>0.70667361470699996</v>
      </c>
    </row>
    <row r="111" spans="1:11" ht="14.4" customHeight="1" thickBot="1" x14ac:dyDescent="0.35">
      <c r="A111" s="416" t="s">
        <v>337</v>
      </c>
      <c r="B111" s="400">
        <v>5192.0004687311302</v>
      </c>
      <c r="C111" s="400">
        <v>5388.4844999999996</v>
      </c>
      <c r="D111" s="401">
        <v>196.48403126887101</v>
      </c>
      <c r="E111" s="407">
        <v>1.037843608153</v>
      </c>
      <c r="F111" s="400">
        <v>5367</v>
      </c>
      <c r="G111" s="401">
        <v>3578</v>
      </c>
      <c r="H111" s="403">
        <v>459.74975000000097</v>
      </c>
      <c r="I111" s="400">
        <v>3757.2525099999998</v>
      </c>
      <c r="J111" s="401">
        <v>179.25251000000301</v>
      </c>
      <c r="K111" s="408">
        <v>0.70006568101300004</v>
      </c>
    </row>
    <row r="112" spans="1:11" ht="14.4" customHeight="1" thickBot="1" x14ac:dyDescent="0.35">
      <c r="A112" s="417" t="s">
        <v>338</v>
      </c>
      <c r="B112" s="395">
        <v>5192.0004687311302</v>
      </c>
      <c r="C112" s="395">
        <v>5388.4844999999996</v>
      </c>
      <c r="D112" s="396">
        <v>196.48403126887101</v>
      </c>
      <c r="E112" s="397">
        <v>1.037843608153</v>
      </c>
      <c r="F112" s="395">
        <v>5367</v>
      </c>
      <c r="G112" s="396">
        <v>3578</v>
      </c>
      <c r="H112" s="398">
        <v>459.74975000000097</v>
      </c>
      <c r="I112" s="395">
        <v>3757.2525099999998</v>
      </c>
      <c r="J112" s="396">
        <v>179.25251000000301</v>
      </c>
      <c r="K112" s="399">
        <v>0.70006568101300004</v>
      </c>
    </row>
    <row r="113" spans="1:11" ht="14.4" customHeight="1" thickBot="1" x14ac:dyDescent="0.35">
      <c r="A113" s="415" t="s">
        <v>339</v>
      </c>
      <c r="B113" s="395">
        <v>311.00002807692198</v>
      </c>
      <c r="C113" s="395">
        <v>327.76958000000002</v>
      </c>
      <c r="D113" s="396">
        <v>16.769551923077</v>
      </c>
      <c r="E113" s="397">
        <v>1.0539213839520001</v>
      </c>
      <c r="F113" s="395">
        <v>429</v>
      </c>
      <c r="G113" s="396">
        <v>286</v>
      </c>
      <c r="H113" s="398">
        <v>37.236220000000003</v>
      </c>
      <c r="I113" s="395">
        <v>303.04264000000001</v>
      </c>
      <c r="J113" s="396">
        <v>17.042639999999</v>
      </c>
      <c r="K113" s="399">
        <v>0.70639310023299995</v>
      </c>
    </row>
    <row r="114" spans="1:11" ht="14.4" customHeight="1" thickBot="1" x14ac:dyDescent="0.35">
      <c r="A114" s="416" t="s">
        <v>340</v>
      </c>
      <c r="B114" s="400">
        <v>311.00002807692198</v>
      </c>
      <c r="C114" s="400">
        <v>327.76958000000002</v>
      </c>
      <c r="D114" s="401">
        <v>16.769551923077</v>
      </c>
      <c r="E114" s="407">
        <v>1.0539213839520001</v>
      </c>
      <c r="F114" s="400">
        <v>429</v>
      </c>
      <c r="G114" s="401">
        <v>286</v>
      </c>
      <c r="H114" s="403">
        <v>37.236220000000003</v>
      </c>
      <c r="I114" s="400">
        <v>303.04264000000001</v>
      </c>
      <c r="J114" s="401">
        <v>17.042639999999</v>
      </c>
      <c r="K114" s="408">
        <v>0.70639310023299995</v>
      </c>
    </row>
    <row r="115" spans="1:11" ht="14.4" customHeight="1" thickBot="1" x14ac:dyDescent="0.35">
      <c r="A115" s="417" t="s">
        <v>341</v>
      </c>
      <c r="B115" s="395">
        <v>311.00002807692198</v>
      </c>
      <c r="C115" s="395">
        <v>327.76958000000002</v>
      </c>
      <c r="D115" s="396">
        <v>16.769551923077</v>
      </c>
      <c r="E115" s="397">
        <v>1.0539213839520001</v>
      </c>
      <c r="F115" s="395">
        <v>429</v>
      </c>
      <c r="G115" s="396">
        <v>286</v>
      </c>
      <c r="H115" s="398">
        <v>37.236220000000003</v>
      </c>
      <c r="I115" s="395">
        <v>303.04264000000001</v>
      </c>
      <c r="J115" s="396">
        <v>17.042639999999</v>
      </c>
      <c r="K115" s="399">
        <v>0.70639310023299995</v>
      </c>
    </row>
    <row r="116" spans="1:11" ht="14.4" customHeight="1" thickBot="1" x14ac:dyDescent="0.35">
      <c r="A116" s="414" t="s">
        <v>342</v>
      </c>
      <c r="B116" s="395">
        <v>0</v>
      </c>
      <c r="C116" s="395">
        <v>210.66965999999999</v>
      </c>
      <c r="D116" s="396">
        <v>210.66965999999999</v>
      </c>
      <c r="E116" s="405" t="s">
        <v>234</v>
      </c>
      <c r="F116" s="395">
        <v>0</v>
      </c>
      <c r="G116" s="396">
        <v>0</v>
      </c>
      <c r="H116" s="398">
        <v>43.102249999999998</v>
      </c>
      <c r="I116" s="395">
        <v>77.370189999999994</v>
      </c>
      <c r="J116" s="396">
        <v>77.370189999999994</v>
      </c>
      <c r="K116" s="406" t="s">
        <v>234</v>
      </c>
    </row>
    <row r="117" spans="1:11" ht="14.4" customHeight="1" thickBot="1" x14ac:dyDescent="0.35">
      <c r="A117" s="415" t="s">
        <v>343</v>
      </c>
      <c r="B117" s="395">
        <v>0</v>
      </c>
      <c r="C117" s="395">
        <v>12.65</v>
      </c>
      <c r="D117" s="396">
        <v>12.65</v>
      </c>
      <c r="E117" s="405" t="s">
        <v>262</v>
      </c>
      <c r="F117" s="395">
        <v>0</v>
      </c>
      <c r="G117" s="396">
        <v>0</v>
      </c>
      <c r="H117" s="398">
        <v>0</v>
      </c>
      <c r="I117" s="395">
        <v>0</v>
      </c>
      <c r="J117" s="396">
        <v>0</v>
      </c>
      <c r="K117" s="406" t="s">
        <v>234</v>
      </c>
    </row>
    <row r="118" spans="1:11" ht="14.4" customHeight="1" thickBot="1" x14ac:dyDescent="0.35">
      <c r="A118" s="419" t="s">
        <v>344</v>
      </c>
      <c r="B118" s="395">
        <v>0</v>
      </c>
      <c r="C118" s="395">
        <v>12.65</v>
      </c>
      <c r="D118" s="396">
        <v>12.65</v>
      </c>
      <c r="E118" s="405" t="s">
        <v>262</v>
      </c>
      <c r="F118" s="395">
        <v>0</v>
      </c>
      <c r="G118" s="396">
        <v>0</v>
      </c>
      <c r="H118" s="398">
        <v>0</v>
      </c>
      <c r="I118" s="395">
        <v>0</v>
      </c>
      <c r="J118" s="396">
        <v>0</v>
      </c>
      <c r="K118" s="406" t="s">
        <v>234</v>
      </c>
    </row>
    <row r="119" spans="1:11" ht="14.4" customHeight="1" thickBot="1" x14ac:dyDescent="0.35">
      <c r="A119" s="417" t="s">
        <v>345</v>
      </c>
      <c r="B119" s="395">
        <v>0</v>
      </c>
      <c r="C119" s="395">
        <v>12.65</v>
      </c>
      <c r="D119" s="396">
        <v>12.65</v>
      </c>
      <c r="E119" s="405" t="s">
        <v>262</v>
      </c>
      <c r="F119" s="395">
        <v>0</v>
      </c>
      <c r="G119" s="396">
        <v>0</v>
      </c>
      <c r="H119" s="398">
        <v>0</v>
      </c>
      <c r="I119" s="395">
        <v>0</v>
      </c>
      <c r="J119" s="396">
        <v>0</v>
      </c>
      <c r="K119" s="406" t="s">
        <v>234</v>
      </c>
    </row>
    <row r="120" spans="1:11" ht="14.4" customHeight="1" thickBot="1" x14ac:dyDescent="0.35">
      <c r="A120" s="415" t="s">
        <v>346</v>
      </c>
      <c r="B120" s="395">
        <v>0</v>
      </c>
      <c r="C120" s="395">
        <v>198.01965999999999</v>
      </c>
      <c r="D120" s="396">
        <v>198.01965999999999</v>
      </c>
      <c r="E120" s="405" t="s">
        <v>234</v>
      </c>
      <c r="F120" s="395">
        <v>0</v>
      </c>
      <c r="G120" s="396">
        <v>0</v>
      </c>
      <c r="H120" s="398">
        <v>43.102249999999998</v>
      </c>
      <c r="I120" s="395">
        <v>77.370189999999994</v>
      </c>
      <c r="J120" s="396">
        <v>77.370189999999994</v>
      </c>
      <c r="K120" s="406" t="s">
        <v>234</v>
      </c>
    </row>
    <row r="121" spans="1:11" ht="14.4" customHeight="1" thickBot="1" x14ac:dyDescent="0.35">
      <c r="A121" s="416" t="s">
        <v>347</v>
      </c>
      <c r="B121" s="400">
        <v>0</v>
      </c>
      <c r="C121" s="400">
        <v>198.01965999999999</v>
      </c>
      <c r="D121" s="401">
        <v>198.01965999999999</v>
      </c>
      <c r="E121" s="402" t="s">
        <v>234</v>
      </c>
      <c r="F121" s="400">
        <v>0</v>
      </c>
      <c r="G121" s="401">
        <v>0</v>
      </c>
      <c r="H121" s="403">
        <v>3.4402499999999998</v>
      </c>
      <c r="I121" s="400">
        <v>37.708190000000002</v>
      </c>
      <c r="J121" s="401">
        <v>37.708190000000002</v>
      </c>
      <c r="K121" s="404" t="s">
        <v>234</v>
      </c>
    </row>
    <row r="122" spans="1:11" ht="14.4" customHeight="1" thickBot="1" x14ac:dyDescent="0.35">
      <c r="A122" s="417" t="s">
        <v>348</v>
      </c>
      <c r="B122" s="395">
        <v>0</v>
      </c>
      <c r="C122" s="395">
        <v>41.816659999999999</v>
      </c>
      <c r="D122" s="396">
        <v>41.816659999999999</v>
      </c>
      <c r="E122" s="405" t="s">
        <v>234</v>
      </c>
      <c r="F122" s="395">
        <v>0</v>
      </c>
      <c r="G122" s="396">
        <v>0</v>
      </c>
      <c r="H122" s="398">
        <v>0.14025000000000001</v>
      </c>
      <c r="I122" s="395">
        <v>1.05819</v>
      </c>
      <c r="J122" s="396">
        <v>1.05819</v>
      </c>
      <c r="K122" s="406" t="s">
        <v>234</v>
      </c>
    </row>
    <row r="123" spans="1:11" ht="14.4" customHeight="1" thickBot="1" x14ac:dyDescent="0.35">
      <c r="A123" s="417" t="s">
        <v>349</v>
      </c>
      <c r="B123" s="395">
        <v>0</v>
      </c>
      <c r="C123" s="395">
        <v>129.69300000000001</v>
      </c>
      <c r="D123" s="396">
        <v>129.69300000000001</v>
      </c>
      <c r="E123" s="405" t="s">
        <v>234</v>
      </c>
      <c r="F123" s="395">
        <v>0</v>
      </c>
      <c r="G123" s="396">
        <v>0</v>
      </c>
      <c r="H123" s="398">
        <v>3.3</v>
      </c>
      <c r="I123" s="395">
        <v>8.6</v>
      </c>
      <c r="J123" s="396">
        <v>8.6</v>
      </c>
      <c r="K123" s="406" t="s">
        <v>234</v>
      </c>
    </row>
    <row r="124" spans="1:11" ht="14.4" customHeight="1" thickBot="1" x14ac:dyDescent="0.35">
      <c r="A124" s="417" t="s">
        <v>350</v>
      </c>
      <c r="B124" s="395">
        <v>0</v>
      </c>
      <c r="C124" s="395">
        <v>24.95</v>
      </c>
      <c r="D124" s="396">
        <v>24.95</v>
      </c>
      <c r="E124" s="405" t="s">
        <v>234</v>
      </c>
      <c r="F124" s="395">
        <v>0</v>
      </c>
      <c r="G124" s="396">
        <v>0</v>
      </c>
      <c r="H124" s="398">
        <v>0</v>
      </c>
      <c r="I124" s="395">
        <v>28.05</v>
      </c>
      <c r="J124" s="396">
        <v>28.05</v>
      </c>
      <c r="K124" s="406" t="s">
        <v>234</v>
      </c>
    </row>
    <row r="125" spans="1:11" ht="14.4" customHeight="1" thickBot="1" x14ac:dyDescent="0.35">
      <c r="A125" s="417" t="s">
        <v>351</v>
      </c>
      <c r="B125" s="395">
        <v>0</v>
      </c>
      <c r="C125" s="395">
        <v>1.56</v>
      </c>
      <c r="D125" s="396">
        <v>1.56</v>
      </c>
      <c r="E125" s="405" t="s">
        <v>262</v>
      </c>
      <c r="F125" s="395">
        <v>0</v>
      </c>
      <c r="G125" s="396">
        <v>0</v>
      </c>
      <c r="H125" s="398">
        <v>0</v>
      </c>
      <c r="I125" s="395">
        <v>0</v>
      </c>
      <c r="J125" s="396">
        <v>0</v>
      </c>
      <c r="K125" s="406" t="s">
        <v>234</v>
      </c>
    </row>
    <row r="126" spans="1:11" ht="14.4" customHeight="1" thickBot="1" x14ac:dyDescent="0.35">
      <c r="A126" s="419" t="s">
        <v>352</v>
      </c>
      <c r="B126" s="395">
        <v>0</v>
      </c>
      <c r="C126" s="395">
        <v>0</v>
      </c>
      <c r="D126" s="396">
        <v>0</v>
      </c>
      <c r="E126" s="397">
        <v>1</v>
      </c>
      <c r="F126" s="395">
        <v>0</v>
      </c>
      <c r="G126" s="396">
        <v>0</v>
      </c>
      <c r="H126" s="398">
        <v>39.661999999999999</v>
      </c>
      <c r="I126" s="395">
        <v>39.661999999999999</v>
      </c>
      <c r="J126" s="396">
        <v>39.661999999999999</v>
      </c>
      <c r="K126" s="406" t="s">
        <v>262</v>
      </c>
    </row>
    <row r="127" spans="1:11" ht="14.4" customHeight="1" thickBot="1" x14ac:dyDescent="0.35">
      <c r="A127" s="417" t="s">
        <v>353</v>
      </c>
      <c r="B127" s="395">
        <v>0</v>
      </c>
      <c r="C127" s="395">
        <v>0</v>
      </c>
      <c r="D127" s="396">
        <v>0</v>
      </c>
      <c r="E127" s="397">
        <v>1</v>
      </c>
      <c r="F127" s="395">
        <v>0</v>
      </c>
      <c r="G127" s="396">
        <v>0</v>
      </c>
      <c r="H127" s="398">
        <v>39.661999999999999</v>
      </c>
      <c r="I127" s="395">
        <v>39.661999999999999</v>
      </c>
      <c r="J127" s="396">
        <v>39.661999999999999</v>
      </c>
      <c r="K127" s="406" t="s">
        <v>262</v>
      </c>
    </row>
    <row r="128" spans="1:11" ht="14.4" customHeight="1" thickBot="1" x14ac:dyDescent="0.35">
      <c r="A128" s="414" t="s">
        <v>354</v>
      </c>
      <c r="B128" s="395">
        <v>605.001397102091</v>
      </c>
      <c r="C128" s="395">
        <v>1321.2327600000001</v>
      </c>
      <c r="D128" s="396">
        <v>716.23136289791</v>
      </c>
      <c r="E128" s="397">
        <v>2.1838507585740001</v>
      </c>
      <c r="F128" s="395">
        <v>1396</v>
      </c>
      <c r="G128" s="396">
        <v>930.66666666666799</v>
      </c>
      <c r="H128" s="398">
        <v>116.145</v>
      </c>
      <c r="I128" s="395">
        <v>976.71900000000096</v>
      </c>
      <c r="J128" s="396">
        <v>46.052333333332001</v>
      </c>
      <c r="K128" s="399">
        <v>0.699655444126</v>
      </c>
    </row>
    <row r="129" spans="1:11" ht="14.4" customHeight="1" thickBot="1" x14ac:dyDescent="0.35">
      <c r="A129" s="415" t="s">
        <v>355</v>
      </c>
      <c r="B129" s="395">
        <v>605.001397102091</v>
      </c>
      <c r="C129" s="395">
        <v>1094.05</v>
      </c>
      <c r="D129" s="396">
        <v>489.04860289790997</v>
      </c>
      <c r="E129" s="397">
        <v>1.8083429315040001</v>
      </c>
      <c r="F129" s="395">
        <v>1393</v>
      </c>
      <c r="G129" s="396">
        <v>928.66666666666799</v>
      </c>
      <c r="H129" s="398">
        <v>112.245</v>
      </c>
      <c r="I129" s="395">
        <v>944.43000000000097</v>
      </c>
      <c r="J129" s="396">
        <v>15.763333333332</v>
      </c>
      <c r="K129" s="399">
        <v>0.67798277099699999</v>
      </c>
    </row>
    <row r="130" spans="1:11" ht="14.4" customHeight="1" thickBot="1" x14ac:dyDescent="0.35">
      <c r="A130" s="416" t="s">
        <v>356</v>
      </c>
      <c r="B130" s="400">
        <v>605.001397102091</v>
      </c>
      <c r="C130" s="400">
        <v>890.61099999999999</v>
      </c>
      <c r="D130" s="401">
        <v>285.60960289791001</v>
      </c>
      <c r="E130" s="407">
        <v>1.472080898103</v>
      </c>
      <c r="F130" s="400">
        <v>1393</v>
      </c>
      <c r="G130" s="401">
        <v>928.66666666666799</v>
      </c>
      <c r="H130" s="403">
        <v>112.245</v>
      </c>
      <c r="I130" s="400">
        <v>944.43000000000097</v>
      </c>
      <c r="J130" s="401">
        <v>15.763333333332</v>
      </c>
      <c r="K130" s="408">
        <v>0.67798277099699999</v>
      </c>
    </row>
    <row r="131" spans="1:11" ht="14.4" customHeight="1" thickBot="1" x14ac:dyDescent="0.35">
      <c r="A131" s="417" t="s">
        <v>357</v>
      </c>
      <c r="B131" s="395">
        <v>77.000177812993002</v>
      </c>
      <c r="C131" s="395">
        <v>313.00400000000002</v>
      </c>
      <c r="D131" s="396">
        <v>236.00382218700699</v>
      </c>
      <c r="E131" s="397">
        <v>4.0649776258979999</v>
      </c>
      <c r="F131" s="395">
        <v>785.00000000000102</v>
      </c>
      <c r="G131" s="396">
        <v>523.33333333333405</v>
      </c>
      <c r="H131" s="398">
        <v>65.430999999999997</v>
      </c>
      <c r="I131" s="395">
        <v>523.44799999999998</v>
      </c>
      <c r="J131" s="396">
        <v>0.11466666666600001</v>
      </c>
      <c r="K131" s="399">
        <v>0.66681273885299996</v>
      </c>
    </row>
    <row r="132" spans="1:11" ht="14.4" customHeight="1" thickBot="1" x14ac:dyDescent="0.35">
      <c r="A132" s="417" t="s">
        <v>358</v>
      </c>
      <c r="B132" s="395">
        <v>291.00067199455901</v>
      </c>
      <c r="C132" s="395">
        <v>255.16300000000001</v>
      </c>
      <c r="D132" s="396">
        <v>-35.837671994559003</v>
      </c>
      <c r="E132" s="397">
        <v>0.87684677238300002</v>
      </c>
      <c r="F132" s="395">
        <v>164</v>
      </c>
      <c r="G132" s="396">
        <v>109.333333333334</v>
      </c>
      <c r="H132" s="398">
        <v>10.034000000000001</v>
      </c>
      <c r="I132" s="395">
        <v>123.652</v>
      </c>
      <c r="J132" s="396">
        <v>14.318666666665999</v>
      </c>
      <c r="K132" s="399">
        <v>0.75397560975599998</v>
      </c>
    </row>
    <row r="133" spans="1:11" ht="14.4" customHeight="1" thickBot="1" x14ac:dyDescent="0.35">
      <c r="A133" s="417" t="s">
        <v>359</v>
      </c>
      <c r="B133" s="395">
        <v>117.00027018338</v>
      </c>
      <c r="C133" s="395">
        <v>117.372</v>
      </c>
      <c r="D133" s="396">
        <v>0.37172981661999999</v>
      </c>
      <c r="E133" s="397">
        <v>1.0031771705820001</v>
      </c>
      <c r="F133" s="395">
        <v>117</v>
      </c>
      <c r="G133" s="396">
        <v>78</v>
      </c>
      <c r="H133" s="398">
        <v>9.7810000000000006</v>
      </c>
      <c r="I133" s="395">
        <v>78.248000000000005</v>
      </c>
      <c r="J133" s="396">
        <v>0.24799999999899999</v>
      </c>
      <c r="K133" s="399">
        <v>0.66878632478599997</v>
      </c>
    </row>
    <row r="134" spans="1:11" ht="14.4" customHeight="1" thickBot="1" x14ac:dyDescent="0.35">
      <c r="A134" s="417" t="s">
        <v>360</v>
      </c>
      <c r="B134" s="395">
        <v>0</v>
      </c>
      <c r="C134" s="395">
        <v>85.287999999999997</v>
      </c>
      <c r="D134" s="396">
        <v>85.287999999999997</v>
      </c>
      <c r="E134" s="405" t="s">
        <v>262</v>
      </c>
      <c r="F134" s="395">
        <v>256</v>
      </c>
      <c r="G134" s="396">
        <v>170.666666666667</v>
      </c>
      <c r="H134" s="398">
        <v>21.321999999999999</v>
      </c>
      <c r="I134" s="395">
        <v>170.57599999999999</v>
      </c>
      <c r="J134" s="396">
        <v>-9.0666666665999998E-2</v>
      </c>
      <c r="K134" s="399">
        <v>0.666312499999</v>
      </c>
    </row>
    <row r="135" spans="1:11" ht="14.4" customHeight="1" thickBot="1" x14ac:dyDescent="0.35">
      <c r="A135" s="417" t="s">
        <v>361</v>
      </c>
      <c r="B135" s="395">
        <v>120.000277111158</v>
      </c>
      <c r="C135" s="395">
        <v>119.78400000000001</v>
      </c>
      <c r="D135" s="396">
        <v>-0.216277111158</v>
      </c>
      <c r="E135" s="397">
        <v>0.99819769490200005</v>
      </c>
      <c r="F135" s="395">
        <v>71</v>
      </c>
      <c r="G135" s="396">
        <v>47.333333333333002</v>
      </c>
      <c r="H135" s="398">
        <v>5.6769999999999996</v>
      </c>
      <c r="I135" s="395">
        <v>48.506</v>
      </c>
      <c r="J135" s="396">
        <v>1.1726666666659999</v>
      </c>
      <c r="K135" s="399">
        <v>0.68318309859100002</v>
      </c>
    </row>
    <row r="136" spans="1:11" ht="14.4" customHeight="1" thickBot="1" x14ac:dyDescent="0.35">
      <c r="A136" s="416" t="s">
        <v>362</v>
      </c>
      <c r="B136" s="400">
        <v>0</v>
      </c>
      <c r="C136" s="400">
        <v>203.43899999999999</v>
      </c>
      <c r="D136" s="401">
        <v>203.43899999999999</v>
      </c>
      <c r="E136" s="402" t="s">
        <v>234</v>
      </c>
      <c r="F136" s="400">
        <v>0</v>
      </c>
      <c r="G136" s="401">
        <v>0</v>
      </c>
      <c r="H136" s="403">
        <v>0</v>
      </c>
      <c r="I136" s="400">
        <v>0</v>
      </c>
      <c r="J136" s="401">
        <v>0</v>
      </c>
      <c r="K136" s="404" t="s">
        <v>234</v>
      </c>
    </row>
    <row r="137" spans="1:11" ht="14.4" customHeight="1" thickBot="1" x14ac:dyDescent="0.35">
      <c r="A137" s="417" t="s">
        <v>363</v>
      </c>
      <c r="B137" s="395">
        <v>0</v>
      </c>
      <c r="C137" s="395">
        <v>203.43899999999999</v>
      </c>
      <c r="D137" s="396">
        <v>203.43899999999999</v>
      </c>
      <c r="E137" s="405" t="s">
        <v>234</v>
      </c>
      <c r="F137" s="395">
        <v>0</v>
      </c>
      <c r="G137" s="396">
        <v>0</v>
      </c>
      <c r="H137" s="398">
        <v>0</v>
      </c>
      <c r="I137" s="395">
        <v>0</v>
      </c>
      <c r="J137" s="396">
        <v>0</v>
      </c>
      <c r="K137" s="406" t="s">
        <v>234</v>
      </c>
    </row>
    <row r="138" spans="1:11" ht="14.4" customHeight="1" thickBot="1" x14ac:dyDescent="0.35">
      <c r="A138" s="415" t="s">
        <v>364</v>
      </c>
      <c r="B138" s="395">
        <v>0</v>
      </c>
      <c r="C138" s="395">
        <v>227.18276</v>
      </c>
      <c r="D138" s="396">
        <v>227.18276</v>
      </c>
      <c r="E138" s="405" t="s">
        <v>234</v>
      </c>
      <c r="F138" s="395">
        <v>3</v>
      </c>
      <c r="G138" s="396">
        <v>2</v>
      </c>
      <c r="H138" s="398">
        <v>3.9</v>
      </c>
      <c r="I138" s="395">
        <v>32.289000000000001</v>
      </c>
      <c r="J138" s="396">
        <v>30.289000000000001</v>
      </c>
      <c r="K138" s="399">
        <v>10.763</v>
      </c>
    </row>
    <row r="139" spans="1:11" ht="14.4" customHeight="1" thickBot="1" x14ac:dyDescent="0.35">
      <c r="A139" s="416" t="s">
        <v>365</v>
      </c>
      <c r="B139" s="400">
        <v>0</v>
      </c>
      <c r="C139" s="400">
        <v>183.90185</v>
      </c>
      <c r="D139" s="401">
        <v>183.90185</v>
      </c>
      <c r="E139" s="402" t="s">
        <v>262</v>
      </c>
      <c r="F139" s="400">
        <v>3</v>
      </c>
      <c r="G139" s="401">
        <v>2</v>
      </c>
      <c r="H139" s="403">
        <v>3.9</v>
      </c>
      <c r="I139" s="400">
        <v>3.9</v>
      </c>
      <c r="J139" s="401">
        <v>1.9</v>
      </c>
      <c r="K139" s="408">
        <v>1.3</v>
      </c>
    </row>
    <row r="140" spans="1:11" ht="14.4" customHeight="1" thickBot="1" x14ac:dyDescent="0.35">
      <c r="A140" s="417" t="s">
        <v>366</v>
      </c>
      <c r="B140" s="395">
        <v>0</v>
      </c>
      <c r="C140" s="395">
        <v>183.90185</v>
      </c>
      <c r="D140" s="396">
        <v>183.90185</v>
      </c>
      <c r="E140" s="405" t="s">
        <v>262</v>
      </c>
      <c r="F140" s="395">
        <v>3</v>
      </c>
      <c r="G140" s="396">
        <v>2</v>
      </c>
      <c r="H140" s="398">
        <v>3.9</v>
      </c>
      <c r="I140" s="395">
        <v>3.9</v>
      </c>
      <c r="J140" s="396">
        <v>1.9</v>
      </c>
      <c r="K140" s="399">
        <v>1.3</v>
      </c>
    </row>
    <row r="141" spans="1:11" ht="14.4" customHeight="1" thickBot="1" x14ac:dyDescent="0.35">
      <c r="A141" s="416" t="s">
        <v>367</v>
      </c>
      <c r="B141" s="400">
        <v>0</v>
      </c>
      <c r="C141" s="400">
        <v>15.208909999999999</v>
      </c>
      <c r="D141" s="401">
        <v>15.208909999999999</v>
      </c>
      <c r="E141" s="402" t="s">
        <v>234</v>
      </c>
      <c r="F141" s="400">
        <v>0</v>
      </c>
      <c r="G141" s="401">
        <v>0</v>
      </c>
      <c r="H141" s="403">
        <v>0</v>
      </c>
      <c r="I141" s="400">
        <v>5.048</v>
      </c>
      <c r="J141" s="401">
        <v>5.048</v>
      </c>
      <c r="K141" s="404" t="s">
        <v>234</v>
      </c>
    </row>
    <row r="142" spans="1:11" ht="14.4" customHeight="1" thickBot="1" x14ac:dyDescent="0.35">
      <c r="A142" s="417" t="s">
        <v>368</v>
      </c>
      <c r="B142" s="395">
        <v>0</v>
      </c>
      <c r="C142" s="395">
        <v>12.196009999999999</v>
      </c>
      <c r="D142" s="396">
        <v>12.196009999999999</v>
      </c>
      <c r="E142" s="405" t="s">
        <v>234</v>
      </c>
      <c r="F142" s="395">
        <v>0</v>
      </c>
      <c r="G142" s="396">
        <v>0</v>
      </c>
      <c r="H142" s="398">
        <v>0</v>
      </c>
      <c r="I142" s="395">
        <v>0</v>
      </c>
      <c r="J142" s="396">
        <v>0</v>
      </c>
      <c r="K142" s="406" t="s">
        <v>234</v>
      </c>
    </row>
    <row r="143" spans="1:11" ht="14.4" customHeight="1" thickBot="1" x14ac:dyDescent="0.35">
      <c r="A143" s="417" t="s">
        <v>369</v>
      </c>
      <c r="B143" s="395">
        <v>0</v>
      </c>
      <c r="C143" s="395">
        <v>0</v>
      </c>
      <c r="D143" s="396">
        <v>0</v>
      </c>
      <c r="E143" s="405" t="s">
        <v>234</v>
      </c>
      <c r="F143" s="395">
        <v>0</v>
      </c>
      <c r="G143" s="396">
        <v>0</v>
      </c>
      <c r="H143" s="398">
        <v>0</v>
      </c>
      <c r="I143" s="395">
        <v>5.048</v>
      </c>
      <c r="J143" s="396">
        <v>5.048</v>
      </c>
      <c r="K143" s="406" t="s">
        <v>262</v>
      </c>
    </row>
    <row r="144" spans="1:11" ht="14.4" customHeight="1" thickBot="1" x14ac:dyDescent="0.35">
      <c r="A144" s="417" t="s">
        <v>370</v>
      </c>
      <c r="B144" s="395">
        <v>0</v>
      </c>
      <c r="C144" s="395">
        <v>3.0129000000000001</v>
      </c>
      <c r="D144" s="396">
        <v>3.0129000000000001</v>
      </c>
      <c r="E144" s="405" t="s">
        <v>262</v>
      </c>
      <c r="F144" s="395">
        <v>0</v>
      </c>
      <c r="G144" s="396">
        <v>0</v>
      </c>
      <c r="H144" s="398">
        <v>0</v>
      </c>
      <c r="I144" s="395">
        <v>0</v>
      </c>
      <c r="J144" s="396">
        <v>0</v>
      </c>
      <c r="K144" s="406" t="s">
        <v>234</v>
      </c>
    </row>
    <row r="145" spans="1:11" ht="14.4" customHeight="1" thickBot="1" x14ac:dyDescent="0.35">
      <c r="A145" s="416" t="s">
        <v>371</v>
      </c>
      <c r="B145" s="400">
        <v>0</v>
      </c>
      <c r="C145" s="400">
        <v>28.071999999999999</v>
      </c>
      <c r="D145" s="401">
        <v>28.071999999999999</v>
      </c>
      <c r="E145" s="402" t="s">
        <v>234</v>
      </c>
      <c r="F145" s="400">
        <v>0</v>
      </c>
      <c r="G145" s="401">
        <v>0</v>
      </c>
      <c r="H145" s="403">
        <v>0</v>
      </c>
      <c r="I145" s="400">
        <v>23.341000000000001</v>
      </c>
      <c r="J145" s="401">
        <v>23.341000000000001</v>
      </c>
      <c r="K145" s="404" t="s">
        <v>234</v>
      </c>
    </row>
    <row r="146" spans="1:11" ht="14.4" customHeight="1" thickBot="1" x14ac:dyDescent="0.35">
      <c r="A146" s="417" t="s">
        <v>372</v>
      </c>
      <c r="B146" s="395">
        <v>0</v>
      </c>
      <c r="C146" s="395">
        <v>28.071999999999999</v>
      </c>
      <c r="D146" s="396">
        <v>28.071999999999999</v>
      </c>
      <c r="E146" s="405" t="s">
        <v>234</v>
      </c>
      <c r="F146" s="395">
        <v>0</v>
      </c>
      <c r="G146" s="396">
        <v>0</v>
      </c>
      <c r="H146" s="398">
        <v>0</v>
      </c>
      <c r="I146" s="395">
        <v>23.341000000000001</v>
      </c>
      <c r="J146" s="396">
        <v>23.341000000000001</v>
      </c>
      <c r="K146" s="406" t="s">
        <v>234</v>
      </c>
    </row>
    <row r="147" spans="1:11" ht="14.4" customHeight="1" thickBot="1" x14ac:dyDescent="0.35">
      <c r="A147" s="413" t="s">
        <v>373</v>
      </c>
      <c r="B147" s="395">
        <v>30048.153771825899</v>
      </c>
      <c r="C147" s="395">
        <v>29420.12213</v>
      </c>
      <c r="D147" s="396">
        <v>-628.03164182586602</v>
      </c>
      <c r="E147" s="397">
        <v>0.97909916041400002</v>
      </c>
      <c r="F147" s="395">
        <v>29894.615513974499</v>
      </c>
      <c r="G147" s="396">
        <v>19929.743675983002</v>
      </c>
      <c r="H147" s="398">
        <v>1427.1404199999999</v>
      </c>
      <c r="I147" s="395">
        <v>19775.61132</v>
      </c>
      <c r="J147" s="396">
        <v>-154.132355982973</v>
      </c>
      <c r="K147" s="399">
        <v>0.66151080989</v>
      </c>
    </row>
    <row r="148" spans="1:11" ht="14.4" customHeight="1" thickBot="1" x14ac:dyDescent="0.35">
      <c r="A148" s="414" t="s">
        <v>374</v>
      </c>
      <c r="B148" s="395">
        <v>29754.1097563564</v>
      </c>
      <c r="C148" s="395">
        <v>29106.618689999999</v>
      </c>
      <c r="D148" s="396">
        <v>-647.49106635644796</v>
      </c>
      <c r="E148" s="397">
        <v>0.97823860059400003</v>
      </c>
      <c r="F148" s="395">
        <v>29621.5</v>
      </c>
      <c r="G148" s="396">
        <v>19747.666666666701</v>
      </c>
      <c r="H148" s="398">
        <v>1403.8919100000001</v>
      </c>
      <c r="I148" s="395">
        <v>19556.344219999999</v>
      </c>
      <c r="J148" s="396">
        <v>-191.322446666665</v>
      </c>
      <c r="K148" s="399">
        <v>0.66020776192899999</v>
      </c>
    </row>
    <row r="149" spans="1:11" ht="14.4" customHeight="1" thickBot="1" x14ac:dyDescent="0.35">
      <c r="A149" s="415" t="s">
        <v>375</v>
      </c>
      <c r="B149" s="395">
        <v>29754.1097563564</v>
      </c>
      <c r="C149" s="395">
        <v>29106.618689999999</v>
      </c>
      <c r="D149" s="396">
        <v>-647.49106635644796</v>
      </c>
      <c r="E149" s="397">
        <v>0.97823860059400003</v>
      </c>
      <c r="F149" s="395">
        <v>29621.5</v>
      </c>
      <c r="G149" s="396">
        <v>19747.666666666701</v>
      </c>
      <c r="H149" s="398">
        <v>1403.8919100000001</v>
      </c>
      <c r="I149" s="395">
        <v>19556.344219999999</v>
      </c>
      <c r="J149" s="396">
        <v>-191.322446666665</v>
      </c>
      <c r="K149" s="399">
        <v>0.66020776192899999</v>
      </c>
    </row>
    <row r="150" spans="1:11" ht="14.4" customHeight="1" thickBot="1" x14ac:dyDescent="0.35">
      <c r="A150" s="416" t="s">
        <v>376</v>
      </c>
      <c r="B150" s="400">
        <v>10078.3264069741</v>
      </c>
      <c r="C150" s="400">
        <v>9719.1640000000007</v>
      </c>
      <c r="D150" s="401">
        <v>-359.16240697404999</v>
      </c>
      <c r="E150" s="407">
        <v>0.96436289196500002</v>
      </c>
      <c r="F150" s="400">
        <v>9269.5</v>
      </c>
      <c r="G150" s="401">
        <v>6179.6666666666697</v>
      </c>
      <c r="H150" s="403">
        <v>522.10790999999995</v>
      </c>
      <c r="I150" s="400">
        <v>6921.2544500000004</v>
      </c>
      <c r="J150" s="401">
        <v>741.58778333333396</v>
      </c>
      <c r="K150" s="408">
        <v>0.74666966395099998</v>
      </c>
    </row>
    <row r="151" spans="1:11" ht="14.4" customHeight="1" thickBot="1" x14ac:dyDescent="0.35">
      <c r="A151" s="417" t="s">
        <v>377</v>
      </c>
      <c r="B151" s="395">
        <v>2.3760253773320001</v>
      </c>
      <c r="C151" s="395">
        <v>33.20928</v>
      </c>
      <c r="D151" s="396">
        <v>30.833254622666999</v>
      </c>
      <c r="E151" s="397">
        <v>13.976820414804999</v>
      </c>
      <c r="F151" s="395">
        <v>30</v>
      </c>
      <c r="G151" s="396">
        <v>20</v>
      </c>
      <c r="H151" s="398">
        <v>5.6732800000000001</v>
      </c>
      <c r="I151" s="395">
        <v>34.998559999999998</v>
      </c>
      <c r="J151" s="396">
        <v>14.998559999999999</v>
      </c>
      <c r="K151" s="399">
        <v>1.1666186666659999</v>
      </c>
    </row>
    <row r="152" spans="1:11" ht="14.4" customHeight="1" thickBot="1" x14ac:dyDescent="0.35">
      <c r="A152" s="417" t="s">
        <v>378</v>
      </c>
      <c r="B152" s="395">
        <v>27.565708133326002</v>
      </c>
      <c r="C152" s="395">
        <v>35.164999999999999</v>
      </c>
      <c r="D152" s="396">
        <v>7.5992918666730001</v>
      </c>
      <c r="E152" s="397">
        <v>1.2756791818990001</v>
      </c>
      <c r="F152" s="395">
        <v>40</v>
      </c>
      <c r="G152" s="396">
        <v>26.666666666666</v>
      </c>
      <c r="H152" s="398">
        <v>1.5640000000000001</v>
      </c>
      <c r="I152" s="395">
        <v>18.709</v>
      </c>
      <c r="J152" s="396">
        <v>-7.9576666666660003</v>
      </c>
      <c r="K152" s="399">
        <v>0.467725</v>
      </c>
    </row>
    <row r="153" spans="1:11" ht="14.4" customHeight="1" thickBot="1" x14ac:dyDescent="0.35">
      <c r="A153" s="417" t="s">
        <v>379</v>
      </c>
      <c r="B153" s="395">
        <v>10048.384673463401</v>
      </c>
      <c r="C153" s="395">
        <v>9650.7897200000007</v>
      </c>
      <c r="D153" s="396">
        <v>-397.59495346339099</v>
      </c>
      <c r="E153" s="397">
        <v>0.96043195335499998</v>
      </c>
      <c r="F153" s="395">
        <v>9199.5</v>
      </c>
      <c r="G153" s="396">
        <v>6133</v>
      </c>
      <c r="H153" s="398">
        <v>514.87063000000001</v>
      </c>
      <c r="I153" s="395">
        <v>6867.5468899999996</v>
      </c>
      <c r="J153" s="396">
        <v>734.54688999999996</v>
      </c>
      <c r="K153" s="399">
        <v>0.74651305940500001</v>
      </c>
    </row>
    <row r="154" spans="1:11" ht="14.4" customHeight="1" thickBot="1" x14ac:dyDescent="0.35">
      <c r="A154" s="416" t="s">
        <v>380</v>
      </c>
      <c r="B154" s="400">
        <v>6252.7820034762099</v>
      </c>
      <c r="C154" s="400">
        <v>5729.7915999999996</v>
      </c>
      <c r="D154" s="401">
        <v>-522.99040347621201</v>
      </c>
      <c r="E154" s="407">
        <v>0.91635876587599996</v>
      </c>
      <c r="F154" s="400">
        <v>5894</v>
      </c>
      <c r="G154" s="401">
        <v>3929.3333333333298</v>
      </c>
      <c r="H154" s="403">
        <v>277.70699999999999</v>
      </c>
      <c r="I154" s="400">
        <v>3723.1489999999999</v>
      </c>
      <c r="J154" s="401">
        <v>-206.18433333333201</v>
      </c>
      <c r="K154" s="408">
        <v>0.63168459450199999</v>
      </c>
    </row>
    <row r="155" spans="1:11" ht="14.4" customHeight="1" thickBot="1" x14ac:dyDescent="0.35">
      <c r="A155" s="417" t="s">
        <v>381</v>
      </c>
      <c r="B155" s="395">
        <v>6241.00062577669</v>
      </c>
      <c r="C155" s="395">
        <v>5726.1346000000003</v>
      </c>
      <c r="D155" s="396">
        <v>-514.866025776691</v>
      </c>
      <c r="E155" s="397">
        <v>0.91750264794799996</v>
      </c>
      <c r="F155" s="395">
        <v>5887</v>
      </c>
      <c r="G155" s="396">
        <v>3924.6666666666702</v>
      </c>
      <c r="H155" s="398">
        <v>277.70699999999999</v>
      </c>
      <c r="I155" s="395">
        <v>3722.0889999999999</v>
      </c>
      <c r="J155" s="396">
        <v>-202.57766666666501</v>
      </c>
      <c r="K155" s="399">
        <v>0.63225564803800005</v>
      </c>
    </row>
    <row r="156" spans="1:11" ht="14.4" customHeight="1" thickBot="1" x14ac:dyDescent="0.35">
      <c r="A156" s="417" t="s">
        <v>382</v>
      </c>
      <c r="B156" s="395">
        <v>11.781377699521</v>
      </c>
      <c r="C156" s="395">
        <v>3.657</v>
      </c>
      <c r="D156" s="396">
        <v>-8.1243776995210002</v>
      </c>
      <c r="E156" s="397">
        <v>0.31040512351499999</v>
      </c>
      <c r="F156" s="395">
        <v>7</v>
      </c>
      <c r="G156" s="396">
        <v>4.6666666666659999</v>
      </c>
      <c r="H156" s="398">
        <v>0</v>
      </c>
      <c r="I156" s="395">
        <v>1.06</v>
      </c>
      <c r="J156" s="396">
        <v>-3.6066666666659999</v>
      </c>
      <c r="K156" s="399">
        <v>0.15142857142800001</v>
      </c>
    </row>
    <row r="157" spans="1:11" ht="14.4" customHeight="1" thickBot="1" x14ac:dyDescent="0.35">
      <c r="A157" s="416" t="s">
        <v>383</v>
      </c>
      <c r="B157" s="400">
        <v>13423.001345906199</v>
      </c>
      <c r="C157" s="400">
        <v>13671.55255</v>
      </c>
      <c r="D157" s="401">
        <v>248.551204093812</v>
      </c>
      <c r="E157" s="407">
        <v>1.018516812871</v>
      </c>
      <c r="F157" s="400">
        <v>14458</v>
      </c>
      <c r="G157" s="401">
        <v>9638.6666666666697</v>
      </c>
      <c r="H157" s="403">
        <v>604.077</v>
      </c>
      <c r="I157" s="400">
        <v>8912.9922299999998</v>
      </c>
      <c r="J157" s="401">
        <v>-725.67443666666998</v>
      </c>
      <c r="K157" s="408">
        <v>0.616474770369</v>
      </c>
    </row>
    <row r="158" spans="1:11" ht="14.4" customHeight="1" thickBot="1" x14ac:dyDescent="0.35">
      <c r="A158" s="417" t="s">
        <v>384</v>
      </c>
      <c r="B158" s="395">
        <v>13423.001345906199</v>
      </c>
      <c r="C158" s="395">
        <v>13671.55255</v>
      </c>
      <c r="D158" s="396">
        <v>248.551204093812</v>
      </c>
      <c r="E158" s="397">
        <v>1.018516812871</v>
      </c>
      <c r="F158" s="395">
        <v>14458</v>
      </c>
      <c r="G158" s="396">
        <v>9638.6666666666697</v>
      </c>
      <c r="H158" s="398">
        <v>604.077</v>
      </c>
      <c r="I158" s="395">
        <v>8912.9922299999998</v>
      </c>
      <c r="J158" s="396">
        <v>-725.67443666666998</v>
      </c>
      <c r="K158" s="399">
        <v>0.616474770369</v>
      </c>
    </row>
    <row r="159" spans="1:11" ht="14.4" customHeight="1" thickBot="1" x14ac:dyDescent="0.35">
      <c r="A159" s="416" t="s">
        <v>385</v>
      </c>
      <c r="B159" s="400">
        <v>0</v>
      </c>
      <c r="C159" s="400">
        <v>-13.88946</v>
      </c>
      <c r="D159" s="401">
        <v>-13.88946</v>
      </c>
      <c r="E159" s="402" t="s">
        <v>262</v>
      </c>
      <c r="F159" s="400">
        <v>0</v>
      </c>
      <c r="G159" s="401">
        <v>0</v>
      </c>
      <c r="H159" s="403">
        <v>0</v>
      </c>
      <c r="I159" s="400">
        <v>-1.0514600000000001</v>
      </c>
      <c r="J159" s="401">
        <v>-1.0514600000000001</v>
      </c>
      <c r="K159" s="404" t="s">
        <v>234</v>
      </c>
    </row>
    <row r="160" spans="1:11" ht="14.4" customHeight="1" thickBot="1" x14ac:dyDescent="0.35">
      <c r="A160" s="417" t="s">
        <v>386</v>
      </c>
      <c r="B160" s="395">
        <v>0</v>
      </c>
      <c r="C160" s="395">
        <v>-13.88946</v>
      </c>
      <c r="D160" s="396">
        <v>-13.88946</v>
      </c>
      <c r="E160" s="405" t="s">
        <v>262</v>
      </c>
      <c r="F160" s="395">
        <v>0</v>
      </c>
      <c r="G160" s="396">
        <v>0</v>
      </c>
      <c r="H160" s="398">
        <v>0</v>
      </c>
      <c r="I160" s="395">
        <v>-1.0514600000000001</v>
      </c>
      <c r="J160" s="396">
        <v>-1.0514600000000001</v>
      </c>
      <c r="K160" s="406" t="s">
        <v>234</v>
      </c>
    </row>
    <row r="161" spans="1:11" ht="14.4" customHeight="1" thickBot="1" x14ac:dyDescent="0.35">
      <c r="A161" s="414" t="s">
        <v>387</v>
      </c>
      <c r="B161" s="395">
        <v>294.04401546941898</v>
      </c>
      <c r="C161" s="395">
        <v>313.50344000000001</v>
      </c>
      <c r="D161" s="396">
        <v>19.459424530580002</v>
      </c>
      <c r="E161" s="397">
        <v>1.066178611047</v>
      </c>
      <c r="F161" s="395">
        <v>273.11551397445299</v>
      </c>
      <c r="G161" s="396">
        <v>182.077009316302</v>
      </c>
      <c r="H161" s="398">
        <v>23.24851</v>
      </c>
      <c r="I161" s="395">
        <v>219.2671</v>
      </c>
      <c r="J161" s="396">
        <v>37.190090683697001</v>
      </c>
      <c r="K161" s="399">
        <v>0.80283648778899996</v>
      </c>
    </row>
    <row r="162" spans="1:11" ht="14.4" customHeight="1" thickBot="1" x14ac:dyDescent="0.35">
      <c r="A162" s="415" t="s">
        <v>388</v>
      </c>
      <c r="B162" s="395">
        <v>0</v>
      </c>
      <c r="C162" s="395">
        <v>0</v>
      </c>
      <c r="D162" s="396">
        <v>0</v>
      </c>
      <c r="E162" s="397">
        <v>1</v>
      </c>
      <c r="F162" s="395">
        <v>0</v>
      </c>
      <c r="G162" s="396">
        <v>0</v>
      </c>
      <c r="H162" s="398">
        <v>0</v>
      </c>
      <c r="I162" s="395">
        <v>27.5</v>
      </c>
      <c r="J162" s="396">
        <v>27.5</v>
      </c>
      <c r="K162" s="406" t="s">
        <v>262</v>
      </c>
    </row>
    <row r="163" spans="1:11" ht="14.4" customHeight="1" thickBot="1" x14ac:dyDescent="0.35">
      <c r="A163" s="416" t="s">
        <v>389</v>
      </c>
      <c r="B163" s="400">
        <v>0</v>
      </c>
      <c r="C163" s="400">
        <v>0</v>
      </c>
      <c r="D163" s="401">
        <v>0</v>
      </c>
      <c r="E163" s="407">
        <v>1</v>
      </c>
      <c r="F163" s="400">
        <v>0</v>
      </c>
      <c r="G163" s="401">
        <v>0</v>
      </c>
      <c r="H163" s="403">
        <v>0</v>
      </c>
      <c r="I163" s="400">
        <v>27.5</v>
      </c>
      <c r="J163" s="401">
        <v>27.5</v>
      </c>
      <c r="K163" s="404" t="s">
        <v>262</v>
      </c>
    </row>
    <row r="164" spans="1:11" ht="14.4" customHeight="1" thickBot="1" x14ac:dyDescent="0.35">
      <c r="A164" s="417" t="s">
        <v>390</v>
      </c>
      <c r="B164" s="395">
        <v>0</v>
      </c>
      <c r="C164" s="395">
        <v>0</v>
      </c>
      <c r="D164" s="396">
        <v>0</v>
      </c>
      <c r="E164" s="397">
        <v>1</v>
      </c>
      <c r="F164" s="395">
        <v>0</v>
      </c>
      <c r="G164" s="396">
        <v>0</v>
      </c>
      <c r="H164" s="398">
        <v>0</v>
      </c>
      <c r="I164" s="395">
        <v>27.5</v>
      </c>
      <c r="J164" s="396">
        <v>27.5</v>
      </c>
      <c r="K164" s="406" t="s">
        <v>262</v>
      </c>
    </row>
    <row r="165" spans="1:11" ht="14.4" customHeight="1" thickBot="1" x14ac:dyDescent="0.35">
      <c r="A165" s="420" t="s">
        <v>391</v>
      </c>
      <c r="B165" s="400">
        <v>294.04401546941898</v>
      </c>
      <c r="C165" s="400">
        <v>313.50344000000001</v>
      </c>
      <c r="D165" s="401">
        <v>19.459424530580002</v>
      </c>
      <c r="E165" s="407">
        <v>1.066178611047</v>
      </c>
      <c r="F165" s="400">
        <v>273.11551397445299</v>
      </c>
      <c r="G165" s="401">
        <v>182.077009316302</v>
      </c>
      <c r="H165" s="403">
        <v>23.24851</v>
      </c>
      <c r="I165" s="400">
        <v>191.7671</v>
      </c>
      <c r="J165" s="401">
        <v>9.6900906836970009</v>
      </c>
      <c r="K165" s="408">
        <v>0.70214649182400002</v>
      </c>
    </row>
    <row r="166" spans="1:11" ht="14.4" customHeight="1" thickBot="1" x14ac:dyDescent="0.35">
      <c r="A166" s="416" t="s">
        <v>392</v>
      </c>
      <c r="B166" s="400">
        <v>0</v>
      </c>
      <c r="C166" s="400">
        <v>15.904540000000001</v>
      </c>
      <c r="D166" s="401">
        <v>15.904540000000001</v>
      </c>
      <c r="E166" s="402" t="s">
        <v>234</v>
      </c>
      <c r="F166" s="400">
        <v>0</v>
      </c>
      <c r="G166" s="401">
        <v>0</v>
      </c>
      <c r="H166" s="403">
        <v>5.0000000000000002E-5</v>
      </c>
      <c r="I166" s="400">
        <v>1.72E-3</v>
      </c>
      <c r="J166" s="401">
        <v>1.72E-3</v>
      </c>
      <c r="K166" s="404" t="s">
        <v>234</v>
      </c>
    </row>
    <row r="167" spans="1:11" ht="14.4" customHeight="1" thickBot="1" x14ac:dyDescent="0.35">
      <c r="A167" s="417" t="s">
        <v>393</v>
      </c>
      <c r="B167" s="395">
        <v>0</v>
      </c>
      <c r="C167" s="395">
        <v>5.4000000000000001E-4</v>
      </c>
      <c r="D167" s="396">
        <v>5.4000000000000001E-4</v>
      </c>
      <c r="E167" s="405" t="s">
        <v>234</v>
      </c>
      <c r="F167" s="395">
        <v>0</v>
      </c>
      <c r="G167" s="396">
        <v>0</v>
      </c>
      <c r="H167" s="398">
        <v>5.0000000000000002E-5</v>
      </c>
      <c r="I167" s="395">
        <v>1.72E-3</v>
      </c>
      <c r="J167" s="396">
        <v>1.72E-3</v>
      </c>
      <c r="K167" s="406" t="s">
        <v>234</v>
      </c>
    </row>
    <row r="168" spans="1:11" ht="14.4" customHeight="1" thickBot="1" x14ac:dyDescent="0.35">
      <c r="A168" s="417" t="s">
        <v>394</v>
      </c>
      <c r="B168" s="395">
        <v>0</v>
      </c>
      <c r="C168" s="395">
        <v>12.35</v>
      </c>
      <c r="D168" s="396">
        <v>12.35</v>
      </c>
      <c r="E168" s="405" t="s">
        <v>262</v>
      </c>
      <c r="F168" s="395">
        <v>0</v>
      </c>
      <c r="G168" s="396">
        <v>0</v>
      </c>
      <c r="H168" s="398">
        <v>0</v>
      </c>
      <c r="I168" s="395">
        <v>0</v>
      </c>
      <c r="J168" s="396">
        <v>0</v>
      </c>
      <c r="K168" s="406" t="s">
        <v>234</v>
      </c>
    </row>
    <row r="169" spans="1:11" ht="14.4" customHeight="1" thickBot="1" x14ac:dyDescent="0.35">
      <c r="A169" s="417" t="s">
        <v>395</v>
      </c>
      <c r="B169" s="395">
        <v>0</v>
      </c>
      <c r="C169" s="395">
        <v>3.5539999999999998</v>
      </c>
      <c r="D169" s="396">
        <v>3.5539999999999998</v>
      </c>
      <c r="E169" s="405" t="s">
        <v>262</v>
      </c>
      <c r="F169" s="395">
        <v>0</v>
      </c>
      <c r="G169" s="396">
        <v>0</v>
      </c>
      <c r="H169" s="398">
        <v>0</v>
      </c>
      <c r="I169" s="395">
        <v>0</v>
      </c>
      <c r="J169" s="396">
        <v>0</v>
      </c>
      <c r="K169" s="406" t="s">
        <v>234</v>
      </c>
    </row>
    <row r="170" spans="1:11" ht="14.4" customHeight="1" thickBot="1" x14ac:dyDescent="0.35">
      <c r="A170" s="416" t="s">
        <v>396</v>
      </c>
      <c r="B170" s="400">
        <v>294.04401546941898</v>
      </c>
      <c r="C170" s="400">
        <v>297.59890000000001</v>
      </c>
      <c r="D170" s="401">
        <v>3.5548845305799999</v>
      </c>
      <c r="E170" s="407">
        <v>1.012089634012</v>
      </c>
      <c r="F170" s="400">
        <v>273.11551397445299</v>
      </c>
      <c r="G170" s="401">
        <v>182.077009316302</v>
      </c>
      <c r="H170" s="403">
        <v>23.248460000000001</v>
      </c>
      <c r="I170" s="400">
        <v>191.76537999999999</v>
      </c>
      <c r="J170" s="401">
        <v>9.6883706836970003</v>
      </c>
      <c r="K170" s="408">
        <v>0.70214019412200002</v>
      </c>
    </row>
    <row r="171" spans="1:11" ht="14.4" customHeight="1" thickBot="1" x14ac:dyDescent="0.35">
      <c r="A171" s="417" t="s">
        <v>397</v>
      </c>
      <c r="B171" s="395">
        <v>1.674890349697</v>
      </c>
      <c r="C171" s="395">
        <v>1.401</v>
      </c>
      <c r="D171" s="396">
        <v>-0.27389034969699999</v>
      </c>
      <c r="E171" s="397">
        <v>0.83647266834699996</v>
      </c>
      <c r="F171" s="395">
        <v>0</v>
      </c>
      <c r="G171" s="396">
        <v>0</v>
      </c>
      <c r="H171" s="398">
        <v>0.108</v>
      </c>
      <c r="I171" s="395">
        <v>1.0229999999999999</v>
      </c>
      <c r="J171" s="396">
        <v>1.0229999999999999</v>
      </c>
      <c r="K171" s="406" t="s">
        <v>234</v>
      </c>
    </row>
    <row r="172" spans="1:11" ht="14.4" customHeight="1" thickBot="1" x14ac:dyDescent="0.35">
      <c r="A172" s="417" t="s">
        <v>398</v>
      </c>
      <c r="B172" s="395">
        <v>292.36912511972201</v>
      </c>
      <c r="C172" s="395">
        <v>296.1979</v>
      </c>
      <c r="D172" s="396">
        <v>3.8287748802779999</v>
      </c>
      <c r="E172" s="397">
        <v>1.013095688126</v>
      </c>
      <c r="F172" s="395">
        <v>273.11551397445299</v>
      </c>
      <c r="G172" s="396">
        <v>182.077009316302</v>
      </c>
      <c r="H172" s="398">
        <v>23.140460000000001</v>
      </c>
      <c r="I172" s="395">
        <v>190.74238</v>
      </c>
      <c r="J172" s="396">
        <v>8.6653706836970006</v>
      </c>
      <c r="K172" s="399">
        <v>0.69839452627300003</v>
      </c>
    </row>
    <row r="173" spans="1:11" ht="14.4" customHeight="1" thickBot="1" x14ac:dyDescent="0.35">
      <c r="A173" s="413" t="s">
        <v>399</v>
      </c>
      <c r="B173" s="395">
        <v>3766.3125080807699</v>
      </c>
      <c r="C173" s="395">
        <v>3814.43525</v>
      </c>
      <c r="D173" s="396">
        <v>48.122741919229</v>
      </c>
      <c r="E173" s="397">
        <v>1.0127771505459999</v>
      </c>
      <c r="F173" s="395">
        <v>3652.4431301675199</v>
      </c>
      <c r="G173" s="396">
        <v>2434.9620867783501</v>
      </c>
      <c r="H173" s="398">
        <v>393.49736999999999</v>
      </c>
      <c r="I173" s="395">
        <v>2678.9725600000002</v>
      </c>
      <c r="J173" s="396">
        <v>244.010473221654</v>
      </c>
      <c r="K173" s="399">
        <v>0.73347413348400003</v>
      </c>
    </row>
    <row r="174" spans="1:11" ht="14.4" customHeight="1" thickBot="1" x14ac:dyDescent="0.35">
      <c r="A174" s="418" t="s">
        <v>400</v>
      </c>
      <c r="B174" s="400">
        <v>3766.3125080807699</v>
      </c>
      <c r="C174" s="400">
        <v>3814.43525</v>
      </c>
      <c r="D174" s="401">
        <v>48.122741919229</v>
      </c>
      <c r="E174" s="407">
        <v>1.0127771505459999</v>
      </c>
      <c r="F174" s="400">
        <v>3652.4431301675199</v>
      </c>
      <c r="G174" s="401">
        <v>2434.9620867783501</v>
      </c>
      <c r="H174" s="403">
        <v>393.49736999999999</v>
      </c>
      <c r="I174" s="400">
        <v>2678.9725600000002</v>
      </c>
      <c r="J174" s="401">
        <v>244.010473221654</v>
      </c>
      <c r="K174" s="408">
        <v>0.73347413348400003</v>
      </c>
    </row>
    <row r="175" spans="1:11" ht="14.4" customHeight="1" thickBot="1" x14ac:dyDescent="0.35">
      <c r="A175" s="420" t="s">
        <v>41</v>
      </c>
      <c r="B175" s="400">
        <v>3766.3125080807699</v>
      </c>
      <c r="C175" s="400">
        <v>3814.43525</v>
      </c>
      <c r="D175" s="401">
        <v>48.122741919229</v>
      </c>
      <c r="E175" s="407">
        <v>1.0127771505459999</v>
      </c>
      <c r="F175" s="400">
        <v>3652.4431301675199</v>
      </c>
      <c r="G175" s="401">
        <v>2434.9620867783501</v>
      </c>
      <c r="H175" s="403">
        <v>393.49736999999999</v>
      </c>
      <c r="I175" s="400">
        <v>2678.9725600000002</v>
      </c>
      <c r="J175" s="401">
        <v>244.010473221654</v>
      </c>
      <c r="K175" s="408">
        <v>0.73347413348400003</v>
      </c>
    </row>
    <row r="176" spans="1:11" ht="14.4" customHeight="1" thickBot="1" x14ac:dyDescent="0.35">
      <c r="A176" s="419" t="s">
        <v>401</v>
      </c>
      <c r="B176" s="395">
        <v>0</v>
      </c>
      <c r="C176" s="395">
        <v>0</v>
      </c>
      <c r="D176" s="396">
        <v>0</v>
      </c>
      <c r="E176" s="397">
        <v>1</v>
      </c>
      <c r="F176" s="395">
        <v>26.376109984854999</v>
      </c>
      <c r="G176" s="396">
        <v>17.584073323236002</v>
      </c>
      <c r="H176" s="398">
        <v>0</v>
      </c>
      <c r="I176" s="395">
        <v>11.308870000000001</v>
      </c>
      <c r="J176" s="396">
        <v>-6.2752033232360001</v>
      </c>
      <c r="K176" s="399">
        <v>0.42875427826500001</v>
      </c>
    </row>
    <row r="177" spans="1:11" ht="14.4" customHeight="1" thickBot="1" x14ac:dyDescent="0.35">
      <c r="A177" s="417" t="s">
        <v>402</v>
      </c>
      <c r="B177" s="395">
        <v>0</v>
      </c>
      <c r="C177" s="395">
        <v>0</v>
      </c>
      <c r="D177" s="396">
        <v>0</v>
      </c>
      <c r="E177" s="397">
        <v>1</v>
      </c>
      <c r="F177" s="395">
        <v>26.376109984854999</v>
      </c>
      <c r="G177" s="396">
        <v>17.584073323236002</v>
      </c>
      <c r="H177" s="398">
        <v>0</v>
      </c>
      <c r="I177" s="395">
        <v>11.308870000000001</v>
      </c>
      <c r="J177" s="396">
        <v>-6.2752033232360001</v>
      </c>
      <c r="K177" s="399">
        <v>0.42875427826500001</v>
      </c>
    </row>
    <row r="178" spans="1:11" ht="14.4" customHeight="1" thickBot="1" x14ac:dyDescent="0.35">
      <c r="A178" s="416" t="s">
        <v>403</v>
      </c>
      <c r="B178" s="400">
        <v>50.835875060672997</v>
      </c>
      <c r="C178" s="400">
        <v>47.015999999999998</v>
      </c>
      <c r="D178" s="401">
        <v>-3.8198750606730001</v>
      </c>
      <c r="E178" s="407">
        <v>0.92485867399499999</v>
      </c>
      <c r="F178" s="400">
        <v>50.788534803095999</v>
      </c>
      <c r="G178" s="401">
        <v>33.859023202064002</v>
      </c>
      <c r="H178" s="403">
        <v>4.7149999999999999</v>
      </c>
      <c r="I178" s="400">
        <v>36.701000000000001</v>
      </c>
      <c r="J178" s="401">
        <v>2.8419767979350001</v>
      </c>
      <c r="K178" s="408">
        <v>0.72262372093000005</v>
      </c>
    </row>
    <row r="179" spans="1:11" ht="14.4" customHeight="1" thickBot="1" x14ac:dyDescent="0.35">
      <c r="A179" s="417" t="s">
        <v>404</v>
      </c>
      <c r="B179" s="395">
        <v>50.835875060672997</v>
      </c>
      <c r="C179" s="395">
        <v>47.015999999999998</v>
      </c>
      <c r="D179" s="396">
        <v>-3.8198750606730001</v>
      </c>
      <c r="E179" s="397">
        <v>0.92485867399499999</v>
      </c>
      <c r="F179" s="395">
        <v>50.788534803095999</v>
      </c>
      <c r="G179" s="396">
        <v>33.859023202064002</v>
      </c>
      <c r="H179" s="398">
        <v>4.7149999999999999</v>
      </c>
      <c r="I179" s="395">
        <v>36.701000000000001</v>
      </c>
      <c r="J179" s="396">
        <v>2.8419767979350001</v>
      </c>
      <c r="K179" s="399">
        <v>0.72262372093000005</v>
      </c>
    </row>
    <row r="180" spans="1:11" ht="14.4" customHeight="1" thickBot="1" x14ac:dyDescent="0.35">
      <c r="A180" s="416" t="s">
        <v>405</v>
      </c>
      <c r="B180" s="400">
        <v>89.918518263607993</v>
      </c>
      <c r="C180" s="400">
        <v>85.131159999999994</v>
      </c>
      <c r="D180" s="401">
        <v>-4.7873582636069996</v>
      </c>
      <c r="E180" s="407">
        <v>0.94675892845999998</v>
      </c>
      <c r="F180" s="400">
        <v>95.575343260140997</v>
      </c>
      <c r="G180" s="401">
        <v>63.716895506760999</v>
      </c>
      <c r="H180" s="403">
        <v>11.9534</v>
      </c>
      <c r="I180" s="400">
        <v>64.598079999999996</v>
      </c>
      <c r="J180" s="401">
        <v>0.88118449323799997</v>
      </c>
      <c r="K180" s="408">
        <v>0.675886455612</v>
      </c>
    </row>
    <row r="181" spans="1:11" ht="14.4" customHeight="1" thickBot="1" x14ac:dyDescent="0.35">
      <c r="A181" s="417" t="s">
        <v>406</v>
      </c>
      <c r="B181" s="395">
        <v>41.876389848820999</v>
      </c>
      <c r="C181" s="395">
        <v>44.4</v>
      </c>
      <c r="D181" s="396">
        <v>2.523610151178</v>
      </c>
      <c r="E181" s="397">
        <v>1.060263316878</v>
      </c>
      <c r="F181" s="395">
        <v>51.856464718204002</v>
      </c>
      <c r="G181" s="396">
        <v>34.570976478802002</v>
      </c>
      <c r="H181" s="398">
        <v>8.8800000000000008</v>
      </c>
      <c r="I181" s="395">
        <v>41.44</v>
      </c>
      <c r="J181" s="396">
        <v>6.8690235211969997</v>
      </c>
      <c r="K181" s="399">
        <v>0.79912890755599997</v>
      </c>
    </row>
    <row r="182" spans="1:11" ht="14.4" customHeight="1" thickBot="1" x14ac:dyDescent="0.35">
      <c r="A182" s="417" t="s">
        <v>407</v>
      </c>
      <c r="B182" s="395">
        <v>0</v>
      </c>
      <c r="C182" s="395">
        <v>0.1431</v>
      </c>
      <c r="D182" s="396">
        <v>0.1431</v>
      </c>
      <c r="E182" s="405" t="s">
        <v>262</v>
      </c>
      <c r="F182" s="395">
        <v>0.26417766293</v>
      </c>
      <c r="G182" s="396">
        <v>0.176118441953</v>
      </c>
      <c r="H182" s="398">
        <v>0</v>
      </c>
      <c r="I182" s="395">
        <v>5.3600000000000002E-2</v>
      </c>
      <c r="J182" s="396">
        <v>-0.122518441953</v>
      </c>
      <c r="K182" s="399">
        <v>0.20289376249800001</v>
      </c>
    </row>
    <row r="183" spans="1:11" ht="14.4" customHeight="1" thickBot="1" x14ac:dyDescent="0.35">
      <c r="A183" s="417" t="s">
        <v>408</v>
      </c>
      <c r="B183" s="395">
        <v>48.042128414785999</v>
      </c>
      <c r="C183" s="395">
        <v>40.588059999999999</v>
      </c>
      <c r="D183" s="396">
        <v>-7.4540684147859997</v>
      </c>
      <c r="E183" s="397">
        <v>0.84484308541800002</v>
      </c>
      <c r="F183" s="395">
        <v>43.454700879007</v>
      </c>
      <c r="G183" s="396">
        <v>28.969800586005</v>
      </c>
      <c r="H183" s="398">
        <v>3.0733999999999999</v>
      </c>
      <c r="I183" s="395">
        <v>23.104479999999999</v>
      </c>
      <c r="J183" s="396">
        <v>-5.8653205860049997</v>
      </c>
      <c r="K183" s="399">
        <v>0.53169115268599998</v>
      </c>
    </row>
    <row r="184" spans="1:11" ht="14.4" customHeight="1" thickBot="1" x14ac:dyDescent="0.35">
      <c r="A184" s="416" t="s">
        <v>409</v>
      </c>
      <c r="B184" s="400">
        <v>174.76401946244701</v>
      </c>
      <c r="C184" s="400">
        <v>160.78190000000001</v>
      </c>
      <c r="D184" s="401">
        <v>-13.982119462446001</v>
      </c>
      <c r="E184" s="407">
        <v>0.91999428998300004</v>
      </c>
      <c r="F184" s="400">
        <v>157.328813058919</v>
      </c>
      <c r="G184" s="401">
        <v>104.885875372613</v>
      </c>
      <c r="H184" s="403">
        <v>10.2235</v>
      </c>
      <c r="I184" s="400">
        <v>106.51560000000001</v>
      </c>
      <c r="J184" s="401">
        <v>1.6297246273870001</v>
      </c>
      <c r="K184" s="408">
        <v>0.67702538351999997</v>
      </c>
    </row>
    <row r="185" spans="1:11" ht="14.4" customHeight="1" thickBot="1" x14ac:dyDescent="0.35">
      <c r="A185" s="417" t="s">
        <v>410</v>
      </c>
      <c r="B185" s="395">
        <v>174.76401946244701</v>
      </c>
      <c r="C185" s="395">
        <v>160.78190000000001</v>
      </c>
      <c r="D185" s="396">
        <v>-13.982119462446001</v>
      </c>
      <c r="E185" s="397">
        <v>0.91999428998300004</v>
      </c>
      <c r="F185" s="395">
        <v>157.328813058919</v>
      </c>
      <c r="G185" s="396">
        <v>104.885875372613</v>
      </c>
      <c r="H185" s="398">
        <v>10.2235</v>
      </c>
      <c r="I185" s="395">
        <v>106.51560000000001</v>
      </c>
      <c r="J185" s="396">
        <v>1.6297246273870001</v>
      </c>
      <c r="K185" s="399">
        <v>0.67702538351999997</v>
      </c>
    </row>
    <row r="186" spans="1:11" ht="14.4" customHeight="1" thickBot="1" x14ac:dyDescent="0.35">
      <c r="A186" s="416" t="s">
        <v>411</v>
      </c>
      <c r="B186" s="400">
        <v>0</v>
      </c>
      <c r="C186" s="400">
        <v>5.726</v>
      </c>
      <c r="D186" s="401">
        <v>5.726</v>
      </c>
      <c r="E186" s="402" t="s">
        <v>262</v>
      </c>
      <c r="F186" s="400">
        <v>0</v>
      </c>
      <c r="G186" s="401">
        <v>0</v>
      </c>
      <c r="H186" s="403">
        <v>0</v>
      </c>
      <c r="I186" s="400">
        <v>3.85</v>
      </c>
      <c r="J186" s="401">
        <v>3.85</v>
      </c>
      <c r="K186" s="404" t="s">
        <v>262</v>
      </c>
    </row>
    <row r="187" spans="1:11" ht="14.4" customHeight="1" thickBot="1" x14ac:dyDescent="0.35">
      <c r="A187" s="417" t="s">
        <v>412</v>
      </c>
      <c r="B187" s="395">
        <v>0</v>
      </c>
      <c r="C187" s="395">
        <v>5.726</v>
      </c>
      <c r="D187" s="396">
        <v>5.726</v>
      </c>
      <c r="E187" s="405" t="s">
        <v>262</v>
      </c>
      <c r="F187" s="395">
        <v>0</v>
      </c>
      <c r="G187" s="396">
        <v>0</v>
      </c>
      <c r="H187" s="398">
        <v>0</v>
      </c>
      <c r="I187" s="395">
        <v>3.85</v>
      </c>
      <c r="J187" s="396">
        <v>3.85</v>
      </c>
      <c r="K187" s="406" t="s">
        <v>262</v>
      </c>
    </row>
    <row r="188" spans="1:11" ht="14.4" customHeight="1" thickBot="1" x14ac:dyDescent="0.35">
      <c r="A188" s="416" t="s">
        <v>413</v>
      </c>
      <c r="B188" s="400">
        <v>470.75036372250798</v>
      </c>
      <c r="C188" s="400">
        <v>450.40825999999998</v>
      </c>
      <c r="D188" s="401">
        <v>-20.342103722508</v>
      </c>
      <c r="E188" s="407">
        <v>0.95678791714199996</v>
      </c>
      <c r="F188" s="400">
        <v>512.92717678424299</v>
      </c>
      <c r="G188" s="401">
        <v>341.951451189495</v>
      </c>
      <c r="H188" s="403">
        <v>117.64033000000001</v>
      </c>
      <c r="I188" s="400">
        <v>358.30801000000002</v>
      </c>
      <c r="J188" s="401">
        <v>16.356558810504001</v>
      </c>
      <c r="K188" s="408">
        <v>0.69855532367399997</v>
      </c>
    </row>
    <row r="189" spans="1:11" ht="14.4" customHeight="1" thickBot="1" x14ac:dyDescent="0.35">
      <c r="A189" s="417" t="s">
        <v>414</v>
      </c>
      <c r="B189" s="395">
        <v>470.75036372250798</v>
      </c>
      <c r="C189" s="395">
        <v>450.40825999999998</v>
      </c>
      <c r="D189" s="396">
        <v>-20.342103722508</v>
      </c>
      <c r="E189" s="397">
        <v>0.95678791714199996</v>
      </c>
      <c r="F189" s="395">
        <v>512.92717678424299</v>
      </c>
      <c r="G189" s="396">
        <v>341.951451189495</v>
      </c>
      <c r="H189" s="398">
        <v>117.64033000000001</v>
      </c>
      <c r="I189" s="395">
        <v>358.30801000000002</v>
      </c>
      <c r="J189" s="396">
        <v>16.356558810504001</v>
      </c>
      <c r="K189" s="399">
        <v>0.69855532367399997</v>
      </c>
    </row>
    <row r="190" spans="1:11" ht="14.4" customHeight="1" thickBot="1" x14ac:dyDescent="0.35">
      <c r="A190" s="416" t="s">
        <v>415</v>
      </c>
      <c r="B190" s="400">
        <v>2980.0437315715299</v>
      </c>
      <c r="C190" s="400">
        <v>3065.3719299999998</v>
      </c>
      <c r="D190" s="401">
        <v>85.328198428465001</v>
      </c>
      <c r="E190" s="407">
        <v>1.0286332034400001</v>
      </c>
      <c r="F190" s="400">
        <v>2809.4471522762601</v>
      </c>
      <c r="G190" s="401">
        <v>1872.96476818418</v>
      </c>
      <c r="H190" s="403">
        <v>248.96513999999999</v>
      </c>
      <c r="I190" s="400">
        <v>2097.6909999999998</v>
      </c>
      <c r="J190" s="401">
        <v>224.72623181582401</v>
      </c>
      <c r="K190" s="408">
        <v>0.74665615201199997</v>
      </c>
    </row>
    <row r="191" spans="1:11" ht="14.4" customHeight="1" thickBot="1" x14ac:dyDescent="0.35">
      <c r="A191" s="417" t="s">
        <v>416</v>
      </c>
      <c r="B191" s="395">
        <v>2980.0437315715299</v>
      </c>
      <c r="C191" s="395">
        <v>3065.3719299999998</v>
      </c>
      <c r="D191" s="396">
        <v>85.328198428465001</v>
      </c>
      <c r="E191" s="397">
        <v>1.0286332034400001</v>
      </c>
      <c r="F191" s="395">
        <v>2809.4471522762601</v>
      </c>
      <c r="G191" s="396">
        <v>1872.96476818418</v>
      </c>
      <c r="H191" s="398">
        <v>248.96513999999999</v>
      </c>
      <c r="I191" s="395">
        <v>2097.6909999999998</v>
      </c>
      <c r="J191" s="396">
        <v>224.72623181582401</v>
      </c>
      <c r="K191" s="399">
        <v>0.74665615201199997</v>
      </c>
    </row>
    <row r="192" spans="1:11" ht="14.4" customHeight="1" thickBot="1" x14ac:dyDescent="0.35">
      <c r="A192" s="421"/>
      <c r="B192" s="395">
        <v>-12690.1004963042</v>
      </c>
      <c r="C192" s="395">
        <v>-15734.14285</v>
      </c>
      <c r="D192" s="396">
        <v>-3044.0423536958201</v>
      </c>
      <c r="E192" s="397">
        <v>1.239875354382</v>
      </c>
      <c r="F192" s="395">
        <v>-14263.449945340401</v>
      </c>
      <c r="G192" s="396">
        <v>-9508.9666302269197</v>
      </c>
      <c r="H192" s="398">
        <v>-2132.7903500000102</v>
      </c>
      <c r="I192" s="395">
        <v>-10459.93259</v>
      </c>
      <c r="J192" s="396">
        <v>-950.96595977309505</v>
      </c>
      <c r="K192" s="399">
        <v>0.73333819167699998</v>
      </c>
    </row>
    <row r="193" spans="1:11" ht="14.4" customHeight="1" thickBot="1" x14ac:dyDescent="0.35">
      <c r="A193" s="422" t="s">
        <v>53</v>
      </c>
      <c r="B193" s="409">
        <v>-12690.1004963042</v>
      </c>
      <c r="C193" s="409">
        <v>-15734.14285</v>
      </c>
      <c r="D193" s="410">
        <v>-3044.0423536958201</v>
      </c>
      <c r="E193" s="411">
        <v>-1.0944367787110001</v>
      </c>
      <c r="F193" s="409">
        <v>-14263.449945340401</v>
      </c>
      <c r="G193" s="410">
        <v>-9508.9666302269106</v>
      </c>
      <c r="H193" s="409">
        <v>-2132.7903500000102</v>
      </c>
      <c r="I193" s="409">
        <v>-10459.93259</v>
      </c>
      <c r="J193" s="410">
        <v>-950.96595977309698</v>
      </c>
      <c r="K193" s="412">
        <v>0.73333819167699998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0" customWidth="1"/>
    <col min="2" max="2" width="61.109375" style="190" customWidth="1"/>
    <col min="3" max="3" width="9.5546875" style="114" hidden="1" customWidth="1" outlineLevel="1"/>
    <col min="4" max="4" width="9.5546875" style="191" customWidth="1" collapsed="1"/>
    <col min="5" max="5" width="2.21875" style="191" customWidth="1"/>
    <col min="6" max="6" width="9.5546875" style="192" customWidth="1"/>
    <col min="7" max="7" width="9.5546875" style="189" customWidth="1"/>
    <col min="8" max="9" width="9.5546875" style="114" customWidth="1"/>
    <col min="10" max="10" width="0" style="114" hidden="1" customWidth="1"/>
    <col min="11" max="16384" width="8.88671875" style="114"/>
  </cols>
  <sheetData>
    <row r="1" spans="1:10" ht="18.600000000000001" customHeight="1" thickBot="1" x14ac:dyDescent="0.4">
      <c r="A1" s="350" t="s">
        <v>118</v>
      </c>
      <c r="B1" s="351"/>
      <c r="C1" s="351"/>
      <c r="D1" s="351"/>
      <c r="E1" s="351"/>
      <c r="F1" s="351"/>
      <c r="G1" s="321"/>
      <c r="H1" s="352"/>
      <c r="I1" s="352"/>
    </row>
    <row r="2" spans="1:10" ht="14.4" customHeight="1" thickBot="1" x14ac:dyDescent="0.35">
      <c r="A2" s="210" t="s">
        <v>233</v>
      </c>
      <c r="B2" s="188"/>
      <c r="C2" s="188"/>
      <c r="D2" s="188"/>
      <c r="E2" s="188"/>
      <c r="F2" s="188"/>
    </row>
    <row r="3" spans="1:10" ht="14.4" customHeight="1" thickBot="1" x14ac:dyDescent="0.35">
      <c r="A3" s="210"/>
      <c r="B3" s="291"/>
      <c r="C3" s="290">
        <v>2015</v>
      </c>
      <c r="D3" s="255">
        <v>2016</v>
      </c>
      <c r="E3" s="7"/>
      <c r="F3" s="329">
        <v>2017</v>
      </c>
      <c r="G3" s="347"/>
      <c r="H3" s="347"/>
      <c r="I3" s="330"/>
    </row>
    <row r="4" spans="1:10" ht="14.4" customHeight="1" thickBot="1" x14ac:dyDescent="0.35">
      <c r="A4" s="259" t="s">
        <v>0</v>
      </c>
      <c r="B4" s="260" t="s">
        <v>179</v>
      </c>
      <c r="C4" s="348" t="s">
        <v>60</v>
      </c>
      <c r="D4" s="349"/>
      <c r="E4" s="261"/>
      <c r="F4" s="256" t="s">
        <v>60</v>
      </c>
      <c r="G4" s="257" t="s">
        <v>61</v>
      </c>
      <c r="H4" s="257" t="s">
        <v>55</v>
      </c>
      <c r="I4" s="258" t="s">
        <v>62</v>
      </c>
    </row>
    <row r="5" spans="1:10" ht="14.4" customHeight="1" x14ac:dyDescent="0.3">
      <c r="A5" s="423" t="s">
        <v>417</v>
      </c>
      <c r="B5" s="424" t="s">
        <v>418</v>
      </c>
      <c r="C5" s="425" t="s">
        <v>419</v>
      </c>
      <c r="D5" s="425" t="s">
        <v>419</v>
      </c>
      <c r="E5" s="425"/>
      <c r="F5" s="425" t="s">
        <v>419</v>
      </c>
      <c r="G5" s="425" t="s">
        <v>419</v>
      </c>
      <c r="H5" s="425" t="s">
        <v>419</v>
      </c>
      <c r="I5" s="426" t="s">
        <v>419</v>
      </c>
      <c r="J5" s="427" t="s">
        <v>56</v>
      </c>
    </row>
    <row r="6" spans="1:10" ht="14.4" customHeight="1" x14ac:dyDescent="0.3">
      <c r="A6" s="423" t="s">
        <v>417</v>
      </c>
      <c r="B6" s="424" t="s">
        <v>420</v>
      </c>
      <c r="C6" s="425">
        <v>153.18297000000001</v>
      </c>
      <c r="D6" s="425">
        <v>170.04552999999996</v>
      </c>
      <c r="E6" s="425"/>
      <c r="F6" s="425">
        <v>157.05403999999999</v>
      </c>
      <c r="G6" s="425">
        <v>178.66667187499999</v>
      </c>
      <c r="H6" s="425">
        <v>-21.612631875000005</v>
      </c>
      <c r="I6" s="426">
        <v>0.87903378034533053</v>
      </c>
      <c r="J6" s="427" t="s">
        <v>1</v>
      </c>
    </row>
    <row r="7" spans="1:10" ht="14.4" customHeight="1" x14ac:dyDescent="0.3">
      <c r="A7" s="423" t="s">
        <v>417</v>
      </c>
      <c r="B7" s="424" t="s">
        <v>421</v>
      </c>
      <c r="C7" s="425">
        <v>1.2196500000000001</v>
      </c>
      <c r="D7" s="425">
        <v>0.92673000000000005</v>
      </c>
      <c r="E7" s="425"/>
      <c r="F7" s="425">
        <v>1.1818900000000001</v>
      </c>
      <c r="G7" s="425">
        <v>1.3333333740234374</v>
      </c>
      <c r="H7" s="425">
        <v>-0.15144337402343733</v>
      </c>
      <c r="I7" s="426">
        <v>0.88641747294868567</v>
      </c>
      <c r="J7" s="427" t="s">
        <v>1</v>
      </c>
    </row>
    <row r="8" spans="1:10" ht="14.4" customHeight="1" x14ac:dyDescent="0.3">
      <c r="A8" s="423" t="s">
        <v>417</v>
      </c>
      <c r="B8" s="424" t="s">
        <v>422</v>
      </c>
      <c r="C8" s="425">
        <v>0.10105</v>
      </c>
      <c r="D8" s="425">
        <v>0</v>
      </c>
      <c r="E8" s="425"/>
      <c r="F8" s="425">
        <v>0</v>
      </c>
      <c r="G8" s="425">
        <v>0</v>
      </c>
      <c r="H8" s="425">
        <v>0</v>
      </c>
      <c r="I8" s="426" t="s">
        <v>419</v>
      </c>
      <c r="J8" s="427" t="s">
        <v>1</v>
      </c>
    </row>
    <row r="9" spans="1:10" ht="14.4" customHeight="1" x14ac:dyDescent="0.3">
      <c r="A9" s="423" t="s">
        <v>417</v>
      </c>
      <c r="B9" s="424" t="s">
        <v>423</v>
      </c>
      <c r="C9" s="425">
        <v>38.567099999999996</v>
      </c>
      <c r="D9" s="425">
        <v>24.425999999999998</v>
      </c>
      <c r="E9" s="425"/>
      <c r="F9" s="425">
        <v>68.724000000000004</v>
      </c>
      <c r="G9" s="425">
        <v>30</v>
      </c>
      <c r="H9" s="425">
        <v>38.724000000000004</v>
      </c>
      <c r="I9" s="426">
        <v>2.2907999999999999</v>
      </c>
      <c r="J9" s="427" t="s">
        <v>1</v>
      </c>
    </row>
    <row r="10" spans="1:10" ht="14.4" customHeight="1" x14ac:dyDescent="0.3">
      <c r="A10" s="423" t="s">
        <v>417</v>
      </c>
      <c r="B10" s="424" t="s">
        <v>424</v>
      </c>
      <c r="C10" s="425">
        <v>193.07076999999998</v>
      </c>
      <c r="D10" s="425">
        <v>195.39825999999994</v>
      </c>
      <c r="E10" s="425"/>
      <c r="F10" s="425">
        <v>226.95992999999999</v>
      </c>
      <c r="G10" s="425">
        <v>210.00000524902342</v>
      </c>
      <c r="H10" s="425">
        <v>16.959924750976569</v>
      </c>
      <c r="I10" s="426">
        <v>1.0807615444145586</v>
      </c>
      <c r="J10" s="427" t="s">
        <v>425</v>
      </c>
    </row>
    <row r="12" spans="1:10" ht="14.4" customHeight="1" x14ac:dyDescent="0.3">
      <c r="A12" s="423" t="s">
        <v>417</v>
      </c>
      <c r="B12" s="424" t="s">
        <v>418</v>
      </c>
      <c r="C12" s="425" t="s">
        <v>419</v>
      </c>
      <c r="D12" s="425" t="s">
        <v>419</v>
      </c>
      <c r="E12" s="425"/>
      <c r="F12" s="425" t="s">
        <v>419</v>
      </c>
      <c r="G12" s="425" t="s">
        <v>419</v>
      </c>
      <c r="H12" s="425" t="s">
        <v>419</v>
      </c>
      <c r="I12" s="426" t="s">
        <v>419</v>
      </c>
      <c r="J12" s="427" t="s">
        <v>56</v>
      </c>
    </row>
    <row r="13" spans="1:10" ht="14.4" customHeight="1" x14ac:dyDescent="0.3">
      <c r="A13" s="423" t="s">
        <v>426</v>
      </c>
      <c r="B13" s="424" t="s">
        <v>427</v>
      </c>
      <c r="C13" s="425" t="s">
        <v>419</v>
      </c>
      <c r="D13" s="425" t="s">
        <v>419</v>
      </c>
      <c r="E13" s="425"/>
      <c r="F13" s="425" t="s">
        <v>419</v>
      </c>
      <c r="G13" s="425" t="s">
        <v>419</v>
      </c>
      <c r="H13" s="425" t="s">
        <v>419</v>
      </c>
      <c r="I13" s="426" t="s">
        <v>419</v>
      </c>
      <c r="J13" s="427" t="s">
        <v>0</v>
      </c>
    </row>
    <row r="14" spans="1:10" ht="14.4" customHeight="1" x14ac:dyDescent="0.3">
      <c r="A14" s="423" t="s">
        <v>426</v>
      </c>
      <c r="B14" s="424" t="s">
        <v>420</v>
      </c>
      <c r="C14" s="425">
        <v>153.18297000000001</v>
      </c>
      <c r="D14" s="425">
        <v>170.04552999999996</v>
      </c>
      <c r="E14" s="425"/>
      <c r="F14" s="425">
        <v>157.05403999999999</v>
      </c>
      <c r="G14" s="425">
        <v>179</v>
      </c>
      <c r="H14" s="425">
        <v>-21.945960000000014</v>
      </c>
      <c r="I14" s="426">
        <v>0.87739687150837986</v>
      </c>
      <c r="J14" s="427" t="s">
        <v>1</v>
      </c>
    </row>
    <row r="15" spans="1:10" ht="14.4" customHeight="1" x14ac:dyDescent="0.3">
      <c r="A15" s="423" t="s">
        <v>426</v>
      </c>
      <c r="B15" s="424" t="s">
        <v>421</v>
      </c>
      <c r="C15" s="425">
        <v>1.2196500000000001</v>
      </c>
      <c r="D15" s="425">
        <v>0.92673000000000005</v>
      </c>
      <c r="E15" s="425"/>
      <c r="F15" s="425">
        <v>1.1818900000000001</v>
      </c>
      <c r="G15" s="425">
        <v>1</v>
      </c>
      <c r="H15" s="425">
        <v>0.18189000000000011</v>
      </c>
      <c r="I15" s="426">
        <v>1.1818900000000001</v>
      </c>
      <c r="J15" s="427" t="s">
        <v>1</v>
      </c>
    </row>
    <row r="16" spans="1:10" ht="14.4" customHeight="1" x14ac:dyDescent="0.3">
      <c r="A16" s="423" t="s">
        <v>426</v>
      </c>
      <c r="B16" s="424" t="s">
        <v>422</v>
      </c>
      <c r="C16" s="425">
        <v>0.10105</v>
      </c>
      <c r="D16" s="425">
        <v>0</v>
      </c>
      <c r="E16" s="425"/>
      <c r="F16" s="425">
        <v>0</v>
      </c>
      <c r="G16" s="425">
        <v>0</v>
      </c>
      <c r="H16" s="425">
        <v>0</v>
      </c>
      <c r="I16" s="426" t="s">
        <v>419</v>
      </c>
      <c r="J16" s="427" t="s">
        <v>1</v>
      </c>
    </row>
    <row r="17" spans="1:10" ht="14.4" customHeight="1" x14ac:dyDescent="0.3">
      <c r="A17" s="423" t="s">
        <v>426</v>
      </c>
      <c r="B17" s="424" t="s">
        <v>423</v>
      </c>
      <c r="C17" s="425">
        <v>38.567099999999996</v>
      </c>
      <c r="D17" s="425">
        <v>24.425999999999998</v>
      </c>
      <c r="E17" s="425"/>
      <c r="F17" s="425">
        <v>68.724000000000004</v>
      </c>
      <c r="G17" s="425">
        <v>30</v>
      </c>
      <c r="H17" s="425">
        <v>38.724000000000004</v>
      </c>
      <c r="I17" s="426">
        <v>2.2907999999999999</v>
      </c>
      <c r="J17" s="427" t="s">
        <v>1</v>
      </c>
    </row>
    <row r="18" spans="1:10" ht="14.4" customHeight="1" x14ac:dyDescent="0.3">
      <c r="A18" s="423" t="s">
        <v>426</v>
      </c>
      <c r="B18" s="424" t="s">
        <v>428</v>
      </c>
      <c r="C18" s="425">
        <v>193.07076999999998</v>
      </c>
      <c r="D18" s="425">
        <v>195.39825999999994</v>
      </c>
      <c r="E18" s="425"/>
      <c r="F18" s="425">
        <v>226.95992999999999</v>
      </c>
      <c r="G18" s="425">
        <v>210</v>
      </c>
      <c r="H18" s="425">
        <v>16.959929999999986</v>
      </c>
      <c r="I18" s="426">
        <v>1.0807615714285714</v>
      </c>
      <c r="J18" s="427" t="s">
        <v>429</v>
      </c>
    </row>
    <row r="19" spans="1:10" ht="14.4" customHeight="1" x14ac:dyDescent="0.3">
      <c r="A19" s="423" t="s">
        <v>419</v>
      </c>
      <c r="B19" s="424" t="s">
        <v>419</v>
      </c>
      <c r="C19" s="425" t="s">
        <v>419</v>
      </c>
      <c r="D19" s="425" t="s">
        <v>419</v>
      </c>
      <c r="E19" s="425"/>
      <c r="F19" s="425" t="s">
        <v>419</v>
      </c>
      <c r="G19" s="425" t="s">
        <v>419</v>
      </c>
      <c r="H19" s="425" t="s">
        <v>419</v>
      </c>
      <c r="I19" s="426" t="s">
        <v>419</v>
      </c>
      <c r="J19" s="427" t="s">
        <v>430</v>
      </c>
    </row>
    <row r="20" spans="1:10" ht="14.4" customHeight="1" x14ac:dyDescent="0.3">
      <c r="A20" s="423" t="s">
        <v>417</v>
      </c>
      <c r="B20" s="424" t="s">
        <v>424</v>
      </c>
      <c r="C20" s="425">
        <v>193.07076999999998</v>
      </c>
      <c r="D20" s="425">
        <v>195.39825999999994</v>
      </c>
      <c r="E20" s="425"/>
      <c r="F20" s="425">
        <v>226.95992999999999</v>
      </c>
      <c r="G20" s="425">
        <v>210</v>
      </c>
      <c r="H20" s="425">
        <v>16.959929999999986</v>
      </c>
      <c r="I20" s="426">
        <v>1.0807615714285714</v>
      </c>
      <c r="J20" s="427" t="s">
        <v>425</v>
      </c>
    </row>
  </sheetData>
  <mergeCells count="3">
    <mergeCell ref="F3:I3"/>
    <mergeCell ref="C4:D4"/>
    <mergeCell ref="A1:I1"/>
  </mergeCells>
  <conditionalFormatting sqref="F11 F21:F65537">
    <cfRule type="cellIs" dxfId="45" priority="18" stopIfTrue="1" operator="greaterThan">
      <formula>1</formula>
    </cfRule>
  </conditionalFormatting>
  <conditionalFormatting sqref="H5:H10">
    <cfRule type="expression" dxfId="44" priority="14">
      <formula>$H5&gt;0</formula>
    </cfRule>
  </conditionalFormatting>
  <conditionalFormatting sqref="I5:I10">
    <cfRule type="expression" dxfId="43" priority="15">
      <formula>$I5&gt;1</formula>
    </cfRule>
  </conditionalFormatting>
  <conditionalFormatting sqref="B5:B10">
    <cfRule type="expression" dxfId="42" priority="11">
      <formula>OR($J5="NS",$J5="SumaNS",$J5="Účet")</formula>
    </cfRule>
  </conditionalFormatting>
  <conditionalFormatting sqref="B5:D10 F5:I10">
    <cfRule type="expression" dxfId="41" priority="17">
      <formula>AND($J5&lt;&gt;"",$J5&lt;&gt;"mezeraKL")</formula>
    </cfRule>
  </conditionalFormatting>
  <conditionalFormatting sqref="B5:D10 F5:I10">
    <cfRule type="expression" dxfId="4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9" priority="13">
      <formula>OR($J5="SumaNS",$J5="NS")</formula>
    </cfRule>
  </conditionalFormatting>
  <conditionalFormatting sqref="A5:A10">
    <cfRule type="expression" dxfId="38" priority="9">
      <formula>AND($J5&lt;&gt;"mezeraKL",$J5&lt;&gt;"")</formula>
    </cfRule>
  </conditionalFormatting>
  <conditionalFormatting sqref="A5:A10">
    <cfRule type="expression" dxfId="37" priority="10">
      <formula>AND($J5&lt;&gt;"",$J5&lt;&gt;"mezeraKL")</formula>
    </cfRule>
  </conditionalFormatting>
  <conditionalFormatting sqref="H12:H20">
    <cfRule type="expression" dxfId="36" priority="5">
      <formula>$H12&gt;0</formula>
    </cfRule>
  </conditionalFormatting>
  <conditionalFormatting sqref="A12:A20">
    <cfRule type="expression" dxfId="35" priority="2">
      <formula>AND($J12&lt;&gt;"mezeraKL",$J12&lt;&gt;"")</formula>
    </cfRule>
  </conditionalFormatting>
  <conditionalFormatting sqref="I12:I20">
    <cfRule type="expression" dxfId="34" priority="6">
      <formula>$I12&gt;1</formula>
    </cfRule>
  </conditionalFormatting>
  <conditionalFormatting sqref="B12:B20">
    <cfRule type="expression" dxfId="33" priority="1">
      <formula>OR($J12="NS",$J12="SumaNS",$J12="Účet")</formula>
    </cfRule>
  </conditionalFormatting>
  <conditionalFormatting sqref="A12:D20 F12:I20">
    <cfRule type="expression" dxfId="32" priority="8">
      <formula>AND($J12&lt;&gt;"",$J12&lt;&gt;"mezeraKL")</formula>
    </cfRule>
  </conditionalFormatting>
  <conditionalFormatting sqref="B12:D20 F12:I20">
    <cfRule type="expression" dxfId="31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30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4" hidden="1" customWidth="1" outlineLevel="1"/>
    <col min="2" max="2" width="28.33203125" style="114" hidden="1" customWidth="1" outlineLevel="1"/>
    <col min="3" max="3" width="5.33203125" style="191" bestFit="1" customWidth="1" collapsed="1"/>
    <col min="4" max="4" width="18.77734375" style="195" customWidth="1"/>
    <col min="5" max="5" width="9" style="313" bestFit="1" customWidth="1"/>
    <col min="6" max="6" width="18.77734375" style="195" customWidth="1"/>
    <col min="7" max="7" width="5" style="191" customWidth="1"/>
    <col min="8" max="8" width="12.44140625" style="191" hidden="1" customWidth="1" outlineLevel="1"/>
    <col min="9" max="9" width="8.5546875" style="191" hidden="1" customWidth="1" outlineLevel="1"/>
    <col min="10" max="10" width="25.77734375" style="191" customWidth="1" collapsed="1"/>
    <col min="11" max="11" width="8.77734375" style="191" customWidth="1"/>
    <col min="12" max="13" width="7.77734375" style="189" customWidth="1"/>
    <col min="14" max="14" width="12.6640625" style="189" customWidth="1"/>
    <col min="15" max="16384" width="8.88671875" style="114"/>
  </cols>
  <sheetData>
    <row r="1" spans="1:14" ht="18.600000000000001" customHeight="1" thickBot="1" x14ac:dyDescent="0.4">
      <c r="A1" s="357" t="s">
        <v>137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</row>
    <row r="2" spans="1:14" ht="14.4" customHeight="1" thickBot="1" x14ac:dyDescent="0.35">
      <c r="A2" s="210" t="s">
        <v>233</v>
      </c>
      <c r="B2" s="62"/>
      <c r="C2" s="193"/>
      <c r="D2" s="193"/>
      <c r="E2" s="312"/>
      <c r="F2" s="193"/>
      <c r="G2" s="193"/>
      <c r="H2" s="193"/>
      <c r="I2" s="193"/>
      <c r="J2" s="193"/>
      <c r="K2" s="193"/>
      <c r="L2" s="194"/>
      <c r="M2" s="194"/>
      <c r="N2" s="194"/>
    </row>
    <row r="3" spans="1:14" ht="14.4" customHeight="1" thickBot="1" x14ac:dyDescent="0.35">
      <c r="A3" s="62"/>
      <c r="B3" s="62"/>
      <c r="C3" s="353"/>
      <c r="D3" s="354"/>
      <c r="E3" s="354"/>
      <c r="F3" s="354"/>
      <c r="G3" s="354"/>
      <c r="H3" s="354"/>
      <c r="I3" s="354"/>
      <c r="J3" s="355" t="s">
        <v>108</v>
      </c>
      <c r="K3" s="356"/>
      <c r="L3" s="84">
        <f>IF(M3&lt;&gt;0,N3/M3,0)</f>
        <v>124.10661666518523</v>
      </c>
      <c r="M3" s="84">
        <f>SUBTOTAL(9,M5:M1048576)</f>
        <v>1275</v>
      </c>
      <c r="N3" s="85">
        <f>SUBTOTAL(9,N5:N1048576)</f>
        <v>158235.93624811116</v>
      </c>
    </row>
    <row r="4" spans="1:14" s="190" customFormat="1" ht="14.4" customHeight="1" thickBot="1" x14ac:dyDescent="0.35">
      <c r="A4" s="428" t="s">
        <v>4</v>
      </c>
      <c r="B4" s="429" t="s">
        <v>5</v>
      </c>
      <c r="C4" s="429" t="s">
        <v>0</v>
      </c>
      <c r="D4" s="429" t="s">
        <v>6</v>
      </c>
      <c r="E4" s="430" t="s">
        <v>7</v>
      </c>
      <c r="F4" s="429" t="s">
        <v>1</v>
      </c>
      <c r="G4" s="429" t="s">
        <v>8</v>
      </c>
      <c r="H4" s="429" t="s">
        <v>9</v>
      </c>
      <c r="I4" s="429" t="s">
        <v>10</v>
      </c>
      <c r="J4" s="431" t="s">
        <v>11</v>
      </c>
      <c r="K4" s="431" t="s">
        <v>12</v>
      </c>
      <c r="L4" s="432" t="s">
        <v>122</v>
      </c>
      <c r="M4" s="432" t="s">
        <v>13</v>
      </c>
      <c r="N4" s="433" t="s">
        <v>133</v>
      </c>
    </row>
    <row r="5" spans="1:14" ht="14.4" customHeight="1" x14ac:dyDescent="0.3">
      <c r="A5" s="436" t="s">
        <v>417</v>
      </c>
      <c r="B5" s="437" t="s">
        <v>418</v>
      </c>
      <c r="C5" s="438" t="s">
        <v>426</v>
      </c>
      <c r="D5" s="439" t="s">
        <v>427</v>
      </c>
      <c r="E5" s="440">
        <v>50113001</v>
      </c>
      <c r="F5" s="439" t="s">
        <v>431</v>
      </c>
      <c r="G5" s="438" t="s">
        <v>432</v>
      </c>
      <c r="H5" s="438">
        <v>196886</v>
      </c>
      <c r="I5" s="438">
        <v>96886</v>
      </c>
      <c r="J5" s="438" t="s">
        <v>433</v>
      </c>
      <c r="K5" s="438" t="s">
        <v>434</v>
      </c>
      <c r="L5" s="441">
        <v>50.16</v>
      </c>
      <c r="M5" s="441">
        <v>20</v>
      </c>
      <c r="N5" s="442">
        <v>1003.1999999999999</v>
      </c>
    </row>
    <row r="6" spans="1:14" ht="14.4" customHeight="1" x14ac:dyDescent="0.3">
      <c r="A6" s="443" t="s">
        <v>417</v>
      </c>
      <c r="B6" s="444" t="s">
        <v>418</v>
      </c>
      <c r="C6" s="445" t="s">
        <v>426</v>
      </c>
      <c r="D6" s="446" t="s">
        <v>427</v>
      </c>
      <c r="E6" s="447">
        <v>50113001</v>
      </c>
      <c r="F6" s="446" t="s">
        <v>431</v>
      </c>
      <c r="G6" s="445" t="s">
        <v>432</v>
      </c>
      <c r="H6" s="445">
        <v>100362</v>
      </c>
      <c r="I6" s="445">
        <v>362</v>
      </c>
      <c r="J6" s="445" t="s">
        <v>435</v>
      </c>
      <c r="K6" s="445" t="s">
        <v>436</v>
      </c>
      <c r="L6" s="448">
        <v>86.861428571428561</v>
      </c>
      <c r="M6" s="448">
        <v>7</v>
      </c>
      <c r="N6" s="449">
        <v>608.03</v>
      </c>
    </row>
    <row r="7" spans="1:14" ht="14.4" customHeight="1" x14ac:dyDescent="0.3">
      <c r="A7" s="443" t="s">
        <v>417</v>
      </c>
      <c r="B7" s="444" t="s">
        <v>418</v>
      </c>
      <c r="C7" s="445" t="s">
        <v>426</v>
      </c>
      <c r="D7" s="446" t="s">
        <v>427</v>
      </c>
      <c r="E7" s="447">
        <v>50113001</v>
      </c>
      <c r="F7" s="446" t="s">
        <v>431</v>
      </c>
      <c r="G7" s="445" t="s">
        <v>432</v>
      </c>
      <c r="H7" s="445">
        <v>156926</v>
      </c>
      <c r="I7" s="445">
        <v>56926</v>
      </c>
      <c r="J7" s="445" t="s">
        <v>437</v>
      </c>
      <c r="K7" s="445" t="s">
        <v>438</v>
      </c>
      <c r="L7" s="448">
        <v>48.399996283032898</v>
      </c>
      <c r="M7" s="448">
        <v>16</v>
      </c>
      <c r="N7" s="449">
        <v>774.39994052852637</v>
      </c>
    </row>
    <row r="8" spans="1:14" ht="14.4" customHeight="1" x14ac:dyDescent="0.3">
      <c r="A8" s="443" t="s">
        <v>417</v>
      </c>
      <c r="B8" s="444" t="s">
        <v>418</v>
      </c>
      <c r="C8" s="445" t="s">
        <v>426</v>
      </c>
      <c r="D8" s="446" t="s">
        <v>427</v>
      </c>
      <c r="E8" s="447">
        <v>50113001</v>
      </c>
      <c r="F8" s="446" t="s">
        <v>431</v>
      </c>
      <c r="G8" s="445" t="s">
        <v>432</v>
      </c>
      <c r="H8" s="445">
        <v>169755</v>
      </c>
      <c r="I8" s="445">
        <v>69755</v>
      </c>
      <c r="J8" s="445" t="s">
        <v>439</v>
      </c>
      <c r="K8" s="445" t="s">
        <v>440</v>
      </c>
      <c r="L8" s="448">
        <v>36.93</v>
      </c>
      <c r="M8" s="448">
        <v>3</v>
      </c>
      <c r="N8" s="449">
        <v>110.78999999999999</v>
      </c>
    </row>
    <row r="9" spans="1:14" ht="14.4" customHeight="1" x14ac:dyDescent="0.3">
      <c r="A9" s="443" t="s">
        <v>417</v>
      </c>
      <c r="B9" s="444" t="s">
        <v>418</v>
      </c>
      <c r="C9" s="445" t="s">
        <v>426</v>
      </c>
      <c r="D9" s="446" t="s">
        <v>427</v>
      </c>
      <c r="E9" s="447">
        <v>50113001</v>
      </c>
      <c r="F9" s="446" t="s">
        <v>431</v>
      </c>
      <c r="G9" s="445" t="s">
        <v>432</v>
      </c>
      <c r="H9" s="445">
        <v>841498</v>
      </c>
      <c r="I9" s="445">
        <v>0</v>
      </c>
      <c r="J9" s="445" t="s">
        <v>441</v>
      </c>
      <c r="K9" s="445" t="s">
        <v>419</v>
      </c>
      <c r="L9" s="448">
        <v>44.210000000000008</v>
      </c>
      <c r="M9" s="448">
        <v>1</v>
      </c>
      <c r="N9" s="449">
        <v>44.210000000000008</v>
      </c>
    </row>
    <row r="10" spans="1:14" ht="14.4" customHeight="1" x14ac:dyDescent="0.3">
      <c r="A10" s="443" t="s">
        <v>417</v>
      </c>
      <c r="B10" s="444" t="s">
        <v>418</v>
      </c>
      <c r="C10" s="445" t="s">
        <v>426</v>
      </c>
      <c r="D10" s="446" t="s">
        <v>427</v>
      </c>
      <c r="E10" s="447">
        <v>50113001</v>
      </c>
      <c r="F10" s="446" t="s">
        <v>431</v>
      </c>
      <c r="G10" s="445" t="s">
        <v>432</v>
      </c>
      <c r="H10" s="445">
        <v>500128</v>
      </c>
      <c r="I10" s="445">
        <v>0</v>
      </c>
      <c r="J10" s="445" t="s">
        <v>442</v>
      </c>
      <c r="K10" s="445" t="s">
        <v>419</v>
      </c>
      <c r="L10" s="448">
        <v>167.20000000000002</v>
      </c>
      <c r="M10" s="448">
        <v>1</v>
      </c>
      <c r="N10" s="449">
        <v>167.20000000000002</v>
      </c>
    </row>
    <row r="11" spans="1:14" ht="14.4" customHeight="1" x14ac:dyDescent="0.3">
      <c r="A11" s="443" t="s">
        <v>417</v>
      </c>
      <c r="B11" s="444" t="s">
        <v>418</v>
      </c>
      <c r="C11" s="445" t="s">
        <v>426</v>
      </c>
      <c r="D11" s="446" t="s">
        <v>427</v>
      </c>
      <c r="E11" s="447">
        <v>50113001</v>
      </c>
      <c r="F11" s="446" t="s">
        <v>431</v>
      </c>
      <c r="G11" s="445" t="s">
        <v>432</v>
      </c>
      <c r="H11" s="445">
        <v>100843</v>
      </c>
      <c r="I11" s="445">
        <v>843</v>
      </c>
      <c r="J11" s="445" t="s">
        <v>443</v>
      </c>
      <c r="K11" s="445" t="s">
        <v>444</v>
      </c>
      <c r="L11" s="448">
        <v>86.139999022958477</v>
      </c>
      <c r="M11" s="448">
        <v>1</v>
      </c>
      <c r="N11" s="449">
        <v>86.139999022958477</v>
      </c>
    </row>
    <row r="12" spans="1:14" ht="14.4" customHeight="1" x14ac:dyDescent="0.3">
      <c r="A12" s="443" t="s">
        <v>417</v>
      </c>
      <c r="B12" s="444" t="s">
        <v>418</v>
      </c>
      <c r="C12" s="445" t="s">
        <v>426</v>
      </c>
      <c r="D12" s="446" t="s">
        <v>427</v>
      </c>
      <c r="E12" s="447">
        <v>50113001</v>
      </c>
      <c r="F12" s="446" t="s">
        <v>431</v>
      </c>
      <c r="G12" s="445" t="s">
        <v>432</v>
      </c>
      <c r="H12" s="445">
        <v>102477</v>
      </c>
      <c r="I12" s="445">
        <v>2477</v>
      </c>
      <c r="J12" s="445" t="s">
        <v>445</v>
      </c>
      <c r="K12" s="445" t="s">
        <v>446</v>
      </c>
      <c r="L12" s="448">
        <v>40.170000000000016</v>
      </c>
      <c r="M12" s="448">
        <v>1</v>
      </c>
      <c r="N12" s="449">
        <v>40.170000000000016</v>
      </c>
    </row>
    <row r="13" spans="1:14" ht="14.4" customHeight="1" x14ac:dyDescent="0.3">
      <c r="A13" s="443" t="s">
        <v>417</v>
      </c>
      <c r="B13" s="444" t="s">
        <v>418</v>
      </c>
      <c r="C13" s="445" t="s">
        <v>426</v>
      </c>
      <c r="D13" s="446" t="s">
        <v>427</v>
      </c>
      <c r="E13" s="447">
        <v>50113001</v>
      </c>
      <c r="F13" s="446" t="s">
        <v>431</v>
      </c>
      <c r="G13" s="445" t="s">
        <v>432</v>
      </c>
      <c r="H13" s="445">
        <v>920219</v>
      </c>
      <c r="I13" s="445">
        <v>0</v>
      </c>
      <c r="J13" s="445" t="s">
        <v>447</v>
      </c>
      <c r="K13" s="445" t="s">
        <v>419</v>
      </c>
      <c r="L13" s="448">
        <v>31.870999999999992</v>
      </c>
      <c r="M13" s="448">
        <v>2</v>
      </c>
      <c r="N13" s="449">
        <v>63.741999999999983</v>
      </c>
    </row>
    <row r="14" spans="1:14" ht="14.4" customHeight="1" x14ac:dyDescent="0.3">
      <c r="A14" s="443" t="s">
        <v>417</v>
      </c>
      <c r="B14" s="444" t="s">
        <v>418</v>
      </c>
      <c r="C14" s="445" t="s">
        <v>426</v>
      </c>
      <c r="D14" s="446" t="s">
        <v>427</v>
      </c>
      <c r="E14" s="447">
        <v>50113001</v>
      </c>
      <c r="F14" s="446" t="s">
        <v>431</v>
      </c>
      <c r="G14" s="445" t="s">
        <v>432</v>
      </c>
      <c r="H14" s="445">
        <v>920170</v>
      </c>
      <c r="I14" s="445">
        <v>0</v>
      </c>
      <c r="J14" s="445" t="s">
        <v>448</v>
      </c>
      <c r="K14" s="445" t="s">
        <v>419</v>
      </c>
      <c r="L14" s="448">
        <v>75.165999999999997</v>
      </c>
      <c r="M14" s="448">
        <v>2</v>
      </c>
      <c r="N14" s="449">
        <v>150.33199999999999</v>
      </c>
    </row>
    <row r="15" spans="1:14" ht="14.4" customHeight="1" x14ac:dyDescent="0.3">
      <c r="A15" s="443" t="s">
        <v>417</v>
      </c>
      <c r="B15" s="444" t="s">
        <v>418</v>
      </c>
      <c r="C15" s="445" t="s">
        <v>426</v>
      </c>
      <c r="D15" s="446" t="s">
        <v>427</v>
      </c>
      <c r="E15" s="447">
        <v>50113001</v>
      </c>
      <c r="F15" s="446" t="s">
        <v>431</v>
      </c>
      <c r="G15" s="445" t="s">
        <v>432</v>
      </c>
      <c r="H15" s="445">
        <v>930043</v>
      </c>
      <c r="I15" s="445">
        <v>0</v>
      </c>
      <c r="J15" s="445" t="s">
        <v>449</v>
      </c>
      <c r="K15" s="445" t="s">
        <v>419</v>
      </c>
      <c r="L15" s="448">
        <v>31.871375</v>
      </c>
      <c r="M15" s="448">
        <v>4</v>
      </c>
      <c r="N15" s="449">
        <v>127.4855</v>
      </c>
    </row>
    <row r="16" spans="1:14" ht="14.4" customHeight="1" x14ac:dyDescent="0.3">
      <c r="A16" s="443" t="s">
        <v>417</v>
      </c>
      <c r="B16" s="444" t="s">
        <v>418</v>
      </c>
      <c r="C16" s="445" t="s">
        <v>426</v>
      </c>
      <c r="D16" s="446" t="s">
        <v>427</v>
      </c>
      <c r="E16" s="447">
        <v>50113001</v>
      </c>
      <c r="F16" s="446" t="s">
        <v>431</v>
      </c>
      <c r="G16" s="445" t="s">
        <v>432</v>
      </c>
      <c r="H16" s="445">
        <v>900240</v>
      </c>
      <c r="I16" s="445">
        <v>0</v>
      </c>
      <c r="J16" s="445" t="s">
        <v>450</v>
      </c>
      <c r="K16" s="445" t="s">
        <v>419</v>
      </c>
      <c r="L16" s="448">
        <v>67.760002212089887</v>
      </c>
      <c r="M16" s="448">
        <v>9</v>
      </c>
      <c r="N16" s="449">
        <v>609.84001990880904</v>
      </c>
    </row>
    <row r="17" spans="1:14" ht="14.4" customHeight="1" x14ac:dyDescent="0.3">
      <c r="A17" s="443" t="s">
        <v>417</v>
      </c>
      <c r="B17" s="444" t="s">
        <v>418</v>
      </c>
      <c r="C17" s="445" t="s">
        <v>426</v>
      </c>
      <c r="D17" s="446" t="s">
        <v>427</v>
      </c>
      <c r="E17" s="447">
        <v>50113001</v>
      </c>
      <c r="F17" s="446" t="s">
        <v>431</v>
      </c>
      <c r="G17" s="445" t="s">
        <v>432</v>
      </c>
      <c r="H17" s="445">
        <v>501596</v>
      </c>
      <c r="I17" s="445">
        <v>0</v>
      </c>
      <c r="J17" s="445" t="s">
        <v>451</v>
      </c>
      <c r="K17" s="445" t="s">
        <v>452</v>
      </c>
      <c r="L17" s="448">
        <v>115.43005514248259</v>
      </c>
      <c r="M17" s="448">
        <v>9</v>
      </c>
      <c r="N17" s="449">
        <v>1038.8704962823433</v>
      </c>
    </row>
    <row r="18" spans="1:14" ht="14.4" customHeight="1" x14ac:dyDescent="0.3">
      <c r="A18" s="443" t="s">
        <v>417</v>
      </c>
      <c r="B18" s="444" t="s">
        <v>418</v>
      </c>
      <c r="C18" s="445" t="s">
        <v>426</v>
      </c>
      <c r="D18" s="446" t="s">
        <v>427</v>
      </c>
      <c r="E18" s="447">
        <v>50113001</v>
      </c>
      <c r="F18" s="446" t="s">
        <v>431</v>
      </c>
      <c r="G18" s="445" t="s">
        <v>432</v>
      </c>
      <c r="H18" s="445">
        <v>140631</v>
      </c>
      <c r="I18" s="445">
        <v>203909</v>
      </c>
      <c r="J18" s="445" t="s">
        <v>453</v>
      </c>
      <c r="K18" s="445" t="s">
        <v>454</v>
      </c>
      <c r="L18" s="448">
        <v>156.05000000000001</v>
      </c>
      <c r="M18" s="448">
        <v>4</v>
      </c>
      <c r="N18" s="449">
        <v>624.20000000000005</v>
      </c>
    </row>
    <row r="19" spans="1:14" ht="14.4" customHeight="1" x14ac:dyDescent="0.3">
      <c r="A19" s="443" t="s">
        <v>417</v>
      </c>
      <c r="B19" s="444" t="s">
        <v>418</v>
      </c>
      <c r="C19" s="445" t="s">
        <v>426</v>
      </c>
      <c r="D19" s="446" t="s">
        <v>427</v>
      </c>
      <c r="E19" s="447">
        <v>50113001</v>
      </c>
      <c r="F19" s="446" t="s">
        <v>431</v>
      </c>
      <c r="G19" s="445" t="s">
        <v>432</v>
      </c>
      <c r="H19" s="445">
        <v>51367</v>
      </c>
      <c r="I19" s="445">
        <v>51367</v>
      </c>
      <c r="J19" s="445" t="s">
        <v>455</v>
      </c>
      <c r="K19" s="445" t="s">
        <v>456</v>
      </c>
      <c r="L19" s="448">
        <v>92.949999999999989</v>
      </c>
      <c r="M19" s="448">
        <v>11</v>
      </c>
      <c r="N19" s="449">
        <v>1022.4499999999999</v>
      </c>
    </row>
    <row r="20" spans="1:14" ht="14.4" customHeight="1" x14ac:dyDescent="0.3">
      <c r="A20" s="443" t="s">
        <v>417</v>
      </c>
      <c r="B20" s="444" t="s">
        <v>418</v>
      </c>
      <c r="C20" s="445" t="s">
        <v>426</v>
      </c>
      <c r="D20" s="446" t="s">
        <v>427</v>
      </c>
      <c r="E20" s="447">
        <v>50113001</v>
      </c>
      <c r="F20" s="446" t="s">
        <v>431</v>
      </c>
      <c r="G20" s="445" t="s">
        <v>432</v>
      </c>
      <c r="H20" s="445">
        <v>187659</v>
      </c>
      <c r="I20" s="445">
        <v>187659</v>
      </c>
      <c r="J20" s="445" t="s">
        <v>455</v>
      </c>
      <c r="K20" s="445" t="s">
        <v>457</v>
      </c>
      <c r="L20" s="448">
        <v>282.14999999999998</v>
      </c>
      <c r="M20" s="448">
        <v>1</v>
      </c>
      <c r="N20" s="449">
        <v>282.14999999999998</v>
      </c>
    </row>
    <row r="21" spans="1:14" ht="14.4" customHeight="1" x14ac:dyDescent="0.3">
      <c r="A21" s="443" t="s">
        <v>417</v>
      </c>
      <c r="B21" s="444" t="s">
        <v>418</v>
      </c>
      <c r="C21" s="445" t="s">
        <v>426</v>
      </c>
      <c r="D21" s="446" t="s">
        <v>427</v>
      </c>
      <c r="E21" s="447">
        <v>50113001</v>
      </c>
      <c r="F21" s="446" t="s">
        <v>431</v>
      </c>
      <c r="G21" s="445" t="s">
        <v>432</v>
      </c>
      <c r="H21" s="445">
        <v>132082</v>
      </c>
      <c r="I21" s="445">
        <v>32082</v>
      </c>
      <c r="J21" s="445" t="s">
        <v>458</v>
      </c>
      <c r="K21" s="445" t="s">
        <v>459</v>
      </c>
      <c r="L21" s="448">
        <v>83.129999999999939</v>
      </c>
      <c r="M21" s="448">
        <v>2</v>
      </c>
      <c r="N21" s="449">
        <v>166.25999999999988</v>
      </c>
    </row>
    <row r="22" spans="1:14" ht="14.4" customHeight="1" x14ac:dyDescent="0.3">
      <c r="A22" s="443" t="s">
        <v>417</v>
      </c>
      <c r="B22" s="444" t="s">
        <v>418</v>
      </c>
      <c r="C22" s="445" t="s">
        <v>426</v>
      </c>
      <c r="D22" s="446" t="s">
        <v>427</v>
      </c>
      <c r="E22" s="447">
        <v>50113001</v>
      </c>
      <c r="F22" s="446" t="s">
        <v>431</v>
      </c>
      <c r="G22" s="445" t="s">
        <v>432</v>
      </c>
      <c r="H22" s="445">
        <v>849829</v>
      </c>
      <c r="I22" s="445">
        <v>162673</v>
      </c>
      <c r="J22" s="445" t="s">
        <v>460</v>
      </c>
      <c r="K22" s="445" t="s">
        <v>461</v>
      </c>
      <c r="L22" s="448">
        <v>56.139999999999993</v>
      </c>
      <c r="M22" s="448">
        <v>1</v>
      </c>
      <c r="N22" s="449">
        <v>56.139999999999993</v>
      </c>
    </row>
    <row r="23" spans="1:14" ht="14.4" customHeight="1" x14ac:dyDescent="0.3">
      <c r="A23" s="443" t="s">
        <v>417</v>
      </c>
      <c r="B23" s="444" t="s">
        <v>418</v>
      </c>
      <c r="C23" s="445" t="s">
        <v>426</v>
      </c>
      <c r="D23" s="446" t="s">
        <v>427</v>
      </c>
      <c r="E23" s="447">
        <v>50113001</v>
      </c>
      <c r="F23" s="446" t="s">
        <v>431</v>
      </c>
      <c r="G23" s="445" t="s">
        <v>432</v>
      </c>
      <c r="H23" s="445">
        <v>152266</v>
      </c>
      <c r="I23" s="445">
        <v>52266</v>
      </c>
      <c r="J23" s="445" t="s">
        <v>462</v>
      </c>
      <c r="K23" s="445" t="s">
        <v>463</v>
      </c>
      <c r="L23" s="448">
        <v>41.016666666666673</v>
      </c>
      <c r="M23" s="448">
        <v>3</v>
      </c>
      <c r="N23" s="449">
        <v>123.05000000000001</v>
      </c>
    </row>
    <row r="24" spans="1:14" ht="14.4" customHeight="1" x14ac:dyDescent="0.3">
      <c r="A24" s="443" t="s">
        <v>417</v>
      </c>
      <c r="B24" s="444" t="s">
        <v>418</v>
      </c>
      <c r="C24" s="445" t="s">
        <v>426</v>
      </c>
      <c r="D24" s="446" t="s">
        <v>427</v>
      </c>
      <c r="E24" s="447">
        <v>50113001</v>
      </c>
      <c r="F24" s="446" t="s">
        <v>431</v>
      </c>
      <c r="G24" s="445" t="s">
        <v>432</v>
      </c>
      <c r="H24" s="445">
        <v>394712</v>
      </c>
      <c r="I24" s="445">
        <v>0</v>
      </c>
      <c r="J24" s="445" t="s">
        <v>464</v>
      </c>
      <c r="K24" s="445" t="s">
        <v>465</v>
      </c>
      <c r="L24" s="448">
        <v>23.70063240076124</v>
      </c>
      <c r="M24" s="448">
        <v>102</v>
      </c>
      <c r="N24" s="449">
        <v>2417.4645048776465</v>
      </c>
    </row>
    <row r="25" spans="1:14" ht="14.4" customHeight="1" x14ac:dyDescent="0.3">
      <c r="A25" s="443" t="s">
        <v>417</v>
      </c>
      <c r="B25" s="444" t="s">
        <v>418</v>
      </c>
      <c r="C25" s="445" t="s">
        <v>426</v>
      </c>
      <c r="D25" s="446" t="s">
        <v>427</v>
      </c>
      <c r="E25" s="447">
        <v>50113001</v>
      </c>
      <c r="F25" s="446" t="s">
        <v>431</v>
      </c>
      <c r="G25" s="445" t="s">
        <v>432</v>
      </c>
      <c r="H25" s="445">
        <v>100802</v>
      </c>
      <c r="I25" s="445">
        <v>1000</v>
      </c>
      <c r="J25" s="445" t="s">
        <v>466</v>
      </c>
      <c r="K25" s="445" t="s">
        <v>467</v>
      </c>
      <c r="L25" s="448">
        <v>77.588186366702104</v>
      </c>
      <c r="M25" s="448">
        <v>5</v>
      </c>
      <c r="N25" s="449">
        <v>387.94093183351049</v>
      </c>
    </row>
    <row r="26" spans="1:14" ht="14.4" customHeight="1" x14ac:dyDescent="0.3">
      <c r="A26" s="443" t="s">
        <v>417</v>
      </c>
      <c r="B26" s="444" t="s">
        <v>418</v>
      </c>
      <c r="C26" s="445" t="s">
        <v>426</v>
      </c>
      <c r="D26" s="446" t="s">
        <v>427</v>
      </c>
      <c r="E26" s="447">
        <v>50113001</v>
      </c>
      <c r="F26" s="446" t="s">
        <v>431</v>
      </c>
      <c r="G26" s="445" t="s">
        <v>432</v>
      </c>
      <c r="H26" s="445">
        <v>930444</v>
      </c>
      <c r="I26" s="445">
        <v>0</v>
      </c>
      <c r="J26" s="445" t="s">
        <v>468</v>
      </c>
      <c r="K26" s="445" t="s">
        <v>419</v>
      </c>
      <c r="L26" s="448">
        <v>37.433759259259254</v>
      </c>
      <c r="M26" s="448">
        <v>18</v>
      </c>
      <c r="N26" s="449">
        <v>673.80766666666659</v>
      </c>
    </row>
    <row r="27" spans="1:14" ht="14.4" customHeight="1" x14ac:dyDescent="0.3">
      <c r="A27" s="443" t="s">
        <v>417</v>
      </c>
      <c r="B27" s="444" t="s">
        <v>418</v>
      </c>
      <c r="C27" s="445" t="s">
        <v>426</v>
      </c>
      <c r="D27" s="446" t="s">
        <v>427</v>
      </c>
      <c r="E27" s="447">
        <v>50113001</v>
      </c>
      <c r="F27" s="446" t="s">
        <v>431</v>
      </c>
      <c r="G27" s="445" t="s">
        <v>432</v>
      </c>
      <c r="H27" s="445">
        <v>900512</v>
      </c>
      <c r="I27" s="445">
        <v>0</v>
      </c>
      <c r="J27" s="445" t="s">
        <v>469</v>
      </c>
      <c r="K27" s="445" t="s">
        <v>419</v>
      </c>
      <c r="L27" s="448">
        <v>96.184543008746687</v>
      </c>
      <c r="M27" s="448">
        <v>3</v>
      </c>
      <c r="N27" s="449">
        <v>288.55362902624006</v>
      </c>
    </row>
    <row r="28" spans="1:14" ht="14.4" customHeight="1" x14ac:dyDescent="0.3">
      <c r="A28" s="443" t="s">
        <v>417</v>
      </c>
      <c r="B28" s="444" t="s">
        <v>418</v>
      </c>
      <c r="C28" s="445" t="s">
        <v>426</v>
      </c>
      <c r="D28" s="446" t="s">
        <v>427</v>
      </c>
      <c r="E28" s="447">
        <v>50113001</v>
      </c>
      <c r="F28" s="446" t="s">
        <v>431</v>
      </c>
      <c r="G28" s="445" t="s">
        <v>432</v>
      </c>
      <c r="H28" s="445">
        <v>921454</v>
      </c>
      <c r="I28" s="445">
        <v>0</v>
      </c>
      <c r="J28" s="445" t="s">
        <v>470</v>
      </c>
      <c r="K28" s="445" t="s">
        <v>419</v>
      </c>
      <c r="L28" s="448">
        <v>52.220358464040146</v>
      </c>
      <c r="M28" s="448">
        <v>5</v>
      </c>
      <c r="N28" s="449">
        <v>261.10179232020073</v>
      </c>
    </row>
    <row r="29" spans="1:14" ht="14.4" customHeight="1" x14ac:dyDescent="0.3">
      <c r="A29" s="443" t="s">
        <v>417</v>
      </c>
      <c r="B29" s="444" t="s">
        <v>418</v>
      </c>
      <c r="C29" s="445" t="s">
        <v>426</v>
      </c>
      <c r="D29" s="446" t="s">
        <v>427</v>
      </c>
      <c r="E29" s="447">
        <v>50113001</v>
      </c>
      <c r="F29" s="446" t="s">
        <v>431</v>
      </c>
      <c r="G29" s="445" t="s">
        <v>432</v>
      </c>
      <c r="H29" s="445">
        <v>921244</v>
      </c>
      <c r="I29" s="445">
        <v>0</v>
      </c>
      <c r="J29" s="445" t="s">
        <v>471</v>
      </c>
      <c r="K29" s="445" t="s">
        <v>419</v>
      </c>
      <c r="L29" s="448">
        <v>67.998498939612404</v>
      </c>
      <c r="M29" s="448">
        <v>5</v>
      </c>
      <c r="N29" s="449">
        <v>339.99249469806199</v>
      </c>
    </row>
    <row r="30" spans="1:14" ht="14.4" customHeight="1" x14ac:dyDescent="0.3">
      <c r="A30" s="443" t="s">
        <v>417</v>
      </c>
      <c r="B30" s="444" t="s">
        <v>418</v>
      </c>
      <c r="C30" s="445" t="s">
        <v>426</v>
      </c>
      <c r="D30" s="446" t="s">
        <v>427</v>
      </c>
      <c r="E30" s="447">
        <v>50113001</v>
      </c>
      <c r="F30" s="446" t="s">
        <v>431</v>
      </c>
      <c r="G30" s="445" t="s">
        <v>432</v>
      </c>
      <c r="H30" s="445">
        <v>911927</v>
      </c>
      <c r="I30" s="445">
        <v>0</v>
      </c>
      <c r="J30" s="445" t="s">
        <v>472</v>
      </c>
      <c r="K30" s="445" t="s">
        <v>419</v>
      </c>
      <c r="L30" s="448">
        <v>82.032596458388042</v>
      </c>
      <c r="M30" s="448">
        <v>1</v>
      </c>
      <c r="N30" s="449">
        <v>82.032596458388042</v>
      </c>
    </row>
    <row r="31" spans="1:14" ht="14.4" customHeight="1" x14ac:dyDescent="0.3">
      <c r="A31" s="443" t="s">
        <v>417</v>
      </c>
      <c r="B31" s="444" t="s">
        <v>418</v>
      </c>
      <c r="C31" s="445" t="s">
        <v>426</v>
      </c>
      <c r="D31" s="446" t="s">
        <v>427</v>
      </c>
      <c r="E31" s="447">
        <v>50113001</v>
      </c>
      <c r="F31" s="446" t="s">
        <v>431</v>
      </c>
      <c r="G31" s="445" t="s">
        <v>432</v>
      </c>
      <c r="H31" s="445">
        <v>900513</v>
      </c>
      <c r="I31" s="445">
        <v>0</v>
      </c>
      <c r="J31" s="445" t="s">
        <v>473</v>
      </c>
      <c r="K31" s="445" t="s">
        <v>419</v>
      </c>
      <c r="L31" s="448">
        <v>72.165619270713904</v>
      </c>
      <c r="M31" s="448">
        <v>9</v>
      </c>
      <c r="N31" s="449">
        <v>649.49057343642517</v>
      </c>
    </row>
    <row r="32" spans="1:14" ht="14.4" customHeight="1" x14ac:dyDescent="0.3">
      <c r="A32" s="443" t="s">
        <v>417</v>
      </c>
      <c r="B32" s="444" t="s">
        <v>418</v>
      </c>
      <c r="C32" s="445" t="s">
        <v>426</v>
      </c>
      <c r="D32" s="446" t="s">
        <v>427</v>
      </c>
      <c r="E32" s="447">
        <v>50113001</v>
      </c>
      <c r="F32" s="446" t="s">
        <v>431</v>
      </c>
      <c r="G32" s="445" t="s">
        <v>432</v>
      </c>
      <c r="H32" s="445">
        <v>397238</v>
      </c>
      <c r="I32" s="445">
        <v>0</v>
      </c>
      <c r="J32" s="445" t="s">
        <v>474</v>
      </c>
      <c r="K32" s="445" t="s">
        <v>419</v>
      </c>
      <c r="L32" s="448">
        <v>93.52099814952453</v>
      </c>
      <c r="M32" s="448">
        <v>3</v>
      </c>
      <c r="N32" s="449">
        <v>280.56299444857359</v>
      </c>
    </row>
    <row r="33" spans="1:14" ht="14.4" customHeight="1" x14ac:dyDescent="0.3">
      <c r="A33" s="443" t="s">
        <v>417</v>
      </c>
      <c r="B33" s="444" t="s">
        <v>418</v>
      </c>
      <c r="C33" s="445" t="s">
        <v>426</v>
      </c>
      <c r="D33" s="446" t="s">
        <v>427</v>
      </c>
      <c r="E33" s="447">
        <v>50113001</v>
      </c>
      <c r="F33" s="446" t="s">
        <v>431</v>
      </c>
      <c r="G33" s="445" t="s">
        <v>432</v>
      </c>
      <c r="H33" s="445">
        <v>930589</v>
      </c>
      <c r="I33" s="445">
        <v>0</v>
      </c>
      <c r="J33" s="445" t="s">
        <v>475</v>
      </c>
      <c r="K33" s="445" t="s">
        <v>419</v>
      </c>
      <c r="L33" s="448">
        <v>75.020115248801304</v>
      </c>
      <c r="M33" s="448">
        <v>2</v>
      </c>
      <c r="N33" s="449">
        <v>150.04023049760261</v>
      </c>
    </row>
    <row r="34" spans="1:14" ht="14.4" customHeight="1" x14ac:dyDescent="0.3">
      <c r="A34" s="443" t="s">
        <v>417</v>
      </c>
      <c r="B34" s="444" t="s">
        <v>418</v>
      </c>
      <c r="C34" s="445" t="s">
        <v>426</v>
      </c>
      <c r="D34" s="446" t="s">
        <v>427</v>
      </c>
      <c r="E34" s="447">
        <v>50113001</v>
      </c>
      <c r="F34" s="446" t="s">
        <v>431</v>
      </c>
      <c r="G34" s="445" t="s">
        <v>432</v>
      </c>
      <c r="H34" s="445">
        <v>900857</v>
      </c>
      <c r="I34" s="445">
        <v>0</v>
      </c>
      <c r="J34" s="445" t="s">
        <v>476</v>
      </c>
      <c r="K34" s="445" t="s">
        <v>419</v>
      </c>
      <c r="L34" s="448">
        <v>174.46923830799534</v>
      </c>
      <c r="M34" s="448">
        <v>20</v>
      </c>
      <c r="N34" s="449">
        <v>3489.3847661599066</v>
      </c>
    </row>
    <row r="35" spans="1:14" ht="14.4" customHeight="1" x14ac:dyDescent="0.3">
      <c r="A35" s="443" t="s">
        <v>417</v>
      </c>
      <c r="B35" s="444" t="s">
        <v>418</v>
      </c>
      <c r="C35" s="445" t="s">
        <v>426</v>
      </c>
      <c r="D35" s="446" t="s">
        <v>427</v>
      </c>
      <c r="E35" s="447">
        <v>50113001</v>
      </c>
      <c r="F35" s="446" t="s">
        <v>431</v>
      </c>
      <c r="G35" s="445" t="s">
        <v>432</v>
      </c>
      <c r="H35" s="445">
        <v>930673</v>
      </c>
      <c r="I35" s="445">
        <v>0</v>
      </c>
      <c r="J35" s="445" t="s">
        <v>477</v>
      </c>
      <c r="K35" s="445" t="s">
        <v>478</v>
      </c>
      <c r="L35" s="448">
        <v>142.47385405520566</v>
      </c>
      <c r="M35" s="448">
        <v>14</v>
      </c>
      <c r="N35" s="449">
        <v>1994.6339567728792</v>
      </c>
    </row>
    <row r="36" spans="1:14" ht="14.4" customHeight="1" x14ac:dyDescent="0.3">
      <c r="A36" s="443" t="s">
        <v>417</v>
      </c>
      <c r="B36" s="444" t="s">
        <v>418</v>
      </c>
      <c r="C36" s="445" t="s">
        <v>426</v>
      </c>
      <c r="D36" s="446" t="s">
        <v>427</v>
      </c>
      <c r="E36" s="447">
        <v>50113001</v>
      </c>
      <c r="F36" s="446" t="s">
        <v>431</v>
      </c>
      <c r="G36" s="445" t="s">
        <v>432</v>
      </c>
      <c r="H36" s="445">
        <v>930671</v>
      </c>
      <c r="I36" s="445">
        <v>0</v>
      </c>
      <c r="J36" s="445" t="s">
        <v>479</v>
      </c>
      <c r="K36" s="445" t="s">
        <v>478</v>
      </c>
      <c r="L36" s="448">
        <v>126.06898446306474</v>
      </c>
      <c r="M36" s="448">
        <v>32</v>
      </c>
      <c r="N36" s="449">
        <v>4034.2075028180716</v>
      </c>
    </row>
    <row r="37" spans="1:14" ht="14.4" customHeight="1" x14ac:dyDescent="0.3">
      <c r="A37" s="443" t="s">
        <v>417</v>
      </c>
      <c r="B37" s="444" t="s">
        <v>418</v>
      </c>
      <c r="C37" s="445" t="s">
        <v>426</v>
      </c>
      <c r="D37" s="446" t="s">
        <v>427</v>
      </c>
      <c r="E37" s="447">
        <v>50113001</v>
      </c>
      <c r="F37" s="446" t="s">
        <v>431</v>
      </c>
      <c r="G37" s="445" t="s">
        <v>432</v>
      </c>
      <c r="H37" s="445">
        <v>930670</v>
      </c>
      <c r="I37" s="445">
        <v>0</v>
      </c>
      <c r="J37" s="445" t="s">
        <v>480</v>
      </c>
      <c r="K37" s="445" t="s">
        <v>478</v>
      </c>
      <c r="L37" s="448">
        <v>127.81769537991779</v>
      </c>
      <c r="M37" s="448">
        <v>10</v>
      </c>
      <c r="N37" s="449">
        <v>1278.1769537991779</v>
      </c>
    </row>
    <row r="38" spans="1:14" ht="14.4" customHeight="1" x14ac:dyDescent="0.3">
      <c r="A38" s="443" t="s">
        <v>417</v>
      </c>
      <c r="B38" s="444" t="s">
        <v>418</v>
      </c>
      <c r="C38" s="445" t="s">
        <v>426</v>
      </c>
      <c r="D38" s="446" t="s">
        <v>427</v>
      </c>
      <c r="E38" s="447">
        <v>50113001</v>
      </c>
      <c r="F38" s="446" t="s">
        <v>431</v>
      </c>
      <c r="G38" s="445" t="s">
        <v>432</v>
      </c>
      <c r="H38" s="445">
        <v>930674</v>
      </c>
      <c r="I38" s="445">
        <v>0</v>
      </c>
      <c r="J38" s="445" t="s">
        <v>481</v>
      </c>
      <c r="K38" s="445" t="s">
        <v>419</v>
      </c>
      <c r="L38" s="448">
        <v>179.06142730904568</v>
      </c>
      <c r="M38" s="448">
        <v>60</v>
      </c>
      <c r="N38" s="449">
        <v>10743.685638542742</v>
      </c>
    </row>
    <row r="39" spans="1:14" ht="14.4" customHeight="1" x14ac:dyDescent="0.3">
      <c r="A39" s="443" t="s">
        <v>417</v>
      </c>
      <c r="B39" s="444" t="s">
        <v>418</v>
      </c>
      <c r="C39" s="445" t="s">
        <v>426</v>
      </c>
      <c r="D39" s="446" t="s">
        <v>427</v>
      </c>
      <c r="E39" s="447">
        <v>50113001</v>
      </c>
      <c r="F39" s="446" t="s">
        <v>431</v>
      </c>
      <c r="G39" s="445" t="s">
        <v>432</v>
      </c>
      <c r="H39" s="445">
        <v>921272</v>
      </c>
      <c r="I39" s="445">
        <v>0</v>
      </c>
      <c r="J39" s="445" t="s">
        <v>482</v>
      </c>
      <c r="K39" s="445" t="s">
        <v>419</v>
      </c>
      <c r="L39" s="448">
        <v>115.11032148535323</v>
      </c>
      <c r="M39" s="448">
        <v>18</v>
      </c>
      <c r="N39" s="449">
        <v>2071.985786736358</v>
      </c>
    </row>
    <row r="40" spans="1:14" ht="14.4" customHeight="1" x14ac:dyDescent="0.3">
      <c r="A40" s="443" t="s">
        <v>417</v>
      </c>
      <c r="B40" s="444" t="s">
        <v>418</v>
      </c>
      <c r="C40" s="445" t="s">
        <v>426</v>
      </c>
      <c r="D40" s="446" t="s">
        <v>427</v>
      </c>
      <c r="E40" s="447">
        <v>50113001</v>
      </c>
      <c r="F40" s="446" t="s">
        <v>431</v>
      </c>
      <c r="G40" s="445" t="s">
        <v>432</v>
      </c>
      <c r="H40" s="445">
        <v>500989</v>
      </c>
      <c r="I40" s="445">
        <v>0</v>
      </c>
      <c r="J40" s="445" t="s">
        <v>483</v>
      </c>
      <c r="K40" s="445" t="s">
        <v>419</v>
      </c>
      <c r="L40" s="448">
        <v>62.204069835831149</v>
      </c>
      <c r="M40" s="448">
        <v>5</v>
      </c>
      <c r="N40" s="449">
        <v>311.02034917915574</v>
      </c>
    </row>
    <row r="41" spans="1:14" ht="14.4" customHeight="1" x14ac:dyDescent="0.3">
      <c r="A41" s="443" t="s">
        <v>417</v>
      </c>
      <c r="B41" s="444" t="s">
        <v>418</v>
      </c>
      <c r="C41" s="445" t="s">
        <v>426</v>
      </c>
      <c r="D41" s="446" t="s">
        <v>427</v>
      </c>
      <c r="E41" s="447">
        <v>50113001</v>
      </c>
      <c r="F41" s="446" t="s">
        <v>431</v>
      </c>
      <c r="G41" s="445" t="s">
        <v>432</v>
      </c>
      <c r="H41" s="445">
        <v>500038</v>
      </c>
      <c r="I41" s="445">
        <v>0</v>
      </c>
      <c r="J41" s="445" t="s">
        <v>484</v>
      </c>
      <c r="K41" s="445" t="s">
        <v>485</v>
      </c>
      <c r="L41" s="448">
        <v>112.44919956710048</v>
      </c>
      <c r="M41" s="448">
        <v>1</v>
      </c>
      <c r="N41" s="449">
        <v>112.44919956710048</v>
      </c>
    </row>
    <row r="42" spans="1:14" ht="14.4" customHeight="1" x14ac:dyDescent="0.3">
      <c r="A42" s="443" t="s">
        <v>417</v>
      </c>
      <c r="B42" s="444" t="s">
        <v>418</v>
      </c>
      <c r="C42" s="445" t="s">
        <v>426</v>
      </c>
      <c r="D42" s="446" t="s">
        <v>427</v>
      </c>
      <c r="E42" s="447">
        <v>50113001</v>
      </c>
      <c r="F42" s="446" t="s">
        <v>431</v>
      </c>
      <c r="G42" s="445" t="s">
        <v>432</v>
      </c>
      <c r="H42" s="445">
        <v>900321</v>
      </c>
      <c r="I42" s="445">
        <v>0</v>
      </c>
      <c r="J42" s="445" t="s">
        <v>486</v>
      </c>
      <c r="K42" s="445" t="s">
        <v>419</v>
      </c>
      <c r="L42" s="448">
        <v>119.11697139904363</v>
      </c>
      <c r="M42" s="448">
        <v>24</v>
      </c>
      <c r="N42" s="449">
        <v>2858.8073135770474</v>
      </c>
    </row>
    <row r="43" spans="1:14" ht="14.4" customHeight="1" x14ac:dyDescent="0.3">
      <c r="A43" s="443" t="s">
        <v>417</v>
      </c>
      <c r="B43" s="444" t="s">
        <v>418</v>
      </c>
      <c r="C43" s="445" t="s">
        <v>426</v>
      </c>
      <c r="D43" s="446" t="s">
        <v>427</v>
      </c>
      <c r="E43" s="447">
        <v>50113001</v>
      </c>
      <c r="F43" s="446" t="s">
        <v>431</v>
      </c>
      <c r="G43" s="445" t="s">
        <v>432</v>
      </c>
      <c r="H43" s="445">
        <v>501065</v>
      </c>
      <c r="I43" s="445">
        <v>0</v>
      </c>
      <c r="J43" s="445" t="s">
        <v>487</v>
      </c>
      <c r="K43" s="445" t="s">
        <v>419</v>
      </c>
      <c r="L43" s="448">
        <v>90.877091779221246</v>
      </c>
      <c r="M43" s="448">
        <v>2</v>
      </c>
      <c r="N43" s="449">
        <v>181.75418355844249</v>
      </c>
    </row>
    <row r="44" spans="1:14" ht="14.4" customHeight="1" x14ac:dyDescent="0.3">
      <c r="A44" s="443" t="s">
        <v>417</v>
      </c>
      <c r="B44" s="444" t="s">
        <v>418</v>
      </c>
      <c r="C44" s="445" t="s">
        <v>426</v>
      </c>
      <c r="D44" s="446" t="s">
        <v>427</v>
      </c>
      <c r="E44" s="447">
        <v>50113001</v>
      </c>
      <c r="F44" s="446" t="s">
        <v>431</v>
      </c>
      <c r="G44" s="445" t="s">
        <v>432</v>
      </c>
      <c r="H44" s="445">
        <v>921241</v>
      </c>
      <c r="I44" s="445">
        <v>0</v>
      </c>
      <c r="J44" s="445" t="s">
        <v>488</v>
      </c>
      <c r="K44" s="445" t="s">
        <v>419</v>
      </c>
      <c r="L44" s="448">
        <v>159.77392963819361</v>
      </c>
      <c r="M44" s="448">
        <v>5</v>
      </c>
      <c r="N44" s="449">
        <v>798.86964819096806</v>
      </c>
    </row>
    <row r="45" spans="1:14" ht="14.4" customHeight="1" x14ac:dyDescent="0.3">
      <c r="A45" s="443" t="s">
        <v>417</v>
      </c>
      <c r="B45" s="444" t="s">
        <v>418</v>
      </c>
      <c r="C45" s="445" t="s">
        <v>426</v>
      </c>
      <c r="D45" s="446" t="s">
        <v>427</v>
      </c>
      <c r="E45" s="447">
        <v>50113001</v>
      </c>
      <c r="F45" s="446" t="s">
        <v>431</v>
      </c>
      <c r="G45" s="445" t="s">
        <v>432</v>
      </c>
      <c r="H45" s="445">
        <v>920355</v>
      </c>
      <c r="I45" s="445">
        <v>0</v>
      </c>
      <c r="J45" s="445" t="s">
        <v>489</v>
      </c>
      <c r="K45" s="445" t="s">
        <v>419</v>
      </c>
      <c r="L45" s="448">
        <v>54.13857663627509</v>
      </c>
      <c r="M45" s="448">
        <v>7</v>
      </c>
      <c r="N45" s="449">
        <v>378.97003645392562</v>
      </c>
    </row>
    <row r="46" spans="1:14" ht="14.4" customHeight="1" x14ac:dyDescent="0.3">
      <c r="A46" s="443" t="s">
        <v>417</v>
      </c>
      <c r="B46" s="444" t="s">
        <v>418</v>
      </c>
      <c r="C46" s="445" t="s">
        <v>426</v>
      </c>
      <c r="D46" s="446" t="s">
        <v>427</v>
      </c>
      <c r="E46" s="447">
        <v>50113001</v>
      </c>
      <c r="F46" s="446" t="s">
        <v>431</v>
      </c>
      <c r="G46" s="445" t="s">
        <v>432</v>
      </c>
      <c r="H46" s="445">
        <v>920380</v>
      </c>
      <c r="I46" s="445">
        <v>0</v>
      </c>
      <c r="J46" s="445" t="s">
        <v>490</v>
      </c>
      <c r="K46" s="445" t="s">
        <v>419</v>
      </c>
      <c r="L46" s="448">
        <v>73.672628094520007</v>
      </c>
      <c r="M46" s="448">
        <v>6</v>
      </c>
      <c r="N46" s="449">
        <v>442.03576856712004</v>
      </c>
    </row>
    <row r="47" spans="1:14" ht="14.4" customHeight="1" x14ac:dyDescent="0.3">
      <c r="A47" s="443" t="s">
        <v>417</v>
      </c>
      <c r="B47" s="444" t="s">
        <v>418</v>
      </c>
      <c r="C47" s="445" t="s">
        <v>426</v>
      </c>
      <c r="D47" s="446" t="s">
        <v>427</v>
      </c>
      <c r="E47" s="447">
        <v>50113001</v>
      </c>
      <c r="F47" s="446" t="s">
        <v>431</v>
      </c>
      <c r="G47" s="445" t="s">
        <v>432</v>
      </c>
      <c r="H47" s="445">
        <v>921320</v>
      </c>
      <c r="I47" s="445">
        <v>0</v>
      </c>
      <c r="J47" s="445" t="s">
        <v>491</v>
      </c>
      <c r="K47" s="445" t="s">
        <v>419</v>
      </c>
      <c r="L47" s="448">
        <v>51.608372098569987</v>
      </c>
      <c r="M47" s="448">
        <v>18</v>
      </c>
      <c r="N47" s="449">
        <v>928.95069777425977</v>
      </c>
    </row>
    <row r="48" spans="1:14" ht="14.4" customHeight="1" x14ac:dyDescent="0.3">
      <c r="A48" s="443" t="s">
        <v>417</v>
      </c>
      <c r="B48" s="444" t="s">
        <v>418</v>
      </c>
      <c r="C48" s="445" t="s">
        <v>426</v>
      </c>
      <c r="D48" s="446" t="s">
        <v>427</v>
      </c>
      <c r="E48" s="447">
        <v>50113001</v>
      </c>
      <c r="F48" s="446" t="s">
        <v>431</v>
      </c>
      <c r="G48" s="445" t="s">
        <v>432</v>
      </c>
      <c r="H48" s="445">
        <v>920376</v>
      </c>
      <c r="I48" s="445">
        <v>0</v>
      </c>
      <c r="J48" s="445" t="s">
        <v>492</v>
      </c>
      <c r="K48" s="445" t="s">
        <v>419</v>
      </c>
      <c r="L48" s="448">
        <v>73.064019770315454</v>
      </c>
      <c r="M48" s="448">
        <v>18</v>
      </c>
      <c r="N48" s="449">
        <v>1315.1523558656781</v>
      </c>
    </row>
    <row r="49" spans="1:14" ht="14.4" customHeight="1" x14ac:dyDescent="0.3">
      <c r="A49" s="443" t="s">
        <v>417</v>
      </c>
      <c r="B49" s="444" t="s">
        <v>418</v>
      </c>
      <c r="C49" s="445" t="s">
        <v>426</v>
      </c>
      <c r="D49" s="446" t="s">
        <v>427</v>
      </c>
      <c r="E49" s="447">
        <v>50113001</v>
      </c>
      <c r="F49" s="446" t="s">
        <v>431</v>
      </c>
      <c r="G49" s="445" t="s">
        <v>432</v>
      </c>
      <c r="H49" s="445">
        <v>920377</v>
      </c>
      <c r="I49" s="445">
        <v>0</v>
      </c>
      <c r="J49" s="445" t="s">
        <v>493</v>
      </c>
      <c r="K49" s="445" t="s">
        <v>419</v>
      </c>
      <c r="L49" s="448">
        <v>94.807981500157169</v>
      </c>
      <c r="M49" s="448">
        <v>7</v>
      </c>
      <c r="N49" s="449">
        <v>663.65587050110014</v>
      </c>
    </row>
    <row r="50" spans="1:14" ht="14.4" customHeight="1" x14ac:dyDescent="0.3">
      <c r="A50" s="443" t="s">
        <v>417</v>
      </c>
      <c r="B50" s="444" t="s">
        <v>418</v>
      </c>
      <c r="C50" s="445" t="s">
        <v>426</v>
      </c>
      <c r="D50" s="446" t="s">
        <v>427</v>
      </c>
      <c r="E50" s="447">
        <v>50113001</v>
      </c>
      <c r="F50" s="446" t="s">
        <v>431</v>
      </c>
      <c r="G50" s="445" t="s">
        <v>432</v>
      </c>
      <c r="H50" s="445">
        <v>921453</v>
      </c>
      <c r="I50" s="445">
        <v>0</v>
      </c>
      <c r="J50" s="445" t="s">
        <v>494</v>
      </c>
      <c r="K50" s="445" t="s">
        <v>419</v>
      </c>
      <c r="L50" s="448">
        <v>66.09717891769354</v>
      </c>
      <c r="M50" s="448">
        <v>17</v>
      </c>
      <c r="N50" s="449">
        <v>1123.6520416007902</v>
      </c>
    </row>
    <row r="51" spans="1:14" ht="14.4" customHeight="1" x14ac:dyDescent="0.3">
      <c r="A51" s="443" t="s">
        <v>417</v>
      </c>
      <c r="B51" s="444" t="s">
        <v>418</v>
      </c>
      <c r="C51" s="445" t="s">
        <v>426</v>
      </c>
      <c r="D51" s="446" t="s">
        <v>427</v>
      </c>
      <c r="E51" s="447">
        <v>50113001</v>
      </c>
      <c r="F51" s="446" t="s">
        <v>431</v>
      </c>
      <c r="G51" s="445" t="s">
        <v>432</v>
      </c>
      <c r="H51" s="445">
        <v>930417</v>
      </c>
      <c r="I51" s="445">
        <v>0</v>
      </c>
      <c r="J51" s="445" t="s">
        <v>495</v>
      </c>
      <c r="K51" s="445" t="s">
        <v>419</v>
      </c>
      <c r="L51" s="448">
        <v>106.86566619543184</v>
      </c>
      <c r="M51" s="448">
        <v>13</v>
      </c>
      <c r="N51" s="449">
        <v>1389.253660540614</v>
      </c>
    </row>
    <row r="52" spans="1:14" ht="14.4" customHeight="1" x14ac:dyDescent="0.3">
      <c r="A52" s="443" t="s">
        <v>417</v>
      </c>
      <c r="B52" s="444" t="s">
        <v>418</v>
      </c>
      <c r="C52" s="445" t="s">
        <v>426</v>
      </c>
      <c r="D52" s="446" t="s">
        <v>427</v>
      </c>
      <c r="E52" s="447">
        <v>50113001</v>
      </c>
      <c r="F52" s="446" t="s">
        <v>431</v>
      </c>
      <c r="G52" s="445" t="s">
        <v>432</v>
      </c>
      <c r="H52" s="445">
        <v>920315</v>
      </c>
      <c r="I52" s="445">
        <v>0</v>
      </c>
      <c r="J52" s="445" t="s">
        <v>496</v>
      </c>
      <c r="K52" s="445" t="s">
        <v>419</v>
      </c>
      <c r="L52" s="448">
        <v>155.53717241722939</v>
      </c>
      <c r="M52" s="448">
        <v>6</v>
      </c>
      <c r="N52" s="449">
        <v>933.22303450337631</v>
      </c>
    </row>
    <row r="53" spans="1:14" ht="14.4" customHeight="1" x14ac:dyDescent="0.3">
      <c r="A53" s="443" t="s">
        <v>417</v>
      </c>
      <c r="B53" s="444" t="s">
        <v>418</v>
      </c>
      <c r="C53" s="445" t="s">
        <v>426</v>
      </c>
      <c r="D53" s="446" t="s">
        <v>427</v>
      </c>
      <c r="E53" s="447">
        <v>50113001</v>
      </c>
      <c r="F53" s="446" t="s">
        <v>431</v>
      </c>
      <c r="G53" s="445" t="s">
        <v>432</v>
      </c>
      <c r="H53" s="445">
        <v>900873</v>
      </c>
      <c r="I53" s="445">
        <v>0</v>
      </c>
      <c r="J53" s="445" t="s">
        <v>497</v>
      </c>
      <c r="K53" s="445" t="s">
        <v>419</v>
      </c>
      <c r="L53" s="448">
        <v>56.317251006770036</v>
      </c>
      <c r="M53" s="448">
        <v>4</v>
      </c>
      <c r="N53" s="449">
        <v>225.26900402708014</v>
      </c>
    </row>
    <row r="54" spans="1:14" ht="14.4" customHeight="1" x14ac:dyDescent="0.3">
      <c r="A54" s="443" t="s">
        <v>417</v>
      </c>
      <c r="B54" s="444" t="s">
        <v>418</v>
      </c>
      <c r="C54" s="445" t="s">
        <v>426</v>
      </c>
      <c r="D54" s="446" t="s">
        <v>427</v>
      </c>
      <c r="E54" s="447">
        <v>50113001</v>
      </c>
      <c r="F54" s="446" t="s">
        <v>431</v>
      </c>
      <c r="G54" s="445" t="s">
        <v>432</v>
      </c>
      <c r="H54" s="445">
        <v>921230</v>
      </c>
      <c r="I54" s="445">
        <v>0</v>
      </c>
      <c r="J54" s="445" t="s">
        <v>498</v>
      </c>
      <c r="K54" s="445" t="s">
        <v>419</v>
      </c>
      <c r="L54" s="448">
        <v>39.145489016396311</v>
      </c>
      <c r="M54" s="448">
        <v>21</v>
      </c>
      <c r="N54" s="449">
        <v>822.05526934432248</v>
      </c>
    </row>
    <row r="55" spans="1:14" ht="14.4" customHeight="1" x14ac:dyDescent="0.3">
      <c r="A55" s="443" t="s">
        <v>417</v>
      </c>
      <c r="B55" s="444" t="s">
        <v>418</v>
      </c>
      <c r="C55" s="445" t="s">
        <v>426</v>
      </c>
      <c r="D55" s="446" t="s">
        <v>427</v>
      </c>
      <c r="E55" s="447">
        <v>50113001</v>
      </c>
      <c r="F55" s="446" t="s">
        <v>431</v>
      </c>
      <c r="G55" s="445" t="s">
        <v>432</v>
      </c>
      <c r="H55" s="445">
        <v>930095</v>
      </c>
      <c r="I55" s="445">
        <v>0</v>
      </c>
      <c r="J55" s="445" t="s">
        <v>499</v>
      </c>
      <c r="K55" s="445" t="s">
        <v>419</v>
      </c>
      <c r="L55" s="448">
        <v>43.199751770413265</v>
      </c>
      <c r="M55" s="448">
        <v>14</v>
      </c>
      <c r="N55" s="449">
        <v>604.79652478578566</v>
      </c>
    </row>
    <row r="56" spans="1:14" ht="14.4" customHeight="1" x14ac:dyDescent="0.3">
      <c r="A56" s="443" t="s">
        <v>417</v>
      </c>
      <c r="B56" s="444" t="s">
        <v>418</v>
      </c>
      <c r="C56" s="445" t="s">
        <v>426</v>
      </c>
      <c r="D56" s="446" t="s">
        <v>427</v>
      </c>
      <c r="E56" s="447">
        <v>50113001</v>
      </c>
      <c r="F56" s="446" t="s">
        <v>431</v>
      </c>
      <c r="G56" s="445" t="s">
        <v>432</v>
      </c>
      <c r="H56" s="445">
        <v>921403</v>
      </c>
      <c r="I56" s="445">
        <v>0</v>
      </c>
      <c r="J56" s="445" t="s">
        <v>500</v>
      </c>
      <c r="K56" s="445" t="s">
        <v>419</v>
      </c>
      <c r="L56" s="448">
        <v>45.427284513696812</v>
      </c>
      <c r="M56" s="448">
        <v>8</v>
      </c>
      <c r="N56" s="449">
        <v>363.41827610957449</v>
      </c>
    </row>
    <row r="57" spans="1:14" ht="14.4" customHeight="1" x14ac:dyDescent="0.3">
      <c r="A57" s="443" t="s">
        <v>417</v>
      </c>
      <c r="B57" s="444" t="s">
        <v>418</v>
      </c>
      <c r="C57" s="445" t="s">
        <v>426</v>
      </c>
      <c r="D57" s="446" t="s">
        <v>427</v>
      </c>
      <c r="E57" s="447">
        <v>50113001</v>
      </c>
      <c r="F57" s="446" t="s">
        <v>431</v>
      </c>
      <c r="G57" s="445" t="s">
        <v>432</v>
      </c>
      <c r="H57" s="445">
        <v>203092</v>
      </c>
      <c r="I57" s="445">
        <v>203092</v>
      </c>
      <c r="J57" s="445" t="s">
        <v>501</v>
      </c>
      <c r="K57" s="445" t="s">
        <v>502</v>
      </c>
      <c r="L57" s="448">
        <v>151.55999999999997</v>
      </c>
      <c r="M57" s="448">
        <v>12</v>
      </c>
      <c r="N57" s="449">
        <v>1818.7199999999998</v>
      </c>
    </row>
    <row r="58" spans="1:14" ht="14.4" customHeight="1" x14ac:dyDescent="0.3">
      <c r="A58" s="443" t="s">
        <v>417</v>
      </c>
      <c r="B58" s="444" t="s">
        <v>418</v>
      </c>
      <c r="C58" s="445" t="s">
        <v>426</v>
      </c>
      <c r="D58" s="446" t="s">
        <v>427</v>
      </c>
      <c r="E58" s="447">
        <v>50113001</v>
      </c>
      <c r="F58" s="446" t="s">
        <v>431</v>
      </c>
      <c r="G58" s="445" t="s">
        <v>432</v>
      </c>
      <c r="H58" s="445">
        <v>100498</v>
      </c>
      <c r="I58" s="445">
        <v>498</v>
      </c>
      <c r="J58" s="445" t="s">
        <v>503</v>
      </c>
      <c r="K58" s="445" t="s">
        <v>504</v>
      </c>
      <c r="L58" s="448">
        <v>96.819947084401676</v>
      </c>
      <c r="M58" s="448">
        <v>3</v>
      </c>
      <c r="N58" s="449">
        <v>290.45984125320501</v>
      </c>
    </row>
    <row r="59" spans="1:14" ht="14.4" customHeight="1" x14ac:dyDescent="0.3">
      <c r="A59" s="443" t="s">
        <v>417</v>
      </c>
      <c r="B59" s="444" t="s">
        <v>418</v>
      </c>
      <c r="C59" s="445" t="s">
        <v>426</v>
      </c>
      <c r="D59" s="446" t="s">
        <v>427</v>
      </c>
      <c r="E59" s="447">
        <v>50113001</v>
      </c>
      <c r="F59" s="446" t="s">
        <v>431</v>
      </c>
      <c r="G59" s="445" t="s">
        <v>432</v>
      </c>
      <c r="H59" s="445">
        <v>100499</v>
      </c>
      <c r="I59" s="445">
        <v>499</v>
      </c>
      <c r="J59" s="445" t="s">
        <v>503</v>
      </c>
      <c r="K59" s="445" t="s">
        <v>505</v>
      </c>
      <c r="L59" s="448">
        <v>100.52423957530263</v>
      </c>
      <c r="M59" s="448">
        <v>5</v>
      </c>
      <c r="N59" s="449">
        <v>502.62119787651318</v>
      </c>
    </row>
    <row r="60" spans="1:14" ht="14.4" customHeight="1" x14ac:dyDescent="0.3">
      <c r="A60" s="443" t="s">
        <v>417</v>
      </c>
      <c r="B60" s="444" t="s">
        <v>418</v>
      </c>
      <c r="C60" s="445" t="s">
        <v>426</v>
      </c>
      <c r="D60" s="446" t="s">
        <v>427</v>
      </c>
      <c r="E60" s="447">
        <v>50113001</v>
      </c>
      <c r="F60" s="446" t="s">
        <v>431</v>
      </c>
      <c r="G60" s="445" t="s">
        <v>432</v>
      </c>
      <c r="H60" s="445">
        <v>166555</v>
      </c>
      <c r="I60" s="445">
        <v>66555</v>
      </c>
      <c r="J60" s="445" t="s">
        <v>506</v>
      </c>
      <c r="K60" s="445" t="s">
        <v>507</v>
      </c>
      <c r="L60" s="448">
        <v>116.97888888888889</v>
      </c>
      <c r="M60" s="448">
        <v>9</v>
      </c>
      <c r="N60" s="449">
        <v>1052.81</v>
      </c>
    </row>
    <row r="61" spans="1:14" ht="14.4" customHeight="1" x14ac:dyDescent="0.3">
      <c r="A61" s="443" t="s">
        <v>417</v>
      </c>
      <c r="B61" s="444" t="s">
        <v>418</v>
      </c>
      <c r="C61" s="445" t="s">
        <v>426</v>
      </c>
      <c r="D61" s="446" t="s">
        <v>427</v>
      </c>
      <c r="E61" s="447">
        <v>50113001</v>
      </c>
      <c r="F61" s="446" t="s">
        <v>431</v>
      </c>
      <c r="G61" s="445" t="s">
        <v>432</v>
      </c>
      <c r="H61" s="445">
        <v>215978</v>
      </c>
      <c r="I61" s="445">
        <v>215978</v>
      </c>
      <c r="J61" s="445" t="s">
        <v>506</v>
      </c>
      <c r="K61" s="445" t="s">
        <v>507</v>
      </c>
      <c r="L61" s="448">
        <v>116.61000000000001</v>
      </c>
      <c r="M61" s="448">
        <v>3</v>
      </c>
      <c r="N61" s="449">
        <v>349.83000000000004</v>
      </c>
    </row>
    <row r="62" spans="1:14" ht="14.4" customHeight="1" x14ac:dyDescent="0.3">
      <c r="A62" s="443" t="s">
        <v>417</v>
      </c>
      <c r="B62" s="444" t="s">
        <v>418</v>
      </c>
      <c r="C62" s="445" t="s">
        <v>426</v>
      </c>
      <c r="D62" s="446" t="s">
        <v>427</v>
      </c>
      <c r="E62" s="447">
        <v>50113001</v>
      </c>
      <c r="F62" s="446" t="s">
        <v>431</v>
      </c>
      <c r="G62" s="445" t="s">
        <v>432</v>
      </c>
      <c r="H62" s="445">
        <v>102439</v>
      </c>
      <c r="I62" s="445">
        <v>2439</v>
      </c>
      <c r="J62" s="445" t="s">
        <v>508</v>
      </c>
      <c r="K62" s="445" t="s">
        <v>509</v>
      </c>
      <c r="L62" s="448">
        <v>285.08000000000004</v>
      </c>
      <c r="M62" s="448">
        <v>1</v>
      </c>
      <c r="N62" s="449">
        <v>285.08000000000004</v>
      </c>
    </row>
    <row r="63" spans="1:14" ht="14.4" customHeight="1" x14ac:dyDescent="0.3">
      <c r="A63" s="443" t="s">
        <v>417</v>
      </c>
      <c r="B63" s="444" t="s">
        <v>418</v>
      </c>
      <c r="C63" s="445" t="s">
        <v>426</v>
      </c>
      <c r="D63" s="446" t="s">
        <v>427</v>
      </c>
      <c r="E63" s="447">
        <v>50113001</v>
      </c>
      <c r="F63" s="446" t="s">
        <v>431</v>
      </c>
      <c r="G63" s="445" t="s">
        <v>432</v>
      </c>
      <c r="H63" s="445">
        <v>100514</v>
      </c>
      <c r="I63" s="445">
        <v>514</v>
      </c>
      <c r="J63" s="445" t="s">
        <v>510</v>
      </c>
      <c r="K63" s="445" t="s">
        <v>511</v>
      </c>
      <c r="L63" s="448">
        <v>88.119999999999962</v>
      </c>
      <c r="M63" s="448">
        <v>2</v>
      </c>
      <c r="N63" s="449">
        <v>176.23999999999992</v>
      </c>
    </row>
    <row r="64" spans="1:14" ht="14.4" customHeight="1" x14ac:dyDescent="0.3">
      <c r="A64" s="443" t="s">
        <v>417</v>
      </c>
      <c r="B64" s="444" t="s">
        <v>418</v>
      </c>
      <c r="C64" s="445" t="s">
        <v>426</v>
      </c>
      <c r="D64" s="446" t="s">
        <v>427</v>
      </c>
      <c r="E64" s="447">
        <v>50113001</v>
      </c>
      <c r="F64" s="446" t="s">
        <v>431</v>
      </c>
      <c r="G64" s="445" t="s">
        <v>432</v>
      </c>
      <c r="H64" s="445">
        <v>849941</v>
      </c>
      <c r="I64" s="445">
        <v>162142</v>
      </c>
      <c r="J64" s="445" t="s">
        <v>512</v>
      </c>
      <c r="K64" s="445" t="s">
        <v>513</v>
      </c>
      <c r="L64" s="448">
        <v>28.409999999999993</v>
      </c>
      <c r="M64" s="448">
        <v>1</v>
      </c>
      <c r="N64" s="449">
        <v>28.409999999999993</v>
      </c>
    </row>
    <row r="65" spans="1:14" ht="14.4" customHeight="1" x14ac:dyDescent="0.3">
      <c r="A65" s="443" t="s">
        <v>417</v>
      </c>
      <c r="B65" s="444" t="s">
        <v>418</v>
      </c>
      <c r="C65" s="445" t="s">
        <v>426</v>
      </c>
      <c r="D65" s="446" t="s">
        <v>427</v>
      </c>
      <c r="E65" s="447">
        <v>50113001</v>
      </c>
      <c r="F65" s="446" t="s">
        <v>431</v>
      </c>
      <c r="G65" s="445" t="s">
        <v>432</v>
      </c>
      <c r="H65" s="445">
        <v>185793</v>
      </c>
      <c r="I65" s="445">
        <v>136395</v>
      </c>
      <c r="J65" s="445" t="s">
        <v>514</v>
      </c>
      <c r="K65" s="445" t="s">
        <v>515</v>
      </c>
      <c r="L65" s="448">
        <v>191.90999999999997</v>
      </c>
      <c r="M65" s="448">
        <v>8</v>
      </c>
      <c r="N65" s="449">
        <v>1535.2799999999997</v>
      </c>
    </row>
    <row r="66" spans="1:14" ht="14.4" customHeight="1" x14ac:dyDescent="0.3">
      <c r="A66" s="443" t="s">
        <v>417</v>
      </c>
      <c r="B66" s="444" t="s">
        <v>418</v>
      </c>
      <c r="C66" s="445" t="s">
        <v>426</v>
      </c>
      <c r="D66" s="446" t="s">
        <v>427</v>
      </c>
      <c r="E66" s="447">
        <v>50113001</v>
      </c>
      <c r="F66" s="446" t="s">
        <v>431</v>
      </c>
      <c r="G66" s="445" t="s">
        <v>432</v>
      </c>
      <c r="H66" s="445">
        <v>193109</v>
      </c>
      <c r="I66" s="445">
        <v>93109</v>
      </c>
      <c r="J66" s="445" t="s">
        <v>516</v>
      </c>
      <c r="K66" s="445" t="s">
        <v>517</v>
      </c>
      <c r="L66" s="448">
        <v>151.78507438016533</v>
      </c>
      <c r="M66" s="448">
        <v>605</v>
      </c>
      <c r="N66" s="449">
        <v>91829.970000000016</v>
      </c>
    </row>
    <row r="67" spans="1:14" ht="14.4" customHeight="1" x14ac:dyDescent="0.3">
      <c r="A67" s="443" t="s">
        <v>417</v>
      </c>
      <c r="B67" s="444" t="s">
        <v>418</v>
      </c>
      <c r="C67" s="445" t="s">
        <v>426</v>
      </c>
      <c r="D67" s="446" t="s">
        <v>427</v>
      </c>
      <c r="E67" s="447">
        <v>50113001</v>
      </c>
      <c r="F67" s="446" t="s">
        <v>431</v>
      </c>
      <c r="G67" s="445" t="s">
        <v>432</v>
      </c>
      <c r="H67" s="445">
        <v>100610</v>
      </c>
      <c r="I67" s="445">
        <v>610</v>
      </c>
      <c r="J67" s="445" t="s">
        <v>518</v>
      </c>
      <c r="K67" s="445" t="s">
        <v>519</v>
      </c>
      <c r="L67" s="448">
        <v>64.54000000000002</v>
      </c>
      <c r="M67" s="448">
        <v>1</v>
      </c>
      <c r="N67" s="449">
        <v>64.54000000000002</v>
      </c>
    </row>
    <row r="68" spans="1:14" ht="14.4" customHeight="1" x14ac:dyDescent="0.3">
      <c r="A68" s="443" t="s">
        <v>417</v>
      </c>
      <c r="B68" s="444" t="s">
        <v>418</v>
      </c>
      <c r="C68" s="445" t="s">
        <v>426</v>
      </c>
      <c r="D68" s="446" t="s">
        <v>427</v>
      </c>
      <c r="E68" s="447">
        <v>50113001</v>
      </c>
      <c r="F68" s="446" t="s">
        <v>431</v>
      </c>
      <c r="G68" s="445" t="s">
        <v>432</v>
      </c>
      <c r="H68" s="445">
        <v>395294</v>
      </c>
      <c r="I68" s="445">
        <v>180306</v>
      </c>
      <c r="J68" s="445" t="s">
        <v>520</v>
      </c>
      <c r="K68" s="445" t="s">
        <v>521</v>
      </c>
      <c r="L68" s="448">
        <v>173.32312499999998</v>
      </c>
      <c r="M68" s="448">
        <v>16</v>
      </c>
      <c r="N68" s="449">
        <v>2773.1699999999996</v>
      </c>
    </row>
    <row r="69" spans="1:14" ht="14.4" customHeight="1" x14ac:dyDescent="0.3">
      <c r="A69" s="443" t="s">
        <v>417</v>
      </c>
      <c r="B69" s="444" t="s">
        <v>418</v>
      </c>
      <c r="C69" s="445" t="s">
        <v>426</v>
      </c>
      <c r="D69" s="446" t="s">
        <v>427</v>
      </c>
      <c r="E69" s="447">
        <v>50113001</v>
      </c>
      <c r="F69" s="446" t="s">
        <v>431</v>
      </c>
      <c r="G69" s="445" t="s">
        <v>432</v>
      </c>
      <c r="H69" s="445">
        <v>109844</v>
      </c>
      <c r="I69" s="445">
        <v>9844</v>
      </c>
      <c r="J69" s="445" t="s">
        <v>522</v>
      </c>
      <c r="K69" s="445" t="s">
        <v>523</v>
      </c>
      <c r="L69" s="448">
        <v>73.109999999999971</v>
      </c>
      <c r="M69" s="448">
        <v>1</v>
      </c>
      <c r="N69" s="449">
        <v>73.109999999999971</v>
      </c>
    </row>
    <row r="70" spans="1:14" ht="14.4" customHeight="1" x14ac:dyDescent="0.3">
      <c r="A70" s="443" t="s">
        <v>417</v>
      </c>
      <c r="B70" s="444" t="s">
        <v>418</v>
      </c>
      <c r="C70" s="445" t="s">
        <v>426</v>
      </c>
      <c r="D70" s="446" t="s">
        <v>427</v>
      </c>
      <c r="E70" s="447">
        <v>50113001</v>
      </c>
      <c r="F70" s="446" t="s">
        <v>431</v>
      </c>
      <c r="G70" s="445" t="s">
        <v>432</v>
      </c>
      <c r="H70" s="445">
        <v>180440</v>
      </c>
      <c r="I70" s="445">
        <v>80440</v>
      </c>
      <c r="J70" s="445" t="s">
        <v>524</v>
      </c>
      <c r="K70" s="445" t="s">
        <v>525</v>
      </c>
      <c r="L70" s="448">
        <v>581.36727272727273</v>
      </c>
      <c r="M70" s="448">
        <v>11</v>
      </c>
      <c r="N70" s="449">
        <v>6395.04</v>
      </c>
    </row>
    <row r="71" spans="1:14" ht="14.4" customHeight="1" x14ac:dyDescent="0.3">
      <c r="A71" s="443" t="s">
        <v>417</v>
      </c>
      <c r="B71" s="444" t="s">
        <v>418</v>
      </c>
      <c r="C71" s="445" t="s">
        <v>426</v>
      </c>
      <c r="D71" s="446" t="s">
        <v>427</v>
      </c>
      <c r="E71" s="447">
        <v>50113001</v>
      </c>
      <c r="F71" s="446" t="s">
        <v>431</v>
      </c>
      <c r="G71" s="445" t="s">
        <v>526</v>
      </c>
      <c r="H71" s="445">
        <v>131934</v>
      </c>
      <c r="I71" s="445">
        <v>31934</v>
      </c>
      <c r="J71" s="445" t="s">
        <v>527</v>
      </c>
      <c r="K71" s="445" t="s">
        <v>528</v>
      </c>
      <c r="L71" s="448">
        <v>49.830000000000013</v>
      </c>
      <c r="M71" s="448">
        <v>1</v>
      </c>
      <c r="N71" s="449">
        <v>49.830000000000013</v>
      </c>
    </row>
    <row r="72" spans="1:14" ht="14.4" customHeight="1" x14ac:dyDescent="0.3">
      <c r="A72" s="443" t="s">
        <v>417</v>
      </c>
      <c r="B72" s="444" t="s">
        <v>418</v>
      </c>
      <c r="C72" s="445" t="s">
        <v>426</v>
      </c>
      <c r="D72" s="446" t="s">
        <v>427</v>
      </c>
      <c r="E72" s="447">
        <v>50113001</v>
      </c>
      <c r="F72" s="446" t="s">
        <v>431</v>
      </c>
      <c r="G72" s="445" t="s">
        <v>432</v>
      </c>
      <c r="H72" s="445">
        <v>100643</v>
      </c>
      <c r="I72" s="445">
        <v>643</v>
      </c>
      <c r="J72" s="445" t="s">
        <v>529</v>
      </c>
      <c r="K72" s="445" t="s">
        <v>530</v>
      </c>
      <c r="L72" s="448">
        <v>43.620000000000005</v>
      </c>
      <c r="M72" s="448">
        <v>1</v>
      </c>
      <c r="N72" s="449">
        <v>43.620000000000005</v>
      </c>
    </row>
    <row r="73" spans="1:14" ht="14.4" customHeight="1" x14ac:dyDescent="0.3">
      <c r="A73" s="443" t="s">
        <v>417</v>
      </c>
      <c r="B73" s="444" t="s">
        <v>418</v>
      </c>
      <c r="C73" s="445" t="s">
        <v>426</v>
      </c>
      <c r="D73" s="446" t="s">
        <v>427</v>
      </c>
      <c r="E73" s="447">
        <v>50113001</v>
      </c>
      <c r="F73" s="446" t="s">
        <v>431</v>
      </c>
      <c r="G73" s="445" t="s">
        <v>526</v>
      </c>
      <c r="H73" s="445">
        <v>166030</v>
      </c>
      <c r="I73" s="445">
        <v>66030</v>
      </c>
      <c r="J73" s="445" t="s">
        <v>531</v>
      </c>
      <c r="K73" s="445" t="s">
        <v>532</v>
      </c>
      <c r="L73" s="448">
        <v>30.086666666666662</v>
      </c>
      <c r="M73" s="448">
        <v>3</v>
      </c>
      <c r="N73" s="449">
        <v>90.259999999999991</v>
      </c>
    </row>
    <row r="74" spans="1:14" ht="14.4" customHeight="1" x14ac:dyDescent="0.3">
      <c r="A74" s="443" t="s">
        <v>417</v>
      </c>
      <c r="B74" s="444" t="s">
        <v>418</v>
      </c>
      <c r="C74" s="445" t="s">
        <v>426</v>
      </c>
      <c r="D74" s="446" t="s">
        <v>427</v>
      </c>
      <c r="E74" s="447">
        <v>50113013</v>
      </c>
      <c r="F74" s="446" t="s">
        <v>533</v>
      </c>
      <c r="G74" s="445" t="s">
        <v>526</v>
      </c>
      <c r="H74" s="445">
        <v>105951</v>
      </c>
      <c r="I74" s="445">
        <v>5951</v>
      </c>
      <c r="J74" s="445" t="s">
        <v>534</v>
      </c>
      <c r="K74" s="445" t="s">
        <v>535</v>
      </c>
      <c r="L74" s="448">
        <v>114.80444444444444</v>
      </c>
      <c r="M74" s="448">
        <v>9</v>
      </c>
      <c r="N74" s="449">
        <v>1033.24</v>
      </c>
    </row>
    <row r="75" spans="1:14" ht="14.4" customHeight="1" x14ac:dyDescent="0.3">
      <c r="A75" s="443" t="s">
        <v>417</v>
      </c>
      <c r="B75" s="444" t="s">
        <v>418</v>
      </c>
      <c r="C75" s="445" t="s">
        <v>426</v>
      </c>
      <c r="D75" s="446" t="s">
        <v>427</v>
      </c>
      <c r="E75" s="447">
        <v>50113013</v>
      </c>
      <c r="F75" s="446" t="s">
        <v>533</v>
      </c>
      <c r="G75" s="445" t="s">
        <v>432</v>
      </c>
      <c r="H75" s="445">
        <v>844576</v>
      </c>
      <c r="I75" s="445">
        <v>100339</v>
      </c>
      <c r="J75" s="445" t="s">
        <v>536</v>
      </c>
      <c r="K75" s="445" t="s">
        <v>537</v>
      </c>
      <c r="L75" s="448">
        <v>97.61</v>
      </c>
      <c r="M75" s="448">
        <v>1</v>
      </c>
      <c r="N75" s="449">
        <v>97.61</v>
      </c>
    </row>
    <row r="76" spans="1:14" ht="14.4" customHeight="1" thickBot="1" x14ac:dyDescent="0.35">
      <c r="A76" s="450" t="s">
        <v>417</v>
      </c>
      <c r="B76" s="451" t="s">
        <v>418</v>
      </c>
      <c r="C76" s="452" t="s">
        <v>426</v>
      </c>
      <c r="D76" s="453" t="s">
        <v>427</v>
      </c>
      <c r="E76" s="454">
        <v>50113013</v>
      </c>
      <c r="F76" s="453" t="s">
        <v>533</v>
      </c>
      <c r="G76" s="452" t="s">
        <v>432</v>
      </c>
      <c r="H76" s="452">
        <v>101066</v>
      </c>
      <c r="I76" s="452">
        <v>1066</v>
      </c>
      <c r="J76" s="452" t="s">
        <v>538</v>
      </c>
      <c r="K76" s="452" t="s">
        <v>539</v>
      </c>
      <c r="L76" s="455">
        <v>51.04</v>
      </c>
      <c r="M76" s="455">
        <v>1</v>
      </c>
      <c r="N76" s="456">
        <v>51.04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4" customWidth="1"/>
    <col min="2" max="2" width="10" style="189" customWidth="1"/>
    <col min="3" max="3" width="5.5546875" style="192" customWidth="1"/>
    <col min="4" max="4" width="10" style="189" customWidth="1"/>
    <col min="5" max="5" width="5.5546875" style="192" customWidth="1"/>
    <col min="6" max="6" width="10" style="189" customWidth="1"/>
    <col min="7" max="16384" width="8.88671875" style="114"/>
  </cols>
  <sheetData>
    <row r="1" spans="1:6" ht="37.200000000000003" customHeight="1" thickBot="1" x14ac:dyDescent="0.4">
      <c r="A1" s="358" t="s">
        <v>138</v>
      </c>
      <c r="B1" s="359"/>
      <c r="C1" s="359"/>
      <c r="D1" s="359"/>
      <c r="E1" s="359"/>
      <c r="F1" s="359"/>
    </row>
    <row r="2" spans="1:6" ht="14.4" customHeight="1" thickBot="1" x14ac:dyDescent="0.35">
      <c r="A2" s="210" t="s">
        <v>233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60" t="s">
        <v>110</v>
      </c>
      <c r="C3" s="361"/>
      <c r="D3" s="362" t="s">
        <v>109</v>
      </c>
      <c r="E3" s="361"/>
      <c r="F3" s="72" t="s">
        <v>3</v>
      </c>
    </row>
    <row r="4" spans="1:6" ht="14.4" customHeight="1" thickBot="1" x14ac:dyDescent="0.35">
      <c r="A4" s="457" t="s">
        <v>123</v>
      </c>
      <c r="B4" s="458" t="s">
        <v>14</v>
      </c>
      <c r="C4" s="459" t="s">
        <v>2</v>
      </c>
      <c r="D4" s="458" t="s">
        <v>14</v>
      </c>
      <c r="E4" s="459" t="s">
        <v>2</v>
      </c>
      <c r="F4" s="460" t="s">
        <v>14</v>
      </c>
    </row>
    <row r="5" spans="1:6" ht="14.4" customHeight="1" thickBot="1" x14ac:dyDescent="0.35">
      <c r="A5" s="469" t="s">
        <v>540</v>
      </c>
      <c r="B5" s="434"/>
      <c r="C5" s="461">
        <v>0</v>
      </c>
      <c r="D5" s="434">
        <v>1173.3300000000002</v>
      </c>
      <c r="E5" s="461">
        <v>1</v>
      </c>
      <c r="F5" s="435">
        <v>1173.3300000000002</v>
      </c>
    </row>
    <row r="6" spans="1:6" ht="14.4" customHeight="1" thickBot="1" x14ac:dyDescent="0.35">
      <c r="A6" s="465" t="s">
        <v>3</v>
      </c>
      <c r="B6" s="466"/>
      <c r="C6" s="467">
        <v>0</v>
      </c>
      <c r="D6" s="466">
        <v>1173.3300000000002</v>
      </c>
      <c r="E6" s="467">
        <v>1</v>
      </c>
      <c r="F6" s="468">
        <v>1173.3300000000002</v>
      </c>
    </row>
    <row r="7" spans="1:6" ht="14.4" customHeight="1" thickBot="1" x14ac:dyDescent="0.35"/>
    <row r="8" spans="1:6" ht="14.4" customHeight="1" x14ac:dyDescent="0.3">
      <c r="A8" s="475" t="s">
        <v>541</v>
      </c>
      <c r="B8" s="441"/>
      <c r="C8" s="462">
        <v>0</v>
      </c>
      <c r="D8" s="441">
        <v>1033.2400000000002</v>
      </c>
      <c r="E8" s="462">
        <v>1</v>
      </c>
      <c r="F8" s="442">
        <v>1033.2400000000002</v>
      </c>
    </row>
    <row r="9" spans="1:6" ht="14.4" customHeight="1" x14ac:dyDescent="0.3">
      <c r="A9" s="476" t="s">
        <v>542</v>
      </c>
      <c r="B9" s="448"/>
      <c r="C9" s="471">
        <v>0</v>
      </c>
      <c r="D9" s="448">
        <v>49.830000000000013</v>
      </c>
      <c r="E9" s="471">
        <v>1</v>
      </c>
      <c r="F9" s="449">
        <v>49.830000000000013</v>
      </c>
    </row>
    <row r="10" spans="1:6" ht="14.4" customHeight="1" thickBot="1" x14ac:dyDescent="0.35">
      <c r="A10" s="477" t="s">
        <v>543</v>
      </c>
      <c r="B10" s="472"/>
      <c r="C10" s="473">
        <v>0</v>
      </c>
      <c r="D10" s="472">
        <v>90.259999999999991</v>
      </c>
      <c r="E10" s="473">
        <v>1</v>
      </c>
      <c r="F10" s="474">
        <v>90.259999999999991</v>
      </c>
    </row>
    <row r="11" spans="1:6" ht="14.4" customHeight="1" thickBot="1" x14ac:dyDescent="0.35">
      <c r="A11" s="465" t="s">
        <v>3</v>
      </c>
      <c r="B11" s="466"/>
      <c r="C11" s="467">
        <v>0</v>
      </c>
      <c r="D11" s="466">
        <v>1173.3300000000002</v>
      </c>
      <c r="E11" s="467">
        <v>1</v>
      </c>
      <c r="F11" s="468">
        <v>1173.3300000000002</v>
      </c>
    </row>
  </sheetData>
  <mergeCells count="3">
    <mergeCell ref="A1:F1"/>
    <mergeCell ref="B3:C3"/>
    <mergeCell ref="D3:E3"/>
  </mergeCells>
  <conditionalFormatting sqref="C5:C1048576">
    <cfRule type="cellIs" dxfId="2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2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2017-09-22T10:51:24Z</dcterms:modified>
</cp:coreProperties>
</file>