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D11" i="431"/>
  <c r="D15" i="431"/>
  <c r="E9" i="431"/>
  <c r="E13" i="431"/>
  <c r="E17" i="431"/>
  <c r="F11" i="431"/>
  <c r="F15" i="431"/>
  <c r="G9" i="431"/>
  <c r="G13" i="431"/>
  <c r="G17" i="431"/>
  <c r="H11" i="431"/>
  <c r="H15" i="431"/>
  <c r="I9" i="431"/>
  <c r="I13" i="431"/>
  <c r="I17" i="431"/>
  <c r="J11" i="431"/>
  <c r="J15" i="431"/>
  <c r="K9" i="431"/>
  <c r="K13" i="431"/>
  <c r="K17" i="431"/>
  <c r="L11" i="431"/>
  <c r="L15" i="431"/>
  <c r="M9" i="431"/>
  <c r="M13" i="431"/>
  <c r="M17" i="431"/>
  <c r="N11" i="431"/>
  <c r="O9" i="431"/>
  <c r="O17" i="431"/>
  <c r="Q13" i="431"/>
  <c r="C10" i="431"/>
  <c r="C14" i="431"/>
  <c r="C18" i="431"/>
  <c r="D12" i="431"/>
  <c r="D16" i="431"/>
  <c r="E10" i="431"/>
  <c r="E14" i="431"/>
  <c r="E18" i="431"/>
  <c r="F12" i="431"/>
  <c r="F16" i="431"/>
  <c r="G10" i="431"/>
  <c r="G14" i="431"/>
  <c r="G18" i="431"/>
  <c r="H12" i="431"/>
  <c r="H16" i="431"/>
  <c r="I10" i="431"/>
  <c r="I14" i="431"/>
  <c r="I18" i="431"/>
  <c r="J12" i="431"/>
  <c r="J16" i="431"/>
  <c r="K10" i="431"/>
  <c r="K14" i="431"/>
  <c r="K18" i="431"/>
  <c r="L12" i="431"/>
  <c r="L16" i="431"/>
  <c r="M10" i="431"/>
  <c r="M14" i="431"/>
  <c r="M18" i="431"/>
  <c r="N12" i="431"/>
  <c r="N16" i="431"/>
  <c r="O10" i="431"/>
  <c r="O14" i="431"/>
  <c r="O18" i="431"/>
  <c r="P12" i="431"/>
  <c r="P16" i="431"/>
  <c r="Q18" i="431"/>
  <c r="C11" i="431"/>
  <c r="C15" i="431"/>
  <c r="D9" i="431"/>
  <c r="D13" i="431"/>
  <c r="D17" i="431"/>
  <c r="E11" i="431"/>
  <c r="E15" i="431"/>
  <c r="F9" i="431"/>
  <c r="F13" i="431"/>
  <c r="F17" i="431"/>
  <c r="G11" i="431"/>
  <c r="G15" i="431"/>
  <c r="H9" i="431"/>
  <c r="H13" i="431"/>
  <c r="H17" i="431"/>
  <c r="I11" i="431"/>
  <c r="I15" i="431"/>
  <c r="J9" i="431"/>
  <c r="J13" i="431"/>
  <c r="J17" i="431"/>
  <c r="K11" i="431"/>
  <c r="K15" i="431"/>
  <c r="L9" i="431"/>
  <c r="L13" i="431"/>
  <c r="L17" i="431"/>
  <c r="M11" i="431"/>
  <c r="M15" i="431"/>
  <c r="N9" i="431"/>
  <c r="N13" i="431"/>
  <c r="N17" i="431"/>
  <c r="O11" i="431"/>
  <c r="O15" i="431"/>
  <c r="P9" i="431"/>
  <c r="P13" i="431"/>
  <c r="P17" i="431"/>
  <c r="Q11" i="431"/>
  <c r="Q15" i="431"/>
  <c r="O13" i="431"/>
  <c r="P11" i="431"/>
  <c r="Q9" i="431"/>
  <c r="Q10" i="431"/>
  <c r="C12" i="431"/>
  <c r="C16" i="431"/>
  <c r="D10" i="431"/>
  <c r="D14" i="431"/>
  <c r="D18" i="431"/>
  <c r="E12" i="431"/>
  <c r="E16" i="431"/>
  <c r="F10" i="431"/>
  <c r="F14" i="431"/>
  <c r="F18" i="431"/>
  <c r="G12" i="431"/>
  <c r="G16" i="431"/>
  <c r="H10" i="431"/>
  <c r="H14" i="431"/>
  <c r="H18" i="431"/>
  <c r="I12" i="431"/>
  <c r="I16" i="431"/>
  <c r="J10" i="431"/>
  <c r="J14" i="431"/>
  <c r="J18" i="431"/>
  <c r="K12" i="431"/>
  <c r="K16" i="431"/>
  <c r="L10" i="431"/>
  <c r="L14" i="431"/>
  <c r="L18" i="431"/>
  <c r="M12" i="431"/>
  <c r="M16" i="431"/>
  <c r="N10" i="431"/>
  <c r="N14" i="431"/>
  <c r="N18" i="431"/>
  <c r="O12" i="431"/>
  <c r="O16" i="431"/>
  <c r="P10" i="431"/>
  <c r="P14" i="431"/>
  <c r="P18" i="431"/>
  <c r="Q12" i="431"/>
  <c r="Q16" i="431"/>
  <c r="N15" i="431"/>
  <c r="P15" i="431"/>
  <c r="Q17" i="431"/>
  <c r="Q14" i="431"/>
  <c r="O8" i="431"/>
  <c r="J8" i="431"/>
  <c r="G8" i="431"/>
  <c r="P8" i="431"/>
  <c r="I8" i="431"/>
  <c r="E8" i="431"/>
  <c r="H8" i="431"/>
  <c r="F8" i="431"/>
  <c r="M8" i="431"/>
  <c r="K8" i="431"/>
  <c r="D8" i="431"/>
  <c r="N8" i="431"/>
  <c r="Q8" i="431"/>
  <c r="C8" i="431"/>
  <c r="L8" i="431"/>
  <c r="S14" i="431" l="1"/>
  <c r="R14" i="431"/>
  <c r="R17" i="431"/>
  <c r="S17" i="431"/>
  <c r="R16" i="431"/>
  <c r="S16" i="431"/>
  <c r="R12" i="431"/>
  <c r="S12" i="431"/>
  <c r="R10" i="431"/>
  <c r="S10" i="431"/>
  <c r="S9" i="431"/>
  <c r="R9" i="431"/>
  <c r="S15" i="431"/>
  <c r="R15" i="431"/>
  <c r="S11" i="431"/>
  <c r="R11" i="431"/>
  <c r="S18" i="431"/>
  <c r="R18" i="431"/>
  <c r="R13" i="431"/>
  <c r="S13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7" i="414"/>
  <c r="Z3" i="344" l="1"/>
  <c r="Y3" i="344"/>
  <c r="W3" i="344"/>
  <c r="AB3" i="344" s="1"/>
  <c r="V3" i="344"/>
  <c r="T3" i="344"/>
  <c r="AA3" i="344" s="1"/>
  <c r="Q3" i="344"/>
  <c r="P3" i="344"/>
  <c r="N3" i="344"/>
  <c r="M3" i="344"/>
  <c r="K3" i="344"/>
  <c r="R3" i="344" s="1"/>
  <c r="G3" i="344"/>
  <c r="C3" i="344"/>
  <c r="B11" i="339"/>
  <c r="J11" i="339" s="1"/>
  <c r="S3" i="344" l="1"/>
  <c r="I11" i="339"/>
  <c r="F11" i="339"/>
  <c r="H11" i="339" l="1"/>
  <c r="G11" i="339"/>
  <c r="A13" i="414"/>
  <c r="A14" i="414"/>
  <c r="A4" i="414"/>
  <c r="A6" i="339" l="1"/>
  <c r="A5" i="339"/>
  <c r="C17" i="414"/>
  <c r="C14" i="414"/>
  <c r="D14" i="414"/>
  <c r="D4" i="414"/>
  <c r="D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P3" i="345"/>
  <c r="O3" i="345"/>
  <c r="R3" i="345" s="1"/>
  <c r="L3" i="345"/>
  <c r="Q3" i="345" s="1"/>
  <c r="K3" i="345"/>
  <c r="H3" i="345"/>
  <c r="G3" i="345"/>
  <c r="M3" i="387"/>
  <c r="L3" i="387"/>
  <c r="J3" i="387"/>
  <c r="I3" i="387"/>
  <c r="H3" i="387"/>
  <c r="G3" i="387"/>
  <c r="F3" i="387"/>
  <c r="N3" i="220"/>
  <c r="L3" i="220" s="1"/>
  <c r="C21" i="414"/>
  <c r="D21" i="414"/>
  <c r="K3" i="387" l="1"/>
  <c r="I12" i="339"/>
  <c r="I13" i="339" s="1"/>
  <c r="F13" i="339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H13" i="339" l="1"/>
  <c r="F15" i="339"/>
  <c r="J13" i="339"/>
  <c r="B15" i="339"/>
  <c r="E14" i="414"/>
  <c r="E4" i="414"/>
  <c r="C6" i="340"/>
  <c r="D6" i="340" s="1"/>
  <c r="B4" i="340"/>
  <c r="G13" i="339"/>
  <c r="B13" i="340" l="1"/>
  <c r="B12" i="340"/>
  <c r="H15" i="339"/>
  <c r="G15" i="339"/>
  <c r="C4" i="340"/>
  <c r="E17" i="414"/>
  <c r="E21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<sst xmlns="http://schemas.openxmlformats.org/spreadsheetml/2006/main" count="6523" uniqueCount="1206">
  <si>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</si>
  <si>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</si>
  <si>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</si>
  <si>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</si>
  <si>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</si>
  <si>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</si>
  <si>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</si>
  <si>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</si>
  <si>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</si>
  <si>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</si>
  <si>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</si>
  <si>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</si>
  <si>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</si>
  <si>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</si>
  <si>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</si>
  <si>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</si>
  <si>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</si>
  <si>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</si>
  <si>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</si>
  <si>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</si>
  <si>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</si>
  <si>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</si>
  <si>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</si>
  <si>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</si>
  <si>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</si>
  <si>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</si>
  <si>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</si>
  <si>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</si>
  <si>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</si>
  <si>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</si>
  <si>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</si>
  <si>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</si>
  <si>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</si>
  <si>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</si>
  <si>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</si>
  <si>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</si>
  <si>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</si>
  <si>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</si>
  <si>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</si>
  <si>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</si>
  <si>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</si>
  <si>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</si>
  <si>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</si>
  <si>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</si>
  <si>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</si>
  <si>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</si>
  <si>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</si>
  <si>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</si>
  <si>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</si>
  <si>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</si>
  <si>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</si>
  <si>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</si>
  <si>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</si>
  <si>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</si>
  <si>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</si>
  <si>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</si>
  <si>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</si>
  <si>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</si>
  <si>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</si>
  <si>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</si>
  <si>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</si>
  <si>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</si>
  <si>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</si>
  <si>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</si>
  <si>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</si>
  <si>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</si>
  <si>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</si>
  <si>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</si>
  <si>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</si>
  <si>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</si>
  <si>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</si>
  <si>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</si>
  <si>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</si>
  <si>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</si>
  <si>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</si>
  <si>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</si>
  <si>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</si>
  <si>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</si>
  <si>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</si>
  <si>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</si>
  <si>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</si>
  <si>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</si>
  <si>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</si>
  <si>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</si>
  <si>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</si>
  <si>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</si>
  <si>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</si>
  <si>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</si>
  <si>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</si>
  <si>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</si>
  <si>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</si>
  <si>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</si>
  <si>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</si>
  <si>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</si>
  <si>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</si>
  <si>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</si>
  <si>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</si>
  <si>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</si>
  <si>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</si>
  <si>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</si>
  <si>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</si>
  <si>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</si>
  <si>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</si>
  <si>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</si>
  <si>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</si>
  <si>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</si>
  <si>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</si>
  <si>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</si>
  <si>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</si>
  <si>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</si>
  <si>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</si>
  <si>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</si>
  <si>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</si>
  <si>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</si>
  <si>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</si>
  <si>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</si>
  <si>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</si>
  <si>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</si>
  <si>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</si>
  <si>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</si>
  <si>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</si>
  <si>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</si>
  <si>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</si>
  <si>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</si>
  <si>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</si>
  <si>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</si>
  <si>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</si>
  <si>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</si>
  <si>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</si>
  <si>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</si>
  <si>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</si>
  <si>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</si>
  <si>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</si>
  <si>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</si>
  <si>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</si>
  <si>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</si>
  <si>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</si>
  <si>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</si>
  <si>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</si>
  <si>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</si>
  <si>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</si>
  <si>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</si>
  <si>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</si>
  <si>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</si>
  <si>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</si>
  <si>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</si>
  <si>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</si>
  <si>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</si>
  <si>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</si>
  <si>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</si>
  <si>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</si>
  <si>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</si>
  <si>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</si>
  <si>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</si>
  <si>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</si>
  <si>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</si>
  <si>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</si>
  <si>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</si>
  <si>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</si>
  <si>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</si>
  <si>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</si>
  <si>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</si>
  <si>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</si>
  <si>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</si>
  <si>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</si>
  <si>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</si>
  <si>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</si>
  <si>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</si>
  <si>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</si>
  <si>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</si>
  <si>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</si>
  <si>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</si>
  <si>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</si>
  <si>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</si>
  <si>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</si>
  <si>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</si>
  <si>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</si>
  <si>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</si>
  <si>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</si>
  <si>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</si>
  <si>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</si>
  <si>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</si>
  <si>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</si>
  <si>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</si>
  <si>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</si>
  <si>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</si>
  <si>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</si>
  <si>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</si>
  <si>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</si>
  <si>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</si>
  <si>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</si>
  <si>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</si>
  <si>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</si>
  <si>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</si>
  <si>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</si>
  <si>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</si>
  <si>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</si>
  <si>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</si>
  <si>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</si>
  <si>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</si>
  <si>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</si>
  <si>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</si>
  <si>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</si>
  <si>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</si>
  <si>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</si>
  <si>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</si>
  <si>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</si>
  <si>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</si>
  <si>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</si>
  <si>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</si>
  <si>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</si>
  <si>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</si>
  <si>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</si>
  <si>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</si>
  <si>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</si>
  <si>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</si>
  <si>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</si>
  <si>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</si>
  <si>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</si>
  <si>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</si>
  <si>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</si>
  <si>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</si>
  <si>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</si>
  <si>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</si>
  <si>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</si>
  <si>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</si>
  <si>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</si>
  <si>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</si>
  <si>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</si>
  <si>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</si>
  <si>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</si>
  <si>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</si>
  <si>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</si>
  <si>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</si>
  <si>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</si>
  <si>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</si>
  <si>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</si>
  <si>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</si>
  <si>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</si>
  <si>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</si>
  <si>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</si>
  <si>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</si>
  <si>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Klinika zubního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</si>
  <si>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</si>
  <si>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</si>
  <si>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</si>
  <si>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</si>
  <si>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</si>
  <si>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</si>
  <si>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</si>
  <si>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</si>
  <si>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</si>
  <si>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</si>
  <si>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50113190     léky - medicinální plyny (sklad SVM)</t>
  </si>
  <si>
    <t>50115     Zdravotnické prostředky</t>
  </si>
  <si>
    <t>50115040     laboratorní materiál (Z505)</t>
  </si>
  <si>
    <t>50115050     obvazový materiál (Z502)</t>
  </si>
  <si>
    <t>50115060     ZPr - ostatní (Z503)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</si>
  <si>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</si>
  <si>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</si>
  <si>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</si>
  <si>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</si>
  <si>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50115090     ZPr - zubolékařský materiál (Z509)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</si>
  <si>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</si>
  <si>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</si>
  <si>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</si>
  <si>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</si>
  <si>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</si>
  <si>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</si>
  <si>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</si>
  <si>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</si>
  <si>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</si>
  <si>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</si>
  <si>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</si>
  <si>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</si>
  <si>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</si>
  <si>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--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</si>
  <si>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</si>
  <si>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</si>
  <si>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</si>
  <si>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</si>
  <si>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</si>
  <si>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</si>
  <si>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</si>
  <si>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</si>
  <si>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</si>
  <si>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</si>
  <si>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</si>
  <si>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</si>
  <si>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</si>
  <si>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</si>
  <si>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</si>
  <si>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</si>
  <si>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</si>
  <si>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</si>
  <si>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</si>
  <si>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</si>
  <si>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</si>
  <si>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</si>
  <si>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</si>
  <si>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</si>
  <si>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</si>
  <si>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</si>
  <si>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</si>
  <si>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</si>
  <si>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</si>
  <si>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</si>
  <si>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</si>
  <si>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</si>
  <si>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</si>
  <si>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</si>
  <si>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</si>
  <si>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</si>
  <si>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</si>
  <si>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</si>
  <si>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</si>
  <si>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</si>
  <si>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</si>
  <si>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</si>
  <si>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</si>
  <si>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</si>
  <si>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</si>
  <si>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</si>
  <si>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</si>
  <si>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51874010     ostatní služby - zdravotní</t>
  </si>
  <si>
    <t>51874011     zkoušky kvality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</si>
  <si>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</si>
  <si>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</si>
  <si>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</si>
  <si>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</si>
  <si>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</si>
  <si>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</si>
  <si>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</si>
  <si>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</si>
  <si>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</si>
  <si>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</si>
  <si>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</si>
  <si>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</si>
  <si>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</si>
  <si>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</si>
  <si>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</si>
  <si>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</si>
  <si>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</si>
  <si>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</si>
  <si>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</si>
  <si>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</si>
  <si>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</si>
  <si>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</si>
  <si>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</si>
  <si>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</si>
  <si>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</si>
  <si>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</si>
  <si>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</si>
  <si>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</si>
  <si>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</si>
  <si>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</si>
  <si>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</si>
  <si>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</si>
  <si>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</si>
  <si>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</si>
  <si>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</si>
  <si>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</si>
  <si>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</si>
  <si>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</si>
  <si>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</si>
  <si>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</si>
  <si>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</si>
  <si>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</si>
  <si>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</si>
  <si>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</si>
  <si>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</si>
  <si>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</si>
  <si>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</si>
  <si>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</si>
  <si>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</si>
  <si>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</si>
  <si>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</si>
  <si>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</si>
  <si>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60228109     výkony stomatologie</t>
  </si>
  <si>
    <t>60228191     výkony za cizince (mimo EHS)</t>
  </si>
  <si>
    <t>60229     Zdr. výkony - ost. ZP sled.položky  OZPI</t>
  </si>
  <si>
    <t>60229209     výkony stomatologie</t>
  </si>
  <si>
    <t>60241     Odmítnutí vykázané péče     OZPI</t>
  </si>
  <si>
    <t>60241101     odmítnutí vykázané péče, receptů, poukázek PZt, Tr - VZP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</si>
  <si>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</si>
  <si>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</si>
  <si>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</si>
  <si>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</si>
  <si>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</si>
  <si>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</si>
  <si>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</si>
  <si>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</si>
  <si>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</si>
  <si>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</si>
  <si>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</si>
  <si>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</si>
  <si>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</si>
  <si>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</si>
  <si>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</si>
  <si>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</si>
  <si>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</si>
  <si>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</si>
  <si>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</si>
  <si>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</si>
  <si>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</si>
  <si>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</si>
  <si>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</si>
  <si>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</si>
  <si>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</si>
  <si>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</si>
  <si>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</si>
  <si>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</si>
  <si>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</si>
  <si>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</si>
  <si>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</si>
  <si>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</si>
  <si>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24</t>
  </si>
  <si>
    <t>ZUBNI: Klinika zubního lékařství</t>
  </si>
  <si>
    <t/>
  </si>
  <si>
    <t>50113001 - léky - paušál (LEK)</t>
  </si>
  <si>
    <t>50113013 - léky - antibiotika (LEK)</t>
  </si>
  <si>
    <t>50113014 - léky - antimykotika (LEK)</t>
  </si>
  <si>
    <t>50113190 - léky - medicinální plyny (sklad SVM)</t>
  </si>
  <si>
    <t>ZUBNI: Klinika zubního lékařství Celkem</t>
  </si>
  <si>
    <t>SumaKL</t>
  </si>
  <si>
    <t>2421</t>
  </si>
  <si>
    <t xml:space="preserve">ZUBNI: ambulance </t>
  </si>
  <si>
    <t>ZUBNI: ambulance  Celkem</t>
  </si>
  <si>
    <t>SumaNS</t>
  </si>
  <si>
    <t>mezeraNS</t>
  </si>
  <si>
    <t>léky - paušál (LEK)</t>
  </si>
  <si>
    <t>O</t>
  </si>
  <si>
    <t>ADRENALIN LECIVA</t>
  </si>
  <si>
    <t>INJ 5X1ML/1MG</t>
  </si>
  <si>
    <t>APAURIN</t>
  </si>
  <si>
    <t>INJ 10X2ML/10MG</t>
  </si>
  <si>
    <t>AQUA PRO INJECTIONE BRAUN</t>
  </si>
  <si>
    <t>INJ SOL 10X1000ML-PE</t>
  </si>
  <si>
    <t>INJ SOL 20X10ML-PLA</t>
  </si>
  <si>
    <t>DIAZEPAM SLOVAKOFARMA</t>
  </si>
  <si>
    <t>TBL 20X5MG</t>
  </si>
  <si>
    <t>DICYNONE 250</t>
  </si>
  <si>
    <t>INJ SOL 4X2ML/250MG</t>
  </si>
  <si>
    <t>DZ TRIXO LIND 500ML</t>
  </si>
  <si>
    <t>IBALGIN 400 TBL 36</t>
  </si>
  <si>
    <t xml:space="preserve">POR TBL FLM 36X400MG </t>
  </si>
  <si>
    <t>IR  AQUA STERILE OPLACH.1x1000 ml ECOTAINER</t>
  </si>
  <si>
    <t>IR OPLACH</t>
  </si>
  <si>
    <t>KL AQUA PURIF. KUL., FAG. 1 kg</t>
  </si>
  <si>
    <t>KL BENZINUM 900ml/ 600g</t>
  </si>
  <si>
    <t>KL ETHANOL.C.BENZINO 10G</t>
  </si>
  <si>
    <t>KL ETHANOL.C.BENZINO 150G v sirokohrdle lahvi</t>
  </si>
  <si>
    <t>KL ETHANOL.C.BENZINO 75G</t>
  </si>
  <si>
    <t>KL ETHANOLUM BENZ.DENAT. 900 ml / 720g/</t>
  </si>
  <si>
    <t>KL GEL</t>
  </si>
  <si>
    <t>KL CHLORHEXIDINI SOL. 0,1% 1000ml</t>
  </si>
  <si>
    <t>KL CHLORHEXIDINI SOL. 0,1% 200g</t>
  </si>
  <si>
    <t>v sirokohrdle lahvi</t>
  </si>
  <si>
    <t>KL CHLORHEXIDINI SOL. 0,1% 300 g</t>
  </si>
  <si>
    <t>KL CHLORHEXIDINI SOL. 0,2% 200 g</t>
  </si>
  <si>
    <t>KL CHLORNAN SODNÝ 1% 300g v sirokohrdle lahvi</t>
  </si>
  <si>
    <t>KL JODOVY OLEJ 10G</t>
  </si>
  <si>
    <t>KL PRIPRAVEK</t>
  </si>
  <si>
    <t>KL SIGNATURY</t>
  </si>
  <si>
    <t>KL SOL.ARG.NITR.10% 10G</t>
  </si>
  <si>
    <t>KL SOL.BORGLYCEROLI 3% 10 G</t>
  </si>
  <si>
    <t>KL SOL.HYD.PEROX.3% 100G v sirokohrdle lahvi</t>
  </si>
  <si>
    <t>KL SOL.HYD.PEROX.3% 200G v sirokohrdle lahvi</t>
  </si>
  <si>
    <t>KL SOL.HYD.PEROX.3% 300G v sirokohrdle lahvi</t>
  </si>
  <si>
    <t>KL SOL.PHENOLI CAMPHOR. 10g</t>
  </si>
  <si>
    <t>KL SOL.ZINCI CHLOR.10% 10 g</t>
  </si>
  <si>
    <t>KL VASELINUM ALBUM, 20G</t>
  </si>
  <si>
    <t>KL VASELINUM ALBUM, 50G</t>
  </si>
  <si>
    <t>LIDOCAIN EGIS 10 %</t>
  </si>
  <si>
    <t>DRM SPR SOL 1X38GM</t>
  </si>
  <si>
    <t>MAGNESIUM SULFURICUM BIOTIKA</t>
  </si>
  <si>
    <t>INJ 5X10ML 10%</t>
  </si>
  <si>
    <t>INJ 5X10ML 20%</t>
  </si>
  <si>
    <t>MAGNOSOLV</t>
  </si>
  <si>
    <t>GRA 30X6.1GM(SACKY)</t>
  </si>
  <si>
    <t>MESOCAIN</t>
  </si>
  <si>
    <t>INJ 10X10ML 1%</t>
  </si>
  <si>
    <t>NATRIUM CHLORATUM BIOTIKA ISOT.</t>
  </si>
  <si>
    <t>INJ 10X5ML</t>
  </si>
  <si>
    <t>OPHTHALMO-SEPTONEX</t>
  </si>
  <si>
    <t>UNG OPH 1X5GM</t>
  </si>
  <si>
    <t>SOLCOSERYL DENTAL ADHESIVE</t>
  </si>
  <si>
    <t>STM PST 1X5GM</t>
  </si>
  <si>
    <t>SUPRACAIN 4%</t>
  </si>
  <si>
    <t>INJ 10X2ML</t>
  </si>
  <si>
    <t>TANTUM VERDE</t>
  </si>
  <si>
    <t>LIQ 1X240ML-PET TR</t>
  </si>
  <si>
    <t>P</t>
  </si>
  <si>
    <t>VENTOLIN INHALER N</t>
  </si>
  <si>
    <t>INHSUSPSS200X100RG</t>
  </si>
  <si>
    <t>VITAMIN B12 LECIVA 1000RG</t>
  </si>
  <si>
    <t>INJ 5X1ML/1000RG</t>
  </si>
  <si>
    <t>léky - antibiotika (LEK)</t>
  </si>
  <si>
    <t>AMOKSIKLAV 1G</t>
  </si>
  <si>
    <t>TBL OBD 14X1GM</t>
  </si>
  <si>
    <t>2421 - ZUBNI: ambulance</t>
  </si>
  <si>
    <t>R03AC02 - SALBUTAMOL</t>
  </si>
  <si>
    <t>J01CR02 - AMOXICILIN A  INHIBITOR BETA-LAKTAMASY</t>
  </si>
  <si>
    <t>J01CR02</t>
  </si>
  <si>
    <t>5951</t>
  </si>
  <si>
    <t>AMOKSIKLAV 1 G</t>
  </si>
  <si>
    <t>875MG/125MG TBL FLM 14</t>
  </si>
  <si>
    <t>R03AC02</t>
  </si>
  <si>
    <t>31934</t>
  </si>
  <si>
    <t>100MCG/DÁV INH SUS PSS 200DÁV</t>
  </si>
  <si>
    <t>Přehled plnění pozitivního listu - spotřeba léčivých přípravků - orientační přehled</t>
  </si>
  <si>
    <t>24 - Klinika zubního lékařství</t>
  </si>
  <si>
    <t xml:space="preserve">2421 - ambulance </t>
  </si>
  <si>
    <t>50115040 - laboratorní materiál (Z505)</t>
  </si>
  <si>
    <t>50115050 - obvazový materiál (Z502)</t>
  </si>
  <si>
    <t>50115060 - ZPr - ostatní (Z503)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</si>
  <si>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</si>
  <si>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</si>
  <si>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</si>
  <si>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</si>
  <si>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50115090 - ZPr - zubolékařský materiál (Z509)</t>
  </si>
  <si>
    <t>50115050</t>
  </si>
  <si>
    <t>obvazový materiál (Z502)</t>
  </si>
  <si>
    <t>ZA603</t>
  </si>
  <si>
    <t>Kompresa gáza 7,5 x 7,5 cm/2 ks sterilní karton á 1000 ks 26005</t>
  </si>
  <si>
    <t>ZD740</t>
  </si>
  <si>
    <t>Kompresa gáza sterilkompres 7,5 x 7,5 cm/5 ks sterilní 1325019265(1230119225)</t>
  </si>
  <si>
    <t>ZA463</t>
  </si>
  <si>
    <t>Kompresa NT 10 x 20 cm/2 ks sterilní 26620</t>
  </si>
  <si>
    <t>ZN200</t>
  </si>
  <si>
    <t>Krytí hemostatické traumacel new dent kostky bal. á 50 ks 10115</t>
  </si>
  <si>
    <t>ZA798</t>
  </si>
  <si>
    <t>Krytí hemostatické traumacel P 2g ks bal. á 5 ks zásyp 10120</t>
  </si>
  <si>
    <t>ZA450</t>
  </si>
  <si>
    <t>Náplast omniplast 1,25 cm x 9,1 m 9004520</t>
  </si>
  <si>
    <t>ZG538</t>
  </si>
  <si>
    <t>Obvaz ran po chir. zákrocích COE PACK 530315</t>
  </si>
  <si>
    <t>ZC100</t>
  </si>
  <si>
    <t>Vata buničitá dělená 2 role / 500 ks 40 x 50 mm 1230200310</t>
  </si>
  <si>
    <t>50115060</t>
  </si>
  <si>
    <t>ZPr - ostatní (Z503)</t>
  </si>
  <si>
    <t>ZK977</t>
  </si>
  <si>
    <t>Cévka odsávací CH14 s přerušovačem sání P01173a</t>
  </si>
  <si>
    <t>ZK978</t>
  </si>
  <si>
    <t>Cévka odsávací CH16 s přerušovačem sání P01175a</t>
  </si>
  <si>
    <t>ZM137</t>
  </si>
  <si>
    <t>Kleště štípací rovné úzké Jansen délka 170 mm 30.50.18</t>
  </si>
  <si>
    <t>ZK884</t>
  </si>
  <si>
    <t>Kohout trojcestný discofix modrý 4095111</t>
  </si>
  <si>
    <t>ZF159</t>
  </si>
  <si>
    <t>Nádoba na kontaminovaný odpad 1 l 15-0002</t>
  </si>
  <si>
    <t>ZE159</t>
  </si>
  <si>
    <t>Nádoba na kontaminovaný odpad 2 l 15-0003</t>
  </si>
  <si>
    <t>ZF549</t>
  </si>
  <si>
    <t>Náústek s filtrem výměnný k plynu Entonox 1043178 (ref.828-0002)</t>
  </si>
  <si>
    <t>ZA789</t>
  </si>
  <si>
    <t>Stříkačka injekční 2-dílná 2 ml L Inject Solo 4606027V</t>
  </si>
  <si>
    <t>ZA790</t>
  </si>
  <si>
    <t>Stříkačka injekční 2-dílná 5 ml L Inject Solo4606051V</t>
  </si>
  <si>
    <t>ZA754</t>
  </si>
  <si>
    <t>Stříkačka injekční 3-dílná 10 ml LL Omnifix Solo se závitem 4617100V</t>
  </si>
  <si>
    <t>ZI179</t>
  </si>
  <si>
    <t>Zkumavka s mediem+ flovakovaný tampon eSwab růžový nos,krk,vagina,konečník,rány,fekální vzo) 490CE.A</t>
  </si>
  <si>
    <t>50115064</t>
  </si>
  <si>
    <t>ZPr - šicí materiál (Z529)</t>
  </si>
  <si>
    <t>ZB978</t>
  </si>
  <si>
    <t>Šití dafilon modrý 5/0 (1) bal. á 36 ks C0932124</t>
  </si>
  <si>
    <t>ZB447</t>
  </si>
  <si>
    <t>Šití silkam černý 3/0 (2) bal. á 36 ks C0760145</t>
  </si>
  <si>
    <t>ZB461</t>
  </si>
  <si>
    <t>Šití silkam černý 3/0 (2) bal. á 36 ks C0760307</t>
  </si>
  <si>
    <t>ZD736</t>
  </si>
  <si>
    <t>Šití silkam černý 4/0 (1.5) bal. á 36 ks C0760293</t>
  </si>
  <si>
    <t>50115065</t>
  </si>
  <si>
    <t>ZPr - vpichovací materiál (Z530)</t>
  </si>
  <si>
    <t>ZA834</t>
  </si>
  <si>
    <t>Jehla injekční 0,7 x 40 mm černá 4660021</t>
  </si>
  <si>
    <t>ZA833</t>
  </si>
  <si>
    <t>Jehla injekční 0,8 x 40 mm zelená 4657527</t>
  </si>
  <si>
    <t>ZA360</t>
  </si>
  <si>
    <t>Jehla sterican 0,5 x 25 mm oranžová 9186158</t>
  </si>
  <si>
    <t>50115067</t>
  </si>
  <si>
    <t>ZPr - rukavice (Z532)</t>
  </si>
  <si>
    <t>ZC063</t>
  </si>
  <si>
    <t>Rukavice latex bez p. M 9421615 - povoleno pouze pro ÚČOCH a KZL</t>
  </si>
  <si>
    <t>ZP181</t>
  </si>
  <si>
    <t>Rukavice latex s p. superlife M bal. á 100 ks 8951472 - povoleno pouze pro ÚČOCH a KZL</t>
  </si>
  <si>
    <t>ZD517</t>
  </si>
  <si>
    <t>Rukavice latex s p. XS bal. á 100 ks 01010 - povoleno pouze pro ÚČOCH a KZL</t>
  </si>
  <si>
    <t>ZP947</t>
  </si>
  <si>
    <t>Rukavice nitril basic bez p. modré M bal. á 200 ks 44751</t>
  </si>
  <si>
    <t>ZP946</t>
  </si>
  <si>
    <t>Rukavice nitril basic bez p. modré S bal. á 200 ks 44750</t>
  </si>
  <si>
    <t>ZP949</t>
  </si>
  <si>
    <t>Rukavice nitril basic bez p. modré XL bal. á 170 ks 44753</t>
  </si>
  <si>
    <t>ZM293</t>
  </si>
  <si>
    <t>Rukavice nitril sempercare bez p. L bal. á 200 ks 30804</t>
  </si>
  <si>
    <t>ZM291</t>
  </si>
  <si>
    <t>Rukavice nitril sempercare bez p. S bal. á 200 ks 30802</t>
  </si>
  <si>
    <t>ZK473</t>
  </si>
  <si>
    <t>Rukavice operační latexové s pudrem ansell medigrip plus vel. 6,0 6035500</t>
  </si>
  <si>
    <t>ZK474</t>
  </si>
  <si>
    <t>Rukavice operační latexové s pudrem ansell, vasco surgical powderet vel. 6,5 6035518 (303503)</t>
  </si>
  <si>
    <t>ZK477</t>
  </si>
  <si>
    <t>Rukavice operační latexové s pudrem ansell, vasco surgical powderet vel. 8 6035542 (303506EU)</t>
  </si>
  <si>
    <t>ZI758</t>
  </si>
  <si>
    <t>Rukavice vinyl bez p. M á 100 ks EFEKTVR03</t>
  </si>
  <si>
    <t>50115090</t>
  </si>
  <si>
    <t>ZPr - zubolékařský materiál (Z509)</t>
  </si>
  <si>
    <t>ZC307</t>
  </si>
  <si>
    <t>Adhesor orig. 80 G N 2 4111112</t>
  </si>
  <si>
    <t>ZL583</t>
  </si>
  <si>
    <t>Adhesor orig. 80 g N1 4111111</t>
  </si>
  <si>
    <t>ZL331</t>
  </si>
  <si>
    <t>Adhezivum dentální single bond universal  kit 9020890</t>
  </si>
  <si>
    <t>ZB722</t>
  </si>
  <si>
    <t>Amalgam Kit 0990</t>
  </si>
  <si>
    <t>ZL894</t>
  </si>
  <si>
    <t>Aplikátor M+W MicroTips modrý 0500507</t>
  </si>
  <si>
    <t>ZL893</t>
  </si>
  <si>
    <t>Aplikátor M+W MicroTips žluté 0500508</t>
  </si>
  <si>
    <t>ZD680</t>
  </si>
  <si>
    <t>Aqua cem, fix.materiál pro zub.náhrady 30 g 88115</t>
  </si>
  <si>
    <t>ZC663</t>
  </si>
  <si>
    <t>Calcimol LC 2 x 5 g tuba 1047</t>
  </si>
  <si>
    <t>ZF806</t>
  </si>
  <si>
    <t>Calcimol LC stříkačka 2 x 2 ml (2 x 2 5g střík., aplikačná kanyly) 0075356</t>
  </si>
  <si>
    <t>ZL574</t>
  </si>
  <si>
    <t>Cement fixační skloionomerní 0120164</t>
  </si>
  <si>
    <t>ZD789</t>
  </si>
  <si>
    <t>Clip clip /voco/prov.výplňový materiál stříkačka 2 x 4 g 1284</t>
  </si>
  <si>
    <t>ZI895</t>
  </si>
  <si>
    <t>Čep 04 papírový 25 dentaclean 9019125</t>
  </si>
  <si>
    <t>ZI730</t>
  </si>
  <si>
    <t>Čep 04 papírový 40 dentaclean 9019128</t>
  </si>
  <si>
    <t>ZJ069</t>
  </si>
  <si>
    <t>Čep 04 papírový 45 dentaclean bal. á 100 ks 9019129</t>
  </si>
  <si>
    <t>ZI897</t>
  </si>
  <si>
    <t>Čep 04 papírový 60 dentaclean 9019131</t>
  </si>
  <si>
    <t>ZI514</t>
  </si>
  <si>
    <t>Čep 06 papírový 15 dentaclean 9019136</t>
  </si>
  <si>
    <t>ZI515</t>
  </si>
  <si>
    <t>Čep 06 papírový 20 dentaclean á 100 ks 9019137</t>
  </si>
  <si>
    <t>ZI516</t>
  </si>
  <si>
    <t>Čep 06 papírový 25 dentaclean á 100 ks 9019138</t>
  </si>
  <si>
    <t>ZE911</t>
  </si>
  <si>
    <t>Čep 06 papírový 30 dentaclean á 100 ks P64030 9019139</t>
  </si>
  <si>
    <t>ZK682</t>
  </si>
  <si>
    <t>Čep 06 papírový 60 dentacean 9019144</t>
  </si>
  <si>
    <t>ZJ245</t>
  </si>
  <si>
    <t>Čep gutaperčový 06 vel. 30 dentaclean bal. á 60 ks 9003559</t>
  </si>
  <si>
    <t>ZH109</t>
  </si>
  <si>
    <t>Čep gutaperčový 06 vel. 50 dentaclean 9003567</t>
  </si>
  <si>
    <t>ZI091</t>
  </si>
  <si>
    <t>Čep papírový 04% 258-0606 030 (VDW558030)</t>
  </si>
  <si>
    <t>ZI090</t>
  </si>
  <si>
    <t>Čep papírový 04% VDW558020 1569321</t>
  </si>
  <si>
    <t>ZI092</t>
  </si>
  <si>
    <t>Čep papírový 04% VDW558025 258-605 25</t>
  </si>
  <si>
    <t>ZC463</t>
  </si>
  <si>
    <t>Čep papírový 04% VDW558230</t>
  </si>
  <si>
    <t>ZD270</t>
  </si>
  <si>
    <t>Čep papírový 170000129</t>
  </si>
  <si>
    <t>ZL959</t>
  </si>
  <si>
    <t>Dentin A 3 á 20 g IV593228</t>
  </si>
  <si>
    <t>ZE743</t>
  </si>
  <si>
    <t>Dentin IPS-In Line metalokeramika A 3,5 á 20g IV593229</t>
  </si>
  <si>
    <t>ZC369</t>
  </si>
  <si>
    <t>Drát kulatý pr. 7 mm IN0307</t>
  </si>
  <si>
    <t>ZC383</t>
  </si>
  <si>
    <t>Drát kulatý pr. 9 mm IN0309</t>
  </si>
  <si>
    <t>ZF061</t>
  </si>
  <si>
    <t>Drát NiTi 012 101-431</t>
  </si>
  <si>
    <t>ZE060</t>
  </si>
  <si>
    <t>Drát NiTi 012 upper oval form III 101-430</t>
  </si>
  <si>
    <t>ZD392</t>
  </si>
  <si>
    <t>Drát NiTi 014 lower oval form III 101-433</t>
  </si>
  <si>
    <t>ZD391</t>
  </si>
  <si>
    <t>Drát NiTi 014 upper oval form III 101-432</t>
  </si>
  <si>
    <t>ZF690</t>
  </si>
  <si>
    <t>Drát NiTi 016 lower oval form III 101-435</t>
  </si>
  <si>
    <t>ZD393</t>
  </si>
  <si>
    <t>Drát NiTi 016 upper oval form III 101-434</t>
  </si>
  <si>
    <t>ZF496</t>
  </si>
  <si>
    <t>Drát NiTi 018 101-436</t>
  </si>
  <si>
    <t>ZF484</t>
  </si>
  <si>
    <t>Drát NiTi 018 101-437</t>
  </si>
  <si>
    <t>ZC342</t>
  </si>
  <si>
    <t>Drát NiTi 16 x 22 100-711</t>
  </si>
  <si>
    <t>ZF692</t>
  </si>
  <si>
    <t>Drát NiTi 16 x 22 101-443</t>
  </si>
  <si>
    <t>ZF691</t>
  </si>
  <si>
    <t>Drát NiTi 16 x 22 upper oval form III 101-442</t>
  </si>
  <si>
    <t>ZH889</t>
  </si>
  <si>
    <t>Drát NiTi 17 x 25 101-445</t>
  </si>
  <si>
    <t>ZF063</t>
  </si>
  <si>
    <t>Drát ocelový 16 x 22 101-413</t>
  </si>
  <si>
    <t>ZE063</t>
  </si>
  <si>
    <t>Drát ocelový 17 x 25 101-414</t>
  </si>
  <si>
    <t>ZF064</t>
  </si>
  <si>
    <t>Drát ocelový 17 x 25 101-415</t>
  </si>
  <si>
    <t>ZF065</t>
  </si>
  <si>
    <t>Drát ocelový 18 x 25 101-419</t>
  </si>
  <si>
    <t>ZJ564</t>
  </si>
  <si>
    <t>Drát ocelový 19 x 25 101-420</t>
  </si>
  <si>
    <t>ZD471</t>
  </si>
  <si>
    <t>Duracrol prášek 500 g 4331302</t>
  </si>
  <si>
    <t>ZD586</t>
  </si>
  <si>
    <t>Durofluid s rozprašovačem 100 ml BG52008</t>
  </si>
  <si>
    <t>ZK182</t>
  </si>
  <si>
    <t>Dycal 4401</t>
  </si>
  <si>
    <t>ZC519</t>
  </si>
  <si>
    <t>Elastic cromo 4221305</t>
  </si>
  <si>
    <t>ZP286</t>
  </si>
  <si>
    <t>Filtek Ultimate A 3,5-B  nanokompozitní materiál tuba 4 g 9025148</t>
  </si>
  <si>
    <t>ZD400</t>
  </si>
  <si>
    <t>Fólie Erkoflex-95 4,0/120mm, bal.á10 ks, ER589240</t>
  </si>
  <si>
    <t>ZI825</t>
  </si>
  <si>
    <t>Fréza do frézovacího přístroje ED2466F 103023</t>
  </si>
  <si>
    <t>ZC851</t>
  </si>
  <si>
    <t>Fréza křížová břit HM161RX0181045F</t>
  </si>
  <si>
    <t>ZG442</t>
  </si>
  <si>
    <t>Fréza křížová břit HM166RX0212055F</t>
  </si>
  <si>
    <t>ZF135</t>
  </si>
  <si>
    <t>Fréza malá 999-6000</t>
  </si>
  <si>
    <t>ZC325</t>
  </si>
  <si>
    <t>Gel etching 4122505</t>
  </si>
  <si>
    <t>ZM048</t>
  </si>
  <si>
    <t>Gel hemostatický ViscoStat Clear 0076205</t>
  </si>
  <si>
    <t>ZJ299</t>
  </si>
  <si>
    <t>Hmota dublovací adisil rose á 2 x 1 kg REF 101201</t>
  </si>
  <si>
    <t>ZD133</t>
  </si>
  <si>
    <t>Hmota otiskovací kettenbach 0137221</t>
  </si>
  <si>
    <t>ZM047</t>
  </si>
  <si>
    <t>Hmota otiskovací silikonová aquasil ultra LV/RS- A 0188206</t>
  </si>
  <si>
    <t>ZB393</t>
  </si>
  <si>
    <t>Hmota otiskovací silikonová speedex putty 0026292</t>
  </si>
  <si>
    <t>ZC535</t>
  </si>
  <si>
    <t>Induret gel C100700</t>
  </si>
  <si>
    <t>ZD118</t>
  </si>
  <si>
    <t>Interim Stand pěn.vložky 0658697</t>
  </si>
  <si>
    <t>ZF826</t>
  </si>
  <si>
    <t>Kanyla míchací na optitemp automix - sada 9007258</t>
  </si>
  <si>
    <t>ZD786</t>
  </si>
  <si>
    <t>Kanyla žl. mixing tips bal. á 40 ks 60578121</t>
  </si>
  <si>
    <t>ZC455</t>
  </si>
  <si>
    <t>Kartáček nylon do kolénka BT260.23N</t>
  </si>
  <si>
    <t>ZC570</t>
  </si>
  <si>
    <t>Kavitan LC A2 12 g prášku + 5 g tekutiny 4113411</t>
  </si>
  <si>
    <t>ZD068</t>
  </si>
  <si>
    <t>Keramika IPS InLine PoM Opaquer A-D A2 IV593161</t>
  </si>
  <si>
    <t>ZD338</t>
  </si>
  <si>
    <t>Keramika IPS InLine PoM Opaquer A-D A3 IV593162</t>
  </si>
  <si>
    <t>ZD532</t>
  </si>
  <si>
    <t>Keramika IPS InLine PoM Opaquer A-D D3 IV593174</t>
  </si>
  <si>
    <t>ZC371</t>
  </si>
  <si>
    <t>Klínek mezizubní (oranž.) á 100 ks 00116</t>
  </si>
  <si>
    <t>ZI398</t>
  </si>
  <si>
    <t>Knoflík s řetízkem MA-4045-500</t>
  </si>
  <si>
    <t>ZL587</t>
  </si>
  <si>
    <t>Koferdam Medium</t>
  </si>
  <si>
    <t>ZI638</t>
  </si>
  <si>
    <t>Koncovka odsávací Sugritip-micro, á 20 ks 402048</t>
  </si>
  <si>
    <t>ZD787</t>
  </si>
  <si>
    <t>Koncovka žl.intra oral tips,na míchací kanylu 0088259</t>
  </si>
  <si>
    <t>ZQ026</t>
  </si>
  <si>
    <t>Kondicioner pro skloionomery Ketac 10 ml 0020172</t>
  </si>
  <si>
    <t>ZC518</t>
  </si>
  <si>
    <t>Kromopan 100 450 g, 1/X2710</t>
  </si>
  <si>
    <t>ZL469</t>
  </si>
  <si>
    <t>Materiál  kompozitní Filtek Ultimate A2-B 9025146</t>
  </si>
  <si>
    <t>ZL470</t>
  </si>
  <si>
    <t>Materiál kompozitní Filtek Ultimate A3-B 9025147</t>
  </si>
  <si>
    <t>ZL576</t>
  </si>
  <si>
    <t>Materiál kompozitní Filtek Ultimate Flowable A3 9025773</t>
  </si>
  <si>
    <t>ZL447</t>
  </si>
  <si>
    <t>Matrice Hawe adapt 0,038 mm bal. á 30 ks 581207</t>
  </si>
  <si>
    <t>ZL448</t>
  </si>
  <si>
    <t>Matrice Hawe adapt 1205581205</t>
  </si>
  <si>
    <t>ZH223</t>
  </si>
  <si>
    <t>Membrána combi-pack 16 x 22 mm DGD460309016</t>
  </si>
  <si>
    <t>ZL579</t>
  </si>
  <si>
    <t>Napínač matric Nystroem 6 mm 135-00HSH</t>
  </si>
  <si>
    <t>ZQ010</t>
  </si>
  <si>
    <t>Nástroj kořenový ProTaper Gold SX 19 mm sterilní bal. á 6 ks 9035292</t>
  </si>
  <si>
    <t>ZC821</t>
  </si>
  <si>
    <t>Occlu spray zelený 75 ml 00093</t>
  </si>
  <si>
    <t>ZL703</t>
  </si>
  <si>
    <t>Opaquer A4 á 3g IV593164</t>
  </si>
  <si>
    <t>ZD039</t>
  </si>
  <si>
    <t>Opaquer B3 á 3g IV593167</t>
  </si>
  <si>
    <t>ZD233</t>
  </si>
  <si>
    <t>Opaquer Liquid á 15 ml IV593345</t>
  </si>
  <si>
    <t>ZG296</t>
  </si>
  <si>
    <t>OptiBond FL 0036191</t>
  </si>
  <si>
    <t>ZC382</t>
  </si>
  <si>
    <t>Opticor flow barva A2 1008A2</t>
  </si>
  <si>
    <t>ZC564</t>
  </si>
  <si>
    <t>Oralium 1 g  1700/O</t>
  </si>
  <si>
    <t>ZF198</t>
  </si>
  <si>
    <t>Orthocryl Neon Lila 160-004</t>
  </si>
  <si>
    <t>ZC319</t>
  </si>
  <si>
    <t>Papír artikulační modročerv. l 12x10lis 102</t>
  </si>
  <si>
    <t>ZD357</t>
  </si>
  <si>
    <t>Papír artikulační modročerv. U 6 x 10 lis. 103</t>
  </si>
  <si>
    <t>ZG867</t>
  </si>
  <si>
    <t>Pásek strippingový bal. á 12 ks LSDSM4M (106-221D)</t>
  </si>
  <si>
    <t>ZC300</t>
  </si>
  <si>
    <t>Pasta Depural Neo 60 g 4816210</t>
  </si>
  <si>
    <t>ZJ765</t>
  </si>
  <si>
    <t>Pasta pro vypalování v keramické peci á 12 g VIEFP12</t>
  </si>
  <si>
    <t>ZG718</t>
  </si>
  <si>
    <t>Pilíř locator attachmenty D3.7/L3 01210</t>
  </si>
  <si>
    <t>ZI612</t>
  </si>
  <si>
    <t>Pilíř locator attachmenty D3.7/L4 01211</t>
  </si>
  <si>
    <t>ZD465</t>
  </si>
  <si>
    <t>Pilník K - File 397144518762</t>
  </si>
  <si>
    <t>ZL713</t>
  </si>
  <si>
    <t>Pilník K-File L31 průměry 0,30 mm délka 31 mm bal. á 6 ks  397144519082</t>
  </si>
  <si>
    <t>ZC462</t>
  </si>
  <si>
    <t>Písek Interalox 250 7 kg 00404</t>
  </si>
  <si>
    <t>ZH672</t>
  </si>
  <si>
    <t>Pomůcka k odtažení rtů Optragate 0091610</t>
  </si>
  <si>
    <t>ZO907</t>
  </si>
  <si>
    <t>Pomůcka k odtažení rtů Optragate Regular bezlatexová bal. á 80 ks 0091611</t>
  </si>
  <si>
    <t>ZC360</t>
  </si>
  <si>
    <t>Premacryl liq.bezbarvý 250 ml 4342921</t>
  </si>
  <si>
    <t>ZC453</t>
  </si>
  <si>
    <t>Prime-bond 60667240</t>
  </si>
  <si>
    <t>ZP134</t>
  </si>
  <si>
    <t>Pronikač K-Reamer L25 průměr 0,80 mm délka 25 mm sada = 6 kusů 397144517502</t>
  </si>
  <si>
    <t>ZI095</t>
  </si>
  <si>
    <t>Pronikač k-reamers 053025010</t>
  </si>
  <si>
    <t>ZO132</t>
  </si>
  <si>
    <t>Protahováček h-file 0,08 397144515832</t>
  </si>
  <si>
    <t>ZO133</t>
  </si>
  <si>
    <t>Protahováček h-file 0,10 397144515842</t>
  </si>
  <si>
    <t>ZK658</t>
  </si>
  <si>
    <t>Protemp 4 50 ml A3 ES46957</t>
  </si>
  <si>
    <t>ZC921</t>
  </si>
  <si>
    <t>Pružina open v cívce 100-751</t>
  </si>
  <si>
    <t>ZC533</t>
  </si>
  <si>
    <t>Relyx temp NE001</t>
  </si>
  <si>
    <t>ZC313</t>
  </si>
  <si>
    <t>Repin 800 g orig. 4241110</t>
  </si>
  <si>
    <t>ZQ059</t>
  </si>
  <si>
    <t>Roztok k ochraně gigivy Rubber Dam Liquid - tekutý kofferdam, bal. 1 x 1,2 ml 9033141</t>
  </si>
  <si>
    <t>ZG719</t>
  </si>
  <si>
    <t>Sada protetická locator á 2 ks 08519-2</t>
  </si>
  <si>
    <t>ZC527</t>
  </si>
  <si>
    <t>Sádra alabastr. 0301/25 á 25 kg</t>
  </si>
  <si>
    <t>ZD469</t>
  </si>
  <si>
    <t>Sádra Hinristone zlatoh. 25 kg 0613/25</t>
  </si>
  <si>
    <t>ZC441</t>
  </si>
  <si>
    <t>Sádra marmodent 0208/25 á 25 kg</t>
  </si>
  <si>
    <t>ZL468</t>
  </si>
  <si>
    <t>Savka s odním.koncovkou - transp. bal.á 100 ks,  MSF6007</t>
  </si>
  <si>
    <t>ZD005</t>
  </si>
  <si>
    <t>Separating fluid 500 ml 1/V3651</t>
  </si>
  <si>
    <t>ZC481</t>
  </si>
  <si>
    <t>Siloflex plus catal. 60 g 4213310</t>
  </si>
  <si>
    <t>ZC480</t>
  </si>
  <si>
    <t>Siloflex plus light 200 g 4213210</t>
  </si>
  <si>
    <t>ZC479</t>
  </si>
  <si>
    <t>Siloflex plus putty 1350 g 4213110</t>
  </si>
  <si>
    <t>ZF338</t>
  </si>
  <si>
    <t>Sof-lex disky ES8692M</t>
  </si>
  <si>
    <t>ZD077</t>
  </si>
  <si>
    <t>Spofacryl orig. 100g A 3,5</t>
  </si>
  <si>
    <t>ZC471</t>
  </si>
  <si>
    <t>Spofacryl orig. 100g O 4318200</t>
  </si>
  <si>
    <t>ZH467</t>
  </si>
  <si>
    <t>Sprej Kavo QUATTROCARE á 6 ks (6 lahví) KaVo QUATTROcare spreje a 500 ml 1.011.5720</t>
  </si>
  <si>
    <t>ZC358</t>
  </si>
  <si>
    <t>Superacryl plus liq. 250 ml 4328902</t>
  </si>
  <si>
    <t>ZD531</t>
  </si>
  <si>
    <t>Superacryl plus PLV. 500 g 4328417</t>
  </si>
  <si>
    <t>ZH306</t>
  </si>
  <si>
    <t>Špendlík-spona 0,7 mm á 100 ks 620-107 00</t>
  </si>
  <si>
    <t>ZB044</t>
  </si>
  <si>
    <t>Šroub ortodontický Bertoni 602-606-1</t>
  </si>
  <si>
    <t>ZB933</t>
  </si>
  <si>
    <t>Štětečky aplikační, á 400 ks, SD8100123</t>
  </si>
  <si>
    <t>ZD095</t>
  </si>
  <si>
    <t>Tekutina expanzní sheraifina 1l 1501SH</t>
  </si>
  <si>
    <t>ZD290</t>
  </si>
  <si>
    <t>Tetric Evo 2g Flow A2</t>
  </si>
  <si>
    <t>ZL966</t>
  </si>
  <si>
    <t>Transpa incizal TI 2 á 20 g IV593263</t>
  </si>
  <si>
    <t>ZL967</t>
  </si>
  <si>
    <t>Transpa incizal TI 3 á 20 g IV593264</t>
  </si>
  <si>
    <t>ZC577</t>
  </si>
  <si>
    <t>Vlákno retrační Ultrapak č.000 UD9331</t>
  </si>
  <si>
    <t>ZC952</t>
  </si>
  <si>
    <t>Vlákno retrakční Ultrapack 1 UD9334</t>
  </si>
  <si>
    <t>ZG158</t>
  </si>
  <si>
    <t>Vlákno wedjets na kofferdam 2,1 m barva žlutá 0035117</t>
  </si>
  <si>
    <t>ZL943</t>
  </si>
  <si>
    <t>Vlákno zubní super floss 0098890</t>
  </si>
  <si>
    <t>ZC555</t>
  </si>
  <si>
    <t>Vosk měkký modelovací ceradent 1000 g vosku v destičkách 155 x 75 mm s tloušťkou 1,2 - 1,4 mm 4411115</t>
  </si>
  <si>
    <t>ZG695</t>
  </si>
  <si>
    <t>Vosk modelovací - speciál letní 1,5 mm 2500 g 9001516</t>
  </si>
  <si>
    <t>ZC301</t>
  </si>
  <si>
    <t>Ypeen 800 g dóza 100066</t>
  </si>
  <si>
    <t>ZC920</t>
  </si>
  <si>
    <t>Zámky elite medium twin set. 022 707-398</t>
  </si>
  <si>
    <t>ZE025</t>
  </si>
  <si>
    <t>Zuby primodent přední PO609</t>
  </si>
  <si>
    <t>ZD528</t>
  </si>
  <si>
    <t>Zuby primodent zadní PO610</t>
  </si>
  <si>
    <t>Spotřeba zdravotnického materiálu - orientační přehled</t>
  </si>
  <si>
    <t>3 NLZP</t>
  </si>
  <si>
    <t>4 THP</t>
  </si>
  <si>
    <t>1 Celkem</t>
  </si>
  <si>
    <t>2 Celkem</t>
  </si>
  <si>
    <t>ON Data</t>
  </si>
  <si>
    <t>lékaři pod odborným dozorem</t>
  </si>
  <si>
    <t>zubní lékaři</t>
  </si>
  <si>
    <t>zubní lékaři specialisté</t>
  </si>
  <si>
    <t>všeobecné sestry bez dohl.</t>
  </si>
  <si>
    <t>všeobecné sestry bez dohl., spec.</t>
  </si>
  <si>
    <t>zubní technici</t>
  </si>
  <si>
    <t>dělníci</t>
  </si>
  <si>
    <t>THP</t>
  </si>
  <si>
    <t>Specializovaná ambulantní péče</t>
  </si>
  <si>
    <t>014 - Pracoviště praktického zubního lékaře</t>
  </si>
  <si>
    <t>015 - Pracoviště čelistní ortopedie</t>
  </si>
  <si>
    <t>Zdravotní výkony vykázané na pracovišti v rámci ambulantní péče *</t>
  </si>
  <si>
    <t>beze jména</t>
  </si>
  <si>
    <t>2422</t>
  </si>
  <si>
    <t>2423</t>
  </si>
  <si>
    <t>2424</t>
  </si>
  <si>
    <t>2425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</si>
  <si>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</si>
  <si>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</si>
  <si>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</si>
  <si>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</si>
  <si>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014</t>
  </si>
  <si>
    <t>4</t>
  </si>
  <si>
    <t>0080001</t>
  </si>
  <si>
    <t>0080002</t>
  </si>
  <si>
    <t>0080004</t>
  </si>
  <si>
    <t>0080011</t>
  </si>
  <si>
    <t>0080012</t>
  </si>
  <si>
    <t>0080021</t>
  </si>
  <si>
    <t>0080031</t>
  </si>
  <si>
    <t>0081042</t>
  </si>
  <si>
    <t>0081052</t>
  </si>
  <si>
    <t>0081102</t>
  </si>
  <si>
    <t>0081112</t>
  </si>
  <si>
    <t>0081114</t>
  </si>
  <si>
    <t>0081115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</si>
  <si>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</si>
  <si>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</si>
  <si>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</si>
  <si>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</si>
  <si>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</si>
  <si>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</si>
  <si>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</si>
  <si>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</si>
  <si>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</si>
  <si>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</si>
  <si>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</si>
  <si>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0082001</t>
  </si>
  <si>
    <t>0082002</t>
  </si>
  <si>
    <t>0082011</t>
  </si>
  <si>
    <t>0082114</t>
  </si>
  <si>
    <t>0082115</t>
  </si>
  <si>
    <t>0082201</t>
  </si>
  <si>
    <t>0082211</t>
  </si>
  <si>
    <t>0082301</t>
  </si>
  <si>
    <t>0082311</t>
  </si>
  <si>
    <t>0082320</t>
  </si>
  <si>
    <t>0082331</t>
  </si>
  <si>
    <t>0082332</t>
  </si>
  <si>
    <t>0181115</t>
  </si>
  <si>
    <t>0181132</t>
  </si>
  <si>
    <t>0082354</t>
  </si>
  <si>
    <t>0081202</t>
  </si>
  <si>
    <t>0081222</t>
  </si>
  <si>
    <t>0181231</t>
  </si>
  <si>
    <t>0082204</t>
  </si>
  <si>
    <t>0082353</t>
  </si>
  <si>
    <t>0081203</t>
  </si>
  <si>
    <t>0081032</t>
  </si>
  <si>
    <t>V</t>
  </si>
  <si>
    <t>00900</t>
  </si>
  <si>
    <t xml:space="preserve">KOMPLEXNÍ VYŠETuENÍ ZUBNÍM LÉKAuEM PuI REGISTRACI </t>
  </si>
  <si>
    <t>00901</t>
  </si>
  <si>
    <t>OPAKOVANÉ KOMPLEXNÍ VYŠETŘENÍ A OŠETŘENÍ REGISTROV</t>
  </si>
  <si>
    <t>OPAKOVANÉ KOMPLEXNÍ VYŠETuENÍ A OŠETuENÍ REGISTROV</t>
  </si>
  <si>
    <t>00910</t>
  </si>
  <si>
    <t>ZHOTOVENÍ INTRAORÁLNÍHO RENTGENOVÉHO SNÍMKU</t>
  </si>
  <si>
    <t>00911</t>
  </si>
  <si>
    <t>ZHOTOVENÍ EXTRAORÁLNÍHO RENTGENOVÉHO SNÍMKU</t>
  </si>
  <si>
    <t xml:space="preserve">ZHOTOVENÍ EXTRAORÁLNÍHO RENTGENOVÉHO SNÍMKU       </t>
  </si>
  <si>
    <t>00915</t>
  </si>
  <si>
    <t xml:space="preserve">ZHOTOVENÍ TELERENTGENOVÉHO SNÍMKU LBI             </t>
  </si>
  <si>
    <t>00916</t>
  </si>
  <si>
    <t>ANESTEZIE NA FORAMEN MANDIBULAE A INFRAORBITALE</t>
  </si>
  <si>
    <t xml:space="preserve">ANESTEZIE NA FORAMEN MANDIBULAE A INFRAORBITALE   </t>
  </si>
  <si>
    <t>00921</t>
  </si>
  <si>
    <t>OŠETŘENÍ ZUBNÍHO KAZU - STÁLÝ ZUB</t>
  </si>
  <si>
    <t xml:space="preserve">OŠETuENÍ ZUBNÍHO KAZU - STÁLÝ ZUB                 </t>
  </si>
  <si>
    <t>00925</t>
  </si>
  <si>
    <t>KONZERVATIVNÍ LÉČBA KOMPLIKACÍ ZUBNÍHO KAZU II - S</t>
  </si>
  <si>
    <t>KONZERVATIVNÍ LÉÖBA KOMPLIKACÍ ZUBNÍHO KAZU II - S</t>
  </si>
  <si>
    <t>00946</t>
  </si>
  <si>
    <t>00950</t>
  </si>
  <si>
    <t>EXTRAKCE STÁLÉHO ZUBU</t>
  </si>
  <si>
    <t xml:space="preserve">EXTRAKCE STÁLÉHO ZUBU                             </t>
  </si>
  <si>
    <t>00951</t>
  </si>
  <si>
    <t>CHIRURGIE TVRDÝCH TKÁNÍ DUTINY ÚSTNÍ MALÉHO ROZSAH</t>
  </si>
  <si>
    <t>00955</t>
  </si>
  <si>
    <t>CHIRURGIE MĚKKÝCH TKÁNÍ DUTINY ÚSTNÍ A JEJÍHO OKOL</t>
  </si>
  <si>
    <t>CHIRURGIE McKKÝCH TKÁNÍ DUTINY ÚSTNÍ A JEJÍHO OKOL</t>
  </si>
  <si>
    <t>00961</t>
  </si>
  <si>
    <t xml:space="preserve">OŠETŘENÍ KOMPLIKACÍ CHIRURGICKÝCH VÝKONŮ V DUTINĚ </t>
  </si>
  <si>
    <t xml:space="preserve">OŠETuENÍ KOMPLIKACÍ CHIRURGICKÝCH VÝKON_ V DUTINc </t>
  </si>
  <si>
    <t>00970</t>
  </si>
  <si>
    <t>SEJMUTÍ FIXNÍ NÁHRADY - ZA KAŽDOU PILÍŘOVOU KONSTR</t>
  </si>
  <si>
    <t>SEJMUTÍ FIXNÍ NÁHRADY - ZA KA"DOU PILÍuOVOU KONSTR</t>
  </si>
  <si>
    <t>00971</t>
  </si>
  <si>
    <t>PROVIZORNÍ OCHRANNÁ KORUNKA</t>
  </si>
  <si>
    <t xml:space="preserve">PROVIZORNÍ OCHRANNÁ KORUNKA                       </t>
  </si>
  <si>
    <t>00974</t>
  </si>
  <si>
    <t>ODEVZDÁNÍ STOMATOLOGICKÉHO VÝROBKU</t>
  </si>
  <si>
    <t xml:space="preserve">ODEVZDÁNÍ STOMATOLOGICKÉHO VÝROBKU                </t>
  </si>
  <si>
    <t>00913</t>
  </si>
  <si>
    <t>ZHOTOVENÍ ORTOPANTOMOGRAMU</t>
  </si>
  <si>
    <t xml:space="preserve">ZHOTOVENÍ ORTOPANTOMOGRAMU                        </t>
  </si>
  <si>
    <t>09543</t>
  </si>
  <si>
    <t>Signalni kod</t>
  </si>
  <si>
    <t xml:space="preserve">Signalni kod                                      </t>
  </si>
  <si>
    <t>00909</t>
  </si>
  <si>
    <t>KLINICKÉ STOMATOLOGICKÉ VYŠETŘENÍ</t>
  </si>
  <si>
    <t xml:space="preserve">KLINICKÉ STOMATOLOGICKÉ VYŠETuENÍ                 </t>
  </si>
  <si>
    <t>00914</t>
  </si>
  <si>
    <t>VYHODNOCENÍ ORTOPANTOMOGRAMU</t>
  </si>
  <si>
    <t xml:space="preserve">VYHODNOCENÍ ORTOPANTOMOGRAMU                      </t>
  </si>
  <si>
    <t>00932</t>
  </si>
  <si>
    <t>LÉČBA CHRONICKÝCH ONEMOCNĚNÍ PARODONTU</t>
  </si>
  <si>
    <t>00917</t>
  </si>
  <si>
    <t>ANESTEZIE INFILTRAČNÍ</t>
  </si>
  <si>
    <t xml:space="preserve">ANESTEZIE INFILTRAÖNÍ                             </t>
  </si>
  <si>
    <t>00973</t>
  </si>
  <si>
    <t xml:space="preserve">OPRAVA NEBO ÚPRAVA SNÍMATELNÉ NÁHRADY V ORDINACI  </t>
  </si>
  <si>
    <t>OPRAVA NEBO ÚPRAVA SNÍMATELNÉ NÁHRADY V ORDINACI</t>
  </si>
  <si>
    <t>00922</t>
  </si>
  <si>
    <t>OŠETŘENÍ ZUBNÍHO KAZU - DOČASNÝ ZUB</t>
  </si>
  <si>
    <t xml:space="preserve">OŠETuENÍ ZUBNÍHO KAZU - DOÖASNÝ ZUB               </t>
  </si>
  <si>
    <t>00959</t>
  </si>
  <si>
    <t xml:space="preserve">INTRAORÁLNÍ INCIZE                                </t>
  </si>
  <si>
    <t>INTRAORÁLNÍ INCIZE</t>
  </si>
  <si>
    <t>00938</t>
  </si>
  <si>
    <t>PŘECHODNÉ DLAHY KE STABILIZACI ZUBŮ S OSLABENÝM PA</t>
  </si>
  <si>
    <t>PuECHODNÉ DLAHY KE STABILIZACI ZUB_ S OSLABENÝM PA</t>
  </si>
  <si>
    <t>00908</t>
  </si>
  <si>
    <t>AKUTNÍ OŠETuENÍ A VYŠETuENÍ NEREGISTROVANÉHO POJIŠ</t>
  </si>
  <si>
    <t>00947</t>
  </si>
  <si>
    <t>PÉČE O REGISTROVANÉHO POJIŠTĚNCE NAD 18 LET VĚKU I</t>
  </si>
  <si>
    <t>00903</t>
  </si>
  <si>
    <t>VYŽÁDANÉ VYŠETŘENí ODBORNÍKEM NEBO SPECIALISTOU</t>
  </si>
  <si>
    <t xml:space="preserve">VY"ÁDANÉ VYŠETuENí ODBORNÍKEM NEBO SPECIALISTOU   </t>
  </si>
  <si>
    <t>00948</t>
  </si>
  <si>
    <t xml:space="preserve">ZAJIŠTcNÍ SUTUROU V RÁMCI VÝKONU EXTRAKCE         </t>
  </si>
  <si>
    <t xml:space="preserve">KOMPLEXNÍ VYŠETŘENÍ ZUBNÍM LÉKAŘEM PŘI REGISTRACI </t>
  </si>
  <si>
    <t>00906</t>
  </si>
  <si>
    <t>STOMATOLOGICKÉ OŠETŘENÍ POJIŠTĚNCE DO 6 LET NEBO H</t>
  </si>
  <si>
    <t>STOMATOLOGICKÉ OŠETuENÍ POJIŠTcNCE DO 6 LET NEBO H</t>
  </si>
  <si>
    <t xml:space="preserve">ZHOTOVENÍ INTRAORÁLNÍHO RENTGENOVÉHO SNÍMKU       </t>
  </si>
  <si>
    <t xml:space="preserve">LÉÖBA CHRONICKÝCH ONEMOCNcNÍ PARODONTU            </t>
  </si>
  <si>
    <t>00949</t>
  </si>
  <si>
    <t>EXTRAKCE DOČASNÉHO ZUBU</t>
  </si>
  <si>
    <t>00907</t>
  </si>
  <si>
    <t>STOMATOLOGICKÉ OŠETŘENÍ  POJIŠTĚNCE OD 6 DO 15 LET</t>
  </si>
  <si>
    <t>PÉÖE O REGISTROVANÉHO POJIŠTcNCE NAD 18 LET VcKU I</t>
  </si>
  <si>
    <t>00902</t>
  </si>
  <si>
    <t>PÉČE O REGISTROVANÉHO POJIŠTĚNCE NAD 18 LET VĚKU</t>
  </si>
  <si>
    <t>00918</t>
  </si>
  <si>
    <t>OŠETŘENÍ ZUBNÍHO KAZU U DĚTÍ DO 15 LET, U TĚHOTNÝC</t>
  </si>
  <si>
    <t>0072001</t>
  </si>
  <si>
    <t>0072041</t>
  </si>
  <si>
    <t>0074001</t>
  </si>
  <si>
    <t>00920</t>
  </si>
  <si>
    <t>OŠETŘENÍ ZUBNÍHO KAZU - STÁLÝ ZUB - FOTOKOMPOZITNÍ</t>
  </si>
  <si>
    <t>OŠETuENÍ ZUBNÍHO KAZU - STÁLÝ ZUB - FOTOKOMPOZITNÍ</t>
  </si>
  <si>
    <t>00945</t>
  </si>
  <si>
    <t>CÍLENÉ VYŠETŘENÍ</t>
  </si>
  <si>
    <t xml:space="preserve">CÍLENÉ VYŠETuENÍ                                  </t>
  </si>
  <si>
    <t>00956</t>
  </si>
  <si>
    <t>00953</t>
  </si>
  <si>
    <t>CHIRURGICKÉ OŠETŘOVÁNÍ RETENCE ZUBŮ</t>
  </si>
  <si>
    <t xml:space="preserve">CHIRURGICKÉ OŠETuOVÁNÍ RETENCE ZUB_               </t>
  </si>
  <si>
    <t xml:space="preserve">EXTRAKCE DOÖASNÉHO ZUBU                           </t>
  </si>
  <si>
    <t>STOMATOLOGICKÉ OŠETuENÍ  POJIŠTcNCE OD 6 DO 15 LET</t>
  </si>
  <si>
    <t>00952</t>
  </si>
  <si>
    <t>CHIRURGIE TVRDÝCH TKÁNÍ DUTINY ÚSTNÍ VELKÉHO ROZSA</t>
  </si>
  <si>
    <t>00957</t>
  </si>
  <si>
    <t>TRAUMATOLOGIE TVRDÝCH TKÁNÍ DUTINY ÚSTNÍ MALÉHO RO</t>
  </si>
  <si>
    <t>AKUTNÍ OŠETŘENÍ A VYŠETŘENÍ NEREGISTROVANÉHO POJIŠ</t>
  </si>
  <si>
    <t>00933</t>
  </si>
  <si>
    <t>CHIRURGICKÁ LÉÖBA ONEMOCNcNÍ PARODONTU MALÉHO ROZS</t>
  </si>
  <si>
    <t>00904</t>
  </si>
  <si>
    <t>STOMATOLOGICKÉ VYŠETŘENÍ REGISTROVANÉHO POJIŠTĚNCE</t>
  </si>
  <si>
    <t>STOMATOLOGICKÉ VYŠETuENÍ REGISTROVANÉHO POJIŠTcNCE</t>
  </si>
  <si>
    <t>OŠETuENÍ ZUBNÍHO KAZU U DcTÍ DO 15 LET, U TcHOTNÝC</t>
  </si>
  <si>
    <t>00931</t>
  </si>
  <si>
    <t>KOMPLEXNÍ LÉČBA CHRONICKÝCH ONEMOCNĚNÍ PARODONTU</t>
  </si>
  <si>
    <t xml:space="preserve">KOMPLEXNÍ LÉÖBA CHRONICKÝCH ONEMOCNcNÍ PARODONTU  </t>
  </si>
  <si>
    <t>00935</t>
  </si>
  <si>
    <t>SUBGINGIVÁLNÍ OŠETŘENÍ</t>
  </si>
  <si>
    <t xml:space="preserve">SUBGINGIVÁLNÍ OŠETuENÍ                            </t>
  </si>
  <si>
    <t>00936</t>
  </si>
  <si>
    <t>ODEBRÁNÍ A ZAJIŠTĚNÍ PŘENOSU TRANSPLANTÁTU</t>
  </si>
  <si>
    <t xml:space="preserve">ODEBRÁNÍ A ZAJIŠTcNÍ PuENOSU TRANSPLANTÁTU        </t>
  </si>
  <si>
    <t>00940</t>
  </si>
  <si>
    <t>KOMPLEXNÍ VYŠETŘENÍ A NÁVRH LÉČBY ONEMOCNĚNÍ ÚSTNÍ</t>
  </si>
  <si>
    <t>KOMPLEXNÍ VYŠETuENÍ A NÁVRH LÉÖBY ONEMOCNcNÍ ÚSTNÍ</t>
  </si>
  <si>
    <t>00941</t>
  </si>
  <si>
    <t>KONTROLNÍ VYŠETŘENÍ A LÉČBA ONEMOCNĚNÍ ÚSTNÍ SLIZN</t>
  </si>
  <si>
    <t>KONTROLNÍ VYŠETuENÍ A LÉÖBA ONEMOCNcNÍ ÚSTNÍ SLIZN</t>
  </si>
  <si>
    <t>09547</t>
  </si>
  <si>
    <t>REGULAÖNÍ POPLATEK -- POJIŠTcNEC OD ÚHRADY POPLATK</t>
  </si>
  <si>
    <t>00963</t>
  </si>
  <si>
    <t>INJEKCE I.M., I.V., I.D., S.C.</t>
  </si>
  <si>
    <t xml:space="preserve">INJEKCE I.M., I.V., I.D., S.C.                    </t>
  </si>
  <si>
    <t>00934</t>
  </si>
  <si>
    <t>CHIRURGICKÁ LÉČBA ONEMOCNĚNÍ PARODONTU VELKÉHO ROZ</t>
  </si>
  <si>
    <t>CHIRURGICKÁ LÉÖBA ONEMOCNcNÍ PARODONTU VELKÉHO ROZ</t>
  </si>
  <si>
    <t>00954</t>
  </si>
  <si>
    <t>KONZERVAČNĚ-CHIRURGICKÁ LÉČBA KOMPLIKACÍ ZUBNÍHO K</t>
  </si>
  <si>
    <t>KONZERVAÖNc-CHIRURGICKÁ LÉÖBA KOMPLIKACÍ ZUBNÍHO K</t>
  </si>
  <si>
    <t>CHIRURGICKÁ LÉČBA ONEMOCNĚNÍ PARODONTU MALÉHO ROZS</t>
  </si>
  <si>
    <t>00943</t>
  </si>
  <si>
    <t>MĚŘENÍ GALVANICKÝCH PROUDŮ</t>
  </si>
  <si>
    <t xml:space="preserve">McuENÍ GALVANICKÝCH PROUD_                        </t>
  </si>
  <si>
    <t>00937</t>
  </si>
  <si>
    <t xml:space="preserve">ARTIKULACE CHRUPU                                 </t>
  </si>
  <si>
    <t>015</t>
  </si>
  <si>
    <t>0070001</t>
  </si>
  <si>
    <t>0074021</t>
  </si>
  <si>
    <t>0076001</t>
  </si>
  <si>
    <t>0076011</t>
  </si>
  <si>
    <t>0076014</t>
  </si>
  <si>
    <t>0076017</t>
  </si>
  <si>
    <t>0076030</t>
  </si>
  <si>
    <t>0076031</t>
  </si>
  <si>
    <t>0076033</t>
  </si>
  <si>
    <t>0076034</t>
  </si>
  <si>
    <t>0076040</t>
  </si>
  <si>
    <t>0076041</t>
  </si>
  <si>
    <t>0076070</t>
  </si>
  <si>
    <t>0076071</t>
  </si>
  <si>
    <t>0076080</t>
  </si>
  <si>
    <t>0076081</t>
  </si>
  <si>
    <t>0084021</t>
  </si>
  <si>
    <t>0086001</t>
  </si>
  <si>
    <t>0086031</t>
  </si>
  <si>
    <t>0086034</t>
  </si>
  <si>
    <t>0086071</t>
  </si>
  <si>
    <t>0086080</t>
  </si>
  <si>
    <t>0086081</t>
  </si>
  <si>
    <t>0086040</t>
  </si>
  <si>
    <t>ZHOTOVENÍ TELERENTGENOVÉHO SNÍMKU LBI</t>
  </si>
  <si>
    <t>00981</t>
  </si>
  <si>
    <t>DIAGNOSTIKA ORTODONTICKÝCH ANOMÁLIÍ</t>
  </si>
  <si>
    <t xml:space="preserve">DIAGNOSTIKA ORTODONTICKÝCH ANOMÁLIÍ               </t>
  </si>
  <si>
    <t>00984</t>
  </si>
  <si>
    <t>KONTROLA LÉČBY ORTODONTICKÝCH ANOMÁLIÍ JINÝMI POST</t>
  </si>
  <si>
    <t>KONTROLA LÉÖBY ORTODONTICKÝCH ANOMÁLIÍ JINÝMI POST</t>
  </si>
  <si>
    <t>00985</t>
  </si>
  <si>
    <t xml:space="preserve">UKONČENÍ LÉČBY ORTODONTICKÝCH ANOMÁLIÍ S POUŽITÍM </t>
  </si>
  <si>
    <t xml:space="preserve">UKONÖENÍ LÉÖBY ORTODONTICKÝCH ANOMÁLIÍ S POU"ITÍM </t>
  </si>
  <si>
    <t>00986</t>
  </si>
  <si>
    <t>KONTROLA VE FÁZI RETENCE NEBO AKTIVNÍ SLEDOVÁNÍ VE</t>
  </si>
  <si>
    <t>00990</t>
  </si>
  <si>
    <t>DIAGNOSTICKÁ PŘESTAVBA ORTODONTICKÉHO MODELU</t>
  </si>
  <si>
    <t xml:space="preserve">DIAGNOSTICKÁ PuESTAVBA ORTODONTICKÉHO MODELU      </t>
  </si>
  <si>
    <t>00994</t>
  </si>
  <si>
    <t>ZAHÁJENÍ LÉČBY ORTODONTICKÝCH ANOMÁLIÍ MALÝM FIXNÍ</t>
  </si>
  <si>
    <t>ZAHÁJENÍ LÉÖBY ORTODONTICKÝCH ANOMÁLIÍ MALÝM FIXNÍ</t>
  </si>
  <si>
    <t>REGULAČNÍ POPLATEK -- POJIŠTĚNEC OD ÚHRADY POPLATK</t>
  </si>
  <si>
    <t>00982</t>
  </si>
  <si>
    <t>ZAHÁJENÍ LÉČBY ORTODONTICKÝCH ANOMÁLIÍ FIXNÍM ORTO</t>
  </si>
  <si>
    <t>ZAHÁJENÍ LÉÖBY ORTODONTICKÝCH ANOMÁLIÍ FIXNÍM ORTO</t>
  </si>
  <si>
    <t>00989</t>
  </si>
  <si>
    <t>ANALÝZA ORTODONTICKÝCH MODELŮ</t>
  </si>
  <si>
    <t xml:space="preserve">ANALÝZA ORTODONTICKÝCH MODEL_                     </t>
  </si>
  <si>
    <t>00987</t>
  </si>
  <si>
    <t>STANOVENÍ FÁZE RŮSTU</t>
  </si>
  <si>
    <t xml:space="preserve">STANOVENÍ FÁZE R_STU                              </t>
  </si>
  <si>
    <t>00988</t>
  </si>
  <si>
    <t xml:space="preserve">ANALÝZA TELERENTGENOVÉHO SNÍMKU LBI               </t>
  </si>
  <si>
    <t>ANALÝZA TELERENTGENOVÉHO SNÍMKU LBI</t>
  </si>
  <si>
    <t>00983</t>
  </si>
  <si>
    <t xml:space="preserve">KONTROLA LÉČBY ORTODONTICKÝCH ANOMÁLIÍ S POUŽITÍM </t>
  </si>
  <si>
    <t xml:space="preserve">KONTROLA LÉÖBY ORTODONTICKÝCH ANOMÁLIÍ S POU"ITÍM </t>
  </si>
  <si>
    <t>00993</t>
  </si>
  <si>
    <t>NAVÁZÁNÍ PARCIÁLNÍHO OBLOUKU</t>
  </si>
  <si>
    <t xml:space="preserve">NAVÁZÁNÍ PARCIÁLNÍHO OBLOUKU                      </t>
  </si>
  <si>
    <t>00992</t>
  </si>
  <si>
    <t xml:space="preserve">NASAZENÍ EXTRAORÁLNÍHO TAHU NEBO OBLIÖEJOVÉ MASKY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</si>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</sst>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54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2" xfId="1" applyFont="1" applyFill="1" applyBorder="1" applyAlignment="1">
      <alignment horizontal="left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3" fontId="33" fillId="10" borderId="107" xfId="0" applyNumberFormat="1" applyFont="1" applyFill="1" applyBorder="1" applyAlignment="1">
      <alignment horizontal="right" vertical="top"/>
    </xf>
    <xf numFmtId="3" fontId="33" fillId="10" borderId="108" xfId="0" applyNumberFormat="1" applyFont="1" applyFill="1" applyBorder="1" applyAlignment="1">
      <alignment horizontal="right" vertical="top"/>
    </xf>
    <xf numFmtId="177" fontId="33" fillId="10" borderId="109" xfId="0" applyNumberFormat="1" applyFont="1" applyFill="1" applyBorder="1" applyAlignment="1">
      <alignment horizontal="right" vertical="top"/>
    </xf>
    <xf numFmtId="3" fontId="33" fillId="0" borderId="107" xfId="0" applyNumberFormat="1" applyFont="1" applyBorder="1" applyAlignment="1">
      <alignment horizontal="right" vertical="top"/>
    </xf>
    <xf numFmtId="177" fontId="33" fillId="10" borderId="110" xfId="0" applyNumberFormat="1" applyFont="1" applyFill="1" applyBorder="1" applyAlignment="1">
      <alignment horizontal="right" vertical="top"/>
    </xf>
    <xf numFmtId="3" fontId="35" fillId="10" borderId="112" xfId="0" applyNumberFormat="1" applyFont="1" applyFill="1" applyBorder="1" applyAlignment="1">
      <alignment horizontal="right" vertical="top"/>
    </xf>
    <xf numFmtId="3" fontId="35" fillId="10" borderId="113" xfId="0" applyNumberFormat="1" applyFont="1" applyFill="1" applyBorder="1" applyAlignment="1">
      <alignment horizontal="right" vertical="top"/>
    </xf>
    <xf numFmtId="0" fontId="35" fillId="10" borderId="114" xfId="0" applyFont="1" applyFill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0" fontId="35" fillId="10" borderId="115" xfId="0" applyFont="1" applyFill="1" applyBorder="1" applyAlignment="1">
      <alignment horizontal="right" vertical="top"/>
    </xf>
    <xf numFmtId="0" fontId="33" fillId="10" borderId="109" xfId="0" applyFont="1" applyFill="1" applyBorder="1" applyAlignment="1">
      <alignment horizontal="right" vertical="top"/>
    </xf>
    <xf numFmtId="0" fontId="33" fillId="10" borderId="110" xfId="0" applyFont="1" applyFill="1" applyBorder="1" applyAlignment="1">
      <alignment horizontal="right" vertical="top"/>
    </xf>
    <xf numFmtId="177" fontId="35" fillId="10" borderId="114" xfId="0" applyNumberFormat="1" applyFont="1" applyFill="1" applyBorder="1" applyAlignment="1">
      <alignment horizontal="right" vertical="top"/>
    </xf>
    <xf numFmtId="177" fontId="35" fillId="10" borderId="115" xfId="0" applyNumberFormat="1" applyFont="1" applyFill="1" applyBorder="1" applyAlignment="1">
      <alignment horizontal="right" vertical="top"/>
    </xf>
    <xf numFmtId="3" fontId="35" fillId="0" borderId="116" xfId="0" applyNumberFormat="1" applyFont="1" applyBorder="1" applyAlignment="1">
      <alignment horizontal="right" vertical="top"/>
    </xf>
    <xf numFmtId="3" fontId="35" fillId="0" borderId="117" xfId="0" applyNumberFormat="1" applyFont="1" applyBorder="1" applyAlignment="1">
      <alignment horizontal="right" vertical="top"/>
    </xf>
    <xf numFmtId="3" fontId="35" fillId="0" borderId="118" xfId="0" applyNumberFormat="1" applyFont="1" applyBorder="1" applyAlignment="1">
      <alignment horizontal="right" vertical="top"/>
    </xf>
    <xf numFmtId="177" fontId="35" fillId="10" borderId="119" xfId="0" applyNumberFormat="1" applyFont="1" applyFill="1" applyBorder="1" applyAlignment="1">
      <alignment horizontal="right" vertical="top"/>
    </xf>
    <xf numFmtId="0" fontId="37" fillId="11" borderId="106" xfId="0" applyFont="1" applyFill="1" applyBorder="1" applyAlignment="1">
      <alignment vertical="top"/>
    </xf>
    <xf numFmtId="0" fontId="37" fillId="11" borderId="106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4"/>
    </xf>
    <xf numFmtId="0" fontId="38" fillId="11" borderId="111" xfId="0" applyFont="1" applyFill="1" applyBorder="1" applyAlignment="1">
      <alignment vertical="top" indent="6"/>
    </xf>
    <xf numFmtId="0" fontId="37" fillId="11" borderId="106" xfId="0" applyFont="1" applyFill="1" applyBorder="1" applyAlignment="1">
      <alignment vertical="top" indent="8"/>
    </xf>
    <xf numFmtId="0" fontId="38" fillId="11" borderId="111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6"/>
    </xf>
    <xf numFmtId="0" fontId="38" fillId="11" borderId="111" xfId="0" applyFont="1" applyFill="1" applyBorder="1" applyAlignment="1">
      <alignment vertical="top" indent="4"/>
    </xf>
    <xf numFmtId="0" fontId="32" fillId="11" borderId="106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6" xfId="53" applyNumberFormat="1" applyFont="1" applyFill="1" applyBorder="1" applyAlignment="1">
      <alignment horizontal="left"/>
    </xf>
    <xf numFmtId="164" fontId="31" fillId="2" borderId="120" xfId="53" applyNumberFormat="1" applyFont="1" applyFill="1" applyBorder="1" applyAlignment="1">
      <alignment horizontal="left"/>
    </xf>
    <xf numFmtId="0" fontId="31" fillId="2" borderId="120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20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20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3" fontId="32" fillId="0" borderId="28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9" fontId="32" fillId="0" borderId="76" xfId="0" applyNumberFormat="1" applyFont="1" applyFill="1" applyBorder="1"/>
    <xf numFmtId="3" fontId="32" fillId="0" borderId="79" xfId="0" applyNumberFormat="1" applyFont="1" applyFill="1" applyBorder="1"/>
    <xf numFmtId="9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9" fillId="0" borderId="67" xfId="0" applyFont="1" applyFill="1" applyBorder="1"/>
    <xf numFmtId="0" fontId="39" fillId="0" borderId="91" xfId="0" applyFont="1" applyFill="1" applyBorder="1"/>
    <xf numFmtId="0" fontId="39" fillId="2" borderId="120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2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22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23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5" xfId="0" applyFont="1" applyBorder="1" applyAlignment="1">
      <alignment horizontal="left" indent="1"/>
    </xf>
    <xf numFmtId="0" fontId="59" fillId="0" borderId="70" xfId="0" applyFont="1" applyBorder="1" applyAlignment="1">
      <alignment horizontal="left" indent="1"/>
    </xf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28" xfId="0" applyNumberFormat="1" applyFont="1" applyFill="1" applyBorder="1"/>
    <xf numFmtId="169" fontId="32" fillId="0" borderId="21" xfId="0" applyNumberFormat="1" applyFont="1" applyFill="1" applyBorder="1"/>
    <xf numFmtId="0" fontId="39" fillId="0" borderId="2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top" wrapText="1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9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9"/>
      <tableStyleElement type="headerRow" dxfId="88"/>
      <tableStyleElement type="totalRow" dxfId="87"/>
      <tableStyleElement type="firstColumn" dxfId="86"/>
      <tableStyleElement type="lastColumn" dxfId="85"/>
      <tableStyleElement type="firstRowStripe" dxfId="84"/>
      <tableStyleElement type="firstColumnStripe" dxfId="83"/>
    </tableStyle>
    <tableStyle name="TableStyleMedium2 2" pivot="0" count="7">
      <tableStyleElement type="wholeTable" dxfId="82"/>
      <tableStyleElement type="headerRow" dxfId="81"/>
      <tableStyleElement type="totalRow" dxfId="80"/>
      <tableStyleElement type="firstColumn" dxfId="79"/>
      <tableStyleElement type="lastColumn" dxfId="78"/>
      <tableStyleElement type="firstRowStripe" dxfId="77"/>
      <tableStyleElement type="firstColumnStripe" dxfId="7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0.49375398627236455</c:v>
                </c:pt>
                <c:pt idx="1">
                  <c:v>0.44528486626749042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986816"/>
        <c:axId val="92798627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0.46231043513157805</c:v>
                </c:pt>
                <c:pt idx="1">
                  <c:v>0.46231043513157805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7977024"/>
        <c:axId val="927977568"/>
      </c:scatterChart>
      <c:catAx>
        <c:axId val="927986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27986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79862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27986816"/>
        <c:crosses val="autoZero"/>
        <c:crossBetween val="between"/>
      </c:valAx>
      <c:valAx>
        <c:axId val="92797702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27977568"/>
        <c:crosses val="max"/>
        <c:crossBetween val="midCat"/>
      </c:valAx>
      <c:valAx>
        <c:axId val="9279775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2797702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8" totalsRowShown="0" headerRowDxfId="75" tableBorderDxfId="74">
  <autoFilter ref="A7:S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3"/>
    <tableColumn id="2" name="popis" dataDxfId="72"/>
    <tableColumn id="3" name="01 uv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6">
      <calculatedColumnFormula>IF(Tabulka[[#This Row],[15_vzpl]]=0,"",Tabulka[[#This Row],[14_vzsk]]/Tabulka[[#This Row],[15_vzpl]])</calculatedColumnFormula>
    </tableColumn>
    <tableColumn id="20" name="17_vzroz" dataDxfId="5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27" totalsRowShown="0">
  <autoFilter ref="C3:S27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4" bestFit="1" customWidth="1"/>
    <col min="2" max="2" width="102.21875" style="114" bestFit="1" customWidth="1"/>
    <col min="3" max="3" width="16.109375" style="47" hidden="1" customWidth="1"/>
    <col min="4" max="16384" width="8.88671875" style="114"/>
  </cols>
  <sheetData>
    <row r="1" spans="1:3" ht="18.600000000000001" customHeight="1" thickBot="1" x14ac:dyDescent="0.4">
      <c r="A1" s="304" t="s">
        <v>92</v>
      </c>
      <c r="B1" s="304"/>
    </row>
    <row r="2" spans="1:3" ht="14.4" customHeight="1" thickBot="1" x14ac:dyDescent="0.35">
      <c r="A2" s="207" t="s">
        <v>242</v>
      </c>
      <c r="B2" s="46"/>
    </row>
    <row r="3" spans="1:3" ht="14.4" customHeight="1" thickBot="1" x14ac:dyDescent="0.35">
      <c r="A3" s="300" t="s">
        <v>119</v>
      </c>
      <c r="B3" s="301"/>
    </row>
    <row r="4" spans="1:3" ht="14.4" customHeight="1" x14ac:dyDescent="0.3">
      <c r="A4" s="127" t="str">
        <f t="shared" ref="A4:A8" si="0">HYPERLINK("#'"&amp;C4&amp;"'!A1",C4)</f>
        <v>Motivace</v>
      </c>
      <c r="B4" s="74" t="s">
        <v>103</v>
      </c>
      <c r="C4" s="47" t="s">
        <v>104</v>
      </c>
    </row>
    <row r="5" spans="1:3" ht="14.4" customHeight="1" x14ac:dyDescent="0.3">
      <c r="A5" s="128" t="str">
        <f t="shared" si="0"/>
        <v>HI</v>
      </c>
      <c r="B5" s="75" t="s">
        <v>116</v>
      </c>
      <c r="C5" s="47" t="s">
        <v>95</v>
      </c>
    </row>
    <row r="6" spans="1:3" ht="14.4" customHeight="1" x14ac:dyDescent="0.3">
      <c r="A6" s="129" t="str">
        <f t="shared" si="0"/>
        <v>HI Graf</v>
      </c>
      <c r="B6" s="76" t="s">
        <v>89</v>
      </c>
      <c r="C6" s="47" t="s">
        <v>96</v>
      </c>
    </row>
    <row r="7" spans="1:3" ht="14.4" customHeight="1" x14ac:dyDescent="0.3">
      <c r="A7" s="129" t="str">
        <f t="shared" si="0"/>
        <v>Man Tab</v>
      </c>
      <c r="B7" s="76" t="s">
        <v>244</v>
      </c>
      <c r="C7" s="47" t="s">
        <v>97</v>
      </c>
    </row>
    <row r="8" spans="1:3" ht="14.4" customHeight="1" thickBot="1" x14ac:dyDescent="0.35">
      <c r="A8" s="130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2" t="s">
        <v>93</v>
      </c>
      <c r="B10" s="301"/>
    </row>
    <row r="11" spans="1:3" ht="14.4" customHeight="1" x14ac:dyDescent="0.3">
      <c r="A11" s="131" t="str">
        <f t="shared" ref="A11" si="1">HYPERLINK("#'"&amp;C11&amp;"'!A1",C11)</f>
        <v>Léky Žádanky</v>
      </c>
      <c r="B11" s="75" t="s">
        <v>117</v>
      </c>
      <c r="C11" s="47" t="s">
        <v>98</v>
      </c>
    </row>
    <row r="12" spans="1:3" ht="14.4" customHeight="1" x14ac:dyDescent="0.3">
      <c r="A12" s="129" t="str">
        <f t="shared" ref="A12:A18" si="2">HYPERLINK("#'"&amp;C12&amp;"'!A1",C12)</f>
        <v>LŽ Detail</v>
      </c>
      <c r="B12" s="76" t="s">
        <v>136</v>
      </c>
      <c r="C12" s="47" t="s">
        <v>99</v>
      </c>
    </row>
    <row r="13" spans="1:3" ht="28.8" customHeight="1" x14ac:dyDescent="0.3">
      <c r="A13" s="129" t="str">
        <f t="shared" si="2"/>
        <v>LŽ PL</v>
      </c>
      <c r="B13" s="490" t="s">
        <v>137</v>
      </c>
      <c r="C13" s="47" t="s">
        <v>123</v>
      </c>
    </row>
    <row r="14" spans="1:3" ht="14.4" customHeight="1" x14ac:dyDescent="0.3">
      <c r="A14" s="129" t="str">
        <f t="shared" si="2"/>
        <v>LŽ PL Detail</v>
      </c>
      <c r="B14" s="76" t="s">
        <v>510</v>
      </c>
      <c r="C14" s="47" t="s">
        <v>124</v>
      </c>
    </row>
    <row r="15" spans="1:3" ht="14.4" customHeight="1" x14ac:dyDescent="0.3">
      <c r="A15" s="129" t="str">
        <f t="shared" si="2"/>
        <v>LŽ Statim</v>
      </c>
      <c r="B15" s="229" t="s">
        <v>168</v>
      </c>
      <c r="C15" s="47" t="s">
        <v>178</v>
      </c>
    </row>
    <row r="16" spans="1:3" ht="14.4" customHeight="1" x14ac:dyDescent="0.3">
      <c r="A16" s="131" t="str">
        <f t="shared" ref="A16" si="3">HYPERLINK("#'"&amp;C16&amp;"'!A1",C16)</f>
        <v>Materiál Žádanky</v>
      </c>
      <c r="B16" s="76" t="s">
        <v>118</v>
      </c>
      <c r="C16" s="47" t="s">
        <v>100</v>
      </c>
    </row>
    <row r="17" spans="1:3" ht="14.4" customHeight="1" x14ac:dyDescent="0.3">
      <c r="A17" s="129" t="str">
        <f t="shared" si="2"/>
        <v>MŽ Detail</v>
      </c>
      <c r="B17" s="76" t="s">
        <v>911</v>
      </c>
      <c r="C17" s="47" t="s">
        <v>101</v>
      </c>
    </row>
    <row r="18" spans="1:3" ht="14.4" customHeight="1" thickBot="1" x14ac:dyDescent="0.35">
      <c r="A18" s="131" t="str">
        <f t="shared" si="2"/>
        <v>Osobní náklady</v>
      </c>
      <c r="B18" s="76" t="s">
        <v>90</v>
      </c>
      <c r="C18" s="47" t="s">
        <v>102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3" t="s">
        <v>94</v>
      </c>
      <c r="B20" s="301"/>
    </row>
    <row r="21" spans="1:3" ht="14.4" customHeight="1" x14ac:dyDescent="0.3">
      <c r="A21" s="132" t="str">
        <f t="shared" ref="A21:A23" si="4">HYPERLINK("#'"&amp;C21&amp;"'!A1",C21)</f>
        <v>ZV Vykáz.-A</v>
      </c>
      <c r="B21" s="75" t="s">
        <v>928</v>
      </c>
      <c r="C21" s="47" t="s">
        <v>105</v>
      </c>
    </row>
    <row r="22" spans="1:3" ht="14.4" customHeight="1" x14ac:dyDescent="0.3">
      <c r="A22" s="129" t="str">
        <f t="shared" ref="A22" si="5">HYPERLINK("#'"&amp;C22&amp;"'!A1",C22)</f>
        <v>ZV Vykáz.-A Lékaři</v>
      </c>
      <c r="B22" s="76" t="s">
        <v>937</v>
      </c>
      <c r="C22" s="47" t="s">
        <v>181</v>
      </c>
    </row>
    <row r="23" spans="1:3" ht="14.4" customHeight="1" x14ac:dyDescent="0.3">
      <c r="A23" s="129" t="str">
        <f t="shared" si="4"/>
        <v>ZV Vykáz.-A Detail</v>
      </c>
      <c r="B23" s="76" t="s">
        <v>1204</v>
      </c>
      <c r="C23" s="47" t="s">
        <v>106</v>
      </c>
    </row>
    <row r="24" spans="1:3" ht="14.4" customHeight="1" x14ac:dyDescent="0.3">
      <c r="A24" s="242" t="str">
        <f>HYPERLINK("#'"&amp;C24&amp;"'!A1",C24)</f>
        <v>ZV Vykáz.-A Det.Lék.</v>
      </c>
      <c r="B24" s="76" t="s">
        <v>1205</v>
      </c>
      <c r="C24" s="47" t="s">
        <v>185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4" bestFit="1" customWidth="1"/>
    <col min="2" max="2" width="8.88671875" style="114" bestFit="1" customWidth="1"/>
    <col min="3" max="3" width="7" style="114" bestFit="1" customWidth="1"/>
    <col min="4" max="4" width="53.44140625" style="114" bestFit="1" customWidth="1"/>
    <col min="5" max="5" width="28.44140625" style="114" bestFit="1" customWidth="1"/>
    <col min="6" max="6" width="6.6640625" style="189" customWidth="1"/>
    <col min="7" max="7" width="10" style="189" customWidth="1"/>
    <col min="8" max="8" width="6.77734375" style="192" bestFit="1" customWidth="1"/>
    <col min="9" max="9" width="6.6640625" style="189" customWidth="1"/>
    <col min="10" max="10" width="10.88671875" style="189" customWidth="1"/>
    <col min="11" max="11" width="6.77734375" style="192" bestFit="1" customWidth="1"/>
    <col min="12" max="12" width="6.6640625" style="189" customWidth="1"/>
    <col min="13" max="13" width="10.88671875" style="189" customWidth="1"/>
    <col min="14" max="16384" width="8.88671875" style="114"/>
  </cols>
  <sheetData>
    <row r="1" spans="1:13" ht="18.600000000000001" customHeight="1" thickBot="1" x14ac:dyDescent="0.4">
      <c r="A1" s="343" t="s">
        <v>510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4"/>
      <c r="M1" s="304"/>
    </row>
    <row r="2" spans="1:13" ht="14.4" customHeight="1" thickBot="1" x14ac:dyDescent="0.35">
      <c r="A2" s="207" t="s">
        <v>242</v>
      </c>
      <c r="B2" s="188"/>
      <c r="C2" s="188"/>
      <c r="D2" s="188"/>
      <c r="E2" s="188"/>
      <c r="F2" s="196"/>
      <c r="G2" s="196"/>
      <c r="H2" s="197"/>
      <c r="I2" s="196"/>
      <c r="J2" s="196"/>
      <c r="K2" s="197"/>
      <c r="L2" s="196"/>
    </row>
    <row r="3" spans="1:13" ht="14.4" customHeight="1" thickBot="1" x14ac:dyDescent="0.35">
      <c r="E3" s="71" t="s">
        <v>107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4</v>
      </c>
      <c r="J3" s="43">
        <f>SUBTOTAL(9,J6:J1048576)</f>
        <v>393.47000000000008</v>
      </c>
      <c r="K3" s="44">
        <f>IF(M3=0,0,J3/M3)</f>
        <v>1</v>
      </c>
      <c r="L3" s="43">
        <f>SUBTOTAL(9,L6:L1048576)</f>
        <v>4</v>
      </c>
      <c r="M3" s="45">
        <f>SUBTOTAL(9,M6:M1048576)</f>
        <v>393.47000000000008</v>
      </c>
    </row>
    <row r="4" spans="1:13" ht="14.4" customHeight="1" thickBot="1" x14ac:dyDescent="0.35">
      <c r="A4" s="41"/>
      <c r="B4" s="41"/>
      <c r="C4" s="41"/>
      <c r="D4" s="41"/>
      <c r="E4" s="42"/>
      <c r="F4" s="347" t="s">
        <v>109</v>
      </c>
      <c r="G4" s="348"/>
      <c r="H4" s="349"/>
      <c r="I4" s="350" t="s">
        <v>108</v>
      </c>
      <c r="J4" s="348"/>
      <c r="K4" s="349"/>
      <c r="L4" s="351" t="s">
        <v>3</v>
      </c>
      <c r="M4" s="352"/>
    </row>
    <row r="5" spans="1:13" ht="14.4" customHeight="1" thickBot="1" x14ac:dyDescent="0.35">
      <c r="A5" s="477" t="s">
        <v>110</v>
      </c>
      <c r="B5" s="497" t="s">
        <v>111</v>
      </c>
      <c r="C5" s="497" t="s">
        <v>57</v>
      </c>
      <c r="D5" s="497" t="s">
        <v>112</v>
      </c>
      <c r="E5" s="497" t="s">
        <v>113</v>
      </c>
      <c r="F5" s="498" t="s">
        <v>15</v>
      </c>
      <c r="G5" s="498" t="s">
        <v>14</v>
      </c>
      <c r="H5" s="479" t="s">
        <v>114</v>
      </c>
      <c r="I5" s="478" t="s">
        <v>15</v>
      </c>
      <c r="J5" s="498" t="s">
        <v>14</v>
      </c>
      <c r="K5" s="479" t="s">
        <v>114</v>
      </c>
      <c r="L5" s="478" t="s">
        <v>15</v>
      </c>
      <c r="M5" s="499" t="s">
        <v>14</v>
      </c>
    </row>
    <row r="6" spans="1:13" ht="14.4" customHeight="1" x14ac:dyDescent="0.3">
      <c r="A6" s="456" t="s">
        <v>425</v>
      </c>
      <c r="B6" s="457" t="s">
        <v>503</v>
      </c>
      <c r="C6" s="457" t="s">
        <v>504</v>
      </c>
      <c r="D6" s="457" t="s">
        <v>505</v>
      </c>
      <c r="E6" s="457" t="s">
        <v>506</v>
      </c>
      <c r="F6" s="461"/>
      <c r="G6" s="461"/>
      <c r="H6" s="482">
        <v>0</v>
      </c>
      <c r="I6" s="461">
        <v>3</v>
      </c>
      <c r="J6" s="461">
        <v>343.65000000000009</v>
      </c>
      <c r="K6" s="482">
        <v>1</v>
      </c>
      <c r="L6" s="461">
        <v>3</v>
      </c>
      <c r="M6" s="462">
        <v>343.65000000000009</v>
      </c>
    </row>
    <row r="7" spans="1:13" ht="14.4" customHeight="1" thickBot="1" x14ac:dyDescent="0.35">
      <c r="A7" s="470" t="s">
        <v>425</v>
      </c>
      <c r="B7" s="471" t="s">
        <v>507</v>
      </c>
      <c r="C7" s="471" t="s">
        <v>508</v>
      </c>
      <c r="D7" s="471" t="s">
        <v>493</v>
      </c>
      <c r="E7" s="471" t="s">
        <v>509</v>
      </c>
      <c r="F7" s="475"/>
      <c r="G7" s="475"/>
      <c r="H7" s="483">
        <v>0</v>
      </c>
      <c r="I7" s="475">
        <v>1</v>
      </c>
      <c r="J7" s="475">
        <v>49.819999999999993</v>
      </c>
      <c r="K7" s="483">
        <v>1</v>
      </c>
      <c r="L7" s="475">
        <v>1</v>
      </c>
      <c r="M7" s="476">
        <v>49.819999999999993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33" customWidth="1"/>
    <col min="2" max="2" width="5.44140625" style="189" bestFit="1" customWidth="1"/>
    <col min="3" max="3" width="6.109375" style="189" bestFit="1" customWidth="1"/>
    <col min="4" max="4" width="7.44140625" style="189" bestFit="1" customWidth="1"/>
    <col min="5" max="5" width="6.21875" style="189" bestFit="1" customWidth="1"/>
    <col min="6" max="6" width="6.33203125" style="192" bestFit="1" customWidth="1"/>
    <col min="7" max="7" width="6.109375" style="192" bestFit="1" customWidth="1"/>
    <col min="8" max="8" width="7.44140625" style="192" bestFit="1" customWidth="1"/>
    <col min="9" max="9" width="6.21875" style="192" bestFit="1" customWidth="1"/>
    <col min="10" max="10" width="5.44140625" style="189" bestFit="1" customWidth="1"/>
    <col min="11" max="11" width="6.109375" style="189" bestFit="1" customWidth="1"/>
    <col min="12" max="12" width="7.44140625" style="189" bestFit="1" customWidth="1"/>
    <col min="13" max="13" width="6.21875" style="189" bestFit="1" customWidth="1"/>
    <col min="14" max="14" width="5.33203125" style="192" bestFit="1" customWidth="1"/>
    <col min="15" max="15" width="6.109375" style="192" bestFit="1" customWidth="1"/>
    <col min="16" max="16" width="7.44140625" style="192" bestFit="1" customWidth="1"/>
    <col min="17" max="17" width="6.21875" style="192" bestFit="1" customWidth="1"/>
    <col min="18" max="16384" width="8.88671875" style="114"/>
  </cols>
  <sheetData>
    <row r="1" spans="1:17" ht="18.600000000000001" customHeight="1" thickBot="1" x14ac:dyDescent="0.4">
      <c r="A1" s="343" t="s">
        <v>168</v>
      </c>
      <c r="B1" s="343"/>
      <c r="C1" s="343"/>
      <c r="D1" s="343"/>
      <c r="E1" s="343"/>
      <c r="F1" s="305"/>
      <c r="G1" s="305"/>
      <c r="H1" s="305"/>
      <c r="I1" s="305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07" t="s">
        <v>242</v>
      </c>
      <c r="B2" s="196"/>
      <c r="C2" s="196"/>
      <c r="D2" s="196"/>
      <c r="E2" s="196"/>
    </row>
    <row r="3" spans="1:17" ht="14.4" customHeight="1" thickBot="1" x14ac:dyDescent="0.35">
      <c r="A3" s="222" t="s">
        <v>3</v>
      </c>
      <c r="B3" s="226">
        <f>SUM(B6:B1048576)</f>
        <v>215</v>
      </c>
      <c r="C3" s="227">
        <f>SUM(C6:C1048576)</f>
        <v>0</v>
      </c>
      <c r="D3" s="227">
        <f>SUM(D6:D1048576)</f>
        <v>0</v>
      </c>
      <c r="E3" s="228">
        <f>SUM(E6:E1048576)</f>
        <v>0</v>
      </c>
      <c r="F3" s="225">
        <f>IF(SUM($B3:$E3)=0,"",B3/SUM($B3:$E3))</f>
        <v>1</v>
      </c>
      <c r="G3" s="223">
        <f t="shared" ref="G3:I3" si="0">IF(SUM($B3:$E3)=0,"",C3/SUM($B3:$E3))</f>
        <v>0</v>
      </c>
      <c r="H3" s="223">
        <f t="shared" si="0"/>
        <v>0</v>
      </c>
      <c r="I3" s="224">
        <f t="shared" si="0"/>
        <v>0</v>
      </c>
      <c r="J3" s="227">
        <f>SUM(J6:J1048576)</f>
        <v>35</v>
      </c>
      <c r="K3" s="227">
        <f>SUM(K6:K1048576)</f>
        <v>0</v>
      </c>
      <c r="L3" s="227">
        <f>SUM(L6:L1048576)</f>
        <v>0</v>
      </c>
      <c r="M3" s="228">
        <f>SUM(M6:M1048576)</f>
        <v>0</v>
      </c>
      <c r="N3" s="225">
        <f>IF(SUM($J3:$M3)=0,"",J3/SUM($J3:$M3))</f>
        <v>1</v>
      </c>
      <c r="O3" s="223">
        <f t="shared" ref="O3:Q3" si="1">IF(SUM($J3:$M3)=0,"",K3/SUM($J3:$M3))</f>
        <v>0</v>
      </c>
      <c r="P3" s="223">
        <f t="shared" si="1"/>
        <v>0</v>
      </c>
      <c r="Q3" s="224">
        <f t="shared" si="1"/>
        <v>0</v>
      </c>
    </row>
    <row r="4" spans="1:17" ht="14.4" customHeight="1" thickBot="1" x14ac:dyDescent="0.35">
      <c r="A4" s="221"/>
      <c r="B4" s="356" t="s">
        <v>170</v>
      </c>
      <c r="C4" s="357"/>
      <c r="D4" s="357"/>
      <c r="E4" s="358"/>
      <c r="F4" s="353" t="s">
        <v>175</v>
      </c>
      <c r="G4" s="354"/>
      <c r="H4" s="354"/>
      <c r="I4" s="355"/>
      <c r="J4" s="356" t="s">
        <v>176</v>
      </c>
      <c r="K4" s="357"/>
      <c r="L4" s="357"/>
      <c r="M4" s="358"/>
      <c r="N4" s="353" t="s">
        <v>177</v>
      </c>
      <c r="O4" s="354"/>
      <c r="P4" s="354"/>
      <c r="Q4" s="355"/>
    </row>
    <row r="5" spans="1:17" ht="14.4" customHeight="1" thickBot="1" x14ac:dyDescent="0.35">
      <c r="A5" s="500" t="s">
        <v>169</v>
      </c>
      <c r="B5" s="501" t="s">
        <v>171</v>
      </c>
      <c r="C5" s="501" t="s">
        <v>172</v>
      </c>
      <c r="D5" s="501" t="s">
        <v>173</v>
      </c>
      <c r="E5" s="502" t="s">
        <v>174</v>
      </c>
      <c r="F5" s="503" t="s">
        <v>171</v>
      </c>
      <c r="G5" s="504" t="s">
        <v>172</v>
      </c>
      <c r="H5" s="504" t="s">
        <v>173</v>
      </c>
      <c r="I5" s="505" t="s">
        <v>174</v>
      </c>
      <c r="J5" s="501" t="s">
        <v>171</v>
      </c>
      <c r="K5" s="501" t="s">
        <v>172</v>
      </c>
      <c r="L5" s="501" t="s">
        <v>173</v>
      </c>
      <c r="M5" s="502" t="s">
        <v>174</v>
      </c>
      <c r="N5" s="503" t="s">
        <v>171</v>
      </c>
      <c r="O5" s="504" t="s">
        <v>172</v>
      </c>
      <c r="P5" s="504" t="s">
        <v>173</v>
      </c>
      <c r="Q5" s="505" t="s">
        <v>174</v>
      </c>
    </row>
    <row r="6" spans="1:17" ht="14.4" customHeight="1" x14ac:dyDescent="0.3">
      <c r="A6" s="508" t="s">
        <v>511</v>
      </c>
      <c r="B6" s="512"/>
      <c r="C6" s="461"/>
      <c r="D6" s="461"/>
      <c r="E6" s="462"/>
      <c r="F6" s="510"/>
      <c r="G6" s="482"/>
      <c r="H6" s="482"/>
      <c r="I6" s="514"/>
      <c r="J6" s="512"/>
      <c r="K6" s="461"/>
      <c r="L6" s="461"/>
      <c r="M6" s="462"/>
      <c r="N6" s="510"/>
      <c r="O6" s="482"/>
      <c r="P6" s="482"/>
      <c r="Q6" s="506"/>
    </row>
    <row r="7" spans="1:17" ht="14.4" customHeight="1" thickBot="1" x14ac:dyDescent="0.35">
      <c r="A7" s="509" t="s">
        <v>512</v>
      </c>
      <c r="B7" s="513">
        <v>215</v>
      </c>
      <c r="C7" s="475"/>
      <c r="D7" s="475"/>
      <c r="E7" s="476"/>
      <c r="F7" s="511">
        <v>1</v>
      </c>
      <c r="G7" s="483">
        <v>0</v>
      </c>
      <c r="H7" s="483">
        <v>0</v>
      </c>
      <c r="I7" s="515">
        <v>0</v>
      </c>
      <c r="J7" s="513">
        <v>35</v>
      </c>
      <c r="K7" s="475"/>
      <c r="L7" s="475"/>
      <c r="M7" s="476"/>
      <c r="N7" s="511">
        <v>1</v>
      </c>
      <c r="O7" s="483">
        <v>0</v>
      </c>
      <c r="P7" s="483">
        <v>0</v>
      </c>
      <c r="Q7" s="50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0" customWidth="1"/>
    <col min="2" max="2" width="61.109375" style="190" customWidth="1"/>
    <col min="3" max="3" width="9.5546875" style="114" hidden="1" customWidth="1" outlineLevel="1"/>
    <col min="4" max="4" width="9.5546875" style="191" customWidth="1" collapsed="1"/>
    <col min="5" max="5" width="2.21875" style="191" customWidth="1"/>
    <col min="6" max="6" width="9.5546875" style="192" customWidth="1"/>
    <col min="7" max="7" width="9.5546875" style="189" customWidth="1"/>
    <col min="8" max="9" width="9.5546875" style="114" customWidth="1"/>
    <col min="10" max="10" width="0" style="114" hidden="1" customWidth="1"/>
    <col min="11" max="16384" width="8.88671875" style="114"/>
  </cols>
  <sheetData>
    <row r="1" spans="1:10" ht="18.600000000000001" customHeight="1" thickBot="1" x14ac:dyDescent="0.4">
      <c r="A1" s="334" t="s">
        <v>118</v>
      </c>
      <c r="B1" s="335"/>
      <c r="C1" s="335"/>
      <c r="D1" s="335"/>
      <c r="E1" s="335"/>
      <c r="F1" s="335"/>
      <c r="G1" s="305"/>
      <c r="H1" s="336"/>
      <c r="I1" s="336"/>
    </row>
    <row r="2" spans="1:10" ht="14.4" customHeight="1" thickBot="1" x14ac:dyDescent="0.35">
      <c r="A2" s="207" t="s">
        <v>242</v>
      </c>
      <c r="B2" s="188"/>
      <c r="C2" s="188"/>
      <c r="D2" s="188"/>
      <c r="E2" s="188"/>
      <c r="F2" s="188"/>
    </row>
    <row r="3" spans="1:10" ht="14.4" customHeight="1" thickBot="1" x14ac:dyDescent="0.35">
      <c r="A3" s="207"/>
      <c r="B3" s="246"/>
      <c r="C3" s="213">
        <v>2015</v>
      </c>
      <c r="D3" s="214">
        <v>2017</v>
      </c>
      <c r="E3" s="7"/>
      <c r="F3" s="313">
        <v>2018</v>
      </c>
      <c r="G3" s="331"/>
      <c r="H3" s="331"/>
      <c r="I3" s="314"/>
    </row>
    <row r="4" spans="1:10" ht="14.4" customHeight="1" thickBot="1" x14ac:dyDescent="0.35">
      <c r="A4" s="218" t="s">
        <v>0</v>
      </c>
      <c r="B4" s="219" t="s">
        <v>167</v>
      </c>
      <c r="C4" s="332" t="s">
        <v>59</v>
      </c>
      <c r="D4" s="333"/>
      <c r="E4" s="220"/>
      <c r="F4" s="215" t="s">
        <v>59</v>
      </c>
      <c r="G4" s="216" t="s">
        <v>60</v>
      </c>
      <c r="H4" s="216" t="s">
        <v>54</v>
      </c>
      <c r="I4" s="217" t="s">
        <v>61</v>
      </c>
    </row>
    <row r="5" spans="1:10" ht="14.4" customHeight="1" x14ac:dyDescent="0.3">
      <c r="A5" s="443" t="s">
        <v>416</v>
      </c>
      <c r="B5" s="444" t="s">
        <v>417</v>
      </c>
      <c r="C5" s="445" t="s">
        <v>418</v>
      </c>
      <c r="D5" s="445" t="s">
        <v>418</v>
      </c>
      <c r="E5" s="445"/>
      <c r="F5" s="445" t="s">
        <v>418</v>
      </c>
      <c r="G5" s="445" t="s">
        <v>418</v>
      </c>
      <c r="H5" s="445" t="s">
        <v>418</v>
      </c>
      <c r="I5" s="446" t="s">
        <v>418</v>
      </c>
      <c r="J5" s="447" t="s">
        <v>55</v>
      </c>
    </row>
    <row r="6" spans="1:10" ht="14.4" customHeight="1" x14ac:dyDescent="0.3">
      <c r="A6" s="443" t="s">
        <v>416</v>
      </c>
      <c r="B6" s="444" t="s">
        <v>513</v>
      </c>
      <c r="C6" s="445">
        <v>0.86099999999999999</v>
      </c>
      <c r="D6" s="445">
        <v>0.38211000000000001</v>
      </c>
      <c r="E6" s="445"/>
      <c r="F6" s="445">
        <v>0</v>
      </c>
      <c r="G6" s="445">
        <v>0</v>
      </c>
      <c r="H6" s="445">
        <v>0</v>
      </c>
      <c r="I6" s="446" t="s">
        <v>418</v>
      </c>
      <c r="J6" s="447" t="s">
        <v>1</v>
      </c>
    </row>
    <row r="7" spans="1:10" ht="14.4" customHeight="1" x14ac:dyDescent="0.3">
      <c r="A7" s="443" t="s">
        <v>416</v>
      </c>
      <c r="B7" s="444" t="s">
        <v>514</v>
      </c>
      <c r="C7" s="445">
        <v>10.396910000000002</v>
      </c>
      <c r="D7" s="445">
        <v>8.5986300000000018</v>
      </c>
      <c r="E7" s="445"/>
      <c r="F7" s="445">
        <v>8.3001500000000004</v>
      </c>
      <c r="G7" s="445">
        <v>10</v>
      </c>
      <c r="H7" s="445">
        <v>-1.6998499999999996</v>
      </c>
      <c r="I7" s="446">
        <v>0.83001500000000006</v>
      </c>
      <c r="J7" s="447" t="s">
        <v>1</v>
      </c>
    </row>
    <row r="8" spans="1:10" ht="14.4" customHeight="1" x14ac:dyDescent="0.3">
      <c r="A8" s="443" t="s">
        <v>416</v>
      </c>
      <c r="B8" s="444" t="s">
        <v>515</v>
      </c>
      <c r="C8" s="445">
        <v>9.3972100000000012</v>
      </c>
      <c r="D8" s="445">
        <v>13.782109999999999</v>
      </c>
      <c r="E8" s="445"/>
      <c r="F8" s="445">
        <v>15.708299999999999</v>
      </c>
      <c r="G8" s="445">
        <v>13.333333007812501</v>
      </c>
      <c r="H8" s="445">
        <v>2.374966992187499</v>
      </c>
      <c r="I8" s="446">
        <v>1.178122528762757</v>
      </c>
      <c r="J8" s="447" t="s">
        <v>1</v>
      </c>
    </row>
    <row r="9" spans="1:10" ht="14.4" customHeight="1" x14ac:dyDescent="0.3">
      <c r="A9" s="443" t="s">
        <v>416</v>
      </c>
      <c r="B9" s="444" t="s">
        <v>516</v>
      </c>
      <c r="C9" s="445">
        <v>11.600520000000001</v>
      </c>
      <c r="D9" s="445">
        <v>18.852689999999999</v>
      </c>
      <c r="E9" s="445"/>
      <c r="F9" s="445">
        <v>5.9911599999999998</v>
      </c>
      <c r="G9" s="445">
        <v>16.666666015625001</v>
      </c>
      <c r="H9" s="445">
        <v>-10.675506015625</v>
      </c>
      <c r="I9" s="446">
        <v>0.35946961404178174</v>
      </c>
      <c r="J9" s="447" t="s">
        <v>1</v>
      </c>
    </row>
    <row r="10" spans="1:10" ht="14.4" customHeight="1" x14ac:dyDescent="0.3">
      <c r="A10" s="443" t="s">
        <v>416</v>
      </c>
      <c r="B10" s="444" t="s">
        <v>517</v>
      </c>
      <c r="C10" s="445">
        <v>0.98699999999999999</v>
      </c>
      <c r="D10" s="445">
        <v>0.54500000000000004</v>
      </c>
      <c r="E10" s="445"/>
      <c r="F10" s="445">
        <v>1.6220000000000001</v>
      </c>
      <c r="G10" s="445">
        <v>1.6666666259765626</v>
      </c>
      <c r="H10" s="445">
        <v>-4.4666625976562457E-2</v>
      </c>
      <c r="I10" s="446">
        <v>0.97320002375976622</v>
      </c>
      <c r="J10" s="447" t="s">
        <v>1</v>
      </c>
    </row>
    <row r="11" spans="1:10" ht="14.4" customHeight="1" x14ac:dyDescent="0.3">
      <c r="A11" s="443" t="s">
        <v>416</v>
      </c>
      <c r="B11" s="444" t="s">
        <v>518</v>
      </c>
      <c r="C11" s="445">
        <v>27.313620000000004</v>
      </c>
      <c r="D11" s="445">
        <v>25.003260000000001</v>
      </c>
      <c r="E11" s="445"/>
      <c r="F11" s="445">
        <v>21.75506</v>
      </c>
      <c r="G11" s="445">
        <v>28.333333984374999</v>
      </c>
      <c r="H11" s="445">
        <v>-6.5782739843749987</v>
      </c>
      <c r="I11" s="446">
        <v>0.76782562941577137</v>
      </c>
      <c r="J11" s="447" t="s">
        <v>1</v>
      </c>
    </row>
    <row r="12" spans="1:10" ht="14.4" customHeight="1" x14ac:dyDescent="0.3">
      <c r="A12" s="443" t="s">
        <v>416</v>
      </c>
      <c r="B12" s="444" t="s">
        <v>519</v>
      </c>
      <c r="C12" s="445">
        <v>0</v>
      </c>
      <c r="D12" s="445">
        <v>0</v>
      </c>
      <c r="E12" s="445"/>
      <c r="F12" s="445">
        <v>0</v>
      </c>
      <c r="G12" s="445">
        <v>0</v>
      </c>
      <c r="H12" s="445">
        <v>0</v>
      </c>
      <c r="I12" s="446" t="s">
        <v>418</v>
      </c>
      <c r="J12" s="447" t="s">
        <v>1</v>
      </c>
    </row>
    <row r="13" spans="1:10" ht="14.4" customHeight="1" x14ac:dyDescent="0.3">
      <c r="A13" s="443" t="s">
        <v>416</v>
      </c>
      <c r="B13" s="444" t="s">
        <v>520</v>
      </c>
      <c r="C13" s="445">
        <v>421.97159000000005</v>
      </c>
      <c r="D13" s="445">
        <v>481.46420999999998</v>
      </c>
      <c r="E13" s="445"/>
      <c r="F13" s="445">
        <v>389.67297000000008</v>
      </c>
      <c r="G13" s="445">
        <v>550</v>
      </c>
      <c r="H13" s="445">
        <v>-160.32702999999992</v>
      </c>
      <c r="I13" s="446">
        <v>0.70849630909090922</v>
      </c>
      <c r="J13" s="447" t="s">
        <v>1</v>
      </c>
    </row>
    <row r="14" spans="1:10" ht="14.4" customHeight="1" x14ac:dyDescent="0.3">
      <c r="A14" s="443" t="s">
        <v>416</v>
      </c>
      <c r="B14" s="444" t="s">
        <v>423</v>
      </c>
      <c r="C14" s="445">
        <v>482.52785000000006</v>
      </c>
      <c r="D14" s="445">
        <v>548.62801000000002</v>
      </c>
      <c r="E14" s="445"/>
      <c r="F14" s="445">
        <v>443.04964000000007</v>
      </c>
      <c r="G14" s="445">
        <v>619.999999633789</v>
      </c>
      <c r="H14" s="445">
        <v>-176.95035963378893</v>
      </c>
      <c r="I14" s="446">
        <v>0.71459619397047269</v>
      </c>
      <c r="J14" s="447" t="s">
        <v>424</v>
      </c>
    </row>
    <row r="16" spans="1:10" ht="14.4" customHeight="1" x14ac:dyDescent="0.3">
      <c r="A16" s="443" t="s">
        <v>416</v>
      </c>
      <c r="B16" s="444" t="s">
        <v>417</v>
      </c>
      <c r="C16" s="445" t="s">
        <v>418</v>
      </c>
      <c r="D16" s="445" t="s">
        <v>418</v>
      </c>
      <c r="E16" s="445"/>
      <c r="F16" s="445" t="s">
        <v>418</v>
      </c>
      <c r="G16" s="445" t="s">
        <v>418</v>
      </c>
      <c r="H16" s="445" t="s">
        <v>418</v>
      </c>
      <c r="I16" s="446" t="s">
        <v>418</v>
      </c>
      <c r="J16" s="447" t="s">
        <v>55</v>
      </c>
    </row>
    <row r="17" spans="1:10" ht="14.4" customHeight="1" x14ac:dyDescent="0.3">
      <c r="A17" s="443" t="s">
        <v>425</v>
      </c>
      <c r="B17" s="444" t="s">
        <v>426</v>
      </c>
      <c r="C17" s="445" t="s">
        <v>418</v>
      </c>
      <c r="D17" s="445" t="s">
        <v>418</v>
      </c>
      <c r="E17" s="445"/>
      <c r="F17" s="445" t="s">
        <v>418</v>
      </c>
      <c r="G17" s="445" t="s">
        <v>418</v>
      </c>
      <c r="H17" s="445" t="s">
        <v>418</v>
      </c>
      <c r="I17" s="446" t="s">
        <v>418</v>
      </c>
      <c r="J17" s="447" t="s">
        <v>0</v>
      </c>
    </row>
    <row r="18" spans="1:10" ht="14.4" customHeight="1" x14ac:dyDescent="0.3">
      <c r="A18" s="443" t="s">
        <v>425</v>
      </c>
      <c r="B18" s="444" t="s">
        <v>513</v>
      </c>
      <c r="C18" s="445">
        <v>0.86099999999999999</v>
      </c>
      <c r="D18" s="445">
        <v>0.38211000000000001</v>
      </c>
      <c r="E18" s="445"/>
      <c r="F18" s="445">
        <v>0</v>
      </c>
      <c r="G18" s="445">
        <v>0</v>
      </c>
      <c r="H18" s="445">
        <v>0</v>
      </c>
      <c r="I18" s="446" t="s">
        <v>418</v>
      </c>
      <c r="J18" s="447" t="s">
        <v>1</v>
      </c>
    </row>
    <row r="19" spans="1:10" ht="14.4" customHeight="1" x14ac:dyDescent="0.3">
      <c r="A19" s="443" t="s">
        <v>425</v>
      </c>
      <c r="B19" s="444" t="s">
        <v>514</v>
      </c>
      <c r="C19" s="445">
        <v>10.396910000000002</v>
      </c>
      <c r="D19" s="445">
        <v>8.5986300000000018</v>
      </c>
      <c r="E19" s="445"/>
      <c r="F19" s="445">
        <v>8.3001500000000004</v>
      </c>
      <c r="G19" s="445">
        <v>10</v>
      </c>
      <c r="H19" s="445">
        <v>-1.6998499999999996</v>
      </c>
      <c r="I19" s="446">
        <v>0.83001500000000006</v>
      </c>
      <c r="J19" s="447" t="s">
        <v>1</v>
      </c>
    </row>
    <row r="20" spans="1:10" ht="14.4" customHeight="1" x14ac:dyDescent="0.3">
      <c r="A20" s="443" t="s">
        <v>425</v>
      </c>
      <c r="B20" s="444" t="s">
        <v>515</v>
      </c>
      <c r="C20" s="445">
        <v>9.3972100000000012</v>
      </c>
      <c r="D20" s="445">
        <v>13.782109999999999</v>
      </c>
      <c r="E20" s="445"/>
      <c r="F20" s="445">
        <v>15.708299999999999</v>
      </c>
      <c r="G20" s="445">
        <v>13</v>
      </c>
      <c r="H20" s="445">
        <v>2.7082999999999995</v>
      </c>
      <c r="I20" s="446">
        <v>1.2083307692307692</v>
      </c>
      <c r="J20" s="447" t="s">
        <v>1</v>
      </c>
    </row>
    <row r="21" spans="1:10" ht="14.4" customHeight="1" x14ac:dyDescent="0.3">
      <c r="A21" s="443" t="s">
        <v>425</v>
      </c>
      <c r="B21" s="444" t="s">
        <v>516</v>
      </c>
      <c r="C21" s="445">
        <v>11.600520000000001</v>
      </c>
      <c r="D21" s="445">
        <v>18.852689999999999</v>
      </c>
      <c r="E21" s="445"/>
      <c r="F21" s="445">
        <v>5.9911599999999998</v>
      </c>
      <c r="G21" s="445">
        <v>17</v>
      </c>
      <c r="H21" s="445">
        <v>-11.008839999999999</v>
      </c>
      <c r="I21" s="446">
        <v>0.35242117647058824</v>
      </c>
      <c r="J21" s="447" t="s">
        <v>1</v>
      </c>
    </row>
    <row r="22" spans="1:10" ht="14.4" customHeight="1" x14ac:dyDescent="0.3">
      <c r="A22" s="443" t="s">
        <v>425</v>
      </c>
      <c r="B22" s="444" t="s">
        <v>517</v>
      </c>
      <c r="C22" s="445">
        <v>0.98699999999999999</v>
      </c>
      <c r="D22" s="445">
        <v>0.54500000000000004</v>
      </c>
      <c r="E22" s="445"/>
      <c r="F22" s="445">
        <v>1.6220000000000001</v>
      </c>
      <c r="G22" s="445">
        <v>2</v>
      </c>
      <c r="H22" s="445">
        <v>-0.37799999999999989</v>
      </c>
      <c r="I22" s="446">
        <v>0.81100000000000005</v>
      </c>
      <c r="J22" s="447" t="s">
        <v>1</v>
      </c>
    </row>
    <row r="23" spans="1:10" ht="14.4" customHeight="1" x14ac:dyDescent="0.3">
      <c r="A23" s="443" t="s">
        <v>425</v>
      </c>
      <c r="B23" s="444" t="s">
        <v>518</v>
      </c>
      <c r="C23" s="445">
        <v>27.313620000000004</v>
      </c>
      <c r="D23" s="445">
        <v>25.003260000000001</v>
      </c>
      <c r="E23" s="445"/>
      <c r="F23" s="445">
        <v>21.75506</v>
      </c>
      <c r="G23" s="445">
        <v>28</v>
      </c>
      <c r="H23" s="445">
        <v>-6.2449399999999997</v>
      </c>
      <c r="I23" s="446">
        <v>0.77696642857142861</v>
      </c>
      <c r="J23" s="447" t="s">
        <v>1</v>
      </c>
    </row>
    <row r="24" spans="1:10" ht="14.4" customHeight="1" x14ac:dyDescent="0.3">
      <c r="A24" s="443" t="s">
        <v>425</v>
      </c>
      <c r="B24" s="444" t="s">
        <v>519</v>
      </c>
      <c r="C24" s="445">
        <v>0</v>
      </c>
      <c r="D24" s="445">
        <v>0</v>
      </c>
      <c r="E24" s="445"/>
      <c r="F24" s="445">
        <v>0</v>
      </c>
      <c r="G24" s="445">
        <v>0</v>
      </c>
      <c r="H24" s="445">
        <v>0</v>
      </c>
      <c r="I24" s="446" t="s">
        <v>418</v>
      </c>
      <c r="J24" s="447" t="s">
        <v>1</v>
      </c>
    </row>
    <row r="25" spans="1:10" ht="14.4" customHeight="1" x14ac:dyDescent="0.3">
      <c r="A25" s="443" t="s">
        <v>425</v>
      </c>
      <c r="B25" s="444" t="s">
        <v>520</v>
      </c>
      <c r="C25" s="445">
        <v>421.97159000000005</v>
      </c>
      <c r="D25" s="445">
        <v>481.46420999999998</v>
      </c>
      <c r="E25" s="445"/>
      <c r="F25" s="445">
        <v>389.67297000000008</v>
      </c>
      <c r="G25" s="445">
        <v>550</v>
      </c>
      <c r="H25" s="445">
        <v>-160.32702999999992</v>
      </c>
      <c r="I25" s="446">
        <v>0.70849630909090922</v>
      </c>
      <c r="J25" s="447" t="s">
        <v>1</v>
      </c>
    </row>
    <row r="26" spans="1:10" ht="14.4" customHeight="1" x14ac:dyDescent="0.3">
      <c r="A26" s="443" t="s">
        <v>425</v>
      </c>
      <c r="B26" s="444" t="s">
        <v>427</v>
      </c>
      <c r="C26" s="445">
        <v>482.52785000000006</v>
      </c>
      <c r="D26" s="445">
        <v>548.62801000000002</v>
      </c>
      <c r="E26" s="445"/>
      <c r="F26" s="445">
        <v>443.04964000000007</v>
      </c>
      <c r="G26" s="445">
        <v>620</v>
      </c>
      <c r="H26" s="445">
        <v>-176.95035999999993</v>
      </c>
      <c r="I26" s="446">
        <v>0.71459619354838722</v>
      </c>
      <c r="J26" s="447" t="s">
        <v>428</v>
      </c>
    </row>
    <row r="27" spans="1:10" ht="14.4" customHeight="1" x14ac:dyDescent="0.3">
      <c r="A27" s="443" t="s">
        <v>418</v>
      </c>
      <c r="B27" s="444" t="s">
        <v>418</v>
      </c>
      <c r="C27" s="445" t="s">
        <v>418</v>
      </c>
      <c r="D27" s="445" t="s">
        <v>418</v>
      </c>
      <c r="E27" s="445"/>
      <c r="F27" s="445" t="s">
        <v>418</v>
      </c>
      <c r="G27" s="445" t="s">
        <v>418</v>
      </c>
      <c r="H27" s="445" t="s">
        <v>418</v>
      </c>
      <c r="I27" s="446" t="s">
        <v>418</v>
      </c>
      <c r="J27" s="447" t="s">
        <v>429</v>
      </c>
    </row>
    <row r="28" spans="1:10" ht="14.4" customHeight="1" x14ac:dyDescent="0.3">
      <c r="A28" s="443" t="s">
        <v>416</v>
      </c>
      <c r="B28" s="444" t="s">
        <v>423</v>
      </c>
      <c r="C28" s="445">
        <v>482.52785000000006</v>
      </c>
      <c r="D28" s="445">
        <v>548.62801000000002</v>
      </c>
      <c r="E28" s="445"/>
      <c r="F28" s="445">
        <v>443.04964000000007</v>
      </c>
      <c r="G28" s="445">
        <v>620</v>
      </c>
      <c r="H28" s="445">
        <v>-176.95035999999993</v>
      </c>
      <c r="I28" s="446">
        <v>0.71459619354838722</v>
      </c>
      <c r="J28" s="447" t="s">
        <v>424</v>
      </c>
    </row>
  </sheetData>
  <mergeCells count="3">
    <mergeCell ref="A1:I1"/>
    <mergeCell ref="F3:I3"/>
    <mergeCell ref="C4:D4"/>
  </mergeCells>
  <conditionalFormatting sqref="F15 F29:F65537">
    <cfRule type="cellIs" dxfId="20" priority="18" stopIfTrue="1" operator="greaterThan">
      <formula>1</formula>
    </cfRule>
  </conditionalFormatting>
  <conditionalFormatting sqref="H5:H14">
    <cfRule type="expression" dxfId="19" priority="14">
      <formula>$H5&gt;0</formula>
    </cfRule>
  </conditionalFormatting>
  <conditionalFormatting sqref="I5:I14">
    <cfRule type="expression" dxfId="18" priority="15">
      <formula>$I5&gt;1</formula>
    </cfRule>
  </conditionalFormatting>
  <conditionalFormatting sqref="B5:B14">
    <cfRule type="expression" dxfId="17" priority="11">
      <formula>OR($J5="NS",$J5="SumaNS",$J5="Účet")</formula>
    </cfRule>
  </conditionalFormatting>
  <conditionalFormatting sqref="F5:I14 B5:D14">
    <cfRule type="expression" dxfId="16" priority="17">
      <formula>AND($J5&lt;&gt;"",$J5&lt;&gt;"mezeraKL")</formula>
    </cfRule>
  </conditionalFormatting>
  <conditionalFormatting sqref="B5:D14 F5:I14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4" priority="13">
      <formula>OR($J5="SumaNS",$J5="NS")</formula>
    </cfRule>
  </conditionalFormatting>
  <conditionalFormatting sqref="A5:A14">
    <cfRule type="expression" dxfId="13" priority="9">
      <formula>AND($J5&lt;&gt;"mezeraKL",$J5&lt;&gt;"")</formula>
    </cfRule>
  </conditionalFormatting>
  <conditionalFormatting sqref="A5:A14">
    <cfRule type="expression" dxfId="12" priority="10">
      <formula>AND($J5&lt;&gt;"",$J5&lt;&gt;"mezeraKL")</formula>
    </cfRule>
  </conditionalFormatting>
  <conditionalFormatting sqref="H16:H28">
    <cfRule type="expression" dxfId="11" priority="6">
      <formula>$H16&gt;0</formula>
    </cfRule>
  </conditionalFormatting>
  <conditionalFormatting sqref="A16:A28">
    <cfRule type="expression" dxfId="10" priority="5">
      <formula>AND($J16&lt;&gt;"mezeraKL",$J16&lt;&gt;"")</formula>
    </cfRule>
  </conditionalFormatting>
  <conditionalFormatting sqref="I16:I28">
    <cfRule type="expression" dxfId="9" priority="7">
      <formula>$I16&gt;1</formula>
    </cfRule>
  </conditionalFormatting>
  <conditionalFormatting sqref="B16:B28">
    <cfRule type="expression" dxfId="8" priority="4">
      <formula>OR($J16="NS",$J16="SumaNS",$J16="Účet")</formula>
    </cfRule>
  </conditionalFormatting>
  <conditionalFormatting sqref="A16:D28 F16:I28">
    <cfRule type="expression" dxfId="7" priority="8">
      <formula>AND($J16&lt;&gt;"",$J16&lt;&gt;"mezeraKL")</formula>
    </cfRule>
  </conditionalFormatting>
  <conditionalFormatting sqref="B16:D28 F16:I28">
    <cfRule type="expression" dxfId="6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28 F16:I28">
    <cfRule type="expression" dxfId="5" priority="2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9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4" hidden="1" customWidth="1" outlineLevel="1"/>
    <col min="2" max="2" width="28.33203125" style="114" hidden="1" customWidth="1" outlineLevel="1"/>
    <col min="3" max="3" width="5.33203125" style="191" bestFit="1" customWidth="1" collapsed="1"/>
    <col min="4" max="4" width="18.77734375" style="195" customWidth="1"/>
    <col min="5" max="5" width="9" style="191" bestFit="1" customWidth="1"/>
    <col min="6" max="6" width="18.77734375" style="195" customWidth="1"/>
    <col min="7" max="7" width="12.44140625" style="191" hidden="1" customWidth="1" outlineLevel="1"/>
    <col min="8" max="8" width="25.77734375" style="191" customWidth="1" collapsed="1"/>
    <col min="9" max="9" width="7.77734375" style="189" customWidth="1"/>
    <col min="10" max="10" width="10" style="189" customWidth="1"/>
    <col min="11" max="11" width="11.109375" style="189" customWidth="1"/>
    <col min="12" max="16384" width="8.88671875" style="114"/>
  </cols>
  <sheetData>
    <row r="1" spans="1:11" ht="18.600000000000001" customHeight="1" thickBot="1" x14ac:dyDescent="0.4">
      <c r="A1" s="341" t="s">
        <v>911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 ht="14.4" customHeight="1" thickBot="1" x14ac:dyDescent="0.35">
      <c r="A2" s="207" t="s">
        <v>242</v>
      </c>
      <c r="B2" s="62"/>
      <c r="C2" s="193"/>
      <c r="D2" s="193"/>
      <c r="E2" s="193"/>
      <c r="F2" s="193"/>
      <c r="G2" s="193"/>
      <c r="H2" s="193"/>
      <c r="I2" s="194"/>
      <c r="J2" s="194"/>
      <c r="K2" s="194"/>
    </row>
    <row r="3" spans="1:11" ht="14.4" customHeight="1" thickBot="1" x14ac:dyDescent="0.35">
      <c r="A3" s="62"/>
      <c r="B3" s="62"/>
      <c r="C3" s="337"/>
      <c r="D3" s="338"/>
      <c r="E3" s="338"/>
      <c r="F3" s="338"/>
      <c r="G3" s="338"/>
      <c r="H3" s="126" t="s">
        <v>107</v>
      </c>
      <c r="I3" s="84">
        <f>IF(J3&lt;&gt;0,K3/J3,0)</f>
        <v>10.300365942680362</v>
      </c>
      <c r="J3" s="84">
        <f>SUBTOTAL(9,J5:J1048576)</f>
        <v>43013</v>
      </c>
      <c r="K3" s="85">
        <f>SUBTOTAL(9,K5:K1048576)</f>
        <v>443049.64029251039</v>
      </c>
    </row>
    <row r="4" spans="1:11" s="190" customFormat="1" ht="14.4" customHeight="1" thickBot="1" x14ac:dyDescent="0.35">
      <c r="A4" s="448" t="s">
        <v>4</v>
      </c>
      <c r="B4" s="449" t="s">
        <v>5</v>
      </c>
      <c r="C4" s="449" t="s">
        <v>0</v>
      </c>
      <c r="D4" s="449" t="s">
        <v>6</v>
      </c>
      <c r="E4" s="449" t="s">
        <v>7</v>
      </c>
      <c r="F4" s="449" t="s">
        <v>1</v>
      </c>
      <c r="G4" s="449" t="s">
        <v>57</v>
      </c>
      <c r="H4" s="451" t="s">
        <v>11</v>
      </c>
      <c r="I4" s="452" t="s">
        <v>121</v>
      </c>
      <c r="J4" s="452" t="s">
        <v>13</v>
      </c>
      <c r="K4" s="453" t="s">
        <v>132</v>
      </c>
    </row>
    <row r="5" spans="1:11" ht="14.4" customHeight="1" x14ac:dyDescent="0.3">
      <c r="A5" s="456" t="s">
        <v>416</v>
      </c>
      <c r="B5" s="457" t="s">
        <v>417</v>
      </c>
      <c r="C5" s="458" t="s">
        <v>425</v>
      </c>
      <c r="D5" s="459" t="s">
        <v>426</v>
      </c>
      <c r="E5" s="458" t="s">
        <v>521</v>
      </c>
      <c r="F5" s="459" t="s">
        <v>522</v>
      </c>
      <c r="G5" s="458" t="s">
        <v>523</v>
      </c>
      <c r="H5" s="458" t="s">
        <v>524</v>
      </c>
      <c r="I5" s="461">
        <v>0.63999998569488525</v>
      </c>
      <c r="J5" s="461">
        <v>1000</v>
      </c>
      <c r="K5" s="462">
        <v>638.25</v>
      </c>
    </row>
    <row r="6" spans="1:11" ht="14.4" customHeight="1" x14ac:dyDescent="0.3">
      <c r="A6" s="463" t="s">
        <v>416</v>
      </c>
      <c r="B6" s="464" t="s">
        <v>417</v>
      </c>
      <c r="C6" s="465" t="s">
        <v>425</v>
      </c>
      <c r="D6" s="466" t="s">
        <v>426</v>
      </c>
      <c r="E6" s="465" t="s">
        <v>521</v>
      </c>
      <c r="F6" s="466" t="s">
        <v>522</v>
      </c>
      <c r="G6" s="465" t="s">
        <v>525</v>
      </c>
      <c r="H6" s="465" t="s">
        <v>526</v>
      </c>
      <c r="I6" s="468">
        <v>0.5899999737739563</v>
      </c>
      <c r="J6" s="468">
        <v>2500</v>
      </c>
      <c r="K6" s="469">
        <v>1475</v>
      </c>
    </row>
    <row r="7" spans="1:11" ht="14.4" customHeight="1" x14ac:dyDescent="0.3">
      <c r="A7" s="463" t="s">
        <v>416</v>
      </c>
      <c r="B7" s="464" t="s">
        <v>417</v>
      </c>
      <c r="C7" s="465" t="s">
        <v>425</v>
      </c>
      <c r="D7" s="466" t="s">
        <v>426</v>
      </c>
      <c r="E7" s="465" t="s">
        <v>521</v>
      </c>
      <c r="F7" s="466" t="s">
        <v>522</v>
      </c>
      <c r="G7" s="465" t="s">
        <v>527</v>
      </c>
      <c r="H7" s="465" t="s">
        <v>528</v>
      </c>
      <c r="I7" s="468">
        <v>3.0199999809265137</v>
      </c>
      <c r="J7" s="468">
        <v>20</v>
      </c>
      <c r="K7" s="469">
        <v>60.400001525878906</v>
      </c>
    </row>
    <row r="8" spans="1:11" ht="14.4" customHeight="1" x14ac:dyDescent="0.3">
      <c r="A8" s="463" t="s">
        <v>416</v>
      </c>
      <c r="B8" s="464" t="s">
        <v>417</v>
      </c>
      <c r="C8" s="465" t="s">
        <v>425</v>
      </c>
      <c r="D8" s="466" t="s">
        <v>426</v>
      </c>
      <c r="E8" s="465" t="s">
        <v>521</v>
      </c>
      <c r="F8" s="466" t="s">
        <v>522</v>
      </c>
      <c r="G8" s="465" t="s">
        <v>529</v>
      </c>
      <c r="H8" s="465" t="s">
        <v>530</v>
      </c>
      <c r="I8" s="468">
        <v>18.399999618530273</v>
      </c>
      <c r="J8" s="468">
        <v>50</v>
      </c>
      <c r="K8" s="469">
        <v>920</v>
      </c>
    </row>
    <row r="9" spans="1:11" ht="14.4" customHeight="1" x14ac:dyDescent="0.3">
      <c r="A9" s="463" t="s">
        <v>416</v>
      </c>
      <c r="B9" s="464" t="s">
        <v>417</v>
      </c>
      <c r="C9" s="465" t="s">
        <v>425</v>
      </c>
      <c r="D9" s="466" t="s">
        <v>426</v>
      </c>
      <c r="E9" s="465" t="s">
        <v>521</v>
      </c>
      <c r="F9" s="466" t="s">
        <v>522</v>
      </c>
      <c r="G9" s="465" t="s">
        <v>531</v>
      </c>
      <c r="H9" s="465" t="s">
        <v>532</v>
      </c>
      <c r="I9" s="468">
        <v>98.400001525878906</v>
      </c>
      <c r="J9" s="468">
        <v>5</v>
      </c>
      <c r="K9" s="469">
        <v>492.01998901367187</v>
      </c>
    </row>
    <row r="10" spans="1:11" ht="14.4" customHeight="1" x14ac:dyDescent="0.3">
      <c r="A10" s="463" t="s">
        <v>416</v>
      </c>
      <c r="B10" s="464" t="s">
        <v>417</v>
      </c>
      <c r="C10" s="465" t="s">
        <v>425</v>
      </c>
      <c r="D10" s="466" t="s">
        <v>426</v>
      </c>
      <c r="E10" s="465" t="s">
        <v>521</v>
      </c>
      <c r="F10" s="466" t="s">
        <v>522</v>
      </c>
      <c r="G10" s="465" t="s">
        <v>533</v>
      </c>
      <c r="H10" s="465" t="s">
        <v>534</v>
      </c>
      <c r="I10" s="468">
        <v>15.020000457763672</v>
      </c>
      <c r="J10" s="468">
        <v>2</v>
      </c>
      <c r="K10" s="469">
        <v>30.040000915527344</v>
      </c>
    </row>
    <row r="11" spans="1:11" ht="14.4" customHeight="1" x14ac:dyDescent="0.3">
      <c r="A11" s="463" t="s">
        <v>416</v>
      </c>
      <c r="B11" s="464" t="s">
        <v>417</v>
      </c>
      <c r="C11" s="465" t="s">
        <v>425</v>
      </c>
      <c r="D11" s="466" t="s">
        <v>426</v>
      </c>
      <c r="E11" s="465" t="s">
        <v>521</v>
      </c>
      <c r="F11" s="466" t="s">
        <v>522</v>
      </c>
      <c r="G11" s="465" t="s">
        <v>535</v>
      </c>
      <c r="H11" s="465" t="s">
        <v>536</v>
      </c>
      <c r="I11" s="468">
        <v>1450</v>
      </c>
      <c r="J11" s="468">
        <v>3</v>
      </c>
      <c r="K11" s="469">
        <v>4350</v>
      </c>
    </row>
    <row r="12" spans="1:11" ht="14.4" customHeight="1" x14ac:dyDescent="0.3">
      <c r="A12" s="463" t="s">
        <v>416</v>
      </c>
      <c r="B12" s="464" t="s">
        <v>417</v>
      </c>
      <c r="C12" s="465" t="s">
        <v>425</v>
      </c>
      <c r="D12" s="466" t="s">
        <v>426</v>
      </c>
      <c r="E12" s="465" t="s">
        <v>521</v>
      </c>
      <c r="F12" s="466" t="s">
        <v>522</v>
      </c>
      <c r="G12" s="465" t="s">
        <v>537</v>
      </c>
      <c r="H12" s="465" t="s">
        <v>538</v>
      </c>
      <c r="I12" s="468">
        <v>27.870000839233398</v>
      </c>
      <c r="J12" s="468">
        <v>12</v>
      </c>
      <c r="K12" s="469">
        <v>334.44000244140625</v>
      </c>
    </row>
    <row r="13" spans="1:11" ht="14.4" customHeight="1" x14ac:dyDescent="0.3">
      <c r="A13" s="463" t="s">
        <v>416</v>
      </c>
      <c r="B13" s="464" t="s">
        <v>417</v>
      </c>
      <c r="C13" s="465" t="s">
        <v>425</v>
      </c>
      <c r="D13" s="466" t="s">
        <v>426</v>
      </c>
      <c r="E13" s="465" t="s">
        <v>539</v>
      </c>
      <c r="F13" s="466" t="s">
        <v>540</v>
      </c>
      <c r="G13" s="465" t="s">
        <v>541</v>
      </c>
      <c r="H13" s="465" t="s">
        <v>542</v>
      </c>
      <c r="I13" s="468">
        <v>2.9100000858306885</v>
      </c>
      <c r="J13" s="468">
        <v>10</v>
      </c>
      <c r="K13" s="469">
        <v>29.100000381469727</v>
      </c>
    </row>
    <row r="14" spans="1:11" ht="14.4" customHeight="1" x14ac:dyDescent="0.3">
      <c r="A14" s="463" t="s">
        <v>416</v>
      </c>
      <c r="B14" s="464" t="s">
        <v>417</v>
      </c>
      <c r="C14" s="465" t="s">
        <v>425</v>
      </c>
      <c r="D14" s="466" t="s">
        <v>426</v>
      </c>
      <c r="E14" s="465" t="s">
        <v>539</v>
      </c>
      <c r="F14" s="466" t="s">
        <v>540</v>
      </c>
      <c r="G14" s="465" t="s">
        <v>543</v>
      </c>
      <c r="H14" s="465" t="s">
        <v>544</v>
      </c>
      <c r="I14" s="468">
        <v>2.9100000858306885</v>
      </c>
      <c r="J14" s="468">
        <v>10</v>
      </c>
      <c r="K14" s="469">
        <v>29.100000381469727</v>
      </c>
    </row>
    <row r="15" spans="1:11" ht="14.4" customHeight="1" x14ac:dyDescent="0.3">
      <c r="A15" s="463" t="s">
        <v>416</v>
      </c>
      <c r="B15" s="464" t="s">
        <v>417</v>
      </c>
      <c r="C15" s="465" t="s">
        <v>425</v>
      </c>
      <c r="D15" s="466" t="s">
        <v>426</v>
      </c>
      <c r="E15" s="465" t="s">
        <v>539</v>
      </c>
      <c r="F15" s="466" t="s">
        <v>540</v>
      </c>
      <c r="G15" s="465" t="s">
        <v>545</v>
      </c>
      <c r="H15" s="465" t="s">
        <v>546</v>
      </c>
      <c r="I15" s="468">
        <v>5553.35986328125</v>
      </c>
      <c r="J15" s="468">
        <v>1</v>
      </c>
      <c r="K15" s="469">
        <v>5553.35986328125</v>
      </c>
    </row>
    <row r="16" spans="1:11" ht="14.4" customHeight="1" x14ac:dyDescent="0.3">
      <c r="A16" s="463" t="s">
        <v>416</v>
      </c>
      <c r="B16" s="464" t="s">
        <v>417</v>
      </c>
      <c r="C16" s="465" t="s">
        <v>425</v>
      </c>
      <c r="D16" s="466" t="s">
        <v>426</v>
      </c>
      <c r="E16" s="465" t="s">
        <v>539</v>
      </c>
      <c r="F16" s="466" t="s">
        <v>540</v>
      </c>
      <c r="G16" s="465" t="s">
        <v>547</v>
      </c>
      <c r="H16" s="465" t="s">
        <v>548</v>
      </c>
      <c r="I16" s="468">
        <v>4.0300002098083496</v>
      </c>
      <c r="J16" s="468">
        <v>10</v>
      </c>
      <c r="K16" s="469">
        <v>40.299999237060547</v>
      </c>
    </row>
    <row r="17" spans="1:11" ht="14.4" customHeight="1" x14ac:dyDescent="0.3">
      <c r="A17" s="463" t="s">
        <v>416</v>
      </c>
      <c r="B17" s="464" t="s">
        <v>417</v>
      </c>
      <c r="C17" s="465" t="s">
        <v>425</v>
      </c>
      <c r="D17" s="466" t="s">
        <v>426</v>
      </c>
      <c r="E17" s="465" t="s">
        <v>539</v>
      </c>
      <c r="F17" s="466" t="s">
        <v>540</v>
      </c>
      <c r="G17" s="465" t="s">
        <v>549</v>
      </c>
      <c r="H17" s="465" t="s">
        <v>550</v>
      </c>
      <c r="I17" s="468">
        <v>11.739999771118164</v>
      </c>
      <c r="J17" s="468">
        <v>20</v>
      </c>
      <c r="K17" s="469">
        <v>234.80000305175781</v>
      </c>
    </row>
    <row r="18" spans="1:11" ht="14.4" customHeight="1" x14ac:dyDescent="0.3">
      <c r="A18" s="463" t="s">
        <v>416</v>
      </c>
      <c r="B18" s="464" t="s">
        <v>417</v>
      </c>
      <c r="C18" s="465" t="s">
        <v>425</v>
      </c>
      <c r="D18" s="466" t="s">
        <v>426</v>
      </c>
      <c r="E18" s="465" t="s">
        <v>539</v>
      </c>
      <c r="F18" s="466" t="s">
        <v>540</v>
      </c>
      <c r="G18" s="465" t="s">
        <v>551</v>
      </c>
      <c r="H18" s="465" t="s">
        <v>552</v>
      </c>
      <c r="I18" s="468">
        <v>13.310000419616699</v>
      </c>
      <c r="J18" s="468">
        <v>12</v>
      </c>
      <c r="K18" s="469">
        <v>159.72000503540039</v>
      </c>
    </row>
    <row r="19" spans="1:11" ht="14.4" customHeight="1" x14ac:dyDescent="0.3">
      <c r="A19" s="463" t="s">
        <v>416</v>
      </c>
      <c r="B19" s="464" t="s">
        <v>417</v>
      </c>
      <c r="C19" s="465" t="s">
        <v>425</v>
      </c>
      <c r="D19" s="466" t="s">
        <v>426</v>
      </c>
      <c r="E19" s="465" t="s">
        <v>539</v>
      </c>
      <c r="F19" s="466" t="s">
        <v>540</v>
      </c>
      <c r="G19" s="465" t="s">
        <v>553</v>
      </c>
      <c r="H19" s="465" t="s">
        <v>554</v>
      </c>
      <c r="I19" s="468">
        <v>66.550003051757812</v>
      </c>
      <c r="J19" s="468">
        <v>75</v>
      </c>
      <c r="K19" s="469">
        <v>4991.25</v>
      </c>
    </row>
    <row r="20" spans="1:11" ht="14.4" customHeight="1" x14ac:dyDescent="0.3">
      <c r="A20" s="463" t="s">
        <v>416</v>
      </c>
      <c r="B20" s="464" t="s">
        <v>417</v>
      </c>
      <c r="C20" s="465" t="s">
        <v>425</v>
      </c>
      <c r="D20" s="466" t="s">
        <v>426</v>
      </c>
      <c r="E20" s="465" t="s">
        <v>539</v>
      </c>
      <c r="F20" s="466" t="s">
        <v>540</v>
      </c>
      <c r="G20" s="465" t="s">
        <v>555</v>
      </c>
      <c r="H20" s="465" t="s">
        <v>556</v>
      </c>
      <c r="I20" s="468">
        <v>0.47999998927116394</v>
      </c>
      <c r="J20" s="468">
        <v>1200</v>
      </c>
      <c r="K20" s="469">
        <v>576</v>
      </c>
    </row>
    <row r="21" spans="1:11" ht="14.4" customHeight="1" x14ac:dyDescent="0.3">
      <c r="A21" s="463" t="s">
        <v>416</v>
      </c>
      <c r="B21" s="464" t="s">
        <v>417</v>
      </c>
      <c r="C21" s="465" t="s">
        <v>425</v>
      </c>
      <c r="D21" s="466" t="s">
        <v>426</v>
      </c>
      <c r="E21" s="465" t="s">
        <v>539</v>
      </c>
      <c r="F21" s="466" t="s">
        <v>540</v>
      </c>
      <c r="G21" s="465" t="s">
        <v>557</v>
      </c>
      <c r="H21" s="465" t="s">
        <v>558</v>
      </c>
      <c r="I21" s="468">
        <v>0.67000001668930054</v>
      </c>
      <c r="J21" s="468">
        <v>2000</v>
      </c>
      <c r="K21" s="469">
        <v>1340</v>
      </c>
    </row>
    <row r="22" spans="1:11" ht="14.4" customHeight="1" x14ac:dyDescent="0.3">
      <c r="A22" s="463" t="s">
        <v>416</v>
      </c>
      <c r="B22" s="464" t="s">
        <v>417</v>
      </c>
      <c r="C22" s="465" t="s">
        <v>425</v>
      </c>
      <c r="D22" s="466" t="s">
        <v>426</v>
      </c>
      <c r="E22" s="465" t="s">
        <v>539</v>
      </c>
      <c r="F22" s="466" t="s">
        <v>540</v>
      </c>
      <c r="G22" s="465" t="s">
        <v>559</v>
      </c>
      <c r="H22" s="465" t="s">
        <v>560</v>
      </c>
      <c r="I22" s="468">
        <v>6.309999942779541</v>
      </c>
      <c r="J22" s="468">
        <v>100</v>
      </c>
      <c r="K22" s="469">
        <v>631.16998291015625</v>
      </c>
    </row>
    <row r="23" spans="1:11" ht="14.4" customHeight="1" x14ac:dyDescent="0.3">
      <c r="A23" s="463" t="s">
        <v>416</v>
      </c>
      <c r="B23" s="464" t="s">
        <v>417</v>
      </c>
      <c r="C23" s="465" t="s">
        <v>425</v>
      </c>
      <c r="D23" s="466" t="s">
        <v>426</v>
      </c>
      <c r="E23" s="465" t="s">
        <v>539</v>
      </c>
      <c r="F23" s="466" t="s">
        <v>540</v>
      </c>
      <c r="G23" s="465" t="s">
        <v>561</v>
      </c>
      <c r="H23" s="465" t="s">
        <v>562</v>
      </c>
      <c r="I23" s="468">
        <v>21.234999656677246</v>
      </c>
      <c r="J23" s="468">
        <v>100</v>
      </c>
      <c r="K23" s="469">
        <v>2123.5</v>
      </c>
    </row>
    <row r="24" spans="1:11" ht="14.4" customHeight="1" x14ac:dyDescent="0.3">
      <c r="A24" s="463" t="s">
        <v>416</v>
      </c>
      <c r="B24" s="464" t="s">
        <v>417</v>
      </c>
      <c r="C24" s="465" t="s">
        <v>425</v>
      </c>
      <c r="D24" s="466" t="s">
        <v>426</v>
      </c>
      <c r="E24" s="465" t="s">
        <v>563</v>
      </c>
      <c r="F24" s="466" t="s">
        <v>564</v>
      </c>
      <c r="G24" s="465" t="s">
        <v>565</v>
      </c>
      <c r="H24" s="465" t="s">
        <v>566</v>
      </c>
      <c r="I24" s="468">
        <v>39.680000305175781</v>
      </c>
      <c r="J24" s="468">
        <v>36</v>
      </c>
      <c r="K24" s="469">
        <v>1428.300048828125</v>
      </c>
    </row>
    <row r="25" spans="1:11" ht="14.4" customHeight="1" x14ac:dyDescent="0.3">
      <c r="A25" s="463" t="s">
        <v>416</v>
      </c>
      <c r="B25" s="464" t="s">
        <v>417</v>
      </c>
      <c r="C25" s="465" t="s">
        <v>425</v>
      </c>
      <c r="D25" s="466" t="s">
        <v>426</v>
      </c>
      <c r="E25" s="465" t="s">
        <v>563</v>
      </c>
      <c r="F25" s="466" t="s">
        <v>564</v>
      </c>
      <c r="G25" s="465" t="s">
        <v>567</v>
      </c>
      <c r="H25" s="465" t="s">
        <v>568</v>
      </c>
      <c r="I25" s="468">
        <v>44.439998626708984</v>
      </c>
      <c r="J25" s="468">
        <v>36</v>
      </c>
      <c r="K25" s="469">
        <v>1600</v>
      </c>
    </row>
    <row r="26" spans="1:11" ht="14.4" customHeight="1" x14ac:dyDescent="0.3">
      <c r="A26" s="463" t="s">
        <v>416</v>
      </c>
      <c r="B26" s="464" t="s">
        <v>417</v>
      </c>
      <c r="C26" s="465" t="s">
        <v>425</v>
      </c>
      <c r="D26" s="466" t="s">
        <v>426</v>
      </c>
      <c r="E26" s="465" t="s">
        <v>563</v>
      </c>
      <c r="F26" s="466" t="s">
        <v>564</v>
      </c>
      <c r="G26" s="465" t="s">
        <v>569</v>
      </c>
      <c r="H26" s="465" t="s">
        <v>570</v>
      </c>
      <c r="I26" s="468">
        <v>42.099998474121094</v>
      </c>
      <c r="J26" s="468">
        <v>36</v>
      </c>
      <c r="K26" s="469">
        <v>1515.699951171875</v>
      </c>
    </row>
    <row r="27" spans="1:11" ht="14.4" customHeight="1" x14ac:dyDescent="0.3">
      <c r="A27" s="463" t="s">
        <v>416</v>
      </c>
      <c r="B27" s="464" t="s">
        <v>417</v>
      </c>
      <c r="C27" s="465" t="s">
        <v>425</v>
      </c>
      <c r="D27" s="466" t="s">
        <v>426</v>
      </c>
      <c r="E27" s="465" t="s">
        <v>563</v>
      </c>
      <c r="F27" s="466" t="s">
        <v>564</v>
      </c>
      <c r="G27" s="465" t="s">
        <v>571</v>
      </c>
      <c r="H27" s="465" t="s">
        <v>572</v>
      </c>
      <c r="I27" s="468">
        <v>40.200000762939453</v>
      </c>
      <c r="J27" s="468">
        <v>36</v>
      </c>
      <c r="K27" s="469">
        <v>1447.1600341796875</v>
      </c>
    </row>
    <row r="28" spans="1:11" ht="14.4" customHeight="1" x14ac:dyDescent="0.3">
      <c r="A28" s="463" t="s">
        <v>416</v>
      </c>
      <c r="B28" s="464" t="s">
        <v>417</v>
      </c>
      <c r="C28" s="465" t="s">
        <v>425</v>
      </c>
      <c r="D28" s="466" t="s">
        <v>426</v>
      </c>
      <c r="E28" s="465" t="s">
        <v>573</v>
      </c>
      <c r="F28" s="466" t="s">
        <v>574</v>
      </c>
      <c r="G28" s="465" t="s">
        <v>575</v>
      </c>
      <c r="H28" s="465" t="s">
        <v>576</v>
      </c>
      <c r="I28" s="468">
        <v>0.30000001192092896</v>
      </c>
      <c r="J28" s="468">
        <v>600</v>
      </c>
      <c r="K28" s="469">
        <v>180</v>
      </c>
    </row>
    <row r="29" spans="1:11" ht="14.4" customHeight="1" x14ac:dyDescent="0.3">
      <c r="A29" s="463" t="s">
        <v>416</v>
      </c>
      <c r="B29" s="464" t="s">
        <v>417</v>
      </c>
      <c r="C29" s="465" t="s">
        <v>425</v>
      </c>
      <c r="D29" s="466" t="s">
        <v>426</v>
      </c>
      <c r="E29" s="465" t="s">
        <v>573</v>
      </c>
      <c r="F29" s="466" t="s">
        <v>574</v>
      </c>
      <c r="G29" s="465" t="s">
        <v>577</v>
      </c>
      <c r="H29" s="465" t="s">
        <v>578</v>
      </c>
      <c r="I29" s="468">
        <v>0.28999999165534973</v>
      </c>
      <c r="J29" s="468">
        <v>1000</v>
      </c>
      <c r="K29" s="469">
        <v>290</v>
      </c>
    </row>
    <row r="30" spans="1:11" ht="14.4" customHeight="1" x14ac:dyDescent="0.3">
      <c r="A30" s="463" t="s">
        <v>416</v>
      </c>
      <c r="B30" s="464" t="s">
        <v>417</v>
      </c>
      <c r="C30" s="465" t="s">
        <v>425</v>
      </c>
      <c r="D30" s="466" t="s">
        <v>426</v>
      </c>
      <c r="E30" s="465" t="s">
        <v>573</v>
      </c>
      <c r="F30" s="466" t="s">
        <v>574</v>
      </c>
      <c r="G30" s="465" t="s">
        <v>579</v>
      </c>
      <c r="H30" s="465" t="s">
        <v>580</v>
      </c>
      <c r="I30" s="468">
        <v>0.95999997854232788</v>
      </c>
      <c r="J30" s="468">
        <v>1200</v>
      </c>
      <c r="K30" s="469">
        <v>1152</v>
      </c>
    </row>
    <row r="31" spans="1:11" ht="14.4" customHeight="1" x14ac:dyDescent="0.3">
      <c r="A31" s="463" t="s">
        <v>416</v>
      </c>
      <c r="B31" s="464" t="s">
        <v>417</v>
      </c>
      <c r="C31" s="465" t="s">
        <v>425</v>
      </c>
      <c r="D31" s="466" t="s">
        <v>426</v>
      </c>
      <c r="E31" s="465" t="s">
        <v>581</v>
      </c>
      <c r="F31" s="466" t="s">
        <v>582</v>
      </c>
      <c r="G31" s="465" t="s">
        <v>583</v>
      </c>
      <c r="H31" s="465" t="s">
        <v>584</v>
      </c>
      <c r="I31" s="468">
        <v>1.2200000286102295</v>
      </c>
      <c r="J31" s="468">
        <v>2000</v>
      </c>
      <c r="K31" s="469">
        <v>2438.219970703125</v>
      </c>
    </row>
    <row r="32" spans="1:11" ht="14.4" customHeight="1" x14ac:dyDescent="0.3">
      <c r="A32" s="463" t="s">
        <v>416</v>
      </c>
      <c r="B32" s="464" t="s">
        <v>417</v>
      </c>
      <c r="C32" s="465" t="s">
        <v>425</v>
      </c>
      <c r="D32" s="466" t="s">
        <v>426</v>
      </c>
      <c r="E32" s="465" t="s">
        <v>581</v>
      </c>
      <c r="F32" s="466" t="s">
        <v>582</v>
      </c>
      <c r="G32" s="465" t="s">
        <v>585</v>
      </c>
      <c r="H32" s="465" t="s">
        <v>586</v>
      </c>
      <c r="I32" s="468">
        <v>0.81999999284744263</v>
      </c>
      <c r="J32" s="468">
        <v>2000</v>
      </c>
      <c r="K32" s="469">
        <v>1645.6400146484375</v>
      </c>
    </row>
    <row r="33" spans="1:11" ht="14.4" customHeight="1" x14ac:dyDescent="0.3">
      <c r="A33" s="463" t="s">
        <v>416</v>
      </c>
      <c r="B33" s="464" t="s">
        <v>417</v>
      </c>
      <c r="C33" s="465" t="s">
        <v>425</v>
      </c>
      <c r="D33" s="466" t="s">
        <v>426</v>
      </c>
      <c r="E33" s="465" t="s">
        <v>581</v>
      </c>
      <c r="F33" s="466" t="s">
        <v>582</v>
      </c>
      <c r="G33" s="465" t="s">
        <v>587</v>
      </c>
      <c r="H33" s="465" t="s">
        <v>588</v>
      </c>
      <c r="I33" s="468">
        <v>1.3300000429153442</v>
      </c>
      <c r="J33" s="468">
        <v>2000</v>
      </c>
      <c r="K33" s="469">
        <v>2662</v>
      </c>
    </row>
    <row r="34" spans="1:11" ht="14.4" customHeight="1" x14ac:dyDescent="0.3">
      <c r="A34" s="463" t="s">
        <v>416</v>
      </c>
      <c r="B34" s="464" t="s">
        <v>417</v>
      </c>
      <c r="C34" s="465" t="s">
        <v>425</v>
      </c>
      <c r="D34" s="466" t="s">
        <v>426</v>
      </c>
      <c r="E34" s="465" t="s">
        <v>581</v>
      </c>
      <c r="F34" s="466" t="s">
        <v>582</v>
      </c>
      <c r="G34" s="465" t="s">
        <v>589</v>
      </c>
      <c r="H34" s="465" t="s">
        <v>590</v>
      </c>
      <c r="I34" s="468">
        <v>0.62999999523162842</v>
      </c>
      <c r="J34" s="468">
        <v>10000</v>
      </c>
      <c r="K34" s="469">
        <v>6300</v>
      </c>
    </row>
    <row r="35" spans="1:11" ht="14.4" customHeight="1" x14ac:dyDescent="0.3">
      <c r="A35" s="463" t="s">
        <v>416</v>
      </c>
      <c r="B35" s="464" t="s">
        <v>417</v>
      </c>
      <c r="C35" s="465" t="s">
        <v>425</v>
      </c>
      <c r="D35" s="466" t="s">
        <v>426</v>
      </c>
      <c r="E35" s="465" t="s">
        <v>581</v>
      </c>
      <c r="F35" s="466" t="s">
        <v>582</v>
      </c>
      <c r="G35" s="465" t="s">
        <v>591</v>
      </c>
      <c r="H35" s="465" t="s">
        <v>592</v>
      </c>
      <c r="I35" s="468">
        <v>0.62999999523162842</v>
      </c>
      <c r="J35" s="468">
        <v>5000</v>
      </c>
      <c r="K35" s="469">
        <v>3150</v>
      </c>
    </row>
    <row r="36" spans="1:11" ht="14.4" customHeight="1" x14ac:dyDescent="0.3">
      <c r="A36" s="463" t="s">
        <v>416</v>
      </c>
      <c r="B36" s="464" t="s">
        <v>417</v>
      </c>
      <c r="C36" s="465" t="s">
        <v>425</v>
      </c>
      <c r="D36" s="466" t="s">
        <v>426</v>
      </c>
      <c r="E36" s="465" t="s">
        <v>581</v>
      </c>
      <c r="F36" s="466" t="s">
        <v>582</v>
      </c>
      <c r="G36" s="465" t="s">
        <v>593</v>
      </c>
      <c r="H36" s="465" t="s">
        <v>594</v>
      </c>
      <c r="I36" s="468">
        <v>0.62000000476837158</v>
      </c>
      <c r="J36" s="468">
        <v>680</v>
      </c>
      <c r="K36" s="469">
        <v>421.60000610351562</v>
      </c>
    </row>
    <row r="37" spans="1:11" ht="14.4" customHeight="1" x14ac:dyDescent="0.3">
      <c r="A37" s="463" t="s">
        <v>416</v>
      </c>
      <c r="B37" s="464" t="s">
        <v>417</v>
      </c>
      <c r="C37" s="465" t="s">
        <v>425</v>
      </c>
      <c r="D37" s="466" t="s">
        <v>426</v>
      </c>
      <c r="E37" s="465" t="s">
        <v>581</v>
      </c>
      <c r="F37" s="466" t="s">
        <v>582</v>
      </c>
      <c r="G37" s="465" t="s">
        <v>595</v>
      </c>
      <c r="H37" s="465" t="s">
        <v>596</v>
      </c>
      <c r="I37" s="468">
        <v>0.68999999761581421</v>
      </c>
      <c r="J37" s="468">
        <v>2000</v>
      </c>
      <c r="K37" s="469">
        <v>1380</v>
      </c>
    </row>
    <row r="38" spans="1:11" ht="14.4" customHeight="1" x14ac:dyDescent="0.3">
      <c r="A38" s="463" t="s">
        <v>416</v>
      </c>
      <c r="B38" s="464" t="s">
        <v>417</v>
      </c>
      <c r="C38" s="465" t="s">
        <v>425</v>
      </c>
      <c r="D38" s="466" t="s">
        <v>426</v>
      </c>
      <c r="E38" s="465" t="s">
        <v>581</v>
      </c>
      <c r="F38" s="466" t="s">
        <v>582</v>
      </c>
      <c r="G38" s="465" t="s">
        <v>597</v>
      </c>
      <c r="H38" s="465" t="s">
        <v>598</v>
      </c>
      <c r="I38" s="468">
        <v>0.68999999761581421</v>
      </c>
      <c r="J38" s="468">
        <v>1000</v>
      </c>
      <c r="K38" s="469">
        <v>687.5999755859375</v>
      </c>
    </row>
    <row r="39" spans="1:11" ht="14.4" customHeight="1" x14ac:dyDescent="0.3">
      <c r="A39" s="463" t="s">
        <v>416</v>
      </c>
      <c r="B39" s="464" t="s">
        <v>417</v>
      </c>
      <c r="C39" s="465" t="s">
        <v>425</v>
      </c>
      <c r="D39" s="466" t="s">
        <v>426</v>
      </c>
      <c r="E39" s="465" t="s">
        <v>581</v>
      </c>
      <c r="F39" s="466" t="s">
        <v>582</v>
      </c>
      <c r="G39" s="465" t="s">
        <v>599</v>
      </c>
      <c r="H39" s="465" t="s">
        <v>600</v>
      </c>
      <c r="I39" s="468">
        <v>7.5</v>
      </c>
      <c r="J39" s="468">
        <v>150</v>
      </c>
      <c r="K39" s="469">
        <v>1125</v>
      </c>
    </row>
    <row r="40" spans="1:11" ht="14.4" customHeight="1" x14ac:dyDescent="0.3">
      <c r="A40" s="463" t="s">
        <v>416</v>
      </c>
      <c r="B40" s="464" t="s">
        <v>417</v>
      </c>
      <c r="C40" s="465" t="s">
        <v>425</v>
      </c>
      <c r="D40" s="466" t="s">
        <v>426</v>
      </c>
      <c r="E40" s="465" t="s">
        <v>581</v>
      </c>
      <c r="F40" s="466" t="s">
        <v>582</v>
      </c>
      <c r="G40" s="465" t="s">
        <v>601</v>
      </c>
      <c r="H40" s="465" t="s">
        <v>602</v>
      </c>
      <c r="I40" s="468">
        <v>7.5</v>
      </c>
      <c r="J40" s="468">
        <v>100</v>
      </c>
      <c r="K40" s="469">
        <v>750</v>
      </c>
    </row>
    <row r="41" spans="1:11" ht="14.4" customHeight="1" x14ac:dyDescent="0.3">
      <c r="A41" s="463" t="s">
        <v>416</v>
      </c>
      <c r="B41" s="464" t="s">
        <v>417</v>
      </c>
      <c r="C41" s="465" t="s">
        <v>425</v>
      </c>
      <c r="D41" s="466" t="s">
        <v>426</v>
      </c>
      <c r="E41" s="465" t="s">
        <v>581</v>
      </c>
      <c r="F41" s="466" t="s">
        <v>582</v>
      </c>
      <c r="G41" s="465" t="s">
        <v>603</v>
      </c>
      <c r="H41" s="465" t="s">
        <v>604</v>
      </c>
      <c r="I41" s="468">
        <v>7.5100002288818359</v>
      </c>
      <c r="J41" s="468">
        <v>100</v>
      </c>
      <c r="K41" s="469">
        <v>751</v>
      </c>
    </row>
    <row r="42" spans="1:11" ht="14.4" customHeight="1" x14ac:dyDescent="0.3">
      <c r="A42" s="463" t="s">
        <v>416</v>
      </c>
      <c r="B42" s="464" t="s">
        <v>417</v>
      </c>
      <c r="C42" s="465" t="s">
        <v>425</v>
      </c>
      <c r="D42" s="466" t="s">
        <v>426</v>
      </c>
      <c r="E42" s="465" t="s">
        <v>581</v>
      </c>
      <c r="F42" s="466" t="s">
        <v>582</v>
      </c>
      <c r="G42" s="465" t="s">
        <v>605</v>
      </c>
      <c r="H42" s="465" t="s">
        <v>606</v>
      </c>
      <c r="I42" s="468">
        <v>0.74000000953674316</v>
      </c>
      <c r="J42" s="468">
        <v>600</v>
      </c>
      <c r="K42" s="469">
        <v>444</v>
      </c>
    </row>
    <row r="43" spans="1:11" ht="14.4" customHeight="1" x14ac:dyDescent="0.3">
      <c r="A43" s="463" t="s">
        <v>416</v>
      </c>
      <c r="B43" s="464" t="s">
        <v>417</v>
      </c>
      <c r="C43" s="465" t="s">
        <v>425</v>
      </c>
      <c r="D43" s="466" t="s">
        <v>426</v>
      </c>
      <c r="E43" s="465" t="s">
        <v>607</v>
      </c>
      <c r="F43" s="466" t="s">
        <v>608</v>
      </c>
      <c r="G43" s="465" t="s">
        <v>609</v>
      </c>
      <c r="H43" s="465" t="s">
        <v>610</v>
      </c>
      <c r="I43" s="468">
        <v>278.58999633789062</v>
      </c>
      <c r="J43" s="468">
        <v>3</v>
      </c>
      <c r="K43" s="469">
        <v>835.77001953125</v>
      </c>
    </row>
    <row r="44" spans="1:11" ht="14.4" customHeight="1" x14ac:dyDescent="0.3">
      <c r="A44" s="463" t="s">
        <v>416</v>
      </c>
      <c r="B44" s="464" t="s">
        <v>417</v>
      </c>
      <c r="C44" s="465" t="s">
        <v>425</v>
      </c>
      <c r="D44" s="466" t="s">
        <v>426</v>
      </c>
      <c r="E44" s="465" t="s">
        <v>607</v>
      </c>
      <c r="F44" s="466" t="s">
        <v>608</v>
      </c>
      <c r="G44" s="465" t="s">
        <v>611</v>
      </c>
      <c r="H44" s="465" t="s">
        <v>612</v>
      </c>
      <c r="I44" s="468">
        <v>278.58999633789062</v>
      </c>
      <c r="J44" s="468">
        <v>1</v>
      </c>
      <c r="K44" s="469">
        <v>278.58999633789062</v>
      </c>
    </row>
    <row r="45" spans="1:11" ht="14.4" customHeight="1" x14ac:dyDescent="0.3">
      <c r="A45" s="463" t="s">
        <v>416</v>
      </c>
      <c r="B45" s="464" t="s">
        <v>417</v>
      </c>
      <c r="C45" s="465" t="s">
        <v>425</v>
      </c>
      <c r="D45" s="466" t="s">
        <v>426</v>
      </c>
      <c r="E45" s="465" t="s">
        <v>607</v>
      </c>
      <c r="F45" s="466" t="s">
        <v>608</v>
      </c>
      <c r="G45" s="465" t="s">
        <v>613</v>
      </c>
      <c r="H45" s="465" t="s">
        <v>614</v>
      </c>
      <c r="I45" s="468">
        <v>2643.800048828125</v>
      </c>
      <c r="J45" s="468">
        <v>1</v>
      </c>
      <c r="K45" s="469">
        <v>2643.800048828125</v>
      </c>
    </row>
    <row r="46" spans="1:11" ht="14.4" customHeight="1" x14ac:dyDescent="0.3">
      <c r="A46" s="463" t="s">
        <v>416</v>
      </c>
      <c r="B46" s="464" t="s">
        <v>417</v>
      </c>
      <c r="C46" s="465" t="s">
        <v>425</v>
      </c>
      <c r="D46" s="466" t="s">
        <v>426</v>
      </c>
      <c r="E46" s="465" t="s">
        <v>607</v>
      </c>
      <c r="F46" s="466" t="s">
        <v>608</v>
      </c>
      <c r="G46" s="465" t="s">
        <v>615</v>
      </c>
      <c r="H46" s="465" t="s">
        <v>616</v>
      </c>
      <c r="I46" s="468">
        <v>590.47998046875</v>
      </c>
      <c r="J46" s="468">
        <v>3</v>
      </c>
      <c r="K46" s="469">
        <v>1771.43994140625</v>
      </c>
    </row>
    <row r="47" spans="1:11" ht="14.4" customHeight="1" x14ac:dyDescent="0.3">
      <c r="A47" s="463" t="s">
        <v>416</v>
      </c>
      <c r="B47" s="464" t="s">
        <v>417</v>
      </c>
      <c r="C47" s="465" t="s">
        <v>425</v>
      </c>
      <c r="D47" s="466" t="s">
        <v>426</v>
      </c>
      <c r="E47" s="465" t="s">
        <v>607</v>
      </c>
      <c r="F47" s="466" t="s">
        <v>608</v>
      </c>
      <c r="G47" s="465" t="s">
        <v>617</v>
      </c>
      <c r="H47" s="465" t="s">
        <v>618</v>
      </c>
      <c r="I47" s="468">
        <v>264.98500061035156</v>
      </c>
      <c r="J47" s="468">
        <v>8</v>
      </c>
      <c r="K47" s="469">
        <v>2119.9000244140625</v>
      </c>
    </row>
    <row r="48" spans="1:11" ht="14.4" customHeight="1" x14ac:dyDescent="0.3">
      <c r="A48" s="463" t="s">
        <v>416</v>
      </c>
      <c r="B48" s="464" t="s">
        <v>417</v>
      </c>
      <c r="C48" s="465" t="s">
        <v>425</v>
      </c>
      <c r="D48" s="466" t="s">
        <v>426</v>
      </c>
      <c r="E48" s="465" t="s">
        <v>607</v>
      </c>
      <c r="F48" s="466" t="s">
        <v>608</v>
      </c>
      <c r="G48" s="465" t="s">
        <v>619</v>
      </c>
      <c r="H48" s="465" t="s">
        <v>620</v>
      </c>
      <c r="I48" s="468">
        <v>265</v>
      </c>
      <c r="J48" s="468">
        <v>3</v>
      </c>
      <c r="K48" s="469">
        <v>795</v>
      </c>
    </row>
    <row r="49" spans="1:11" ht="14.4" customHeight="1" x14ac:dyDescent="0.3">
      <c r="A49" s="463" t="s">
        <v>416</v>
      </c>
      <c r="B49" s="464" t="s">
        <v>417</v>
      </c>
      <c r="C49" s="465" t="s">
        <v>425</v>
      </c>
      <c r="D49" s="466" t="s">
        <v>426</v>
      </c>
      <c r="E49" s="465" t="s">
        <v>607</v>
      </c>
      <c r="F49" s="466" t="s">
        <v>608</v>
      </c>
      <c r="G49" s="465" t="s">
        <v>621</v>
      </c>
      <c r="H49" s="465" t="s">
        <v>622</v>
      </c>
      <c r="I49" s="468">
        <v>2288.5</v>
      </c>
      <c r="J49" s="468">
        <v>3</v>
      </c>
      <c r="K49" s="469">
        <v>6865.5</v>
      </c>
    </row>
    <row r="50" spans="1:11" ht="14.4" customHeight="1" x14ac:dyDescent="0.3">
      <c r="A50" s="463" t="s">
        <v>416</v>
      </c>
      <c r="B50" s="464" t="s">
        <v>417</v>
      </c>
      <c r="C50" s="465" t="s">
        <v>425</v>
      </c>
      <c r="D50" s="466" t="s">
        <v>426</v>
      </c>
      <c r="E50" s="465" t="s">
        <v>607</v>
      </c>
      <c r="F50" s="466" t="s">
        <v>608</v>
      </c>
      <c r="G50" s="465" t="s">
        <v>623</v>
      </c>
      <c r="H50" s="465" t="s">
        <v>624</v>
      </c>
      <c r="I50" s="468">
        <v>1346.8800048828125</v>
      </c>
      <c r="J50" s="468">
        <v>1</v>
      </c>
      <c r="K50" s="469">
        <v>1346.8800048828125</v>
      </c>
    </row>
    <row r="51" spans="1:11" ht="14.4" customHeight="1" x14ac:dyDescent="0.3">
      <c r="A51" s="463" t="s">
        <v>416</v>
      </c>
      <c r="B51" s="464" t="s">
        <v>417</v>
      </c>
      <c r="C51" s="465" t="s">
        <v>425</v>
      </c>
      <c r="D51" s="466" t="s">
        <v>426</v>
      </c>
      <c r="E51" s="465" t="s">
        <v>607</v>
      </c>
      <c r="F51" s="466" t="s">
        <v>608</v>
      </c>
      <c r="G51" s="465" t="s">
        <v>625</v>
      </c>
      <c r="H51" s="465" t="s">
        <v>626</v>
      </c>
      <c r="I51" s="468">
        <v>1280.6400146484375</v>
      </c>
      <c r="J51" s="468">
        <v>2</v>
      </c>
      <c r="K51" s="469">
        <v>2561.280029296875</v>
      </c>
    </row>
    <row r="52" spans="1:11" ht="14.4" customHeight="1" x14ac:dyDescent="0.3">
      <c r="A52" s="463" t="s">
        <v>416</v>
      </c>
      <c r="B52" s="464" t="s">
        <v>417</v>
      </c>
      <c r="C52" s="465" t="s">
        <v>425</v>
      </c>
      <c r="D52" s="466" t="s">
        <v>426</v>
      </c>
      <c r="E52" s="465" t="s">
        <v>607</v>
      </c>
      <c r="F52" s="466" t="s">
        <v>608</v>
      </c>
      <c r="G52" s="465" t="s">
        <v>627</v>
      </c>
      <c r="H52" s="465" t="s">
        <v>628</v>
      </c>
      <c r="I52" s="468">
        <v>3984</v>
      </c>
      <c r="J52" s="468">
        <v>1</v>
      </c>
      <c r="K52" s="469">
        <v>3984</v>
      </c>
    </row>
    <row r="53" spans="1:11" ht="14.4" customHeight="1" x14ac:dyDescent="0.3">
      <c r="A53" s="463" t="s">
        <v>416</v>
      </c>
      <c r="B53" s="464" t="s">
        <v>417</v>
      </c>
      <c r="C53" s="465" t="s">
        <v>425</v>
      </c>
      <c r="D53" s="466" t="s">
        <v>426</v>
      </c>
      <c r="E53" s="465" t="s">
        <v>607</v>
      </c>
      <c r="F53" s="466" t="s">
        <v>608</v>
      </c>
      <c r="G53" s="465" t="s">
        <v>629</v>
      </c>
      <c r="H53" s="465" t="s">
        <v>630</v>
      </c>
      <c r="I53" s="468">
        <v>1336.5</v>
      </c>
      <c r="J53" s="468">
        <v>2</v>
      </c>
      <c r="K53" s="469">
        <v>2673</v>
      </c>
    </row>
    <row r="54" spans="1:11" ht="14.4" customHeight="1" x14ac:dyDescent="0.3">
      <c r="A54" s="463" t="s">
        <v>416</v>
      </c>
      <c r="B54" s="464" t="s">
        <v>417</v>
      </c>
      <c r="C54" s="465" t="s">
        <v>425</v>
      </c>
      <c r="D54" s="466" t="s">
        <v>426</v>
      </c>
      <c r="E54" s="465" t="s">
        <v>607</v>
      </c>
      <c r="F54" s="466" t="s">
        <v>608</v>
      </c>
      <c r="G54" s="465" t="s">
        <v>631</v>
      </c>
      <c r="H54" s="465" t="s">
        <v>632</v>
      </c>
      <c r="I54" s="468">
        <v>1.440000057220459</v>
      </c>
      <c r="J54" s="468">
        <v>400</v>
      </c>
      <c r="K54" s="469">
        <v>576</v>
      </c>
    </row>
    <row r="55" spans="1:11" ht="14.4" customHeight="1" x14ac:dyDescent="0.3">
      <c r="A55" s="463" t="s">
        <v>416</v>
      </c>
      <c r="B55" s="464" t="s">
        <v>417</v>
      </c>
      <c r="C55" s="465" t="s">
        <v>425</v>
      </c>
      <c r="D55" s="466" t="s">
        <v>426</v>
      </c>
      <c r="E55" s="465" t="s">
        <v>607</v>
      </c>
      <c r="F55" s="466" t="s">
        <v>608</v>
      </c>
      <c r="G55" s="465" t="s">
        <v>633</v>
      </c>
      <c r="H55" s="465" t="s">
        <v>634</v>
      </c>
      <c r="I55" s="468">
        <v>1.440000057220459</v>
      </c>
      <c r="J55" s="468">
        <v>200</v>
      </c>
      <c r="K55" s="469">
        <v>288</v>
      </c>
    </row>
    <row r="56" spans="1:11" ht="14.4" customHeight="1" x14ac:dyDescent="0.3">
      <c r="A56" s="463" t="s">
        <v>416</v>
      </c>
      <c r="B56" s="464" t="s">
        <v>417</v>
      </c>
      <c r="C56" s="465" t="s">
        <v>425</v>
      </c>
      <c r="D56" s="466" t="s">
        <v>426</v>
      </c>
      <c r="E56" s="465" t="s">
        <v>607</v>
      </c>
      <c r="F56" s="466" t="s">
        <v>608</v>
      </c>
      <c r="G56" s="465" t="s">
        <v>635</v>
      </c>
      <c r="H56" s="465" t="s">
        <v>636</v>
      </c>
      <c r="I56" s="468">
        <v>1.440000057220459</v>
      </c>
      <c r="J56" s="468">
        <v>200</v>
      </c>
      <c r="K56" s="469">
        <v>288</v>
      </c>
    </row>
    <row r="57" spans="1:11" ht="14.4" customHeight="1" x14ac:dyDescent="0.3">
      <c r="A57" s="463" t="s">
        <v>416</v>
      </c>
      <c r="B57" s="464" t="s">
        <v>417</v>
      </c>
      <c r="C57" s="465" t="s">
        <v>425</v>
      </c>
      <c r="D57" s="466" t="s">
        <v>426</v>
      </c>
      <c r="E57" s="465" t="s">
        <v>607</v>
      </c>
      <c r="F57" s="466" t="s">
        <v>608</v>
      </c>
      <c r="G57" s="465" t="s">
        <v>637</v>
      </c>
      <c r="H57" s="465" t="s">
        <v>638</v>
      </c>
      <c r="I57" s="468">
        <v>1.440000057220459</v>
      </c>
      <c r="J57" s="468">
        <v>400</v>
      </c>
      <c r="K57" s="469">
        <v>576</v>
      </c>
    </row>
    <row r="58" spans="1:11" ht="14.4" customHeight="1" x14ac:dyDescent="0.3">
      <c r="A58" s="463" t="s">
        <v>416</v>
      </c>
      <c r="B58" s="464" t="s">
        <v>417</v>
      </c>
      <c r="C58" s="465" t="s">
        <v>425</v>
      </c>
      <c r="D58" s="466" t="s">
        <v>426</v>
      </c>
      <c r="E58" s="465" t="s">
        <v>607</v>
      </c>
      <c r="F58" s="466" t="s">
        <v>608</v>
      </c>
      <c r="G58" s="465" t="s">
        <v>639</v>
      </c>
      <c r="H58" s="465" t="s">
        <v>640</v>
      </c>
      <c r="I58" s="468">
        <v>1.440000057220459</v>
      </c>
      <c r="J58" s="468">
        <v>400</v>
      </c>
      <c r="K58" s="469">
        <v>576</v>
      </c>
    </row>
    <row r="59" spans="1:11" ht="14.4" customHeight="1" x14ac:dyDescent="0.3">
      <c r="A59" s="463" t="s">
        <v>416</v>
      </c>
      <c r="B59" s="464" t="s">
        <v>417</v>
      </c>
      <c r="C59" s="465" t="s">
        <v>425</v>
      </c>
      <c r="D59" s="466" t="s">
        <v>426</v>
      </c>
      <c r="E59" s="465" t="s">
        <v>607</v>
      </c>
      <c r="F59" s="466" t="s">
        <v>608</v>
      </c>
      <c r="G59" s="465" t="s">
        <v>641</v>
      </c>
      <c r="H59" s="465" t="s">
        <v>642</v>
      </c>
      <c r="I59" s="468">
        <v>1.440000057220459</v>
      </c>
      <c r="J59" s="468">
        <v>400</v>
      </c>
      <c r="K59" s="469">
        <v>576</v>
      </c>
    </row>
    <row r="60" spans="1:11" ht="14.4" customHeight="1" x14ac:dyDescent="0.3">
      <c r="A60" s="463" t="s">
        <v>416</v>
      </c>
      <c r="B60" s="464" t="s">
        <v>417</v>
      </c>
      <c r="C60" s="465" t="s">
        <v>425</v>
      </c>
      <c r="D60" s="466" t="s">
        <v>426</v>
      </c>
      <c r="E60" s="465" t="s">
        <v>607</v>
      </c>
      <c r="F60" s="466" t="s">
        <v>608</v>
      </c>
      <c r="G60" s="465" t="s">
        <v>643</v>
      </c>
      <c r="H60" s="465" t="s">
        <v>644</v>
      </c>
      <c r="I60" s="468">
        <v>1.440000057220459</v>
      </c>
      <c r="J60" s="468">
        <v>400</v>
      </c>
      <c r="K60" s="469">
        <v>576</v>
      </c>
    </row>
    <row r="61" spans="1:11" ht="14.4" customHeight="1" x14ac:dyDescent="0.3">
      <c r="A61" s="463" t="s">
        <v>416</v>
      </c>
      <c r="B61" s="464" t="s">
        <v>417</v>
      </c>
      <c r="C61" s="465" t="s">
        <v>425</v>
      </c>
      <c r="D61" s="466" t="s">
        <v>426</v>
      </c>
      <c r="E61" s="465" t="s">
        <v>607</v>
      </c>
      <c r="F61" s="466" t="s">
        <v>608</v>
      </c>
      <c r="G61" s="465" t="s">
        <v>645</v>
      </c>
      <c r="H61" s="465" t="s">
        <v>646</v>
      </c>
      <c r="I61" s="468">
        <v>1.440000057220459</v>
      </c>
      <c r="J61" s="468">
        <v>400</v>
      </c>
      <c r="K61" s="469">
        <v>576</v>
      </c>
    </row>
    <row r="62" spans="1:11" ht="14.4" customHeight="1" x14ac:dyDescent="0.3">
      <c r="A62" s="463" t="s">
        <v>416</v>
      </c>
      <c r="B62" s="464" t="s">
        <v>417</v>
      </c>
      <c r="C62" s="465" t="s">
        <v>425</v>
      </c>
      <c r="D62" s="466" t="s">
        <v>426</v>
      </c>
      <c r="E62" s="465" t="s">
        <v>607</v>
      </c>
      <c r="F62" s="466" t="s">
        <v>608</v>
      </c>
      <c r="G62" s="465" t="s">
        <v>647</v>
      </c>
      <c r="H62" s="465" t="s">
        <v>648</v>
      </c>
      <c r="I62" s="468">
        <v>1.440000057220459</v>
      </c>
      <c r="J62" s="468">
        <v>400</v>
      </c>
      <c r="K62" s="469">
        <v>576</v>
      </c>
    </row>
    <row r="63" spans="1:11" ht="14.4" customHeight="1" x14ac:dyDescent="0.3">
      <c r="A63" s="463" t="s">
        <v>416</v>
      </c>
      <c r="B63" s="464" t="s">
        <v>417</v>
      </c>
      <c r="C63" s="465" t="s">
        <v>425</v>
      </c>
      <c r="D63" s="466" t="s">
        <v>426</v>
      </c>
      <c r="E63" s="465" t="s">
        <v>607</v>
      </c>
      <c r="F63" s="466" t="s">
        <v>608</v>
      </c>
      <c r="G63" s="465" t="s">
        <v>649</v>
      </c>
      <c r="H63" s="465" t="s">
        <v>650</v>
      </c>
      <c r="I63" s="468">
        <v>3.9200000762939453</v>
      </c>
      <c r="J63" s="468">
        <v>360</v>
      </c>
      <c r="K63" s="469">
        <v>1411.4000244140625</v>
      </c>
    </row>
    <row r="64" spans="1:11" ht="14.4" customHeight="1" x14ac:dyDescent="0.3">
      <c r="A64" s="463" t="s">
        <v>416</v>
      </c>
      <c r="B64" s="464" t="s">
        <v>417</v>
      </c>
      <c r="C64" s="465" t="s">
        <v>425</v>
      </c>
      <c r="D64" s="466" t="s">
        <v>426</v>
      </c>
      <c r="E64" s="465" t="s">
        <v>607</v>
      </c>
      <c r="F64" s="466" t="s">
        <v>608</v>
      </c>
      <c r="G64" s="465" t="s">
        <v>651</v>
      </c>
      <c r="H64" s="465" t="s">
        <v>652</v>
      </c>
      <c r="I64" s="468">
        <v>3.9200000762939453</v>
      </c>
      <c r="J64" s="468">
        <v>180</v>
      </c>
      <c r="K64" s="469">
        <v>705.5999755859375</v>
      </c>
    </row>
    <row r="65" spans="1:11" ht="14.4" customHeight="1" x14ac:dyDescent="0.3">
      <c r="A65" s="463" t="s">
        <v>416</v>
      </c>
      <c r="B65" s="464" t="s">
        <v>417</v>
      </c>
      <c r="C65" s="465" t="s">
        <v>425</v>
      </c>
      <c r="D65" s="466" t="s">
        <v>426</v>
      </c>
      <c r="E65" s="465" t="s">
        <v>607</v>
      </c>
      <c r="F65" s="466" t="s">
        <v>608</v>
      </c>
      <c r="G65" s="465" t="s">
        <v>653</v>
      </c>
      <c r="H65" s="465" t="s">
        <v>654</v>
      </c>
      <c r="I65" s="468">
        <v>228.69000244140625</v>
      </c>
      <c r="J65" s="468">
        <v>2</v>
      </c>
      <c r="K65" s="469">
        <v>457.3800048828125</v>
      </c>
    </row>
    <row r="66" spans="1:11" ht="14.4" customHeight="1" x14ac:dyDescent="0.3">
      <c r="A66" s="463" t="s">
        <v>416</v>
      </c>
      <c r="B66" s="464" t="s">
        <v>417</v>
      </c>
      <c r="C66" s="465" t="s">
        <v>425</v>
      </c>
      <c r="D66" s="466" t="s">
        <v>426</v>
      </c>
      <c r="E66" s="465" t="s">
        <v>607</v>
      </c>
      <c r="F66" s="466" t="s">
        <v>608</v>
      </c>
      <c r="G66" s="465" t="s">
        <v>655</v>
      </c>
      <c r="H66" s="465" t="s">
        <v>656</v>
      </c>
      <c r="I66" s="468">
        <v>228.69000244140625</v>
      </c>
      <c r="J66" s="468">
        <v>2</v>
      </c>
      <c r="K66" s="469">
        <v>457.3800048828125</v>
      </c>
    </row>
    <row r="67" spans="1:11" ht="14.4" customHeight="1" x14ac:dyDescent="0.3">
      <c r="A67" s="463" t="s">
        <v>416</v>
      </c>
      <c r="B67" s="464" t="s">
        <v>417</v>
      </c>
      <c r="C67" s="465" t="s">
        <v>425</v>
      </c>
      <c r="D67" s="466" t="s">
        <v>426</v>
      </c>
      <c r="E67" s="465" t="s">
        <v>607</v>
      </c>
      <c r="F67" s="466" t="s">
        <v>608</v>
      </c>
      <c r="G67" s="465" t="s">
        <v>657</v>
      </c>
      <c r="H67" s="465" t="s">
        <v>658</v>
      </c>
      <c r="I67" s="468">
        <v>228.69000244140625</v>
      </c>
      <c r="J67" s="468">
        <v>2</v>
      </c>
      <c r="K67" s="469">
        <v>457.3800048828125</v>
      </c>
    </row>
    <row r="68" spans="1:11" ht="14.4" customHeight="1" x14ac:dyDescent="0.3">
      <c r="A68" s="463" t="s">
        <v>416</v>
      </c>
      <c r="B68" s="464" t="s">
        <v>417</v>
      </c>
      <c r="C68" s="465" t="s">
        <v>425</v>
      </c>
      <c r="D68" s="466" t="s">
        <v>426</v>
      </c>
      <c r="E68" s="465" t="s">
        <v>607</v>
      </c>
      <c r="F68" s="466" t="s">
        <v>608</v>
      </c>
      <c r="G68" s="465" t="s">
        <v>659</v>
      </c>
      <c r="H68" s="465" t="s">
        <v>660</v>
      </c>
      <c r="I68" s="468">
        <v>228.69000244140625</v>
      </c>
      <c r="J68" s="468">
        <v>2</v>
      </c>
      <c r="K68" s="469">
        <v>457.3800048828125</v>
      </c>
    </row>
    <row r="69" spans="1:11" ht="14.4" customHeight="1" x14ac:dyDescent="0.3">
      <c r="A69" s="463" t="s">
        <v>416</v>
      </c>
      <c r="B69" s="464" t="s">
        <v>417</v>
      </c>
      <c r="C69" s="465" t="s">
        <v>425</v>
      </c>
      <c r="D69" s="466" t="s">
        <v>426</v>
      </c>
      <c r="E69" s="465" t="s">
        <v>607</v>
      </c>
      <c r="F69" s="466" t="s">
        <v>608</v>
      </c>
      <c r="G69" s="465" t="s">
        <v>661</v>
      </c>
      <c r="H69" s="465" t="s">
        <v>662</v>
      </c>
      <c r="I69" s="468">
        <v>159.69999694824219</v>
      </c>
      <c r="J69" s="468">
        <v>1</v>
      </c>
      <c r="K69" s="469">
        <v>159.69999694824219</v>
      </c>
    </row>
    <row r="70" spans="1:11" ht="14.4" customHeight="1" x14ac:dyDescent="0.3">
      <c r="A70" s="463" t="s">
        <v>416</v>
      </c>
      <c r="B70" s="464" t="s">
        <v>417</v>
      </c>
      <c r="C70" s="465" t="s">
        <v>425</v>
      </c>
      <c r="D70" s="466" t="s">
        <v>426</v>
      </c>
      <c r="E70" s="465" t="s">
        <v>607</v>
      </c>
      <c r="F70" s="466" t="s">
        <v>608</v>
      </c>
      <c r="G70" s="465" t="s">
        <v>663</v>
      </c>
      <c r="H70" s="465" t="s">
        <v>664</v>
      </c>
      <c r="I70" s="468">
        <v>865.1500244140625</v>
      </c>
      <c r="J70" s="468">
        <v>1</v>
      </c>
      <c r="K70" s="469">
        <v>865.1500244140625</v>
      </c>
    </row>
    <row r="71" spans="1:11" ht="14.4" customHeight="1" x14ac:dyDescent="0.3">
      <c r="A71" s="463" t="s">
        <v>416</v>
      </c>
      <c r="B71" s="464" t="s">
        <v>417</v>
      </c>
      <c r="C71" s="465" t="s">
        <v>425</v>
      </c>
      <c r="D71" s="466" t="s">
        <v>426</v>
      </c>
      <c r="E71" s="465" t="s">
        <v>607</v>
      </c>
      <c r="F71" s="466" t="s">
        <v>608</v>
      </c>
      <c r="G71" s="465" t="s">
        <v>665</v>
      </c>
      <c r="H71" s="465" t="s">
        <v>666</v>
      </c>
      <c r="I71" s="468">
        <v>874.83001708984375</v>
      </c>
      <c r="J71" s="468">
        <v>1</v>
      </c>
      <c r="K71" s="469">
        <v>874.83001708984375</v>
      </c>
    </row>
    <row r="72" spans="1:11" ht="14.4" customHeight="1" x14ac:dyDescent="0.3">
      <c r="A72" s="463" t="s">
        <v>416</v>
      </c>
      <c r="B72" s="464" t="s">
        <v>417</v>
      </c>
      <c r="C72" s="465" t="s">
        <v>425</v>
      </c>
      <c r="D72" s="466" t="s">
        <v>426</v>
      </c>
      <c r="E72" s="465" t="s">
        <v>607</v>
      </c>
      <c r="F72" s="466" t="s">
        <v>608</v>
      </c>
      <c r="G72" s="465" t="s">
        <v>667</v>
      </c>
      <c r="H72" s="465" t="s">
        <v>668</v>
      </c>
      <c r="I72" s="468">
        <v>141.55000305175781</v>
      </c>
      <c r="J72" s="468">
        <v>10</v>
      </c>
      <c r="K72" s="469">
        <v>1415.5400390625</v>
      </c>
    </row>
    <row r="73" spans="1:11" ht="14.4" customHeight="1" x14ac:dyDescent="0.3">
      <c r="A73" s="463" t="s">
        <v>416</v>
      </c>
      <c r="B73" s="464" t="s">
        <v>417</v>
      </c>
      <c r="C73" s="465" t="s">
        <v>425</v>
      </c>
      <c r="D73" s="466" t="s">
        <v>426</v>
      </c>
      <c r="E73" s="465" t="s">
        <v>607</v>
      </c>
      <c r="F73" s="466" t="s">
        <v>608</v>
      </c>
      <c r="G73" s="465" t="s">
        <v>669</v>
      </c>
      <c r="H73" s="465" t="s">
        <v>670</v>
      </c>
      <c r="I73" s="468">
        <v>141.57000732421875</v>
      </c>
      <c r="J73" s="468">
        <v>10</v>
      </c>
      <c r="K73" s="469">
        <v>1415.699951171875</v>
      </c>
    </row>
    <row r="74" spans="1:11" ht="14.4" customHeight="1" x14ac:dyDescent="0.3">
      <c r="A74" s="463" t="s">
        <v>416</v>
      </c>
      <c r="B74" s="464" t="s">
        <v>417</v>
      </c>
      <c r="C74" s="465" t="s">
        <v>425</v>
      </c>
      <c r="D74" s="466" t="s">
        <v>426</v>
      </c>
      <c r="E74" s="465" t="s">
        <v>607</v>
      </c>
      <c r="F74" s="466" t="s">
        <v>608</v>
      </c>
      <c r="G74" s="465" t="s">
        <v>671</v>
      </c>
      <c r="H74" s="465" t="s">
        <v>672</v>
      </c>
      <c r="I74" s="468">
        <v>55.099998474121094</v>
      </c>
      <c r="J74" s="468">
        <v>10</v>
      </c>
      <c r="K74" s="469">
        <v>551</v>
      </c>
    </row>
    <row r="75" spans="1:11" ht="14.4" customHeight="1" x14ac:dyDescent="0.3">
      <c r="A75" s="463" t="s">
        <v>416</v>
      </c>
      <c r="B75" s="464" t="s">
        <v>417</v>
      </c>
      <c r="C75" s="465" t="s">
        <v>425</v>
      </c>
      <c r="D75" s="466" t="s">
        <v>426</v>
      </c>
      <c r="E75" s="465" t="s">
        <v>607</v>
      </c>
      <c r="F75" s="466" t="s">
        <v>608</v>
      </c>
      <c r="G75" s="465" t="s">
        <v>673</v>
      </c>
      <c r="H75" s="465" t="s">
        <v>674</v>
      </c>
      <c r="I75" s="468">
        <v>55.099998474121094</v>
      </c>
      <c r="J75" s="468">
        <v>10</v>
      </c>
      <c r="K75" s="469">
        <v>551</v>
      </c>
    </row>
    <row r="76" spans="1:11" ht="14.4" customHeight="1" x14ac:dyDescent="0.3">
      <c r="A76" s="463" t="s">
        <v>416</v>
      </c>
      <c r="B76" s="464" t="s">
        <v>417</v>
      </c>
      <c r="C76" s="465" t="s">
        <v>425</v>
      </c>
      <c r="D76" s="466" t="s">
        <v>426</v>
      </c>
      <c r="E76" s="465" t="s">
        <v>607</v>
      </c>
      <c r="F76" s="466" t="s">
        <v>608</v>
      </c>
      <c r="G76" s="465" t="s">
        <v>675</v>
      </c>
      <c r="H76" s="465" t="s">
        <v>676</v>
      </c>
      <c r="I76" s="468">
        <v>46</v>
      </c>
      <c r="J76" s="468">
        <v>70</v>
      </c>
      <c r="K76" s="469">
        <v>3220</v>
      </c>
    </row>
    <row r="77" spans="1:11" ht="14.4" customHeight="1" x14ac:dyDescent="0.3">
      <c r="A77" s="463" t="s">
        <v>416</v>
      </c>
      <c r="B77" s="464" t="s">
        <v>417</v>
      </c>
      <c r="C77" s="465" t="s">
        <v>425</v>
      </c>
      <c r="D77" s="466" t="s">
        <v>426</v>
      </c>
      <c r="E77" s="465" t="s">
        <v>607</v>
      </c>
      <c r="F77" s="466" t="s">
        <v>608</v>
      </c>
      <c r="G77" s="465" t="s">
        <v>677</v>
      </c>
      <c r="H77" s="465" t="s">
        <v>678</v>
      </c>
      <c r="I77" s="468">
        <v>46</v>
      </c>
      <c r="J77" s="468">
        <v>60</v>
      </c>
      <c r="K77" s="469">
        <v>2759.860107421875</v>
      </c>
    </row>
    <row r="78" spans="1:11" ht="14.4" customHeight="1" x14ac:dyDescent="0.3">
      <c r="A78" s="463" t="s">
        <v>416</v>
      </c>
      <c r="B78" s="464" t="s">
        <v>417</v>
      </c>
      <c r="C78" s="465" t="s">
        <v>425</v>
      </c>
      <c r="D78" s="466" t="s">
        <v>426</v>
      </c>
      <c r="E78" s="465" t="s">
        <v>607</v>
      </c>
      <c r="F78" s="466" t="s">
        <v>608</v>
      </c>
      <c r="G78" s="465" t="s">
        <v>679</v>
      </c>
      <c r="H78" s="465" t="s">
        <v>680</v>
      </c>
      <c r="I78" s="468">
        <v>50.549999237060547</v>
      </c>
      <c r="J78" s="468">
        <v>30</v>
      </c>
      <c r="K78" s="469">
        <v>1471</v>
      </c>
    </row>
    <row r="79" spans="1:11" ht="14.4" customHeight="1" x14ac:dyDescent="0.3">
      <c r="A79" s="463" t="s">
        <v>416</v>
      </c>
      <c r="B79" s="464" t="s">
        <v>417</v>
      </c>
      <c r="C79" s="465" t="s">
        <v>425</v>
      </c>
      <c r="D79" s="466" t="s">
        <v>426</v>
      </c>
      <c r="E79" s="465" t="s">
        <v>607</v>
      </c>
      <c r="F79" s="466" t="s">
        <v>608</v>
      </c>
      <c r="G79" s="465" t="s">
        <v>681</v>
      </c>
      <c r="H79" s="465" t="s">
        <v>682</v>
      </c>
      <c r="I79" s="468">
        <v>50.549999237060547</v>
      </c>
      <c r="J79" s="468">
        <v>50</v>
      </c>
      <c r="K79" s="469">
        <v>2391</v>
      </c>
    </row>
    <row r="80" spans="1:11" ht="14.4" customHeight="1" x14ac:dyDescent="0.3">
      <c r="A80" s="463" t="s">
        <v>416</v>
      </c>
      <c r="B80" s="464" t="s">
        <v>417</v>
      </c>
      <c r="C80" s="465" t="s">
        <v>425</v>
      </c>
      <c r="D80" s="466" t="s">
        <v>426</v>
      </c>
      <c r="E80" s="465" t="s">
        <v>607</v>
      </c>
      <c r="F80" s="466" t="s">
        <v>608</v>
      </c>
      <c r="G80" s="465" t="s">
        <v>683</v>
      </c>
      <c r="H80" s="465" t="s">
        <v>684</v>
      </c>
      <c r="I80" s="468">
        <v>50.549999237060547</v>
      </c>
      <c r="J80" s="468">
        <v>20</v>
      </c>
      <c r="K80" s="469">
        <v>1011</v>
      </c>
    </row>
    <row r="81" spans="1:11" ht="14.4" customHeight="1" x14ac:dyDescent="0.3">
      <c r="A81" s="463" t="s">
        <v>416</v>
      </c>
      <c r="B81" s="464" t="s">
        <v>417</v>
      </c>
      <c r="C81" s="465" t="s">
        <v>425</v>
      </c>
      <c r="D81" s="466" t="s">
        <v>426</v>
      </c>
      <c r="E81" s="465" t="s">
        <v>607</v>
      </c>
      <c r="F81" s="466" t="s">
        <v>608</v>
      </c>
      <c r="G81" s="465" t="s">
        <v>685</v>
      </c>
      <c r="H81" s="465" t="s">
        <v>686</v>
      </c>
      <c r="I81" s="468">
        <v>46</v>
      </c>
      <c r="J81" s="468">
        <v>10</v>
      </c>
      <c r="K81" s="469">
        <v>460</v>
      </c>
    </row>
    <row r="82" spans="1:11" ht="14.4" customHeight="1" x14ac:dyDescent="0.3">
      <c r="A82" s="463" t="s">
        <v>416</v>
      </c>
      <c r="B82" s="464" t="s">
        <v>417</v>
      </c>
      <c r="C82" s="465" t="s">
        <v>425</v>
      </c>
      <c r="D82" s="466" t="s">
        <v>426</v>
      </c>
      <c r="E82" s="465" t="s">
        <v>607</v>
      </c>
      <c r="F82" s="466" t="s">
        <v>608</v>
      </c>
      <c r="G82" s="465" t="s">
        <v>687</v>
      </c>
      <c r="H82" s="465" t="s">
        <v>688</v>
      </c>
      <c r="I82" s="468">
        <v>114</v>
      </c>
      <c r="J82" s="468">
        <v>10</v>
      </c>
      <c r="K82" s="469">
        <v>1140</v>
      </c>
    </row>
    <row r="83" spans="1:11" ht="14.4" customHeight="1" x14ac:dyDescent="0.3">
      <c r="A83" s="463" t="s">
        <v>416</v>
      </c>
      <c r="B83" s="464" t="s">
        <v>417</v>
      </c>
      <c r="C83" s="465" t="s">
        <v>425</v>
      </c>
      <c r="D83" s="466" t="s">
        <v>426</v>
      </c>
      <c r="E83" s="465" t="s">
        <v>607</v>
      </c>
      <c r="F83" s="466" t="s">
        <v>608</v>
      </c>
      <c r="G83" s="465" t="s">
        <v>689</v>
      </c>
      <c r="H83" s="465" t="s">
        <v>690</v>
      </c>
      <c r="I83" s="468">
        <v>72</v>
      </c>
      <c r="J83" s="468">
        <v>10</v>
      </c>
      <c r="K83" s="469">
        <v>720</v>
      </c>
    </row>
    <row r="84" spans="1:11" ht="14.4" customHeight="1" x14ac:dyDescent="0.3">
      <c r="A84" s="463" t="s">
        <v>416</v>
      </c>
      <c r="B84" s="464" t="s">
        <v>417</v>
      </c>
      <c r="C84" s="465" t="s">
        <v>425</v>
      </c>
      <c r="D84" s="466" t="s">
        <v>426</v>
      </c>
      <c r="E84" s="465" t="s">
        <v>607</v>
      </c>
      <c r="F84" s="466" t="s">
        <v>608</v>
      </c>
      <c r="G84" s="465" t="s">
        <v>691</v>
      </c>
      <c r="H84" s="465" t="s">
        <v>692</v>
      </c>
      <c r="I84" s="468">
        <v>78.75</v>
      </c>
      <c r="J84" s="468">
        <v>30</v>
      </c>
      <c r="K84" s="469">
        <v>2430</v>
      </c>
    </row>
    <row r="85" spans="1:11" ht="14.4" customHeight="1" x14ac:dyDescent="0.3">
      <c r="A85" s="463" t="s">
        <v>416</v>
      </c>
      <c r="B85" s="464" t="s">
        <v>417</v>
      </c>
      <c r="C85" s="465" t="s">
        <v>425</v>
      </c>
      <c r="D85" s="466" t="s">
        <v>426</v>
      </c>
      <c r="E85" s="465" t="s">
        <v>607</v>
      </c>
      <c r="F85" s="466" t="s">
        <v>608</v>
      </c>
      <c r="G85" s="465" t="s">
        <v>693</v>
      </c>
      <c r="H85" s="465" t="s">
        <v>694</v>
      </c>
      <c r="I85" s="468">
        <v>72</v>
      </c>
      <c r="J85" s="468">
        <v>10</v>
      </c>
      <c r="K85" s="469">
        <v>720</v>
      </c>
    </row>
    <row r="86" spans="1:11" ht="14.4" customHeight="1" x14ac:dyDescent="0.3">
      <c r="A86" s="463" t="s">
        <v>416</v>
      </c>
      <c r="B86" s="464" t="s">
        <v>417</v>
      </c>
      <c r="C86" s="465" t="s">
        <v>425</v>
      </c>
      <c r="D86" s="466" t="s">
        <v>426</v>
      </c>
      <c r="E86" s="465" t="s">
        <v>607</v>
      </c>
      <c r="F86" s="466" t="s">
        <v>608</v>
      </c>
      <c r="G86" s="465" t="s">
        <v>695</v>
      </c>
      <c r="H86" s="465" t="s">
        <v>696</v>
      </c>
      <c r="I86" s="468">
        <v>20</v>
      </c>
      <c r="J86" s="468">
        <v>10</v>
      </c>
      <c r="K86" s="469">
        <v>200</v>
      </c>
    </row>
    <row r="87" spans="1:11" ht="14.4" customHeight="1" x14ac:dyDescent="0.3">
      <c r="A87" s="463" t="s">
        <v>416</v>
      </c>
      <c r="B87" s="464" t="s">
        <v>417</v>
      </c>
      <c r="C87" s="465" t="s">
        <v>425</v>
      </c>
      <c r="D87" s="466" t="s">
        <v>426</v>
      </c>
      <c r="E87" s="465" t="s">
        <v>607</v>
      </c>
      <c r="F87" s="466" t="s">
        <v>608</v>
      </c>
      <c r="G87" s="465" t="s">
        <v>697</v>
      </c>
      <c r="H87" s="465" t="s">
        <v>698</v>
      </c>
      <c r="I87" s="468">
        <v>19.5</v>
      </c>
      <c r="J87" s="468">
        <v>70</v>
      </c>
      <c r="K87" s="469">
        <v>1350</v>
      </c>
    </row>
    <row r="88" spans="1:11" ht="14.4" customHeight="1" x14ac:dyDescent="0.3">
      <c r="A88" s="463" t="s">
        <v>416</v>
      </c>
      <c r="B88" s="464" t="s">
        <v>417</v>
      </c>
      <c r="C88" s="465" t="s">
        <v>425</v>
      </c>
      <c r="D88" s="466" t="s">
        <v>426</v>
      </c>
      <c r="E88" s="465" t="s">
        <v>607</v>
      </c>
      <c r="F88" s="466" t="s">
        <v>608</v>
      </c>
      <c r="G88" s="465" t="s">
        <v>699</v>
      </c>
      <c r="H88" s="465" t="s">
        <v>700</v>
      </c>
      <c r="I88" s="468">
        <v>19</v>
      </c>
      <c r="J88" s="468">
        <v>40</v>
      </c>
      <c r="K88" s="469">
        <v>760</v>
      </c>
    </row>
    <row r="89" spans="1:11" ht="14.4" customHeight="1" x14ac:dyDescent="0.3">
      <c r="A89" s="463" t="s">
        <v>416</v>
      </c>
      <c r="B89" s="464" t="s">
        <v>417</v>
      </c>
      <c r="C89" s="465" t="s">
        <v>425</v>
      </c>
      <c r="D89" s="466" t="s">
        <v>426</v>
      </c>
      <c r="E89" s="465" t="s">
        <v>607</v>
      </c>
      <c r="F89" s="466" t="s">
        <v>608</v>
      </c>
      <c r="G89" s="465" t="s">
        <v>701</v>
      </c>
      <c r="H89" s="465" t="s">
        <v>702</v>
      </c>
      <c r="I89" s="468">
        <v>19</v>
      </c>
      <c r="J89" s="468">
        <v>10</v>
      </c>
      <c r="K89" s="469">
        <v>190</v>
      </c>
    </row>
    <row r="90" spans="1:11" ht="14.4" customHeight="1" x14ac:dyDescent="0.3">
      <c r="A90" s="463" t="s">
        <v>416</v>
      </c>
      <c r="B90" s="464" t="s">
        <v>417</v>
      </c>
      <c r="C90" s="465" t="s">
        <v>425</v>
      </c>
      <c r="D90" s="466" t="s">
        <v>426</v>
      </c>
      <c r="E90" s="465" t="s">
        <v>607</v>
      </c>
      <c r="F90" s="466" t="s">
        <v>608</v>
      </c>
      <c r="G90" s="465" t="s">
        <v>703</v>
      </c>
      <c r="H90" s="465" t="s">
        <v>704</v>
      </c>
      <c r="I90" s="468">
        <v>19</v>
      </c>
      <c r="J90" s="468">
        <v>20</v>
      </c>
      <c r="K90" s="469">
        <v>380</v>
      </c>
    </row>
    <row r="91" spans="1:11" ht="14.4" customHeight="1" x14ac:dyDescent="0.3">
      <c r="A91" s="463" t="s">
        <v>416</v>
      </c>
      <c r="B91" s="464" t="s">
        <v>417</v>
      </c>
      <c r="C91" s="465" t="s">
        <v>425</v>
      </c>
      <c r="D91" s="466" t="s">
        <v>426</v>
      </c>
      <c r="E91" s="465" t="s">
        <v>607</v>
      </c>
      <c r="F91" s="466" t="s">
        <v>608</v>
      </c>
      <c r="G91" s="465" t="s">
        <v>705</v>
      </c>
      <c r="H91" s="465" t="s">
        <v>706</v>
      </c>
      <c r="I91" s="468">
        <v>879.3699951171875</v>
      </c>
      <c r="J91" s="468">
        <v>1</v>
      </c>
      <c r="K91" s="469">
        <v>879.3699951171875</v>
      </c>
    </row>
    <row r="92" spans="1:11" ht="14.4" customHeight="1" x14ac:dyDescent="0.3">
      <c r="A92" s="463" t="s">
        <v>416</v>
      </c>
      <c r="B92" s="464" t="s">
        <v>417</v>
      </c>
      <c r="C92" s="465" t="s">
        <v>425</v>
      </c>
      <c r="D92" s="466" t="s">
        <v>426</v>
      </c>
      <c r="E92" s="465" t="s">
        <v>607</v>
      </c>
      <c r="F92" s="466" t="s">
        <v>608</v>
      </c>
      <c r="G92" s="465" t="s">
        <v>707</v>
      </c>
      <c r="H92" s="465" t="s">
        <v>708</v>
      </c>
      <c r="I92" s="468">
        <v>763.510009765625</v>
      </c>
      <c r="J92" s="468">
        <v>1</v>
      </c>
      <c r="K92" s="469">
        <v>763.510009765625</v>
      </c>
    </row>
    <row r="93" spans="1:11" ht="14.4" customHeight="1" x14ac:dyDescent="0.3">
      <c r="A93" s="463" t="s">
        <v>416</v>
      </c>
      <c r="B93" s="464" t="s">
        <v>417</v>
      </c>
      <c r="C93" s="465" t="s">
        <v>425</v>
      </c>
      <c r="D93" s="466" t="s">
        <v>426</v>
      </c>
      <c r="E93" s="465" t="s">
        <v>607</v>
      </c>
      <c r="F93" s="466" t="s">
        <v>608</v>
      </c>
      <c r="G93" s="465" t="s">
        <v>709</v>
      </c>
      <c r="H93" s="465" t="s">
        <v>710</v>
      </c>
      <c r="I93" s="468">
        <v>831.45001220703125</v>
      </c>
      <c r="J93" s="468">
        <v>1</v>
      </c>
      <c r="K93" s="469">
        <v>831.45001220703125</v>
      </c>
    </row>
    <row r="94" spans="1:11" ht="14.4" customHeight="1" x14ac:dyDescent="0.3">
      <c r="A94" s="463" t="s">
        <v>416</v>
      </c>
      <c r="B94" s="464" t="s">
        <v>417</v>
      </c>
      <c r="C94" s="465" t="s">
        <v>425</v>
      </c>
      <c r="D94" s="466" t="s">
        <v>426</v>
      </c>
      <c r="E94" s="465" t="s">
        <v>607</v>
      </c>
      <c r="F94" s="466" t="s">
        <v>608</v>
      </c>
      <c r="G94" s="465" t="s">
        <v>711</v>
      </c>
      <c r="H94" s="465" t="s">
        <v>712</v>
      </c>
      <c r="I94" s="468">
        <v>129.88999938964844</v>
      </c>
      <c r="J94" s="468">
        <v>6</v>
      </c>
      <c r="K94" s="469">
        <v>779.3599853515625</v>
      </c>
    </row>
    <row r="95" spans="1:11" ht="14.4" customHeight="1" x14ac:dyDescent="0.3">
      <c r="A95" s="463" t="s">
        <v>416</v>
      </c>
      <c r="B95" s="464" t="s">
        <v>417</v>
      </c>
      <c r="C95" s="465" t="s">
        <v>425</v>
      </c>
      <c r="D95" s="466" t="s">
        <v>426</v>
      </c>
      <c r="E95" s="465" t="s">
        <v>607</v>
      </c>
      <c r="F95" s="466" t="s">
        <v>608</v>
      </c>
      <c r="G95" s="465" t="s">
        <v>713</v>
      </c>
      <c r="H95" s="465" t="s">
        <v>714</v>
      </c>
      <c r="I95" s="468">
        <v>1408</v>
      </c>
      <c r="J95" s="468">
        <v>5</v>
      </c>
      <c r="K95" s="469">
        <v>7040</v>
      </c>
    </row>
    <row r="96" spans="1:11" ht="14.4" customHeight="1" x14ac:dyDescent="0.3">
      <c r="A96" s="463" t="s">
        <v>416</v>
      </c>
      <c r="B96" s="464" t="s">
        <v>417</v>
      </c>
      <c r="C96" s="465" t="s">
        <v>425</v>
      </c>
      <c r="D96" s="466" t="s">
        <v>426</v>
      </c>
      <c r="E96" s="465" t="s">
        <v>607</v>
      </c>
      <c r="F96" s="466" t="s">
        <v>608</v>
      </c>
      <c r="G96" s="465" t="s">
        <v>715</v>
      </c>
      <c r="H96" s="465" t="s">
        <v>716</v>
      </c>
      <c r="I96" s="468">
        <v>129.83000183105469</v>
      </c>
      <c r="J96" s="468">
        <v>10</v>
      </c>
      <c r="K96" s="469">
        <v>1298.3299560546875</v>
      </c>
    </row>
    <row r="97" spans="1:11" ht="14.4" customHeight="1" x14ac:dyDescent="0.3">
      <c r="A97" s="463" t="s">
        <v>416</v>
      </c>
      <c r="B97" s="464" t="s">
        <v>417</v>
      </c>
      <c r="C97" s="465" t="s">
        <v>425</v>
      </c>
      <c r="D97" s="466" t="s">
        <v>426</v>
      </c>
      <c r="E97" s="465" t="s">
        <v>607</v>
      </c>
      <c r="F97" s="466" t="s">
        <v>608</v>
      </c>
      <c r="G97" s="465" t="s">
        <v>717</v>
      </c>
      <c r="H97" s="465" t="s">
        <v>718</v>
      </c>
      <c r="I97" s="468">
        <v>493.66000366210937</v>
      </c>
      <c r="J97" s="468">
        <v>3</v>
      </c>
      <c r="K97" s="469">
        <v>1480.969970703125</v>
      </c>
    </row>
    <row r="98" spans="1:11" ht="14.4" customHeight="1" x14ac:dyDescent="0.3">
      <c r="A98" s="463" t="s">
        <v>416</v>
      </c>
      <c r="B98" s="464" t="s">
        <v>417</v>
      </c>
      <c r="C98" s="465" t="s">
        <v>425</v>
      </c>
      <c r="D98" s="466" t="s">
        <v>426</v>
      </c>
      <c r="E98" s="465" t="s">
        <v>607</v>
      </c>
      <c r="F98" s="466" t="s">
        <v>608</v>
      </c>
      <c r="G98" s="465" t="s">
        <v>719</v>
      </c>
      <c r="H98" s="465" t="s">
        <v>720</v>
      </c>
      <c r="I98" s="468">
        <v>723.58001708984375</v>
      </c>
      <c r="J98" s="468">
        <v>2</v>
      </c>
      <c r="K98" s="469">
        <v>1447.1600341796875</v>
      </c>
    </row>
    <row r="99" spans="1:11" ht="14.4" customHeight="1" x14ac:dyDescent="0.3">
      <c r="A99" s="463" t="s">
        <v>416</v>
      </c>
      <c r="B99" s="464" t="s">
        <v>417</v>
      </c>
      <c r="C99" s="465" t="s">
        <v>425</v>
      </c>
      <c r="D99" s="466" t="s">
        <v>426</v>
      </c>
      <c r="E99" s="465" t="s">
        <v>607</v>
      </c>
      <c r="F99" s="466" t="s">
        <v>608</v>
      </c>
      <c r="G99" s="465" t="s">
        <v>721</v>
      </c>
      <c r="H99" s="465" t="s">
        <v>722</v>
      </c>
      <c r="I99" s="468">
        <v>723.58001708984375</v>
      </c>
      <c r="J99" s="468">
        <v>2</v>
      </c>
      <c r="K99" s="469">
        <v>1447.1600341796875</v>
      </c>
    </row>
    <row r="100" spans="1:11" ht="14.4" customHeight="1" x14ac:dyDescent="0.3">
      <c r="A100" s="463" t="s">
        <v>416</v>
      </c>
      <c r="B100" s="464" t="s">
        <v>417</v>
      </c>
      <c r="C100" s="465" t="s">
        <v>425</v>
      </c>
      <c r="D100" s="466" t="s">
        <v>426</v>
      </c>
      <c r="E100" s="465" t="s">
        <v>607</v>
      </c>
      <c r="F100" s="466" t="s">
        <v>608</v>
      </c>
      <c r="G100" s="465" t="s">
        <v>723</v>
      </c>
      <c r="H100" s="465" t="s">
        <v>724</v>
      </c>
      <c r="I100" s="468">
        <v>251.75</v>
      </c>
      <c r="J100" s="468">
        <v>18</v>
      </c>
      <c r="K100" s="469">
        <v>4531.490234375</v>
      </c>
    </row>
    <row r="101" spans="1:11" ht="14.4" customHeight="1" x14ac:dyDescent="0.3">
      <c r="A101" s="463" t="s">
        <v>416</v>
      </c>
      <c r="B101" s="464" t="s">
        <v>417</v>
      </c>
      <c r="C101" s="465" t="s">
        <v>425</v>
      </c>
      <c r="D101" s="466" t="s">
        <v>426</v>
      </c>
      <c r="E101" s="465" t="s">
        <v>607</v>
      </c>
      <c r="F101" s="466" t="s">
        <v>608</v>
      </c>
      <c r="G101" s="465" t="s">
        <v>725</v>
      </c>
      <c r="H101" s="465" t="s">
        <v>726</v>
      </c>
      <c r="I101" s="468">
        <v>298.8699951171875</v>
      </c>
      <c r="J101" s="468">
        <v>32</v>
      </c>
      <c r="K101" s="469">
        <v>9563.83984375</v>
      </c>
    </row>
    <row r="102" spans="1:11" ht="14.4" customHeight="1" x14ac:dyDescent="0.3">
      <c r="A102" s="463" t="s">
        <v>416</v>
      </c>
      <c r="B102" s="464" t="s">
        <v>417</v>
      </c>
      <c r="C102" s="465" t="s">
        <v>425</v>
      </c>
      <c r="D102" s="466" t="s">
        <v>426</v>
      </c>
      <c r="E102" s="465" t="s">
        <v>607</v>
      </c>
      <c r="F102" s="466" t="s">
        <v>608</v>
      </c>
      <c r="G102" s="465" t="s">
        <v>727</v>
      </c>
      <c r="H102" s="465" t="s">
        <v>728</v>
      </c>
      <c r="I102" s="468">
        <v>1560</v>
      </c>
      <c r="J102" s="468">
        <v>1</v>
      </c>
      <c r="K102" s="469">
        <v>1560</v>
      </c>
    </row>
    <row r="103" spans="1:11" ht="14.4" customHeight="1" x14ac:dyDescent="0.3">
      <c r="A103" s="463" t="s">
        <v>416</v>
      </c>
      <c r="B103" s="464" t="s">
        <v>417</v>
      </c>
      <c r="C103" s="465" t="s">
        <v>425</v>
      </c>
      <c r="D103" s="466" t="s">
        <v>426</v>
      </c>
      <c r="E103" s="465" t="s">
        <v>607</v>
      </c>
      <c r="F103" s="466" t="s">
        <v>608</v>
      </c>
      <c r="G103" s="465" t="s">
        <v>729</v>
      </c>
      <c r="H103" s="465" t="s">
        <v>730</v>
      </c>
      <c r="I103" s="468">
        <v>1936</v>
      </c>
      <c r="J103" s="468">
        <v>1</v>
      </c>
      <c r="K103" s="469">
        <v>1936</v>
      </c>
    </row>
    <row r="104" spans="1:11" ht="14.4" customHeight="1" x14ac:dyDescent="0.3">
      <c r="A104" s="463" t="s">
        <v>416</v>
      </c>
      <c r="B104" s="464" t="s">
        <v>417</v>
      </c>
      <c r="C104" s="465" t="s">
        <v>425</v>
      </c>
      <c r="D104" s="466" t="s">
        <v>426</v>
      </c>
      <c r="E104" s="465" t="s">
        <v>607</v>
      </c>
      <c r="F104" s="466" t="s">
        <v>608</v>
      </c>
      <c r="G104" s="465" t="s">
        <v>731</v>
      </c>
      <c r="H104" s="465" t="s">
        <v>732</v>
      </c>
      <c r="I104" s="468">
        <v>881.92667643229163</v>
      </c>
      <c r="J104" s="468">
        <v>6</v>
      </c>
      <c r="K104" s="469">
        <v>7937.0698437392712</v>
      </c>
    </row>
    <row r="105" spans="1:11" ht="14.4" customHeight="1" x14ac:dyDescent="0.3">
      <c r="A105" s="463" t="s">
        <v>416</v>
      </c>
      <c r="B105" s="464" t="s">
        <v>417</v>
      </c>
      <c r="C105" s="465" t="s">
        <v>425</v>
      </c>
      <c r="D105" s="466" t="s">
        <v>426</v>
      </c>
      <c r="E105" s="465" t="s">
        <v>607</v>
      </c>
      <c r="F105" s="466" t="s">
        <v>608</v>
      </c>
      <c r="G105" s="465" t="s">
        <v>733</v>
      </c>
      <c r="H105" s="465" t="s">
        <v>734</v>
      </c>
      <c r="I105" s="468">
        <v>3676.800048828125</v>
      </c>
      <c r="J105" s="468">
        <v>2</v>
      </c>
      <c r="K105" s="469">
        <v>7353.60009765625</v>
      </c>
    </row>
    <row r="106" spans="1:11" ht="14.4" customHeight="1" x14ac:dyDescent="0.3">
      <c r="A106" s="463" t="s">
        <v>416</v>
      </c>
      <c r="B106" s="464" t="s">
        <v>417</v>
      </c>
      <c r="C106" s="465" t="s">
        <v>425</v>
      </c>
      <c r="D106" s="466" t="s">
        <v>426</v>
      </c>
      <c r="E106" s="465" t="s">
        <v>607</v>
      </c>
      <c r="F106" s="466" t="s">
        <v>608</v>
      </c>
      <c r="G106" s="465" t="s">
        <v>735</v>
      </c>
      <c r="H106" s="465" t="s">
        <v>736</v>
      </c>
      <c r="I106" s="468">
        <v>719.19999186197913</v>
      </c>
      <c r="J106" s="468">
        <v>3</v>
      </c>
      <c r="K106" s="469">
        <v>3270.129951171577</v>
      </c>
    </row>
    <row r="107" spans="1:11" ht="14.4" customHeight="1" x14ac:dyDescent="0.3">
      <c r="A107" s="463" t="s">
        <v>416</v>
      </c>
      <c r="B107" s="464" t="s">
        <v>417</v>
      </c>
      <c r="C107" s="465" t="s">
        <v>425</v>
      </c>
      <c r="D107" s="466" t="s">
        <v>426</v>
      </c>
      <c r="E107" s="465" t="s">
        <v>607</v>
      </c>
      <c r="F107" s="466" t="s">
        <v>608</v>
      </c>
      <c r="G107" s="465" t="s">
        <v>737</v>
      </c>
      <c r="H107" s="465" t="s">
        <v>738</v>
      </c>
      <c r="I107" s="468">
        <v>363</v>
      </c>
      <c r="J107" s="468">
        <v>1</v>
      </c>
      <c r="K107" s="469">
        <v>363</v>
      </c>
    </row>
    <row r="108" spans="1:11" ht="14.4" customHeight="1" x14ac:dyDescent="0.3">
      <c r="A108" s="463" t="s">
        <v>416</v>
      </c>
      <c r="B108" s="464" t="s">
        <v>417</v>
      </c>
      <c r="C108" s="465" t="s">
        <v>425</v>
      </c>
      <c r="D108" s="466" t="s">
        <v>426</v>
      </c>
      <c r="E108" s="465" t="s">
        <v>607</v>
      </c>
      <c r="F108" s="466" t="s">
        <v>608</v>
      </c>
      <c r="G108" s="465" t="s">
        <v>739</v>
      </c>
      <c r="H108" s="465" t="s">
        <v>740</v>
      </c>
      <c r="I108" s="468">
        <v>435.60000610351562</v>
      </c>
      <c r="J108" s="468">
        <v>2</v>
      </c>
      <c r="K108" s="469">
        <v>871.20001220703125</v>
      </c>
    </row>
    <row r="109" spans="1:11" ht="14.4" customHeight="1" x14ac:dyDescent="0.3">
      <c r="A109" s="463" t="s">
        <v>416</v>
      </c>
      <c r="B109" s="464" t="s">
        <v>417</v>
      </c>
      <c r="C109" s="465" t="s">
        <v>425</v>
      </c>
      <c r="D109" s="466" t="s">
        <v>426</v>
      </c>
      <c r="E109" s="465" t="s">
        <v>607</v>
      </c>
      <c r="F109" s="466" t="s">
        <v>608</v>
      </c>
      <c r="G109" s="465" t="s">
        <v>741</v>
      </c>
      <c r="H109" s="465" t="s">
        <v>742</v>
      </c>
      <c r="I109" s="468">
        <v>2565.1348876953125</v>
      </c>
      <c r="J109" s="468">
        <v>3</v>
      </c>
      <c r="K109" s="469">
        <v>7695.399658203125</v>
      </c>
    </row>
    <row r="110" spans="1:11" ht="14.4" customHeight="1" x14ac:dyDescent="0.3">
      <c r="A110" s="463" t="s">
        <v>416</v>
      </c>
      <c r="B110" s="464" t="s">
        <v>417</v>
      </c>
      <c r="C110" s="465" t="s">
        <v>425</v>
      </c>
      <c r="D110" s="466" t="s">
        <v>426</v>
      </c>
      <c r="E110" s="465" t="s">
        <v>607</v>
      </c>
      <c r="F110" s="466" t="s">
        <v>608</v>
      </c>
      <c r="G110" s="465" t="s">
        <v>743</v>
      </c>
      <c r="H110" s="465" t="s">
        <v>744</v>
      </c>
      <c r="I110" s="468">
        <v>28.469999313354492</v>
      </c>
      <c r="J110" s="468">
        <v>40</v>
      </c>
      <c r="K110" s="469">
        <v>1138.5999755859375</v>
      </c>
    </row>
    <row r="111" spans="1:11" ht="14.4" customHeight="1" x14ac:dyDescent="0.3">
      <c r="A111" s="463" t="s">
        <v>416</v>
      </c>
      <c r="B111" s="464" t="s">
        <v>417</v>
      </c>
      <c r="C111" s="465" t="s">
        <v>425</v>
      </c>
      <c r="D111" s="466" t="s">
        <v>426</v>
      </c>
      <c r="E111" s="465" t="s">
        <v>607</v>
      </c>
      <c r="F111" s="466" t="s">
        <v>608</v>
      </c>
      <c r="G111" s="465" t="s">
        <v>745</v>
      </c>
      <c r="H111" s="465" t="s">
        <v>746</v>
      </c>
      <c r="I111" s="468">
        <v>26.020000457763672</v>
      </c>
      <c r="J111" s="468">
        <v>20</v>
      </c>
      <c r="K111" s="469">
        <v>520.29998779296875</v>
      </c>
    </row>
    <row r="112" spans="1:11" ht="14.4" customHeight="1" x14ac:dyDescent="0.3">
      <c r="A112" s="463" t="s">
        <v>416</v>
      </c>
      <c r="B112" s="464" t="s">
        <v>417</v>
      </c>
      <c r="C112" s="465" t="s">
        <v>425</v>
      </c>
      <c r="D112" s="466" t="s">
        <v>426</v>
      </c>
      <c r="E112" s="465" t="s">
        <v>607</v>
      </c>
      <c r="F112" s="466" t="s">
        <v>608</v>
      </c>
      <c r="G112" s="465" t="s">
        <v>747</v>
      </c>
      <c r="H112" s="465" t="s">
        <v>748</v>
      </c>
      <c r="I112" s="468">
        <v>1380.9200439453125</v>
      </c>
      <c r="J112" s="468">
        <v>12</v>
      </c>
      <c r="K112" s="469">
        <v>16571.040161132813</v>
      </c>
    </row>
    <row r="113" spans="1:11" ht="14.4" customHeight="1" x14ac:dyDescent="0.3">
      <c r="A113" s="463" t="s">
        <v>416</v>
      </c>
      <c r="B113" s="464" t="s">
        <v>417</v>
      </c>
      <c r="C113" s="465" t="s">
        <v>425</v>
      </c>
      <c r="D113" s="466" t="s">
        <v>426</v>
      </c>
      <c r="E113" s="465" t="s">
        <v>607</v>
      </c>
      <c r="F113" s="466" t="s">
        <v>608</v>
      </c>
      <c r="G113" s="465" t="s">
        <v>749</v>
      </c>
      <c r="H113" s="465" t="s">
        <v>750</v>
      </c>
      <c r="I113" s="468">
        <v>922.02001953125</v>
      </c>
      <c r="J113" s="468">
        <v>1</v>
      </c>
      <c r="K113" s="469">
        <v>922.02001953125</v>
      </c>
    </row>
    <row r="114" spans="1:11" ht="14.4" customHeight="1" x14ac:dyDescent="0.3">
      <c r="A114" s="463" t="s">
        <v>416</v>
      </c>
      <c r="B114" s="464" t="s">
        <v>417</v>
      </c>
      <c r="C114" s="465" t="s">
        <v>425</v>
      </c>
      <c r="D114" s="466" t="s">
        <v>426</v>
      </c>
      <c r="E114" s="465" t="s">
        <v>607</v>
      </c>
      <c r="F114" s="466" t="s">
        <v>608</v>
      </c>
      <c r="G114" s="465" t="s">
        <v>751</v>
      </c>
      <c r="H114" s="465" t="s">
        <v>752</v>
      </c>
      <c r="I114" s="468">
        <v>922.02001953125</v>
      </c>
      <c r="J114" s="468">
        <v>1</v>
      </c>
      <c r="K114" s="469">
        <v>922.02001953125</v>
      </c>
    </row>
    <row r="115" spans="1:11" ht="14.4" customHeight="1" x14ac:dyDescent="0.3">
      <c r="A115" s="463" t="s">
        <v>416</v>
      </c>
      <c r="B115" s="464" t="s">
        <v>417</v>
      </c>
      <c r="C115" s="465" t="s">
        <v>425</v>
      </c>
      <c r="D115" s="466" t="s">
        <v>426</v>
      </c>
      <c r="E115" s="465" t="s">
        <v>607</v>
      </c>
      <c r="F115" s="466" t="s">
        <v>608</v>
      </c>
      <c r="G115" s="465" t="s">
        <v>753</v>
      </c>
      <c r="H115" s="465" t="s">
        <v>754</v>
      </c>
      <c r="I115" s="468">
        <v>902.65997314453125</v>
      </c>
      <c r="J115" s="468">
        <v>1</v>
      </c>
      <c r="K115" s="469">
        <v>902.65997314453125</v>
      </c>
    </row>
    <row r="116" spans="1:11" ht="14.4" customHeight="1" x14ac:dyDescent="0.3">
      <c r="A116" s="463" t="s">
        <v>416</v>
      </c>
      <c r="B116" s="464" t="s">
        <v>417</v>
      </c>
      <c r="C116" s="465" t="s">
        <v>425</v>
      </c>
      <c r="D116" s="466" t="s">
        <v>426</v>
      </c>
      <c r="E116" s="465" t="s">
        <v>607</v>
      </c>
      <c r="F116" s="466" t="s">
        <v>608</v>
      </c>
      <c r="G116" s="465" t="s">
        <v>755</v>
      </c>
      <c r="H116" s="465" t="s">
        <v>756</v>
      </c>
      <c r="I116" s="468">
        <v>2.2300000190734863</v>
      </c>
      <c r="J116" s="468">
        <v>200</v>
      </c>
      <c r="K116" s="469">
        <v>446.010009765625</v>
      </c>
    </row>
    <row r="117" spans="1:11" ht="14.4" customHeight="1" x14ac:dyDescent="0.3">
      <c r="A117" s="463" t="s">
        <v>416</v>
      </c>
      <c r="B117" s="464" t="s">
        <v>417</v>
      </c>
      <c r="C117" s="465" t="s">
        <v>425</v>
      </c>
      <c r="D117" s="466" t="s">
        <v>426</v>
      </c>
      <c r="E117" s="465" t="s">
        <v>607</v>
      </c>
      <c r="F117" s="466" t="s">
        <v>608</v>
      </c>
      <c r="G117" s="465" t="s">
        <v>757</v>
      </c>
      <c r="H117" s="465" t="s">
        <v>758</v>
      </c>
      <c r="I117" s="468">
        <v>399</v>
      </c>
      <c r="J117" s="468">
        <v>10</v>
      </c>
      <c r="K117" s="469">
        <v>3990</v>
      </c>
    </row>
    <row r="118" spans="1:11" ht="14.4" customHeight="1" x14ac:dyDescent="0.3">
      <c r="A118" s="463" t="s">
        <v>416</v>
      </c>
      <c r="B118" s="464" t="s">
        <v>417</v>
      </c>
      <c r="C118" s="465" t="s">
        <v>425</v>
      </c>
      <c r="D118" s="466" t="s">
        <v>426</v>
      </c>
      <c r="E118" s="465" t="s">
        <v>607</v>
      </c>
      <c r="F118" s="466" t="s">
        <v>608</v>
      </c>
      <c r="G118" s="465" t="s">
        <v>759</v>
      </c>
      <c r="H118" s="465" t="s">
        <v>760</v>
      </c>
      <c r="I118" s="468">
        <v>471.89999389648437</v>
      </c>
      <c r="J118" s="468">
        <v>3</v>
      </c>
      <c r="K118" s="469">
        <v>1415.699951171875</v>
      </c>
    </row>
    <row r="119" spans="1:11" ht="14.4" customHeight="1" x14ac:dyDescent="0.3">
      <c r="A119" s="463" t="s">
        <v>416</v>
      </c>
      <c r="B119" s="464" t="s">
        <v>417</v>
      </c>
      <c r="C119" s="465" t="s">
        <v>425</v>
      </c>
      <c r="D119" s="466" t="s">
        <v>426</v>
      </c>
      <c r="E119" s="465" t="s">
        <v>607</v>
      </c>
      <c r="F119" s="466" t="s">
        <v>608</v>
      </c>
      <c r="G119" s="465" t="s">
        <v>761</v>
      </c>
      <c r="H119" s="465" t="s">
        <v>762</v>
      </c>
      <c r="I119" s="468">
        <v>58.450000762939453</v>
      </c>
      <c r="J119" s="468">
        <v>40</v>
      </c>
      <c r="K119" s="469">
        <v>2337.989990234375</v>
      </c>
    </row>
    <row r="120" spans="1:11" ht="14.4" customHeight="1" x14ac:dyDescent="0.3">
      <c r="A120" s="463" t="s">
        <v>416</v>
      </c>
      <c r="B120" s="464" t="s">
        <v>417</v>
      </c>
      <c r="C120" s="465" t="s">
        <v>425</v>
      </c>
      <c r="D120" s="466" t="s">
        <v>426</v>
      </c>
      <c r="E120" s="465" t="s">
        <v>607</v>
      </c>
      <c r="F120" s="466" t="s">
        <v>608</v>
      </c>
      <c r="G120" s="465" t="s">
        <v>763</v>
      </c>
      <c r="H120" s="465" t="s">
        <v>764</v>
      </c>
      <c r="I120" s="468">
        <v>887.20001220703125</v>
      </c>
      <c r="J120" s="468">
        <v>1</v>
      </c>
      <c r="K120" s="469">
        <v>887.20001220703125</v>
      </c>
    </row>
    <row r="121" spans="1:11" ht="14.4" customHeight="1" x14ac:dyDescent="0.3">
      <c r="A121" s="463" t="s">
        <v>416</v>
      </c>
      <c r="B121" s="464" t="s">
        <v>417</v>
      </c>
      <c r="C121" s="465" t="s">
        <v>425</v>
      </c>
      <c r="D121" s="466" t="s">
        <v>426</v>
      </c>
      <c r="E121" s="465" t="s">
        <v>607</v>
      </c>
      <c r="F121" s="466" t="s">
        <v>608</v>
      </c>
      <c r="G121" s="465" t="s">
        <v>765</v>
      </c>
      <c r="H121" s="465" t="s">
        <v>766</v>
      </c>
      <c r="I121" s="468">
        <v>315</v>
      </c>
      <c r="J121" s="468">
        <v>4</v>
      </c>
      <c r="K121" s="469">
        <v>1260</v>
      </c>
    </row>
    <row r="122" spans="1:11" ht="14.4" customHeight="1" x14ac:dyDescent="0.3">
      <c r="A122" s="463" t="s">
        <v>416</v>
      </c>
      <c r="B122" s="464" t="s">
        <v>417</v>
      </c>
      <c r="C122" s="465" t="s">
        <v>425</v>
      </c>
      <c r="D122" s="466" t="s">
        <v>426</v>
      </c>
      <c r="E122" s="465" t="s">
        <v>607</v>
      </c>
      <c r="F122" s="466" t="s">
        <v>608</v>
      </c>
      <c r="G122" s="465" t="s">
        <v>767</v>
      </c>
      <c r="H122" s="465" t="s">
        <v>768</v>
      </c>
      <c r="I122" s="468">
        <v>180.28999328613281</v>
      </c>
      <c r="J122" s="468">
        <v>17</v>
      </c>
      <c r="K122" s="469">
        <v>3064.9300079345703</v>
      </c>
    </row>
    <row r="123" spans="1:11" ht="14.4" customHeight="1" x14ac:dyDescent="0.3">
      <c r="A123" s="463" t="s">
        <v>416</v>
      </c>
      <c r="B123" s="464" t="s">
        <v>417</v>
      </c>
      <c r="C123" s="465" t="s">
        <v>425</v>
      </c>
      <c r="D123" s="466" t="s">
        <v>426</v>
      </c>
      <c r="E123" s="465" t="s">
        <v>607</v>
      </c>
      <c r="F123" s="466" t="s">
        <v>608</v>
      </c>
      <c r="G123" s="465" t="s">
        <v>769</v>
      </c>
      <c r="H123" s="465" t="s">
        <v>770</v>
      </c>
      <c r="I123" s="468">
        <v>1408</v>
      </c>
      <c r="J123" s="468">
        <v>8</v>
      </c>
      <c r="K123" s="469">
        <v>11264</v>
      </c>
    </row>
    <row r="124" spans="1:11" ht="14.4" customHeight="1" x14ac:dyDescent="0.3">
      <c r="A124" s="463" t="s">
        <v>416</v>
      </c>
      <c r="B124" s="464" t="s">
        <v>417</v>
      </c>
      <c r="C124" s="465" t="s">
        <v>425</v>
      </c>
      <c r="D124" s="466" t="s">
        <v>426</v>
      </c>
      <c r="E124" s="465" t="s">
        <v>607</v>
      </c>
      <c r="F124" s="466" t="s">
        <v>608</v>
      </c>
      <c r="G124" s="465" t="s">
        <v>771</v>
      </c>
      <c r="H124" s="465" t="s">
        <v>772</v>
      </c>
      <c r="I124" s="468">
        <v>1408</v>
      </c>
      <c r="J124" s="468">
        <v>8</v>
      </c>
      <c r="K124" s="469">
        <v>11264</v>
      </c>
    </row>
    <row r="125" spans="1:11" ht="14.4" customHeight="1" x14ac:dyDescent="0.3">
      <c r="A125" s="463" t="s">
        <v>416</v>
      </c>
      <c r="B125" s="464" t="s">
        <v>417</v>
      </c>
      <c r="C125" s="465" t="s">
        <v>425</v>
      </c>
      <c r="D125" s="466" t="s">
        <v>426</v>
      </c>
      <c r="E125" s="465" t="s">
        <v>607</v>
      </c>
      <c r="F125" s="466" t="s">
        <v>608</v>
      </c>
      <c r="G125" s="465" t="s">
        <v>773</v>
      </c>
      <c r="H125" s="465" t="s">
        <v>774</v>
      </c>
      <c r="I125" s="468">
        <v>1746.199951171875</v>
      </c>
      <c r="J125" s="468">
        <v>1</v>
      </c>
      <c r="K125" s="469">
        <v>1746.199951171875</v>
      </c>
    </row>
    <row r="126" spans="1:11" ht="14.4" customHeight="1" x14ac:dyDescent="0.3">
      <c r="A126" s="463" t="s">
        <v>416</v>
      </c>
      <c r="B126" s="464" t="s">
        <v>417</v>
      </c>
      <c r="C126" s="465" t="s">
        <v>425</v>
      </c>
      <c r="D126" s="466" t="s">
        <v>426</v>
      </c>
      <c r="E126" s="465" t="s">
        <v>607</v>
      </c>
      <c r="F126" s="466" t="s">
        <v>608</v>
      </c>
      <c r="G126" s="465" t="s">
        <v>775</v>
      </c>
      <c r="H126" s="465" t="s">
        <v>776</v>
      </c>
      <c r="I126" s="468">
        <v>5.380000114440918</v>
      </c>
      <c r="J126" s="468">
        <v>90</v>
      </c>
      <c r="K126" s="469">
        <v>484.510009765625</v>
      </c>
    </row>
    <row r="127" spans="1:11" ht="14.4" customHeight="1" x14ac:dyDescent="0.3">
      <c r="A127" s="463" t="s">
        <v>416</v>
      </c>
      <c r="B127" s="464" t="s">
        <v>417</v>
      </c>
      <c r="C127" s="465" t="s">
        <v>425</v>
      </c>
      <c r="D127" s="466" t="s">
        <v>426</v>
      </c>
      <c r="E127" s="465" t="s">
        <v>607</v>
      </c>
      <c r="F127" s="466" t="s">
        <v>608</v>
      </c>
      <c r="G127" s="465" t="s">
        <v>777</v>
      </c>
      <c r="H127" s="465" t="s">
        <v>778</v>
      </c>
      <c r="I127" s="468">
        <v>5.5250000953674316</v>
      </c>
      <c r="J127" s="468">
        <v>330</v>
      </c>
      <c r="K127" s="469">
        <v>1827.5</v>
      </c>
    </row>
    <row r="128" spans="1:11" ht="14.4" customHeight="1" x14ac:dyDescent="0.3">
      <c r="A128" s="463" t="s">
        <v>416</v>
      </c>
      <c r="B128" s="464" t="s">
        <v>417</v>
      </c>
      <c r="C128" s="465" t="s">
        <v>425</v>
      </c>
      <c r="D128" s="466" t="s">
        <v>426</v>
      </c>
      <c r="E128" s="465" t="s">
        <v>607</v>
      </c>
      <c r="F128" s="466" t="s">
        <v>608</v>
      </c>
      <c r="G128" s="465" t="s">
        <v>779</v>
      </c>
      <c r="H128" s="465" t="s">
        <v>780</v>
      </c>
      <c r="I128" s="468">
        <v>5065.14013671875</v>
      </c>
      <c r="J128" s="468">
        <v>1</v>
      </c>
      <c r="K128" s="469">
        <v>5065.14013671875</v>
      </c>
    </row>
    <row r="129" spans="1:11" ht="14.4" customHeight="1" x14ac:dyDescent="0.3">
      <c r="A129" s="463" t="s">
        <v>416</v>
      </c>
      <c r="B129" s="464" t="s">
        <v>417</v>
      </c>
      <c r="C129" s="465" t="s">
        <v>425</v>
      </c>
      <c r="D129" s="466" t="s">
        <v>426</v>
      </c>
      <c r="E129" s="465" t="s">
        <v>607</v>
      </c>
      <c r="F129" s="466" t="s">
        <v>608</v>
      </c>
      <c r="G129" s="465" t="s">
        <v>781</v>
      </c>
      <c r="H129" s="465" t="s">
        <v>782</v>
      </c>
      <c r="I129" s="468">
        <v>1826.97998046875</v>
      </c>
      <c r="J129" s="468">
        <v>2</v>
      </c>
      <c r="K129" s="469">
        <v>3653.9599609375</v>
      </c>
    </row>
    <row r="130" spans="1:11" ht="14.4" customHeight="1" x14ac:dyDescent="0.3">
      <c r="A130" s="463" t="s">
        <v>416</v>
      </c>
      <c r="B130" s="464" t="s">
        <v>417</v>
      </c>
      <c r="C130" s="465" t="s">
        <v>425</v>
      </c>
      <c r="D130" s="466" t="s">
        <v>426</v>
      </c>
      <c r="E130" s="465" t="s">
        <v>607</v>
      </c>
      <c r="F130" s="466" t="s">
        <v>608</v>
      </c>
      <c r="G130" s="465" t="s">
        <v>783</v>
      </c>
      <c r="H130" s="465" t="s">
        <v>784</v>
      </c>
      <c r="I130" s="468">
        <v>230</v>
      </c>
      <c r="J130" s="468">
        <v>12</v>
      </c>
      <c r="K130" s="469">
        <v>2760</v>
      </c>
    </row>
    <row r="131" spans="1:11" ht="14.4" customHeight="1" x14ac:dyDescent="0.3">
      <c r="A131" s="463" t="s">
        <v>416</v>
      </c>
      <c r="B131" s="464" t="s">
        <v>417</v>
      </c>
      <c r="C131" s="465" t="s">
        <v>425</v>
      </c>
      <c r="D131" s="466" t="s">
        <v>426</v>
      </c>
      <c r="E131" s="465" t="s">
        <v>607</v>
      </c>
      <c r="F131" s="466" t="s">
        <v>608</v>
      </c>
      <c r="G131" s="465" t="s">
        <v>785</v>
      </c>
      <c r="H131" s="465" t="s">
        <v>786</v>
      </c>
      <c r="I131" s="468">
        <v>387.20001220703125</v>
      </c>
      <c r="J131" s="468">
        <v>5</v>
      </c>
      <c r="K131" s="469">
        <v>1936</v>
      </c>
    </row>
    <row r="132" spans="1:11" ht="14.4" customHeight="1" x14ac:dyDescent="0.3">
      <c r="A132" s="463" t="s">
        <v>416</v>
      </c>
      <c r="B132" s="464" t="s">
        <v>417</v>
      </c>
      <c r="C132" s="465" t="s">
        <v>425</v>
      </c>
      <c r="D132" s="466" t="s">
        <v>426</v>
      </c>
      <c r="E132" s="465" t="s">
        <v>607</v>
      </c>
      <c r="F132" s="466" t="s">
        <v>608</v>
      </c>
      <c r="G132" s="465" t="s">
        <v>787</v>
      </c>
      <c r="H132" s="465" t="s">
        <v>788</v>
      </c>
      <c r="I132" s="468">
        <v>922.02001953125</v>
      </c>
      <c r="J132" s="468">
        <v>1</v>
      </c>
      <c r="K132" s="469">
        <v>922.02001953125</v>
      </c>
    </row>
    <row r="133" spans="1:11" ht="14.4" customHeight="1" x14ac:dyDescent="0.3">
      <c r="A133" s="463" t="s">
        <v>416</v>
      </c>
      <c r="B133" s="464" t="s">
        <v>417</v>
      </c>
      <c r="C133" s="465" t="s">
        <v>425</v>
      </c>
      <c r="D133" s="466" t="s">
        <v>426</v>
      </c>
      <c r="E133" s="465" t="s">
        <v>607</v>
      </c>
      <c r="F133" s="466" t="s">
        <v>608</v>
      </c>
      <c r="G133" s="465" t="s">
        <v>789</v>
      </c>
      <c r="H133" s="465" t="s">
        <v>790</v>
      </c>
      <c r="I133" s="468">
        <v>877.25</v>
      </c>
      <c r="J133" s="468">
        <v>1</v>
      </c>
      <c r="K133" s="469">
        <v>877.25</v>
      </c>
    </row>
    <row r="134" spans="1:11" ht="14.4" customHeight="1" x14ac:dyDescent="0.3">
      <c r="A134" s="463" t="s">
        <v>416</v>
      </c>
      <c r="B134" s="464" t="s">
        <v>417</v>
      </c>
      <c r="C134" s="465" t="s">
        <v>425</v>
      </c>
      <c r="D134" s="466" t="s">
        <v>426</v>
      </c>
      <c r="E134" s="465" t="s">
        <v>607</v>
      </c>
      <c r="F134" s="466" t="s">
        <v>608</v>
      </c>
      <c r="G134" s="465" t="s">
        <v>791</v>
      </c>
      <c r="H134" s="465" t="s">
        <v>792</v>
      </c>
      <c r="I134" s="468">
        <v>592.9000244140625</v>
      </c>
      <c r="J134" s="468">
        <v>1</v>
      </c>
      <c r="K134" s="469">
        <v>592.9000244140625</v>
      </c>
    </row>
    <row r="135" spans="1:11" ht="14.4" customHeight="1" x14ac:dyDescent="0.3">
      <c r="A135" s="463" t="s">
        <v>416</v>
      </c>
      <c r="B135" s="464" t="s">
        <v>417</v>
      </c>
      <c r="C135" s="465" t="s">
        <v>425</v>
      </c>
      <c r="D135" s="466" t="s">
        <v>426</v>
      </c>
      <c r="E135" s="465" t="s">
        <v>607</v>
      </c>
      <c r="F135" s="466" t="s">
        <v>608</v>
      </c>
      <c r="G135" s="465" t="s">
        <v>793</v>
      </c>
      <c r="H135" s="465" t="s">
        <v>794</v>
      </c>
      <c r="I135" s="468">
        <v>2542.6666666666665</v>
      </c>
      <c r="J135" s="468">
        <v>3</v>
      </c>
      <c r="K135" s="469">
        <v>11441.740000009537</v>
      </c>
    </row>
    <row r="136" spans="1:11" ht="14.4" customHeight="1" x14ac:dyDescent="0.3">
      <c r="A136" s="463" t="s">
        <v>416</v>
      </c>
      <c r="B136" s="464" t="s">
        <v>417</v>
      </c>
      <c r="C136" s="465" t="s">
        <v>425</v>
      </c>
      <c r="D136" s="466" t="s">
        <v>426</v>
      </c>
      <c r="E136" s="465" t="s">
        <v>607</v>
      </c>
      <c r="F136" s="466" t="s">
        <v>608</v>
      </c>
      <c r="G136" s="465" t="s">
        <v>795</v>
      </c>
      <c r="H136" s="465" t="s">
        <v>796</v>
      </c>
      <c r="I136" s="468">
        <v>647.9000244140625</v>
      </c>
      <c r="J136" s="468">
        <v>4</v>
      </c>
      <c r="K136" s="469">
        <v>2591.590087890625</v>
      </c>
    </row>
    <row r="137" spans="1:11" ht="14.4" customHeight="1" x14ac:dyDescent="0.3">
      <c r="A137" s="463" t="s">
        <v>416</v>
      </c>
      <c r="B137" s="464" t="s">
        <v>417</v>
      </c>
      <c r="C137" s="465" t="s">
        <v>425</v>
      </c>
      <c r="D137" s="466" t="s">
        <v>426</v>
      </c>
      <c r="E137" s="465" t="s">
        <v>607</v>
      </c>
      <c r="F137" s="466" t="s">
        <v>608</v>
      </c>
      <c r="G137" s="465" t="s">
        <v>797</v>
      </c>
      <c r="H137" s="465" t="s">
        <v>798</v>
      </c>
      <c r="I137" s="468">
        <v>7014.25</v>
      </c>
      <c r="J137" s="468">
        <v>1</v>
      </c>
      <c r="K137" s="469">
        <v>7014.25</v>
      </c>
    </row>
    <row r="138" spans="1:11" ht="14.4" customHeight="1" x14ac:dyDescent="0.3">
      <c r="A138" s="463" t="s">
        <v>416</v>
      </c>
      <c r="B138" s="464" t="s">
        <v>417</v>
      </c>
      <c r="C138" s="465" t="s">
        <v>425</v>
      </c>
      <c r="D138" s="466" t="s">
        <v>426</v>
      </c>
      <c r="E138" s="465" t="s">
        <v>607</v>
      </c>
      <c r="F138" s="466" t="s">
        <v>608</v>
      </c>
      <c r="G138" s="465" t="s">
        <v>799</v>
      </c>
      <c r="H138" s="465" t="s">
        <v>800</v>
      </c>
      <c r="I138" s="468">
        <v>2577.300048828125</v>
      </c>
      <c r="J138" s="468">
        <v>1</v>
      </c>
      <c r="K138" s="469">
        <v>2577.300048828125</v>
      </c>
    </row>
    <row r="139" spans="1:11" ht="14.4" customHeight="1" x14ac:dyDescent="0.3">
      <c r="A139" s="463" t="s">
        <v>416</v>
      </c>
      <c r="B139" s="464" t="s">
        <v>417</v>
      </c>
      <c r="C139" s="465" t="s">
        <v>425</v>
      </c>
      <c r="D139" s="466" t="s">
        <v>426</v>
      </c>
      <c r="E139" s="465" t="s">
        <v>607</v>
      </c>
      <c r="F139" s="466" t="s">
        <v>608</v>
      </c>
      <c r="G139" s="465" t="s">
        <v>801</v>
      </c>
      <c r="H139" s="465" t="s">
        <v>802</v>
      </c>
      <c r="I139" s="468">
        <v>191.17999267578125</v>
      </c>
      <c r="J139" s="468">
        <v>6</v>
      </c>
      <c r="K139" s="469">
        <v>1147.0799560546875</v>
      </c>
    </row>
    <row r="140" spans="1:11" ht="14.4" customHeight="1" x14ac:dyDescent="0.3">
      <c r="A140" s="463" t="s">
        <v>416</v>
      </c>
      <c r="B140" s="464" t="s">
        <v>417</v>
      </c>
      <c r="C140" s="465" t="s">
        <v>425</v>
      </c>
      <c r="D140" s="466" t="s">
        <v>426</v>
      </c>
      <c r="E140" s="465" t="s">
        <v>607</v>
      </c>
      <c r="F140" s="466" t="s">
        <v>608</v>
      </c>
      <c r="G140" s="465" t="s">
        <v>803</v>
      </c>
      <c r="H140" s="465" t="s">
        <v>804</v>
      </c>
      <c r="I140" s="468">
        <v>292.82000732421875</v>
      </c>
      <c r="J140" s="468">
        <v>4</v>
      </c>
      <c r="K140" s="469">
        <v>1171.280029296875</v>
      </c>
    </row>
    <row r="141" spans="1:11" ht="14.4" customHeight="1" x14ac:dyDescent="0.3">
      <c r="A141" s="463" t="s">
        <v>416</v>
      </c>
      <c r="B141" s="464" t="s">
        <v>417</v>
      </c>
      <c r="C141" s="465" t="s">
        <v>425</v>
      </c>
      <c r="D141" s="466" t="s">
        <v>426</v>
      </c>
      <c r="E141" s="465" t="s">
        <v>607</v>
      </c>
      <c r="F141" s="466" t="s">
        <v>608</v>
      </c>
      <c r="G141" s="465" t="s">
        <v>805</v>
      </c>
      <c r="H141" s="465" t="s">
        <v>806</v>
      </c>
      <c r="I141" s="468">
        <v>690.010009765625</v>
      </c>
      <c r="J141" s="468">
        <v>2</v>
      </c>
      <c r="K141" s="469">
        <v>1380.010009765625</v>
      </c>
    </row>
    <row r="142" spans="1:11" ht="14.4" customHeight="1" x14ac:dyDescent="0.3">
      <c r="A142" s="463" t="s">
        <v>416</v>
      </c>
      <c r="B142" s="464" t="s">
        <v>417</v>
      </c>
      <c r="C142" s="465" t="s">
        <v>425</v>
      </c>
      <c r="D142" s="466" t="s">
        <v>426</v>
      </c>
      <c r="E142" s="465" t="s">
        <v>607</v>
      </c>
      <c r="F142" s="466" t="s">
        <v>608</v>
      </c>
      <c r="G142" s="465" t="s">
        <v>807</v>
      </c>
      <c r="H142" s="465" t="s">
        <v>808</v>
      </c>
      <c r="I142" s="468">
        <v>143.69000244140625</v>
      </c>
      <c r="J142" s="468">
        <v>11</v>
      </c>
      <c r="K142" s="469">
        <v>1580.5700073242187</v>
      </c>
    </row>
    <row r="143" spans="1:11" ht="14.4" customHeight="1" x14ac:dyDescent="0.3">
      <c r="A143" s="463" t="s">
        <v>416</v>
      </c>
      <c r="B143" s="464" t="s">
        <v>417</v>
      </c>
      <c r="C143" s="465" t="s">
        <v>425</v>
      </c>
      <c r="D143" s="466" t="s">
        <v>426</v>
      </c>
      <c r="E143" s="465" t="s">
        <v>607</v>
      </c>
      <c r="F143" s="466" t="s">
        <v>608</v>
      </c>
      <c r="G143" s="465" t="s">
        <v>809</v>
      </c>
      <c r="H143" s="465" t="s">
        <v>810</v>
      </c>
      <c r="I143" s="468">
        <v>955.9000244140625</v>
      </c>
      <c r="J143" s="468">
        <v>1</v>
      </c>
      <c r="K143" s="469">
        <v>955.9000244140625</v>
      </c>
    </row>
    <row r="144" spans="1:11" ht="14.4" customHeight="1" x14ac:dyDescent="0.3">
      <c r="A144" s="463" t="s">
        <v>416</v>
      </c>
      <c r="B144" s="464" t="s">
        <v>417</v>
      </c>
      <c r="C144" s="465" t="s">
        <v>425</v>
      </c>
      <c r="D144" s="466" t="s">
        <v>426</v>
      </c>
      <c r="E144" s="465" t="s">
        <v>607</v>
      </c>
      <c r="F144" s="466" t="s">
        <v>608</v>
      </c>
      <c r="G144" s="465" t="s">
        <v>811</v>
      </c>
      <c r="H144" s="465" t="s">
        <v>812</v>
      </c>
      <c r="I144" s="468">
        <v>2124.679931640625</v>
      </c>
      <c r="J144" s="468">
        <v>3</v>
      </c>
      <c r="K144" s="469">
        <v>6374.0400390625</v>
      </c>
    </row>
    <row r="145" spans="1:11" ht="14.4" customHeight="1" x14ac:dyDescent="0.3">
      <c r="A145" s="463" t="s">
        <v>416</v>
      </c>
      <c r="B145" s="464" t="s">
        <v>417</v>
      </c>
      <c r="C145" s="465" t="s">
        <v>425</v>
      </c>
      <c r="D145" s="466" t="s">
        <v>426</v>
      </c>
      <c r="E145" s="465" t="s">
        <v>607</v>
      </c>
      <c r="F145" s="466" t="s">
        <v>608</v>
      </c>
      <c r="G145" s="465" t="s">
        <v>813</v>
      </c>
      <c r="H145" s="465" t="s">
        <v>814</v>
      </c>
      <c r="I145" s="468">
        <v>2124.679931640625</v>
      </c>
      <c r="J145" s="468">
        <v>1</v>
      </c>
      <c r="K145" s="469">
        <v>2124.679931640625</v>
      </c>
    </row>
    <row r="146" spans="1:11" ht="14.4" customHeight="1" x14ac:dyDescent="0.3">
      <c r="A146" s="463" t="s">
        <v>416</v>
      </c>
      <c r="B146" s="464" t="s">
        <v>417</v>
      </c>
      <c r="C146" s="465" t="s">
        <v>425</v>
      </c>
      <c r="D146" s="466" t="s">
        <v>426</v>
      </c>
      <c r="E146" s="465" t="s">
        <v>607</v>
      </c>
      <c r="F146" s="466" t="s">
        <v>608</v>
      </c>
      <c r="G146" s="465" t="s">
        <v>815</v>
      </c>
      <c r="H146" s="465" t="s">
        <v>816</v>
      </c>
      <c r="I146" s="468">
        <v>39.930000305175781</v>
      </c>
      <c r="J146" s="468">
        <v>30</v>
      </c>
      <c r="K146" s="469">
        <v>1197.9000244140625</v>
      </c>
    </row>
    <row r="147" spans="1:11" ht="14.4" customHeight="1" x14ac:dyDescent="0.3">
      <c r="A147" s="463" t="s">
        <v>416</v>
      </c>
      <c r="B147" s="464" t="s">
        <v>417</v>
      </c>
      <c r="C147" s="465" t="s">
        <v>425</v>
      </c>
      <c r="D147" s="466" t="s">
        <v>426</v>
      </c>
      <c r="E147" s="465" t="s">
        <v>607</v>
      </c>
      <c r="F147" s="466" t="s">
        <v>608</v>
      </c>
      <c r="G147" s="465" t="s">
        <v>817</v>
      </c>
      <c r="H147" s="465" t="s">
        <v>818</v>
      </c>
      <c r="I147" s="468">
        <v>39.930000305175781</v>
      </c>
      <c r="J147" s="468">
        <v>30</v>
      </c>
      <c r="K147" s="469">
        <v>1197.9000244140625</v>
      </c>
    </row>
    <row r="148" spans="1:11" ht="14.4" customHeight="1" x14ac:dyDescent="0.3">
      <c r="A148" s="463" t="s">
        <v>416</v>
      </c>
      <c r="B148" s="464" t="s">
        <v>417</v>
      </c>
      <c r="C148" s="465" t="s">
        <v>425</v>
      </c>
      <c r="D148" s="466" t="s">
        <v>426</v>
      </c>
      <c r="E148" s="465" t="s">
        <v>607</v>
      </c>
      <c r="F148" s="466" t="s">
        <v>608</v>
      </c>
      <c r="G148" s="465" t="s">
        <v>819</v>
      </c>
      <c r="H148" s="465" t="s">
        <v>820</v>
      </c>
      <c r="I148" s="468">
        <v>107.16000366210937</v>
      </c>
      <c r="J148" s="468">
        <v>14</v>
      </c>
      <c r="K148" s="469">
        <v>1500.2900390625</v>
      </c>
    </row>
    <row r="149" spans="1:11" ht="14.4" customHeight="1" x14ac:dyDescent="0.3">
      <c r="A149" s="463" t="s">
        <v>416</v>
      </c>
      <c r="B149" s="464" t="s">
        <v>417</v>
      </c>
      <c r="C149" s="465" t="s">
        <v>425</v>
      </c>
      <c r="D149" s="466" t="s">
        <v>426</v>
      </c>
      <c r="E149" s="465" t="s">
        <v>607</v>
      </c>
      <c r="F149" s="466" t="s">
        <v>608</v>
      </c>
      <c r="G149" s="465" t="s">
        <v>821</v>
      </c>
      <c r="H149" s="465" t="s">
        <v>822</v>
      </c>
      <c r="I149" s="468">
        <v>43.529998779296875</v>
      </c>
      <c r="J149" s="468">
        <v>240</v>
      </c>
      <c r="K149" s="469">
        <v>10446</v>
      </c>
    </row>
    <row r="150" spans="1:11" ht="14.4" customHeight="1" x14ac:dyDescent="0.3">
      <c r="A150" s="463" t="s">
        <v>416</v>
      </c>
      <c r="B150" s="464" t="s">
        <v>417</v>
      </c>
      <c r="C150" s="465" t="s">
        <v>425</v>
      </c>
      <c r="D150" s="466" t="s">
        <v>426</v>
      </c>
      <c r="E150" s="465" t="s">
        <v>607</v>
      </c>
      <c r="F150" s="466" t="s">
        <v>608</v>
      </c>
      <c r="G150" s="465" t="s">
        <v>823</v>
      </c>
      <c r="H150" s="465" t="s">
        <v>824</v>
      </c>
      <c r="I150" s="468">
        <v>43.529998779296875</v>
      </c>
      <c r="J150" s="468">
        <v>160</v>
      </c>
      <c r="K150" s="469">
        <v>6964</v>
      </c>
    </row>
    <row r="151" spans="1:11" ht="14.4" customHeight="1" x14ac:dyDescent="0.3">
      <c r="A151" s="463" t="s">
        <v>416</v>
      </c>
      <c r="B151" s="464" t="s">
        <v>417</v>
      </c>
      <c r="C151" s="465" t="s">
        <v>425</v>
      </c>
      <c r="D151" s="466" t="s">
        <v>426</v>
      </c>
      <c r="E151" s="465" t="s">
        <v>607</v>
      </c>
      <c r="F151" s="466" t="s">
        <v>608</v>
      </c>
      <c r="G151" s="465" t="s">
        <v>825</v>
      </c>
      <c r="H151" s="465" t="s">
        <v>826</v>
      </c>
      <c r="I151" s="468">
        <v>235.64999389648437</v>
      </c>
      <c r="J151" s="468">
        <v>4</v>
      </c>
      <c r="K151" s="469">
        <v>942.5999755859375</v>
      </c>
    </row>
    <row r="152" spans="1:11" ht="14.4" customHeight="1" x14ac:dyDescent="0.3">
      <c r="A152" s="463" t="s">
        <v>416</v>
      </c>
      <c r="B152" s="464" t="s">
        <v>417</v>
      </c>
      <c r="C152" s="465" t="s">
        <v>425</v>
      </c>
      <c r="D152" s="466" t="s">
        <v>426</v>
      </c>
      <c r="E152" s="465" t="s">
        <v>607</v>
      </c>
      <c r="F152" s="466" t="s">
        <v>608</v>
      </c>
      <c r="G152" s="465" t="s">
        <v>827</v>
      </c>
      <c r="H152" s="465" t="s">
        <v>828</v>
      </c>
      <c r="I152" s="468">
        <v>5232.5</v>
      </c>
      <c r="J152" s="468">
        <v>1</v>
      </c>
      <c r="K152" s="469">
        <v>5232.5</v>
      </c>
    </row>
    <row r="153" spans="1:11" ht="14.4" customHeight="1" x14ac:dyDescent="0.3">
      <c r="A153" s="463" t="s">
        <v>416</v>
      </c>
      <c r="B153" s="464" t="s">
        <v>417</v>
      </c>
      <c r="C153" s="465" t="s">
        <v>425</v>
      </c>
      <c r="D153" s="466" t="s">
        <v>426</v>
      </c>
      <c r="E153" s="465" t="s">
        <v>607</v>
      </c>
      <c r="F153" s="466" t="s">
        <v>608</v>
      </c>
      <c r="G153" s="465" t="s">
        <v>829</v>
      </c>
      <c r="H153" s="465" t="s">
        <v>830</v>
      </c>
      <c r="I153" s="468">
        <v>39.930000305175781</v>
      </c>
      <c r="J153" s="468">
        <v>60</v>
      </c>
      <c r="K153" s="469">
        <v>2395.800048828125</v>
      </c>
    </row>
    <row r="154" spans="1:11" ht="14.4" customHeight="1" x14ac:dyDescent="0.3">
      <c r="A154" s="463" t="s">
        <v>416</v>
      </c>
      <c r="B154" s="464" t="s">
        <v>417</v>
      </c>
      <c r="C154" s="465" t="s">
        <v>425</v>
      </c>
      <c r="D154" s="466" t="s">
        <v>426</v>
      </c>
      <c r="E154" s="465" t="s">
        <v>607</v>
      </c>
      <c r="F154" s="466" t="s">
        <v>608</v>
      </c>
      <c r="G154" s="465" t="s">
        <v>831</v>
      </c>
      <c r="H154" s="465" t="s">
        <v>832</v>
      </c>
      <c r="I154" s="468">
        <v>42.349998474121094</v>
      </c>
      <c r="J154" s="468">
        <v>60</v>
      </c>
      <c r="K154" s="469">
        <v>2541</v>
      </c>
    </row>
    <row r="155" spans="1:11" ht="14.4" customHeight="1" x14ac:dyDescent="0.3">
      <c r="A155" s="463" t="s">
        <v>416</v>
      </c>
      <c r="B155" s="464" t="s">
        <v>417</v>
      </c>
      <c r="C155" s="465" t="s">
        <v>425</v>
      </c>
      <c r="D155" s="466" t="s">
        <v>426</v>
      </c>
      <c r="E155" s="465" t="s">
        <v>607</v>
      </c>
      <c r="F155" s="466" t="s">
        <v>608</v>
      </c>
      <c r="G155" s="465" t="s">
        <v>833</v>
      </c>
      <c r="H155" s="465" t="s">
        <v>834</v>
      </c>
      <c r="I155" s="468">
        <v>39.930000305175781</v>
      </c>
      <c r="J155" s="468">
        <v>72</v>
      </c>
      <c r="K155" s="469">
        <v>2874.9600830078125</v>
      </c>
    </row>
    <row r="156" spans="1:11" ht="14.4" customHeight="1" x14ac:dyDescent="0.3">
      <c r="A156" s="463" t="s">
        <v>416</v>
      </c>
      <c r="B156" s="464" t="s">
        <v>417</v>
      </c>
      <c r="C156" s="465" t="s">
        <v>425</v>
      </c>
      <c r="D156" s="466" t="s">
        <v>426</v>
      </c>
      <c r="E156" s="465" t="s">
        <v>607</v>
      </c>
      <c r="F156" s="466" t="s">
        <v>608</v>
      </c>
      <c r="G156" s="465" t="s">
        <v>835</v>
      </c>
      <c r="H156" s="465" t="s">
        <v>836</v>
      </c>
      <c r="I156" s="468">
        <v>39.930000305175781</v>
      </c>
      <c r="J156" s="468">
        <v>30</v>
      </c>
      <c r="K156" s="469">
        <v>1197.9000244140625</v>
      </c>
    </row>
    <row r="157" spans="1:11" ht="14.4" customHeight="1" x14ac:dyDescent="0.3">
      <c r="A157" s="463" t="s">
        <v>416</v>
      </c>
      <c r="B157" s="464" t="s">
        <v>417</v>
      </c>
      <c r="C157" s="465" t="s">
        <v>425</v>
      </c>
      <c r="D157" s="466" t="s">
        <v>426</v>
      </c>
      <c r="E157" s="465" t="s">
        <v>607</v>
      </c>
      <c r="F157" s="466" t="s">
        <v>608</v>
      </c>
      <c r="G157" s="465" t="s">
        <v>837</v>
      </c>
      <c r="H157" s="465" t="s">
        <v>838</v>
      </c>
      <c r="I157" s="468">
        <v>3197</v>
      </c>
      <c r="J157" s="468">
        <v>2</v>
      </c>
      <c r="K157" s="469">
        <v>6394</v>
      </c>
    </row>
    <row r="158" spans="1:11" ht="14.4" customHeight="1" x14ac:dyDescent="0.3">
      <c r="A158" s="463" t="s">
        <v>416</v>
      </c>
      <c r="B158" s="464" t="s">
        <v>417</v>
      </c>
      <c r="C158" s="465" t="s">
        <v>425</v>
      </c>
      <c r="D158" s="466" t="s">
        <v>426</v>
      </c>
      <c r="E158" s="465" t="s">
        <v>607</v>
      </c>
      <c r="F158" s="466" t="s">
        <v>608</v>
      </c>
      <c r="G158" s="465" t="s">
        <v>839</v>
      </c>
      <c r="H158" s="465" t="s">
        <v>840</v>
      </c>
      <c r="I158" s="468">
        <v>532</v>
      </c>
      <c r="J158" s="468">
        <v>6</v>
      </c>
      <c r="K158" s="469">
        <v>3192</v>
      </c>
    </row>
    <row r="159" spans="1:11" ht="14.4" customHeight="1" x14ac:dyDescent="0.3">
      <c r="A159" s="463" t="s">
        <v>416</v>
      </c>
      <c r="B159" s="464" t="s">
        <v>417</v>
      </c>
      <c r="C159" s="465" t="s">
        <v>425</v>
      </c>
      <c r="D159" s="466" t="s">
        <v>426</v>
      </c>
      <c r="E159" s="465" t="s">
        <v>607</v>
      </c>
      <c r="F159" s="466" t="s">
        <v>608</v>
      </c>
      <c r="G159" s="465" t="s">
        <v>841</v>
      </c>
      <c r="H159" s="465" t="s">
        <v>842</v>
      </c>
      <c r="I159" s="468">
        <v>1046.5</v>
      </c>
      <c r="J159" s="468">
        <v>2</v>
      </c>
      <c r="K159" s="469">
        <v>2093</v>
      </c>
    </row>
    <row r="160" spans="1:11" ht="14.4" customHeight="1" x14ac:dyDescent="0.3">
      <c r="A160" s="463" t="s">
        <v>416</v>
      </c>
      <c r="B160" s="464" t="s">
        <v>417</v>
      </c>
      <c r="C160" s="465" t="s">
        <v>425</v>
      </c>
      <c r="D160" s="466" t="s">
        <v>426</v>
      </c>
      <c r="E160" s="465" t="s">
        <v>607</v>
      </c>
      <c r="F160" s="466" t="s">
        <v>608</v>
      </c>
      <c r="G160" s="465" t="s">
        <v>843</v>
      </c>
      <c r="H160" s="465" t="s">
        <v>844</v>
      </c>
      <c r="I160" s="468">
        <v>367.83999633789062</v>
      </c>
      <c r="J160" s="468">
        <v>3</v>
      </c>
      <c r="K160" s="469">
        <v>1103.52001953125</v>
      </c>
    </row>
    <row r="161" spans="1:11" ht="14.4" customHeight="1" x14ac:dyDescent="0.3">
      <c r="A161" s="463" t="s">
        <v>416</v>
      </c>
      <c r="B161" s="464" t="s">
        <v>417</v>
      </c>
      <c r="C161" s="465" t="s">
        <v>425</v>
      </c>
      <c r="D161" s="466" t="s">
        <v>426</v>
      </c>
      <c r="E161" s="465" t="s">
        <v>607</v>
      </c>
      <c r="F161" s="466" t="s">
        <v>608</v>
      </c>
      <c r="G161" s="465" t="s">
        <v>845</v>
      </c>
      <c r="H161" s="465" t="s">
        <v>846</v>
      </c>
      <c r="I161" s="468">
        <v>65</v>
      </c>
      <c r="J161" s="468">
        <v>5</v>
      </c>
      <c r="K161" s="469">
        <v>649.96000000089407</v>
      </c>
    </row>
    <row r="162" spans="1:11" ht="14.4" customHeight="1" x14ac:dyDescent="0.3">
      <c r="A162" s="463" t="s">
        <v>416</v>
      </c>
      <c r="B162" s="464" t="s">
        <v>417</v>
      </c>
      <c r="C162" s="465" t="s">
        <v>425</v>
      </c>
      <c r="D162" s="466" t="s">
        <v>426</v>
      </c>
      <c r="E162" s="465" t="s">
        <v>607</v>
      </c>
      <c r="F162" s="466" t="s">
        <v>608</v>
      </c>
      <c r="G162" s="465" t="s">
        <v>847</v>
      </c>
      <c r="H162" s="465" t="s">
        <v>848</v>
      </c>
      <c r="I162" s="468">
        <v>1231.9600219726562</v>
      </c>
      <c r="J162" s="468">
        <v>3</v>
      </c>
      <c r="K162" s="469">
        <v>3696.56005859375</v>
      </c>
    </row>
    <row r="163" spans="1:11" ht="14.4" customHeight="1" x14ac:dyDescent="0.3">
      <c r="A163" s="463" t="s">
        <v>416</v>
      </c>
      <c r="B163" s="464" t="s">
        <v>417</v>
      </c>
      <c r="C163" s="465" t="s">
        <v>425</v>
      </c>
      <c r="D163" s="466" t="s">
        <v>426</v>
      </c>
      <c r="E163" s="465" t="s">
        <v>607</v>
      </c>
      <c r="F163" s="466" t="s">
        <v>608</v>
      </c>
      <c r="G163" s="465" t="s">
        <v>849</v>
      </c>
      <c r="H163" s="465" t="s">
        <v>850</v>
      </c>
      <c r="I163" s="468">
        <v>21.379999160766602</v>
      </c>
      <c r="J163" s="468">
        <v>75</v>
      </c>
      <c r="K163" s="469">
        <v>1603.56005859375</v>
      </c>
    </row>
    <row r="164" spans="1:11" ht="14.4" customHeight="1" x14ac:dyDescent="0.3">
      <c r="A164" s="463" t="s">
        <v>416</v>
      </c>
      <c r="B164" s="464" t="s">
        <v>417</v>
      </c>
      <c r="C164" s="465" t="s">
        <v>425</v>
      </c>
      <c r="D164" s="466" t="s">
        <v>426</v>
      </c>
      <c r="E164" s="465" t="s">
        <v>607</v>
      </c>
      <c r="F164" s="466" t="s">
        <v>608</v>
      </c>
      <c r="G164" s="465" t="s">
        <v>851</v>
      </c>
      <c r="H164" s="465" t="s">
        <v>852</v>
      </c>
      <c r="I164" s="468">
        <v>88.279998779296875</v>
      </c>
      <c r="J164" s="468">
        <v>25</v>
      </c>
      <c r="K164" s="469">
        <v>2207.0400390625</v>
      </c>
    </row>
    <row r="165" spans="1:11" ht="14.4" customHeight="1" x14ac:dyDescent="0.3">
      <c r="A165" s="463" t="s">
        <v>416</v>
      </c>
      <c r="B165" s="464" t="s">
        <v>417</v>
      </c>
      <c r="C165" s="465" t="s">
        <v>425</v>
      </c>
      <c r="D165" s="466" t="s">
        <v>426</v>
      </c>
      <c r="E165" s="465" t="s">
        <v>607</v>
      </c>
      <c r="F165" s="466" t="s">
        <v>608</v>
      </c>
      <c r="G165" s="465" t="s">
        <v>853</v>
      </c>
      <c r="H165" s="465" t="s">
        <v>854</v>
      </c>
      <c r="I165" s="468">
        <v>35.400001525878906</v>
      </c>
      <c r="J165" s="468">
        <v>100</v>
      </c>
      <c r="K165" s="469">
        <v>3540.469970703125</v>
      </c>
    </row>
    <row r="166" spans="1:11" ht="14.4" customHeight="1" x14ac:dyDescent="0.3">
      <c r="A166" s="463" t="s">
        <v>416</v>
      </c>
      <c r="B166" s="464" t="s">
        <v>417</v>
      </c>
      <c r="C166" s="465" t="s">
        <v>425</v>
      </c>
      <c r="D166" s="466" t="s">
        <v>426</v>
      </c>
      <c r="E166" s="465" t="s">
        <v>607</v>
      </c>
      <c r="F166" s="466" t="s">
        <v>608</v>
      </c>
      <c r="G166" s="465" t="s">
        <v>855</v>
      </c>
      <c r="H166" s="465" t="s">
        <v>856</v>
      </c>
      <c r="I166" s="468">
        <v>118.58000183105469</v>
      </c>
      <c r="J166" s="468">
        <v>27</v>
      </c>
      <c r="K166" s="469">
        <v>3201.6600952148437</v>
      </c>
    </row>
    <row r="167" spans="1:11" ht="14.4" customHeight="1" x14ac:dyDescent="0.3">
      <c r="A167" s="463" t="s">
        <v>416</v>
      </c>
      <c r="B167" s="464" t="s">
        <v>417</v>
      </c>
      <c r="C167" s="465" t="s">
        <v>425</v>
      </c>
      <c r="D167" s="466" t="s">
        <v>426</v>
      </c>
      <c r="E167" s="465" t="s">
        <v>607</v>
      </c>
      <c r="F167" s="466" t="s">
        <v>608</v>
      </c>
      <c r="G167" s="465" t="s">
        <v>857</v>
      </c>
      <c r="H167" s="465" t="s">
        <v>858</v>
      </c>
      <c r="I167" s="468">
        <v>798.5</v>
      </c>
      <c r="J167" s="468">
        <v>2</v>
      </c>
      <c r="K167" s="469">
        <v>1596.989990234375</v>
      </c>
    </row>
    <row r="168" spans="1:11" ht="14.4" customHeight="1" x14ac:dyDescent="0.3">
      <c r="A168" s="463" t="s">
        <v>416</v>
      </c>
      <c r="B168" s="464" t="s">
        <v>417</v>
      </c>
      <c r="C168" s="465" t="s">
        <v>425</v>
      </c>
      <c r="D168" s="466" t="s">
        <v>426</v>
      </c>
      <c r="E168" s="465" t="s">
        <v>607</v>
      </c>
      <c r="F168" s="466" t="s">
        <v>608</v>
      </c>
      <c r="G168" s="465" t="s">
        <v>859</v>
      </c>
      <c r="H168" s="465" t="s">
        <v>860</v>
      </c>
      <c r="I168" s="468">
        <v>316.114990234375</v>
      </c>
      <c r="J168" s="468">
        <v>3</v>
      </c>
      <c r="K168" s="469">
        <v>948.3399658203125</v>
      </c>
    </row>
    <row r="169" spans="1:11" ht="14.4" customHeight="1" x14ac:dyDescent="0.3">
      <c r="A169" s="463" t="s">
        <v>416</v>
      </c>
      <c r="B169" s="464" t="s">
        <v>417</v>
      </c>
      <c r="C169" s="465" t="s">
        <v>425</v>
      </c>
      <c r="D169" s="466" t="s">
        <v>426</v>
      </c>
      <c r="E169" s="465" t="s">
        <v>607</v>
      </c>
      <c r="F169" s="466" t="s">
        <v>608</v>
      </c>
      <c r="G169" s="465" t="s">
        <v>861</v>
      </c>
      <c r="H169" s="465" t="s">
        <v>862</v>
      </c>
      <c r="I169" s="468">
        <v>528.77001953125</v>
      </c>
      <c r="J169" s="468">
        <v>1</v>
      </c>
      <c r="K169" s="469">
        <v>528.77001953125</v>
      </c>
    </row>
    <row r="170" spans="1:11" ht="14.4" customHeight="1" x14ac:dyDescent="0.3">
      <c r="A170" s="463" t="s">
        <v>416</v>
      </c>
      <c r="B170" s="464" t="s">
        <v>417</v>
      </c>
      <c r="C170" s="465" t="s">
        <v>425</v>
      </c>
      <c r="D170" s="466" t="s">
        <v>426</v>
      </c>
      <c r="E170" s="465" t="s">
        <v>607</v>
      </c>
      <c r="F170" s="466" t="s">
        <v>608</v>
      </c>
      <c r="G170" s="465" t="s">
        <v>863</v>
      </c>
      <c r="H170" s="465" t="s">
        <v>864</v>
      </c>
      <c r="I170" s="468">
        <v>954.09002685546875</v>
      </c>
      <c r="J170" s="468">
        <v>3</v>
      </c>
      <c r="K170" s="469">
        <v>2862.2600708007812</v>
      </c>
    </row>
    <row r="171" spans="1:11" ht="14.4" customHeight="1" x14ac:dyDescent="0.3">
      <c r="A171" s="463" t="s">
        <v>416</v>
      </c>
      <c r="B171" s="464" t="s">
        <v>417</v>
      </c>
      <c r="C171" s="465" t="s">
        <v>425</v>
      </c>
      <c r="D171" s="466" t="s">
        <v>426</v>
      </c>
      <c r="E171" s="465" t="s">
        <v>607</v>
      </c>
      <c r="F171" s="466" t="s">
        <v>608</v>
      </c>
      <c r="G171" s="465" t="s">
        <v>865</v>
      </c>
      <c r="H171" s="465" t="s">
        <v>866</v>
      </c>
      <c r="I171" s="468">
        <v>827.6400146484375</v>
      </c>
      <c r="J171" s="468">
        <v>1</v>
      </c>
      <c r="K171" s="469">
        <v>827.6400146484375</v>
      </c>
    </row>
    <row r="172" spans="1:11" ht="14.4" customHeight="1" x14ac:dyDescent="0.3">
      <c r="A172" s="463" t="s">
        <v>416</v>
      </c>
      <c r="B172" s="464" t="s">
        <v>417</v>
      </c>
      <c r="C172" s="465" t="s">
        <v>425</v>
      </c>
      <c r="D172" s="466" t="s">
        <v>426</v>
      </c>
      <c r="E172" s="465" t="s">
        <v>607</v>
      </c>
      <c r="F172" s="466" t="s">
        <v>608</v>
      </c>
      <c r="G172" s="465" t="s">
        <v>867</v>
      </c>
      <c r="H172" s="465" t="s">
        <v>868</v>
      </c>
      <c r="I172" s="468">
        <v>558.65997314453125</v>
      </c>
      <c r="J172" s="468">
        <v>1</v>
      </c>
      <c r="K172" s="469">
        <v>558.65997314453125</v>
      </c>
    </row>
    <row r="173" spans="1:11" ht="14.4" customHeight="1" x14ac:dyDescent="0.3">
      <c r="A173" s="463" t="s">
        <v>416</v>
      </c>
      <c r="B173" s="464" t="s">
        <v>417</v>
      </c>
      <c r="C173" s="465" t="s">
        <v>425</v>
      </c>
      <c r="D173" s="466" t="s">
        <v>426</v>
      </c>
      <c r="E173" s="465" t="s">
        <v>607</v>
      </c>
      <c r="F173" s="466" t="s">
        <v>608</v>
      </c>
      <c r="G173" s="465" t="s">
        <v>869</v>
      </c>
      <c r="H173" s="465" t="s">
        <v>870</v>
      </c>
      <c r="I173" s="468">
        <v>558.65997314453125</v>
      </c>
      <c r="J173" s="468">
        <v>4</v>
      </c>
      <c r="K173" s="469">
        <v>2234.6300048828125</v>
      </c>
    </row>
    <row r="174" spans="1:11" ht="14.4" customHeight="1" x14ac:dyDescent="0.3">
      <c r="A174" s="463" t="s">
        <v>416</v>
      </c>
      <c r="B174" s="464" t="s">
        <v>417</v>
      </c>
      <c r="C174" s="465" t="s">
        <v>425</v>
      </c>
      <c r="D174" s="466" t="s">
        <v>426</v>
      </c>
      <c r="E174" s="465" t="s">
        <v>607</v>
      </c>
      <c r="F174" s="466" t="s">
        <v>608</v>
      </c>
      <c r="G174" s="465" t="s">
        <v>871</v>
      </c>
      <c r="H174" s="465" t="s">
        <v>872</v>
      </c>
      <c r="I174" s="468">
        <v>659.25</v>
      </c>
      <c r="J174" s="468">
        <v>6</v>
      </c>
      <c r="K174" s="469">
        <v>3955.489990234375</v>
      </c>
    </row>
    <row r="175" spans="1:11" ht="14.4" customHeight="1" x14ac:dyDescent="0.3">
      <c r="A175" s="463" t="s">
        <v>416</v>
      </c>
      <c r="B175" s="464" t="s">
        <v>417</v>
      </c>
      <c r="C175" s="465" t="s">
        <v>425</v>
      </c>
      <c r="D175" s="466" t="s">
        <v>426</v>
      </c>
      <c r="E175" s="465" t="s">
        <v>607</v>
      </c>
      <c r="F175" s="466" t="s">
        <v>608</v>
      </c>
      <c r="G175" s="465" t="s">
        <v>873</v>
      </c>
      <c r="H175" s="465" t="s">
        <v>874</v>
      </c>
      <c r="I175" s="468">
        <v>168.97999572753906</v>
      </c>
      <c r="J175" s="468">
        <v>3</v>
      </c>
      <c r="K175" s="469">
        <v>506.92999267578125</v>
      </c>
    </row>
    <row r="176" spans="1:11" ht="14.4" customHeight="1" x14ac:dyDescent="0.3">
      <c r="A176" s="463" t="s">
        <v>416</v>
      </c>
      <c r="B176" s="464" t="s">
        <v>417</v>
      </c>
      <c r="C176" s="465" t="s">
        <v>425</v>
      </c>
      <c r="D176" s="466" t="s">
        <v>426</v>
      </c>
      <c r="E176" s="465" t="s">
        <v>607</v>
      </c>
      <c r="F176" s="466" t="s">
        <v>608</v>
      </c>
      <c r="G176" s="465" t="s">
        <v>875</v>
      </c>
      <c r="H176" s="465" t="s">
        <v>876</v>
      </c>
      <c r="I176" s="468">
        <v>597.739990234375</v>
      </c>
      <c r="J176" s="468">
        <v>3</v>
      </c>
      <c r="K176" s="469">
        <v>1793.219970703125</v>
      </c>
    </row>
    <row r="177" spans="1:11" ht="14.4" customHeight="1" x14ac:dyDescent="0.3">
      <c r="A177" s="463" t="s">
        <v>416</v>
      </c>
      <c r="B177" s="464" t="s">
        <v>417</v>
      </c>
      <c r="C177" s="465" t="s">
        <v>425</v>
      </c>
      <c r="D177" s="466" t="s">
        <v>426</v>
      </c>
      <c r="E177" s="465" t="s">
        <v>607</v>
      </c>
      <c r="F177" s="466" t="s">
        <v>608</v>
      </c>
      <c r="G177" s="465" t="s">
        <v>877</v>
      </c>
      <c r="H177" s="465" t="s">
        <v>878</v>
      </c>
      <c r="I177" s="468">
        <v>14.880000114440918</v>
      </c>
      <c r="J177" s="468">
        <v>100</v>
      </c>
      <c r="K177" s="469">
        <v>1488.300048828125</v>
      </c>
    </row>
    <row r="178" spans="1:11" ht="14.4" customHeight="1" x14ac:dyDescent="0.3">
      <c r="A178" s="463" t="s">
        <v>416</v>
      </c>
      <c r="B178" s="464" t="s">
        <v>417</v>
      </c>
      <c r="C178" s="465" t="s">
        <v>425</v>
      </c>
      <c r="D178" s="466" t="s">
        <v>426</v>
      </c>
      <c r="E178" s="465" t="s">
        <v>607</v>
      </c>
      <c r="F178" s="466" t="s">
        <v>608</v>
      </c>
      <c r="G178" s="465" t="s">
        <v>879</v>
      </c>
      <c r="H178" s="465" t="s">
        <v>880</v>
      </c>
      <c r="I178" s="468">
        <v>617.0999755859375</v>
      </c>
      <c r="J178" s="468">
        <v>5</v>
      </c>
      <c r="K178" s="469">
        <v>3085.5</v>
      </c>
    </row>
    <row r="179" spans="1:11" ht="14.4" customHeight="1" x14ac:dyDescent="0.3">
      <c r="A179" s="463" t="s">
        <v>416</v>
      </c>
      <c r="B179" s="464" t="s">
        <v>417</v>
      </c>
      <c r="C179" s="465" t="s">
        <v>425</v>
      </c>
      <c r="D179" s="466" t="s">
        <v>426</v>
      </c>
      <c r="E179" s="465" t="s">
        <v>607</v>
      </c>
      <c r="F179" s="466" t="s">
        <v>608</v>
      </c>
      <c r="G179" s="465" t="s">
        <v>881</v>
      </c>
      <c r="H179" s="465" t="s">
        <v>882</v>
      </c>
      <c r="I179" s="468">
        <v>2.5699999332427979</v>
      </c>
      <c r="J179" s="468">
        <v>800</v>
      </c>
      <c r="K179" s="469">
        <v>2056.8798828125</v>
      </c>
    </row>
    <row r="180" spans="1:11" ht="14.4" customHeight="1" x14ac:dyDescent="0.3">
      <c r="A180" s="463" t="s">
        <v>416</v>
      </c>
      <c r="B180" s="464" t="s">
        <v>417</v>
      </c>
      <c r="C180" s="465" t="s">
        <v>425</v>
      </c>
      <c r="D180" s="466" t="s">
        <v>426</v>
      </c>
      <c r="E180" s="465" t="s">
        <v>607</v>
      </c>
      <c r="F180" s="466" t="s">
        <v>608</v>
      </c>
      <c r="G180" s="465" t="s">
        <v>883</v>
      </c>
      <c r="H180" s="465" t="s">
        <v>884</v>
      </c>
      <c r="I180" s="468">
        <v>591.6400146484375</v>
      </c>
      <c r="J180" s="468">
        <v>1</v>
      </c>
      <c r="K180" s="469">
        <v>591.6400146484375</v>
      </c>
    </row>
    <row r="181" spans="1:11" ht="14.4" customHeight="1" x14ac:dyDescent="0.3">
      <c r="A181" s="463" t="s">
        <v>416</v>
      </c>
      <c r="B181" s="464" t="s">
        <v>417</v>
      </c>
      <c r="C181" s="465" t="s">
        <v>425</v>
      </c>
      <c r="D181" s="466" t="s">
        <v>426</v>
      </c>
      <c r="E181" s="465" t="s">
        <v>607</v>
      </c>
      <c r="F181" s="466" t="s">
        <v>608</v>
      </c>
      <c r="G181" s="465" t="s">
        <v>885</v>
      </c>
      <c r="H181" s="465" t="s">
        <v>886</v>
      </c>
      <c r="I181" s="468">
        <v>1011.9299926757812</v>
      </c>
      <c r="J181" s="468">
        <v>2</v>
      </c>
      <c r="K181" s="469">
        <v>2023.8499755859375</v>
      </c>
    </row>
    <row r="182" spans="1:11" ht="14.4" customHeight="1" x14ac:dyDescent="0.3">
      <c r="A182" s="463" t="s">
        <v>416</v>
      </c>
      <c r="B182" s="464" t="s">
        <v>417</v>
      </c>
      <c r="C182" s="465" t="s">
        <v>425</v>
      </c>
      <c r="D182" s="466" t="s">
        <v>426</v>
      </c>
      <c r="E182" s="465" t="s">
        <v>607</v>
      </c>
      <c r="F182" s="466" t="s">
        <v>608</v>
      </c>
      <c r="G182" s="465" t="s">
        <v>887</v>
      </c>
      <c r="H182" s="465" t="s">
        <v>888</v>
      </c>
      <c r="I182" s="468">
        <v>865.1500244140625</v>
      </c>
      <c r="J182" s="468">
        <v>1</v>
      </c>
      <c r="K182" s="469">
        <v>865.1500244140625</v>
      </c>
    </row>
    <row r="183" spans="1:11" ht="14.4" customHeight="1" x14ac:dyDescent="0.3">
      <c r="A183" s="463" t="s">
        <v>416</v>
      </c>
      <c r="B183" s="464" t="s">
        <v>417</v>
      </c>
      <c r="C183" s="465" t="s">
        <v>425</v>
      </c>
      <c r="D183" s="466" t="s">
        <v>426</v>
      </c>
      <c r="E183" s="465" t="s">
        <v>607</v>
      </c>
      <c r="F183" s="466" t="s">
        <v>608</v>
      </c>
      <c r="G183" s="465" t="s">
        <v>889</v>
      </c>
      <c r="H183" s="465" t="s">
        <v>890</v>
      </c>
      <c r="I183" s="468">
        <v>865.1500244140625</v>
      </c>
      <c r="J183" s="468">
        <v>1</v>
      </c>
      <c r="K183" s="469">
        <v>865.1500244140625</v>
      </c>
    </row>
    <row r="184" spans="1:11" ht="14.4" customHeight="1" x14ac:dyDescent="0.3">
      <c r="A184" s="463" t="s">
        <v>416</v>
      </c>
      <c r="B184" s="464" t="s">
        <v>417</v>
      </c>
      <c r="C184" s="465" t="s">
        <v>425</v>
      </c>
      <c r="D184" s="466" t="s">
        <v>426</v>
      </c>
      <c r="E184" s="465" t="s">
        <v>607</v>
      </c>
      <c r="F184" s="466" t="s">
        <v>608</v>
      </c>
      <c r="G184" s="465" t="s">
        <v>891</v>
      </c>
      <c r="H184" s="465" t="s">
        <v>892</v>
      </c>
      <c r="I184" s="468">
        <v>647.3499755859375</v>
      </c>
      <c r="J184" s="468">
        <v>3</v>
      </c>
      <c r="K184" s="469">
        <v>1942.050048828125</v>
      </c>
    </row>
    <row r="185" spans="1:11" ht="14.4" customHeight="1" x14ac:dyDescent="0.3">
      <c r="A185" s="463" t="s">
        <v>416</v>
      </c>
      <c r="B185" s="464" t="s">
        <v>417</v>
      </c>
      <c r="C185" s="465" t="s">
        <v>425</v>
      </c>
      <c r="D185" s="466" t="s">
        <v>426</v>
      </c>
      <c r="E185" s="465" t="s">
        <v>607</v>
      </c>
      <c r="F185" s="466" t="s">
        <v>608</v>
      </c>
      <c r="G185" s="465" t="s">
        <v>893</v>
      </c>
      <c r="H185" s="465" t="s">
        <v>894</v>
      </c>
      <c r="I185" s="468">
        <v>515.46002197265625</v>
      </c>
      <c r="J185" s="468">
        <v>2</v>
      </c>
      <c r="K185" s="469">
        <v>1030.9200439453125</v>
      </c>
    </row>
    <row r="186" spans="1:11" ht="14.4" customHeight="1" x14ac:dyDescent="0.3">
      <c r="A186" s="463" t="s">
        <v>416</v>
      </c>
      <c r="B186" s="464" t="s">
        <v>417</v>
      </c>
      <c r="C186" s="465" t="s">
        <v>425</v>
      </c>
      <c r="D186" s="466" t="s">
        <v>426</v>
      </c>
      <c r="E186" s="465" t="s">
        <v>607</v>
      </c>
      <c r="F186" s="466" t="s">
        <v>608</v>
      </c>
      <c r="G186" s="465" t="s">
        <v>895</v>
      </c>
      <c r="H186" s="465" t="s">
        <v>896</v>
      </c>
      <c r="I186" s="468">
        <v>767.05999755859375</v>
      </c>
      <c r="J186" s="468">
        <v>4</v>
      </c>
      <c r="K186" s="469">
        <v>3068.239990234375</v>
      </c>
    </row>
    <row r="187" spans="1:11" ht="14.4" customHeight="1" x14ac:dyDescent="0.3">
      <c r="A187" s="463" t="s">
        <v>416</v>
      </c>
      <c r="B187" s="464" t="s">
        <v>417</v>
      </c>
      <c r="C187" s="465" t="s">
        <v>425</v>
      </c>
      <c r="D187" s="466" t="s">
        <v>426</v>
      </c>
      <c r="E187" s="465" t="s">
        <v>607</v>
      </c>
      <c r="F187" s="466" t="s">
        <v>608</v>
      </c>
      <c r="G187" s="465" t="s">
        <v>897</v>
      </c>
      <c r="H187" s="465" t="s">
        <v>898</v>
      </c>
      <c r="I187" s="468">
        <v>120</v>
      </c>
      <c r="J187" s="468">
        <v>6</v>
      </c>
      <c r="K187" s="469">
        <v>720</v>
      </c>
    </row>
    <row r="188" spans="1:11" ht="14.4" customHeight="1" x14ac:dyDescent="0.3">
      <c r="A188" s="463" t="s">
        <v>416</v>
      </c>
      <c r="B188" s="464" t="s">
        <v>417</v>
      </c>
      <c r="C188" s="465" t="s">
        <v>425</v>
      </c>
      <c r="D188" s="466" t="s">
        <v>426</v>
      </c>
      <c r="E188" s="465" t="s">
        <v>607</v>
      </c>
      <c r="F188" s="466" t="s">
        <v>608</v>
      </c>
      <c r="G188" s="465" t="s">
        <v>899</v>
      </c>
      <c r="H188" s="465" t="s">
        <v>900</v>
      </c>
      <c r="I188" s="468">
        <v>528.77001953125</v>
      </c>
      <c r="J188" s="468">
        <v>1</v>
      </c>
      <c r="K188" s="469">
        <v>528.77001953125</v>
      </c>
    </row>
    <row r="189" spans="1:11" ht="14.4" customHeight="1" x14ac:dyDescent="0.3">
      <c r="A189" s="463" t="s">
        <v>416</v>
      </c>
      <c r="B189" s="464" t="s">
        <v>417</v>
      </c>
      <c r="C189" s="465" t="s">
        <v>425</v>
      </c>
      <c r="D189" s="466" t="s">
        <v>426</v>
      </c>
      <c r="E189" s="465" t="s">
        <v>607</v>
      </c>
      <c r="F189" s="466" t="s">
        <v>608</v>
      </c>
      <c r="G189" s="465" t="s">
        <v>901</v>
      </c>
      <c r="H189" s="465" t="s">
        <v>902</v>
      </c>
      <c r="I189" s="468">
        <v>998.25</v>
      </c>
      <c r="J189" s="468">
        <v>1</v>
      </c>
      <c r="K189" s="469">
        <v>998.25</v>
      </c>
    </row>
    <row r="190" spans="1:11" ht="14.4" customHeight="1" x14ac:dyDescent="0.3">
      <c r="A190" s="463" t="s">
        <v>416</v>
      </c>
      <c r="B190" s="464" t="s">
        <v>417</v>
      </c>
      <c r="C190" s="465" t="s">
        <v>425</v>
      </c>
      <c r="D190" s="466" t="s">
        <v>426</v>
      </c>
      <c r="E190" s="465" t="s">
        <v>607</v>
      </c>
      <c r="F190" s="466" t="s">
        <v>608</v>
      </c>
      <c r="G190" s="465" t="s">
        <v>903</v>
      </c>
      <c r="H190" s="465" t="s">
        <v>904</v>
      </c>
      <c r="I190" s="468">
        <v>279.29998779296875</v>
      </c>
      <c r="J190" s="468">
        <v>3</v>
      </c>
      <c r="K190" s="469">
        <v>837.9000244140625</v>
      </c>
    </row>
    <row r="191" spans="1:11" ht="14.4" customHeight="1" x14ac:dyDescent="0.3">
      <c r="A191" s="463" t="s">
        <v>416</v>
      </c>
      <c r="B191" s="464" t="s">
        <v>417</v>
      </c>
      <c r="C191" s="465" t="s">
        <v>425</v>
      </c>
      <c r="D191" s="466" t="s">
        <v>426</v>
      </c>
      <c r="E191" s="465" t="s">
        <v>607</v>
      </c>
      <c r="F191" s="466" t="s">
        <v>608</v>
      </c>
      <c r="G191" s="465" t="s">
        <v>905</v>
      </c>
      <c r="H191" s="465" t="s">
        <v>906</v>
      </c>
      <c r="I191" s="468">
        <v>1180</v>
      </c>
      <c r="J191" s="468">
        <v>27</v>
      </c>
      <c r="K191" s="469">
        <v>31859.9296875</v>
      </c>
    </row>
    <row r="192" spans="1:11" ht="14.4" customHeight="1" x14ac:dyDescent="0.3">
      <c r="A192" s="463" t="s">
        <v>416</v>
      </c>
      <c r="B192" s="464" t="s">
        <v>417</v>
      </c>
      <c r="C192" s="465" t="s">
        <v>425</v>
      </c>
      <c r="D192" s="466" t="s">
        <v>426</v>
      </c>
      <c r="E192" s="465" t="s">
        <v>607</v>
      </c>
      <c r="F192" s="466" t="s">
        <v>608</v>
      </c>
      <c r="G192" s="465" t="s">
        <v>907</v>
      </c>
      <c r="H192" s="465" t="s">
        <v>908</v>
      </c>
      <c r="I192" s="468">
        <v>138</v>
      </c>
      <c r="J192" s="468">
        <v>80</v>
      </c>
      <c r="K192" s="469">
        <v>11040</v>
      </c>
    </row>
    <row r="193" spans="1:11" ht="14.4" customHeight="1" thickBot="1" x14ac:dyDescent="0.35">
      <c r="A193" s="470" t="s">
        <v>416</v>
      </c>
      <c r="B193" s="471" t="s">
        <v>417</v>
      </c>
      <c r="C193" s="472" t="s">
        <v>425</v>
      </c>
      <c r="D193" s="473" t="s">
        <v>426</v>
      </c>
      <c r="E193" s="472" t="s">
        <v>607</v>
      </c>
      <c r="F193" s="473" t="s">
        <v>608</v>
      </c>
      <c r="G193" s="472" t="s">
        <v>909</v>
      </c>
      <c r="H193" s="472" t="s">
        <v>910</v>
      </c>
      <c r="I193" s="475">
        <v>138</v>
      </c>
      <c r="J193" s="475">
        <v>80</v>
      </c>
      <c r="K193" s="476">
        <v>11040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52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06" customWidth="1"/>
    <col min="18" max="18" width="7.33203125" style="251" customWidth="1"/>
    <col min="19" max="19" width="8" style="206" customWidth="1"/>
    <col min="21" max="21" width="11.21875" bestFit="1" customWidth="1"/>
  </cols>
  <sheetData>
    <row r="1" spans="1:19" ht="18.600000000000001" thickBot="1" x14ac:dyDescent="0.4">
      <c r="A1" s="359" t="s">
        <v>90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5" thickBot="1" x14ac:dyDescent="0.35">
      <c r="A2" s="207" t="s">
        <v>242</v>
      </c>
      <c r="B2" s="208"/>
    </row>
    <row r="3" spans="1:19" x14ac:dyDescent="0.3">
      <c r="A3" s="373" t="s">
        <v>163</v>
      </c>
      <c r="B3" s="374"/>
      <c r="C3" s="375" t="s">
        <v>152</v>
      </c>
      <c r="D3" s="376"/>
      <c r="E3" s="376"/>
      <c r="F3" s="377"/>
      <c r="G3" s="378" t="s">
        <v>153</v>
      </c>
      <c r="H3" s="379"/>
      <c r="I3" s="379"/>
      <c r="J3" s="380"/>
      <c r="K3" s="381" t="s">
        <v>162</v>
      </c>
      <c r="L3" s="382"/>
      <c r="M3" s="382"/>
      <c r="N3" s="382"/>
      <c r="O3" s="383"/>
      <c r="P3" s="379" t="s">
        <v>217</v>
      </c>
      <c r="Q3" s="379"/>
      <c r="R3" s="379"/>
      <c r="S3" s="380"/>
    </row>
    <row r="4" spans="1:19" ht="15" thickBot="1" x14ac:dyDescent="0.35">
      <c r="A4" s="392">
        <v>2018</v>
      </c>
      <c r="B4" s="393"/>
      <c r="C4" s="394" t="s">
        <v>216</v>
      </c>
      <c r="D4" s="396" t="s">
        <v>91</v>
      </c>
      <c r="E4" s="396" t="s">
        <v>61</v>
      </c>
      <c r="F4" s="371" t="s">
        <v>54</v>
      </c>
      <c r="G4" s="386" t="s">
        <v>154</v>
      </c>
      <c r="H4" s="388" t="s">
        <v>158</v>
      </c>
      <c r="I4" s="388" t="s">
        <v>215</v>
      </c>
      <c r="J4" s="390" t="s">
        <v>155</v>
      </c>
      <c r="K4" s="368" t="s">
        <v>214</v>
      </c>
      <c r="L4" s="369"/>
      <c r="M4" s="369"/>
      <c r="N4" s="370"/>
      <c r="O4" s="371" t="s">
        <v>213</v>
      </c>
      <c r="P4" s="360" t="s">
        <v>212</v>
      </c>
      <c r="Q4" s="360" t="s">
        <v>165</v>
      </c>
      <c r="R4" s="362" t="s">
        <v>61</v>
      </c>
      <c r="S4" s="364" t="s">
        <v>164</v>
      </c>
    </row>
    <row r="5" spans="1:19" s="286" customFormat="1" ht="19.2" customHeight="1" x14ac:dyDescent="0.3">
      <c r="A5" s="366" t="s">
        <v>211</v>
      </c>
      <c r="B5" s="367"/>
      <c r="C5" s="395"/>
      <c r="D5" s="397"/>
      <c r="E5" s="397"/>
      <c r="F5" s="372"/>
      <c r="G5" s="387"/>
      <c r="H5" s="389"/>
      <c r="I5" s="389"/>
      <c r="J5" s="391"/>
      <c r="K5" s="289" t="s">
        <v>156</v>
      </c>
      <c r="L5" s="288" t="s">
        <v>157</v>
      </c>
      <c r="M5" s="288" t="s">
        <v>210</v>
      </c>
      <c r="N5" s="287" t="s">
        <v>3</v>
      </c>
      <c r="O5" s="372"/>
      <c r="P5" s="361"/>
      <c r="Q5" s="361"/>
      <c r="R5" s="363"/>
      <c r="S5" s="365"/>
    </row>
    <row r="6" spans="1:19" ht="15" thickBot="1" x14ac:dyDescent="0.35">
      <c r="A6" s="384" t="s">
        <v>151</v>
      </c>
      <c r="B6" s="385"/>
      <c r="C6" s="285">
        <f ca="1">SUM(Tabulka[01 uv_sk])/2</f>
        <v>52.800000000000004</v>
      </c>
      <c r="D6" s="283"/>
      <c r="E6" s="283"/>
      <c r="F6" s="282"/>
      <c r="G6" s="284">
        <f ca="1">SUM(Tabulka[05 h_vram])/2</f>
        <v>16939</v>
      </c>
      <c r="H6" s="283">
        <f ca="1">SUM(Tabulka[06 h_naduv])/2</f>
        <v>0</v>
      </c>
      <c r="I6" s="283">
        <f ca="1">SUM(Tabulka[07 h_nadzk])/2</f>
        <v>0</v>
      </c>
      <c r="J6" s="282">
        <f ca="1">SUM(Tabulka[08 h_oon])/2</f>
        <v>290.5</v>
      </c>
      <c r="K6" s="284">
        <f ca="1">SUM(Tabulka[09 m_kl])/2</f>
        <v>0</v>
      </c>
      <c r="L6" s="283">
        <f ca="1">SUM(Tabulka[10 m_gr])/2</f>
        <v>0</v>
      </c>
      <c r="M6" s="283">
        <f ca="1">SUM(Tabulka[11 m_jo])/2</f>
        <v>75000</v>
      </c>
      <c r="N6" s="283">
        <f ca="1">SUM(Tabulka[12 m_oc])/2</f>
        <v>75000</v>
      </c>
      <c r="O6" s="282">
        <f ca="1">SUM(Tabulka[13 m_sk])/2</f>
        <v>3906812</v>
      </c>
      <c r="P6" s="281">
        <f ca="1">SUM(Tabulka[14_vzsk])/2</f>
        <v>1375</v>
      </c>
      <c r="Q6" s="281">
        <f ca="1">SUM(Tabulka[15_vzpl])/2</f>
        <v>15259.935228585102</v>
      </c>
      <c r="R6" s="280">
        <f ca="1">IF(Q6=0,0,P6/Q6)</f>
        <v>9.0105231732853799E-2</v>
      </c>
      <c r="S6" s="279">
        <f ca="1">Q6-P6</f>
        <v>13884.935228585102</v>
      </c>
    </row>
    <row r="7" spans="1:19" hidden="1" x14ac:dyDescent="0.3">
      <c r="A7" s="278" t="s">
        <v>209</v>
      </c>
      <c r="B7" s="277" t="s">
        <v>208</v>
      </c>
      <c r="C7" s="276" t="s">
        <v>207</v>
      </c>
      <c r="D7" s="275" t="s">
        <v>206</v>
      </c>
      <c r="E7" s="274" t="s">
        <v>205</v>
      </c>
      <c r="F7" s="273" t="s">
        <v>204</v>
      </c>
      <c r="G7" s="272" t="s">
        <v>203</v>
      </c>
      <c r="H7" s="270" t="s">
        <v>202</v>
      </c>
      <c r="I7" s="270" t="s">
        <v>201</v>
      </c>
      <c r="J7" s="269" t="s">
        <v>200</v>
      </c>
      <c r="K7" s="271" t="s">
        <v>199</v>
      </c>
      <c r="L7" s="270" t="s">
        <v>198</v>
      </c>
      <c r="M7" s="270" t="s">
        <v>197</v>
      </c>
      <c r="N7" s="269" t="s">
        <v>196</v>
      </c>
      <c r="O7" s="268" t="s">
        <v>195</v>
      </c>
      <c r="P7" s="267" t="s">
        <v>194</v>
      </c>
      <c r="Q7" s="266" t="s">
        <v>193</v>
      </c>
      <c r="R7" s="265" t="s">
        <v>192</v>
      </c>
      <c r="S7" s="264" t="s">
        <v>191</v>
      </c>
    </row>
    <row r="8" spans="1:19" x14ac:dyDescent="0.3">
      <c r="A8" s="261" t="s">
        <v>190</v>
      </c>
      <c r="B8" s="260"/>
      <c r="C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10.95</v>
      </c>
      <c r="D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3436.7</v>
      </c>
      <c r="H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173.5</v>
      </c>
      <c r="K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50000</v>
      </c>
      <c r="N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50000</v>
      </c>
      <c r="O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1209822</v>
      </c>
      <c r="P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5259.935228585101</v>
      </c>
      <c r="R8" s="263">
        <f ca="1">IF(Tabulka[[#This Row],[15_vzpl]]=0,"",Tabulka[[#This Row],[14_vzsk]]/Tabulka[[#This Row],[15_vzpl]])</f>
        <v>0</v>
      </c>
      <c r="S8" s="262">
        <f ca="1">IF(Tabulka[[#This Row],[15_vzpl]]-Tabulka[[#This Row],[14_vzsk]]=0,"",Tabulka[[#This Row],[15_vzpl]]-Tabulka[[#This Row],[14_vzsk]])</f>
        <v>5259.935228585101</v>
      </c>
    </row>
    <row r="9" spans="1:19" x14ac:dyDescent="0.3">
      <c r="A9" s="261">
        <v>99</v>
      </c>
      <c r="B9" s="260" t="s">
        <v>917</v>
      </c>
      <c r="C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5259.935228585101</v>
      </c>
      <c r="R9" s="263">
        <f ca="1">IF(Tabulka[[#This Row],[15_vzpl]]=0,"",Tabulka[[#This Row],[14_vzsk]]/Tabulka[[#This Row],[15_vzpl]])</f>
        <v>0</v>
      </c>
      <c r="S9" s="262">
        <f ca="1">IF(Tabulka[[#This Row],[15_vzpl]]-Tabulka[[#This Row],[14_vzsk]]=0,"",Tabulka[[#This Row],[15_vzpl]]-Tabulka[[#This Row],[14_vzsk]])</f>
        <v>5259.935228585101</v>
      </c>
    </row>
    <row r="10" spans="1:19" x14ac:dyDescent="0.3">
      <c r="A10" s="261">
        <v>102</v>
      </c>
      <c r="B10" s="260" t="s">
        <v>918</v>
      </c>
      <c r="C1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4.3</v>
      </c>
      <c r="D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1333.6999999999998</v>
      </c>
      <c r="H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173.5</v>
      </c>
      <c r="K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325938</v>
      </c>
      <c r="P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3" t="str">
        <f ca="1">IF(Tabulka[[#This Row],[15_vzpl]]=0,"",Tabulka[[#This Row],[14_vzsk]]/Tabulka[[#This Row],[15_vzpl]])</f>
        <v/>
      </c>
      <c r="S10" s="262" t="str">
        <f ca="1">IF(Tabulka[[#This Row],[15_vzpl]]-Tabulka[[#This Row],[14_vzsk]]=0,"",Tabulka[[#This Row],[15_vzpl]]-Tabulka[[#This Row],[14_vzsk]])</f>
        <v/>
      </c>
    </row>
    <row r="11" spans="1:19" x14ac:dyDescent="0.3">
      <c r="A11" s="261">
        <v>103</v>
      </c>
      <c r="B11" s="260" t="s">
        <v>919</v>
      </c>
      <c r="C1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6.65</v>
      </c>
      <c r="D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2103</v>
      </c>
      <c r="H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50000</v>
      </c>
      <c r="N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50000</v>
      </c>
      <c r="O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883884</v>
      </c>
      <c r="P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63" t="str">
        <f ca="1">IF(Tabulka[[#This Row],[15_vzpl]]=0,"",Tabulka[[#This Row],[14_vzsk]]/Tabulka[[#This Row],[15_vzpl]])</f>
        <v/>
      </c>
      <c r="S11" s="262" t="str">
        <f ca="1">IF(Tabulka[[#This Row],[15_vzpl]]-Tabulka[[#This Row],[14_vzsk]]=0,"",Tabulka[[#This Row],[15_vzpl]]-Tabulka[[#This Row],[14_vzsk]])</f>
        <v/>
      </c>
    </row>
    <row r="12" spans="1:19" x14ac:dyDescent="0.3">
      <c r="A12" s="261" t="s">
        <v>912</v>
      </c>
      <c r="B12" s="260"/>
      <c r="C12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39.9</v>
      </c>
      <c r="D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12848.6</v>
      </c>
      <c r="H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N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O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2610146</v>
      </c>
      <c r="P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1375</v>
      </c>
      <c r="Q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R12" s="263">
        <f ca="1">IF(Tabulka[[#This Row],[15_vzpl]]=0,"",Tabulka[[#This Row],[14_vzsk]]/Tabulka[[#This Row],[15_vzpl]])</f>
        <v>0.13750000000000001</v>
      </c>
      <c r="S12" s="262">
        <f ca="1">IF(Tabulka[[#This Row],[15_vzpl]]-Tabulka[[#This Row],[14_vzsk]]=0,"",Tabulka[[#This Row],[15_vzpl]]-Tabulka[[#This Row],[14_vzsk]])</f>
        <v>8625</v>
      </c>
    </row>
    <row r="13" spans="1:19" x14ac:dyDescent="0.3">
      <c r="A13" s="261">
        <v>303</v>
      </c>
      <c r="B13" s="260" t="s">
        <v>920</v>
      </c>
      <c r="C13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</v>
      </c>
      <c r="D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6803</v>
      </c>
      <c r="H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1348764</v>
      </c>
      <c r="P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1375</v>
      </c>
      <c r="Q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R13" s="263">
        <f ca="1">IF(Tabulka[[#This Row],[15_vzpl]]=0,"",Tabulka[[#This Row],[14_vzsk]]/Tabulka[[#This Row],[15_vzpl]])</f>
        <v>0.13750000000000001</v>
      </c>
      <c r="S13" s="262">
        <f ca="1">IF(Tabulka[[#This Row],[15_vzpl]]-Tabulka[[#This Row],[14_vzsk]]=0,"",Tabulka[[#This Row],[15_vzpl]]-Tabulka[[#This Row],[14_vzsk]])</f>
        <v>8625</v>
      </c>
    </row>
    <row r="14" spans="1:19" x14ac:dyDescent="0.3">
      <c r="A14" s="261">
        <v>304</v>
      </c>
      <c r="B14" s="260" t="s">
        <v>921</v>
      </c>
      <c r="C14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6.9</v>
      </c>
      <c r="D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2075.1999999999998</v>
      </c>
      <c r="H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N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O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521603</v>
      </c>
      <c r="P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63" t="str">
        <f ca="1">IF(Tabulka[[#This Row],[15_vzpl]]=0,"",Tabulka[[#This Row],[14_vzsk]]/Tabulka[[#This Row],[15_vzpl]])</f>
        <v/>
      </c>
      <c r="S14" s="262" t="str">
        <f ca="1">IF(Tabulka[[#This Row],[15_vzpl]]-Tabulka[[#This Row],[14_vzsk]]=0,"",Tabulka[[#This Row],[15_vzpl]]-Tabulka[[#This Row],[14_vzsk]])</f>
        <v/>
      </c>
    </row>
    <row r="15" spans="1:19" x14ac:dyDescent="0.3">
      <c r="A15" s="261">
        <v>416</v>
      </c>
      <c r="B15" s="260" t="s">
        <v>922</v>
      </c>
      <c r="C15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</v>
      </c>
      <c r="D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3970.4</v>
      </c>
      <c r="H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739779</v>
      </c>
      <c r="P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63" t="str">
        <f ca="1">IF(Tabulka[[#This Row],[15_vzpl]]=0,"",Tabulka[[#This Row],[14_vzsk]]/Tabulka[[#This Row],[15_vzpl]])</f>
        <v/>
      </c>
      <c r="S15" s="262" t="str">
        <f ca="1">IF(Tabulka[[#This Row],[15_vzpl]]-Tabulka[[#This Row],[14_vzsk]]=0,"",Tabulka[[#This Row],[15_vzpl]]-Tabulka[[#This Row],[14_vzsk]])</f>
        <v/>
      </c>
    </row>
    <row r="16" spans="1:19" x14ac:dyDescent="0.3">
      <c r="A16" s="261" t="s">
        <v>913</v>
      </c>
      <c r="B16" s="260"/>
      <c r="C16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1.9500000000000002</v>
      </c>
      <c r="D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653.70000000000005</v>
      </c>
      <c r="H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</v>
      </c>
      <c r="K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86844</v>
      </c>
      <c r="P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3" t="str">
        <f ca="1">IF(Tabulka[[#This Row],[15_vzpl]]=0,"",Tabulka[[#This Row],[14_vzsk]]/Tabulka[[#This Row],[15_vzpl]])</f>
        <v/>
      </c>
      <c r="S16" s="262" t="str">
        <f ca="1">IF(Tabulka[[#This Row],[15_vzpl]]-Tabulka[[#This Row],[14_vzsk]]=0,"",Tabulka[[#This Row],[15_vzpl]]-Tabulka[[#This Row],[14_vzsk]])</f>
        <v/>
      </c>
    </row>
    <row r="17" spans="1:19" x14ac:dyDescent="0.3">
      <c r="A17" s="261">
        <v>25</v>
      </c>
      <c r="B17" s="260" t="s">
        <v>923</v>
      </c>
      <c r="C17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344</v>
      </c>
      <c r="H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36440</v>
      </c>
      <c r="P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63" t="str">
        <f ca="1">IF(Tabulka[[#This Row],[15_vzpl]]=0,"",Tabulka[[#This Row],[14_vzsk]]/Tabulka[[#This Row],[15_vzpl]])</f>
        <v/>
      </c>
      <c r="S17" s="262" t="str">
        <f ca="1">IF(Tabulka[[#This Row],[15_vzpl]]-Tabulka[[#This Row],[14_vzsk]]=0,"",Tabulka[[#This Row],[15_vzpl]]-Tabulka[[#This Row],[14_vzsk]])</f>
        <v/>
      </c>
    </row>
    <row r="18" spans="1:19" x14ac:dyDescent="0.3">
      <c r="A18" s="261">
        <v>30</v>
      </c>
      <c r="B18" s="260" t="s">
        <v>924</v>
      </c>
      <c r="C1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0.95000000000000007</v>
      </c>
      <c r="D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309.7</v>
      </c>
      <c r="H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</v>
      </c>
      <c r="K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50404</v>
      </c>
      <c r="P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63" t="str">
        <f ca="1">IF(Tabulka[[#This Row],[15_vzpl]]=0,"",Tabulka[[#This Row],[14_vzsk]]/Tabulka[[#This Row],[15_vzpl]])</f>
        <v/>
      </c>
      <c r="S18" s="262" t="str">
        <f ca="1">IF(Tabulka[[#This Row],[15_vzpl]]-Tabulka[[#This Row],[14_vzsk]]=0,"",Tabulka[[#This Row],[15_vzpl]]-Tabulka[[#This Row],[14_vzsk]])</f>
        <v/>
      </c>
    </row>
    <row r="19" spans="1:19" x14ac:dyDescent="0.3">
      <c r="A19" t="s">
        <v>219</v>
      </c>
    </row>
    <row r="20" spans="1:19" x14ac:dyDescent="0.3">
      <c r="A20" s="98" t="s">
        <v>133</v>
      </c>
    </row>
    <row r="21" spans="1:19" x14ac:dyDescent="0.3">
      <c r="A21" s="99" t="s">
        <v>189</v>
      </c>
    </row>
    <row r="22" spans="1:19" x14ac:dyDescent="0.3">
      <c r="A22" s="253" t="s">
        <v>188</v>
      </c>
    </row>
    <row r="23" spans="1:19" x14ac:dyDescent="0.3">
      <c r="A23" s="210" t="s">
        <v>161</v>
      </c>
    </row>
    <row r="24" spans="1:19" x14ac:dyDescent="0.3">
      <c r="A24" s="212" t="s">
        <v>166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8">
    <cfRule type="cellIs" dxfId="4" priority="3" operator="lessThan">
      <formula>0</formula>
    </cfRule>
  </conditionalFormatting>
  <conditionalFormatting sqref="R6:R18">
    <cfRule type="cellIs" dxfId="3" priority="4" operator="greaterThan">
      <formula>1</formula>
    </cfRule>
  </conditionalFormatting>
  <conditionalFormatting sqref="A8:S18">
    <cfRule type="expression" dxfId="2" priority="2">
      <formula>$B8=""</formula>
    </cfRule>
  </conditionalFormatting>
  <conditionalFormatting sqref="P8:S18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27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916</v>
      </c>
    </row>
    <row r="2" spans="1:19" x14ac:dyDescent="0.3">
      <c r="A2" s="207" t="s">
        <v>242</v>
      </c>
    </row>
    <row r="3" spans="1:19" x14ac:dyDescent="0.3">
      <c r="A3" s="299" t="s">
        <v>138</v>
      </c>
      <c r="B3" s="298">
        <v>2018</v>
      </c>
      <c r="C3" t="s">
        <v>218</v>
      </c>
      <c r="D3" t="s">
        <v>209</v>
      </c>
      <c r="E3" t="s">
        <v>207</v>
      </c>
      <c r="F3" t="s">
        <v>206</v>
      </c>
      <c r="G3" t="s">
        <v>205</v>
      </c>
      <c r="H3" t="s">
        <v>204</v>
      </c>
      <c r="I3" t="s">
        <v>203</v>
      </c>
      <c r="J3" t="s">
        <v>202</v>
      </c>
      <c r="K3" t="s">
        <v>201</v>
      </c>
      <c r="L3" t="s">
        <v>200</v>
      </c>
      <c r="M3" t="s">
        <v>199</v>
      </c>
      <c r="N3" t="s">
        <v>198</v>
      </c>
      <c r="O3" t="s">
        <v>197</v>
      </c>
      <c r="P3" t="s">
        <v>196</v>
      </c>
      <c r="Q3" t="s">
        <v>195</v>
      </c>
      <c r="R3" t="s">
        <v>194</v>
      </c>
      <c r="S3" t="s">
        <v>193</v>
      </c>
    </row>
    <row r="4" spans="1:19" x14ac:dyDescent="0.3">
      <c r="A4" s="297" t="s">
        <v>139</v>
      </c>
      <c r="B4" s="296">
        <v>1</v>
      </c>
      <c r="C4" s="291">
        <v>1</v>
      </c>
      <c r="D4" s="291" t="s">
        <v>190</v>
      </c>
      <c r="E4" s="290">
        <v>11</v>
      </c>
      <c r="F4" s="290"/>
      <c r="G4" s="290"/>
      <c r="H4" s="290"/>
      <c r="I4" s="290">
        <v>1882.6999999999998</v>
      </c>
      <c r="J4" s="290"/>
      <c r="K4" s="290"/>
      <c r="L4" s="290">
        <v>72</v>
      </c>
      <c r="M4" s="290"/>
      <c r="N4" s="290"/>
      <c r="O4" s="290">
        <v>50000</v>
      </c>
      <c r="P4" s="290">
        <v>50000</v>
      </c>
      <c r="Q4" s="290">
        <v>600310</v>
      </c>
      <c r="R4" s="290"/>
      <c r="S4" s="290">
        <v>2629.9676142925505</v>
      </c>
    </row>
    <row r="5" spans="1:19" x14ac:dyDescent="0.3">
      <c r="A5" s="295" t="s">
        <v>140</v>
      </c>
      <c r="B5" s="294">
        <v>2</v>
      </c>
      <c r="C5">
        <v>1</v>
      </c>
      <c r="D5">
        <v>99</v>
      </c>
      <c r="S5">
        <v>2629.9676142925505</v>
      </c>
    </row>
    <row r="6" spans="1:19" x14ac:dyDescent="0.3">
      <c r="A6" s="297" t="s">
        <v>141</v>
      </c>
      <c r="B6" s="296">
        <v>3</v>
      </c>
      <c r="C6">
        <v>1</v>
      </c>
      <c r="D6">
        <v>102</v>
      </c>
      <c r="E6">
        <v>4.3499999999999996</v>
      </c>
      <c r="I6">
        <v>704.9</v>
      </c>
      <c r="L6">
        <v>72</v>
      </c>
      <c r="Q6">
        <v>159647</v>
      </c>
    </row>
    <row r="7" spans="1:19" x14ac:dyDescent="0.3">
      <c r="A7" s="295" t="s">
        <v>142</v>
      </c>
      <c r="B7" s="294">
        <v>4</v>
      </c>
      <c r="C7">
        <v>1</v>
      </c>
      <c r="D7">
        <v>103</v>
      </c>
      <c r="E7">
        <v>6.65</v>
      </c>
      <c r="I7">
        <v>1177.8</v>
      </c>
      <c r="O7">
        <v>50000</v>
      </c>
      <c r="P7">
        <v>50000</v>
      </c>
      <c r="Q7">
        <v>440663</v>
      </c>
    </row>
    <row r="8" spans="1:19" x14ac:dyDescent="0.3">
      <c r="A8" s="297" t="s">
        <v>143</v>
      </c>
      <c r="B8" s="296">
        <v>5</v>
      </c>
      <c r="C8">
        <v>1</v>
      </c>
      <c r="D8" t="s">
        <v>912</v>
      </c>
      <c r="E8">
        <v>39.9</v>
      </c>
      <c r="I8">
        <v>6919</v>
      </c>
      <c r="Q8">
        <v>1322080</v>
      </c>
      <c r="R8">
        <v>1155</v>
      </c>
      <c r="S8">
        <v>5000</v>
      </c>
    </row>
    <row r="9" spans="1:19" x14ac:dyDescent="0.3">
      <c r="A9" s="295" t="s">
        <v>144</v>
      </c>
      <c r="B9" s="294">
        <v>6</v>
      </c>
      <c r="C9">
        <v>1</v>
      </c>
      <c r="D9">
        <v>303</v>
      </c>
      <c r="E9">
        <v>21</v>
      </c>
      <c r="I9">
        <v>3667</v>
      </c>
      <c r="Q9">
        <v>686644</v>
      </c>
      <c r="R9">
        <v>1155</v>
      </c>
      <c r="S9">
        <v>5000</v>
      </c>
    </row>
    <row r="10" spans="1:19" x14ac:dyDescent="0.3">
      <c r="A10" s="297" t="s">
        <v>145</v>
      </c>
      <c r="B10" s="296">
        <v>7</v>
      </c>
      <c r="C10">
        <v>1</v>
      </c>
      <c r="D10">
        <v>304</v>
      </c>
      <c r="E10">
        <v>6.9</v>
      </c>
      <c r="I10">
        <v>1129.5999999999999</v>
      </c>
      <c r="Q10">
        <v>268700</v>
      </c>
    </row>
    <row r="11" spans="1:19" x14ac:dyDescent="0.3">
      <c r="A11" s="295" t="s">
        <v>146</v>
      </c>
      <c r="B11" s="294">
        <v>8</v>
      </c>
      <c r="C11">
        <v>1</v>
      </c>
      <c r="D11">
        <v>416</v>
      </c>
      <c r="E11">
        <v>12</v>
      </c>
      <c r="I11">
        <v>2122.4</v>
      </c>
      <c r="Q11">
        <v>366736</v>
      </c>
    </row>
    <row r="12" spans="1:19" x14ac:dyDescent="0.3">
      <c r="A12" s="297" t="s">
        <v>147</v>
      </c>
      <c r="B12" s="296">
        <v>9</v>
      </c>
      <c r="C12">
        <v>1</v>
      </c>
      <c r="D12" t="s">
        <v>913</v>
      </c>
      <c r="E12">
        <v>1.9500000000000002</v>
      </c>
      <c r="I12">
        <v>354.5</v>
      </c>
      <c r="L12">
        <v>60</v>
      </c>
      <c r="Q12">
        <v>44358</v>
      </c>
    </row>
    <row r="13" spans="1:19" x14ac:dyDescent="0.3">
      <c r="A13" s="295" t="s">
        <v>148</v>
      </c>
      <c r="B13" s="294">
        <v>10</v>
      </c>
      <c r="C13">
        <v>1</v>
      </c>
      <c r="D13">
        <v>25</v>
      </c>
      <c r="E13">
        <v>1</v>
      </c>
      <c r="I13">
        <v>184</v>
      </c>
      <c r="Q13">
        <v>18220</v>
      </c>
    </row>
    <row r="14" spans="1:19" x14ac:dyDescent="0.3">
      <c r="A14" s="297" t="s">
        <v>149</v>
      </c>
      <c r="B14" s="296">
        <v>11</v>
      </c>
      <c r="C14">
        <v>1</v>
      </c>
      <c r="D14">
        <v>30</v>
      </c>
      <c r="E14">
        <v>0.95000000000000007</v>
      </c>
      <c r="I14">
        <v>170.5</v>
      </c>
      <c r="L14">
        <v>60</v>
      </c>
      <c r="Q14">
        <v>26138</v>
      </c>
    </row>
    <row r="15" spans="1:19" x14ac:dyDescent="0.3">
      <c r="A15" s="295" t="s">
        <v>150</v>
      </c>
      <c r="B15" s="294">
        <v>12</v>
      </c>
      <c r="C15" t="s">
        <v>914</v>
      </c>
      <c r="E15">
        <v>52.85</v>
      </c>
      <c r="I15">
        <v>9156.1999999999989</v>
      </c>
      <c r="L15">
        <v>132</v>
      </c>
      <c r="O15">
        <v>50000</v>
      </c>
      <c r="P15">
        <v>50000</v>
      </c>
      <c r="Q15">
        <v>1966748</v>
      </c>
      <c r="R15">
        <v>1155</v>
      </c>
      <c r="S15">
        <v>7629.9676142925509</v>
      </c>
    </row>
    <row r="16" spans="1:19" x14ac:dyDescent="0.3">
      <c r="A16" s="293" t="s">
        <v>138</v>
      </c>
      <c r="B16" s="292">
        <v>2018</v>
      </c>
      <c r="C16">
        <v>2</v>
      </c>
      <c r="D16" t="s">
        <v>190</v>
      </c>
      <c r="E16">
        <v>10.9</v>
      </c>
      <c r="I16">
        <v>1554</v>
      </c>
      <c r="L16">
        <v>101.5</v>
      </c>
      <c r="Q16">
        <v>609512</v>
      </c>
      <c r="S16">
        <v>2629.9676142925505</v>
      </c>
    </row>
    <row r="17" spans="3:19" x14ac:dyDescent="0.3">
      <c r="C17">
        <v>2</v>
      </c>
      <c r="D17">
        <v>99</v>
      </c>
      <c r="S17">
        <v>2629.9676142925505</v>
      </c>
    </row>
    <row r="18" spans="3:19" x14ac:dyDescent="0.3">
      <c r="C18">
        <v>2</v>
      </c>
      <c r="D18">
        <v>102</v>
      </c>
      <c r="E18">
        <v>4.25</v>
      </c>
      <c r="I18">
        <v>628.79999999999995</v>
      </c>
      <c r="L18">
        <v>101.5</v>
      </c>
      <c r="Q18">
        <v>166291</v>
      </c>
    </row>
    <row r="19" spans="3:19" x14ac:dyDescent="0.3">
      <c r="C19">
        <v>2</v>
      </c>
      <c r="D19">
        <v>103</v>
      </c>
      <c r="E19">
        <v>6.65</v>
      </c>
      <c r="I19">
        <v>925.2</v>
      </c>
      <c r="Q19">
        <v>443221</v>
      </c>
    </row>
    <row r="20" spans="3:19" x14ac:dyDescent="0.3">
      <c r="C20">
        <v>2</v>
      </c>
      <c r="D20" t="s">
        <v>912</v>
      </c>
      <c r="E20">
        <v>39.9</v>
      </c>
      <c r="I20">
        <v>5929.6</v>
      </c>
      <c r="O20">
        <v>25000</v>
      </c>
      <c r="P20">
        <v>25000</v>
      </c>
      <c r="Q20">
        <v>1288066</v>
      </c>
      <c r="R20">
        <v>220</v>
      </c>
      <c r="S20">
        <v>5000</v>
      </c>
    </row>
    <row r="21" spans="3:19" x14ac:dyDescent="0.3">
      <c r="C21">
        <v>2</v>
      </c>
      <c r="D21">
        <v>303</v>
      </c>
      <c r="E21">
        <v>21</v>
      </c>
      <c r="I21">
        <v>3136</v>
      </c>
      <c r="Q21">
        <v>662120</v>
      </c>
      <c r="R21">
        <v>220</v>
      </c>
      <c r="S21">
        <v>5000</v>
      </c>
    </row>
    <row r="22" spans="3:19" x14ac:dyDescent="0.3">
      <c r="C22">
        <v>2</v>
      </c>
      <c r="D22">
        <v>304</v>
      </c>
      <c r="E22">
        <v>6.9</v>
      </c>
      <c r="I22">
        <v>945.6</v>
      </c>
      <c r="O22">
        <v>25000</v>
      </c>
      <c r="P22">
        <v>25000</v>
      </c>
      <c r="Q22">
        <v>252903</v>
      </c>
    </row>
    <row r="23" spans="3:19" x14ac:dyDescent="0.3">
      <c r="C23">
        <v>2</v>
      </c>
      <c r="D23">
        <v>416</v>
      </c>
      <c r="E23">
        <v>12</v>
      </c>
      <c r="I23">
        <v>1848</v>
      </c>
      <c r="Q23">
        <v>373043</v>
      </c>
    </row>
    <row r="24" spans="3:19" x14ac:dyDescent="0.3">
      <c r="C24">
        <v>2</v>
      </c>
      <c r="D24" t="s">
        <v>913</v>
      </c>
      <c r="E24">
        <v>1.9500000000000002</v>
      </c>
      <c r="I24">
        <v>299.2</v>
      </c>
      <c r="L24">
        <v>57</v>
      </c>
      <c r="Q24">
        <v>42486</v>
      </c>
    </row>
    <row r="25" spans="3:19" x14ac:dyDescent="0.3">
      <c r="C25">
        <v>2</v>
      </c>
      <c r="D25">
        <v>25</v>
      </c>
      <c r="E25">
        <v>1</v>
      </c>
      <c r="I25">
        <v>160</v>
      </c>
      <c r="Q25">
        <v>18220</v>
      </c>
    </row>
    <row r="26" spans="3:19" x14ac:dyDescent="0.3">
      <c r="C26">
        <v>2</v>
      </c>
      <c r="D26">
        <v>30</v>
      </c>
      <c r="E26">
        <v>0.95000000000000007</v>
      </c>
      <c r="I26">
        <v>139.19999999999999</v>
      </c>
      <c r="L26">
        <v>57</v>
      </c>
      <c r="Q26">
        <v>24266</v>
      </c>
    </row>
    <row r="27" spans="3:19" x14ac:dyDescent="0.3">
      <c r="C27" t="s">
        <v>915</v>
      </c>
      <c r="E27">
        <v>52.75</v>
      </c>
      <c r="I27">
        <v>7782.8</v>
      </c>
      <c r="L27">
        <v>158.5</v>
      </c>
      <c r="O27">
        <v>25000</v>
      </c>
      <c r="P27">
        <v>25000</v>
      </c>
      <c r="Q27">
        <v>1940064</v>
      </c>
      <c r="R27">
        <v>220</v>
      </c>
      <c r="S27">
        <v>7629.9676142925509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3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4" customWidth="1" collapsed="1"/>
    <col min="2" max="2" width="7.77734375" style="91" hidden="1" customWidth="1" outlineLevel="1"/>
    <col min="3" max="4" width="5.44140625" style="114" hidden="1" customWidth="1"/>
    <col min="5" max="5" width="7.77734375" style="91" customWidth="1"/>
    <col min="6" max="6" width="7.77734375" style="91" hidden="1" customWidth="1"/>
    <col min="7" max="7" width="5.44140625" style="114" hidden="1" customWidth="1"/>
    <col min="8" max="8" width="7.77734375" style="91" customWidth="1" collapsed="1"/>
    <col min="9" max="9" width="7.77734375" style="192" hidden="1" customWidth="1" outlineLevel="1"/>
    <col min="10" max="10" width="7.77734375" style="192" customWidth="1" collapsed="1"/>
    <col min="11" max="12" width="7.77734375" style="91" hidden="1" customWidth="1"/>
    <col min="13" max="13" width="5.44140625" style="114" hidden="1" customWidth="1"/>
    <col min="14" max="14" width="7.77734375" style="91" customWidth="1"/>
    <col min="15" max="15" width="7.77734375" style="91" hidden="1" customWidth="1"/>
    <col min="16" max="16" width="5.44140625" style="114" hidden="1" customWidth="1"/>
    <col min="17" max="17" width="7.77734375" style="91" customWidth="1" collapsed="1"/>
    <col min="18" max="18" width="7.77734375" style="192" hidden="1" customWidth="1" outlineLevel="1"/>
    <col min="19" max="19" width="7.77734375" style="192" customWidth="1" collapsed="1"/>
    <col min="20" max="21" width="7.77734375" style="91" hidden="1" customWidth="1"/>
    <col min="22" max="22" width="5" style="114" hidden="1" customWidth="1"/>
    <col min="23" max="23" width="7.77734375" style="91" customWidth="1"/>
    <col min="24" max="24" width="7.77734375" style="91" hidden="1" customWidth="1"/>
    <col min="25" max="25" width="5" style="114" hidden="1" customWidth="1"/>
    <col min="26" max="26" width="7.77734375" style="91" customWidth="1" collapsed="1"/>
    <col min="27" max="27" width="7.77734375" style="192" hidden="1" customWidth="1" outlineLevel="1"/>
    <col min="28" max="28" width="7.77734375" style="192" customWidth="1" collapsed="1"/>
    <col min="29" max="16384" width="8.88671875" style="114"/>
  </cols>
  <sheetData>
    <row r="1" spans="1:28" ht="18.600000000000001" customHeight="1" thickBot="1" x14ac:dyDescent="0.4">
      <c r="A1" s="398" t="s">
        <v>928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</row>
    <row r="2" spans="1:28" ht="14.4" customHeight="1" thickBot="1" x14ac:dyDescent="0.35">
      <c r="A2" s="207" t="s">
        <v>242</v>
      </c>
      <c r="B2" s="96"/>
      <c r="C2" s="96"/>
      <c r="D2" s="96"/>
      <c r="E2" s="96"/>
      <c r="F2" s="96"/>
      <c r="G2" s="96"/>
      <c r="H2" s="96"/>
      <c r="I2" s="204"/>
      <c r="J2" s="204"/>
      <c r="K2" s="96"/>
      <c r="L2" s="96"/>
      <c r="M2" s="96"/>
      <c r="N2" s="96"/>
      <c r="O2" s="96"/>
      <c r="P2" s="96"/>
      <c r="Q2" s="96"/>
      <c r="R2" s="204"/>
      <c r="S2" s="204"/>
      <c r="T2" s="96"/>
      <c r="U2" s="96"/>
      <c r="V2" s="96"/>
      <c r="W2" s="96"/>
      <c r="X2" s="96"/>
      <c r="Y2" s="96"/>
      <c r="Z2" s="96"/>
      <c r="AA2" s="204"/>
      <c r="AB2" s="204"/>
    </row>
    <row r="3" spans="1:28" ht="14.4" customHeight="1" thickBot="1" x14ac:dyDescent="0.35">
      <c r="A3" s="198" t="s">
        <v>107</v>
      </c>
      <c r="B3" s="199">
        <f>SUBTOTAL(9,B6:B1048576)/4</f>
        <v>3526990.13</v>
      </c>
      <c r="C3" s="200">
        <f t="shared" ref="C3:Z3" si="0">SUBTOTAL(9,C6:C1048576)</f>
        <v>13</v>
      </c>
      <c r="D3" s="200"/>
      <c r="E3" s="200">
        <f>SUBTOTAL(9,E6:E1048576)/4</f>
        <v>3383826.6500000004</v>
      </c>
      <c r="F3" s="200"/>
      <c r="G3" s="200">
        <f t="shared" si="0"/>
        <v>13</v>
      </c>
      <c r="H3" s="200">
        <f>SUBTOTAL(9,H6:H1048576)/4</f>
        <v>3135497.810000001</v>
      </c>
      <c r="I3" s="203">
        <f>IF(B3&lt;&gt;0,H3/B3,"")</f>
        <v>0.8890010162858043</v>
      </c>
      <c r="J3" s="201">
        <f>IF(E3&lt;&gt;0,H3/E3,"")</f>
        <v>0.92661301370151472</v>
      </c>
      <c r="K3" s="202">
        <f t="shared" si="0"/>
        <v>586158</v>
      </c>
      <c r="L3" s="202"/>
      <c r="M3" s="200">
        <f t="shared" si="0"/>
        <v>2.3457358021448043</v>
      </c>
      <c r="N3" s="200">
        <f t="shared" si="0"/>
        <v>755150</v>
      </c>
      <c r="O3" s="200"/>
      <c r="P3" s="200">
        <f t="shared" si="0"/>
        <v>3</v>
      </c>
      <c r="Q3" s="200">
        <f t="shared" si="0"/>
        <v>569436</v>
      </c>
      <c r="R3" s="203">
        <f>IF(K3&lt;&gt;0,Q3/K3,"")</f>
        <v>0.97147185571125871</v>
      </c>
      <c r="S3" s="203">
        <f>IF(N3&lt;&gt;0,Q3/N3,"")</f>
        <v>0.75407005230748858</v>
      </c>
      <c r="T3" s="199">
        <f t="shared" si="0"/>
        <v>0</v>
      </c>
      <c r="U3" s="202"/>
      <c r="V3" s="200">
        <f t="shared" si="0"/>
        <v>0</v>
      </c>
      <c r="W3" s="200">
        <f t="shared" si="0"/>
        <v>0</v>
      </c>
      <c r="X3" s="200"/>
      <c r="Y3" s="200">
        <f t="shared" si="0"/>
        <v>0</v>
      </c>
      <c r="Z3" s="200">
        <f t="shared" si="0"/>
        <v>0</v>
      </c>
      <c r="AA3" s="203" t="str">
        <f>IF(T3&lt;&gt;0,Z3/T3,"")</f>
        <v/>
      </c>
      <c r="AB3" s="201" t="str">
        <f>IF(W3&lt;&gt;0,Z3/W3,"")</f>
        <v/>
      </c>
    </row>
    <row r="4" spans="1:28" ht="14.4" customHeight="1" x14ac:dyDescent="0.3">
      <c r="A4" s="399" t="s">
        <v>182</v>
      </c>
      <c r="B4" s="400" t="s">
        <v>84</v>
      </c>
      <c r="C4" s="401"/>
      <c r="D4" s="402"/>
      <c r="E4" s="401"/>
      <c r="F4" s="402"/>
      <c r="G4" s="401"/>
      <c r="H4" s="401"/>
      <c r="I4" s="402"/>
      <c r="J4" s="403"/>
      <c r="K4" s="400" t="s">
        <v>85</v>
      </c>
      <c r="L4" s="402"/>
      <c r="M4" s="401"/>
      <c r="N4" s="401"/>
      <c r="O4" s="402"/>
      <c r="P4" s="401"/>
      <c r="Q4" s="401"/>
      <c r="R4" s="402"/>
      <c r="S4" s="403"/>
      <c r="T4" s="400" t="s">
        <v>86</v>
      </c>
      <c r="U4" s="402"/>
      <c r="V4" s="401"/>
      <c r="W4" s="401"/>
      <c r="X4" s="402"/>
      <c r="Y4" s="401"/>
      <c r="Z4" s="401"/>
      <c r="AA4" s="402"/>
      <c r="AB4" s="403"/>
    </row>
    <row r="5" spans="1:28" ht="14.4" customHeight="1" thickBot="1" x14ac:dyDescent="0.35">
      <c r="A5" s="516"/>
      <c r="B5" s="517">
        <v>2015</v>
      </c>
      <c r="C5" s="518"/>
      <c r="D5" s="518"/>
      <c r="E5" s="518">
        <v>2017</v>
      </c>
      <c r="F5" s="518"/>
      <c r="G5" s="518"/>
      <c r="H5" s="518">
        <v>2018</v>
      </c>
      <c r="I5" s="519" t="s">
        <v>183</v>
      </c>
      <c r="J5" s="520" t="s">
        <v>2</v>
      </c>
      <c r="K5" s="517">
        <v>2015</v>
      </c>
      <c r="L5" s="518"/>
      <c r="M5" s="518"/>
      <c r="N5" s="518">
        <v>2017</v>
      </c>
      <c r="O5" s="518"/>
      <c r="P5" s="518"/>
      <c r="Q5" s="518">
        <v>2018</v>
      </c>
      <c r="R5" s="519" t="s">
        <v>183</v>
      </c>
      <c r="S5" s="520" t="s">
        <v>2</v>
      </c>
      <c r="T5" s="517">
        <v>2015</v>
      </c>
      <c r="U5" s="518"/>
      <c r="V5" s="518"/>
      <c r="W5" s="518">
        <v>2017</v>
      </c>
      <c r="X5" s="518"/>
      <c r="Y5" s="518"/>
      <c r="Z5" s="518">
        <v>2018</v>
      </c>
      <c r="AA5" s="519" t="s">
        <v>183</v>
      </c>
      <c r="AB5" s="520" t="s">
        <v>2</v>
      </c>
    </row>
    <row r="6" spans="1:28" ht="14.4" customHeight="1" x14ac:dyDescent="0.3">
      <c r="A6" s="521" t="s">
        <v>925</v>
      </c>
      <c r="B6" s="522">
        <v>3526990.13</v>
      </c>
      <c r="C6" s="523">
        <v>1</v>
      </c>
      <c r="D6" s="523">
        <v>1.0423081602008188</v>
      </c>
      <c r="E6" s="522">
        <v>3383826.65</v>
      </c>
      <c r="F6" s="523">
        <v>0.95940916341605975</v>
      </c>
      <c r="G6" s="523">
        <v>1</v>
      </c>
      <c r="H6" s="522">
        <v>3135497.8100000024</v>
      </c>
      <c r="I6" s="523">
        <v>0.88900101628580475</v>
      </c>
      <c r="J6" s="523">
        <v>0.92661301370151528</v>
      </c>
      <c r="K6" s="522">
        <v>293079</v>
      </c>
      <c r="L6" s="523">
        <v>1</v>
      </c>
      <c r="M6" s="523">
        <v>0.77621399721909556</v>
      </c>
      <c r="N6" s="522">
        <v>377575</v>
      </c>
      <c r="O6" s="523">
        <v>1.2883045185769024</v>
      </c>
      <c r="P6" s="523">
        <v>1</v>
      </c>
      <c r="Q6" s="522">
        <v>284718</v>
      </c>
      <c r="R6" s="523">
        <v>0.97147185571125871</v>
      </c>
      <c r="S6" s="523">
        <v>0.75407005230748858</v>
      </c>
      <c r="T6" s="522"/>
      <c r="U6" s="523"/>
      <c r="V6" s="523"/>
      <c r="W6" s="522"/>
      <c r="X6" s="523"/>
      <c r="Y6" s="523"/>
      <c r="Z6" s="522"/>
      <c r="AA6" s="523"/>
      <c r="AB6" s="524"/>
    </row>
    <row r="7" spans="1:28" ht="14.4" customHeight="1" x14ac:dyDescent="0.3">
      <c r="A7" s="531" t="s">
        <v>926</v>
      </c>
      <c r="B7" s="525">
        <v>2382111.29</v>
      </c>
      <c r="C7" s="526">
        <v>1</v>
      </c>
      <c r="D7" s="526">
        <v>1.04566774304396</v>
      </c>
      <c r="E7" s="525">
        <v>2278076.67</v>
      </c>
      <c r="F7" s="526">
        <v>0.95632671721227591</v>
      </c>
      <c r="G7" s="526">
        <v>1</v>
      </c>
      <c r="H7" s="525">
        <v>1993253.3300000024</v>
      </c>
      <c r="I7" s="526">
        <v>0.83675911296319094</v>
      </c>
      <c r="J7" s="526">
        <v>0.87497201312368578</v>
      </c>
      <c r="K7" s="525">
        <v>139624</v>
      </c>
      <c r="L7" s="526">
        <v>1</v>
      </c>
      <c r="M7" s="526">
        <v>0.68252431930390578</v>
      </c>
      <c r="N7" s="525">
        <v>204570</v>
      </c>
      <c r="O7" s="526">
        <v>1.4651492580072194</v>
      </c>
      <c r="P7" s="526">
        <v>1</v>
      </c>
      <c r="Q7" s="525">
        <v>136830</v>
      </c>
      <c r="R7" s="526">
        <v>0.97998911361943508</v>
      </c>
      <c r="S7" s="526">
        <v>0.66886640269834285</v>
      </c>
      <c r="T7" s="525"/>
      <c r="U7" s="526"/>
      <c r="V7" s="526"/>
      <c r="W7" s="525"/>
      <c r="X7" s="526"/>
      <c r="Y7" s="526"/>
      <c r="Z7" s="525"/>
      <c r="AA7" s="526"/>
      <c r="AB7" s="527"/>
    </row>
    <row r="8" spans="1:28" ht="14.4" customHeight="1" thickBot="1" x14ac:dyDescent="0.35">
      <c r="A8" s="532" t="s">
        <v>927</v>
      </c>
      <c r="B8" s="528">
        <v>1144878.8399999996</v>
      </c>
      <c r="C8" s="529">
        <v>1</v>
      </c>
      <c r="D8" s="529">
        <v>1.0353867155394383</v>
      </c>
      <c r="E8" s="528">
        <v>1105749.98</v>
      </c>
      <c r="F8" s="529">
        <v>0.96582270661933134</v>
      </c>
      <c r="G8" s="529">
        <v>1</v>
      </c>
      <c r="H8" s="528">
        <v>1142244.4800000002</v>
      </c>
      <c r="I8" s="529">
        <v>0.99769900542488898</v>
      </c>
      <c r="J8" s="529">
        <v>1.0330042963238402</v>
      </c>
      <c r="K8" s="528">
        <v>153455</v>
      </c>
      <c r="L8" s="529">
        <v>1</v>
      </c>
      <c r="M8" s="529">
        <v>0.88699748562180281</v>
      </c>
      <c r="N8" s="528">
        <v>173005</v>
      </c>
      <c r="O8" s="529">
        <v>1.1273989117330814</v>
      </c>
      <c r="P8" s="529">
        <v>1</v>
      </c>
      <c r="Q8" s="528">
        <v>147888</v>
      </c>
      <c r="R8" s="529">
        <v>0.96372226385585347</v>
      </c>
      <c r="S8" s="529">
        <v>0.85481922487789375</v>
      </c>
      <c r="T8" s="528"/>
      <c r="U8" s="529"/>
      <c r="V8" s="529"/>
      <c r="W8" s="528"/>
      <c r="X8" s="529"/>
      <c r="Y8" s="529"/>
      <c r="Z8" s="528"/>
      <c r="AA8" s="529"/>
      <c r="AB8" s="530"/>
    </row>
    <row r="9" spans="1:28" ht="14.4" customHeight="1" thickBot="1" x14ac:dyDescent="0.35"/>
    <row r="10" spans="1:28" ht="14.4" customHeight="1" x14ac:dyDescent="0.3">
      <c r="A10" s="521" t="s">
        <v>425</v>
      </c>
      <c r="B10" s="522">
        <v>246723.36999999997</v>
      </c>
      <c r="C10" s="523">
        <v>1</v>
      </c>
      <c r="D10" s="523">
        <v>1.1776020308393684</v>
      </c>
      <c r="E10" s="522">
        <v>209513.36999999997</v>
      </c>
      <c r="F10" s="523">
        <v>0.84918331814290637</v>
      </c>
      <c r="G10" s="523">
        <v>1</v>
      </c>
      <c r="H10" s="522">
        <v>183404.46999999997</v>
      </c>
      <c r="I10" s="523">
        <v>0.74336075257078404</v>
      </c>
      <c r="J10" s="524">
        <v>0.87538313187363648</v>
      </c>
    </row>
    <row r="11" spans="1:28" ht="14.4" customHeight="1" x14ac:dyDescent="0.3">
      <c r="A11" s="531" t="s">
        <v>929</v>
      </c>
      <c r="B11" s="525">
        <v>246723.36999999997</v>
      </c>
      <c r="C11" s="526">
        <v>1</v>
      </c>
      <c r="D11" s="526">
        <v>1.1776020308393684</v>
      </c>
      <c r="E11" s="525">
        <v>209513.36999999997</v>
      </c>
      <c r="F11" s="526">
        <v>0.84918331814290637</v>
      </c>
      <c r="G11" s="526">
        <v>1</v>
      </c>
      <c r="H11" s="525">
        <v>183404.46999999997</v>
      </c>
      <c r="I11" s="526">
        <v>0.74336075257078404</v>
      </c>
      <c r="J11" s="527">
        <v>0.87538313187363648</v>
      </c>
    </row>
    <row r="12" spans="1:28" ht="14.4" customHeight="1" x14ac:dyDescent="0.3">
      <c r="A12" s="533" t="s">
        <v>930</v>
      </c>
      <c r="B12" s="534">
        <v>1144878.8399999996</v>
      </c>
      <c r="C12" s="535">
        <v>1</v>
      </c>
      <c r="D12" s="535">
        <v>1.0353867155394387</v>
      </c>
      <c r="E12" s="534">
        <v>1105749.9799999995</v>
      </c>
      <c r="F12" s="535">
        <v>0.9658227066193309</v>
      </c>
      <c r="G12" s="535">
        <v>1</v>
      </c>
      <c r="H12" s="534">
        <v>1142244.48</v>
      </c>
      <c r="I12" s="535">
        <v>0.99769900542488876</v>
      </c>
      <c r="J12" s="536">
        <v>1.0330042963238404</v>
      </c>
    </row>
    <row r="13" spans="1:28" ht="14.4" customHeight="1" x14ac:dyDescent="0.3">
      <c r="A13" s="531" t="s">
        <v>929</v>
      </c>
      <c r="B13" s="525">
        <v>1144878.8399999996</v>
      </c>
      <c r="C13" s="526">
        <v>1</v>
      </c>
      <c r="D13" s="526">
        <v>1.0353867155394387</v>
      </c>
      <c r="E13" s="525">
        <v>1105749.9799999995</v>
      </c>
      <c r="F13" s="526">
        <v>0.9658227066193309</v>
      </c>
      <c r="G13" s="526">
        <v>1</v>
      </c>
      <c r="H13" s="525">
        <v>1142244.48</v>
      </c>
      <c r="I13" s="526">
        <v>0.99769900542488876</v>
      </c>
      <c r="J13" s="527">
        <v>1.0330042963238404</v>
      </c>
    </row>
    <row r="14" spans="1:28" ht="14.4" customHeight="1" x14ac:dyDescent="0.3">
      <c r="A14" s="533" t="s">
        <v>931</v>
      </c>
      <c r="B14" s="534">
        <v>618312.23999999964</v>
      </c>
      <c r="C14" s="535">
        <v>1</v>
      </c>
      <c r="D14" s="535">
        <v>1.3210358433749538</v>
      </c>
      <c r="E14" s="534">
        <v>468051.07000000007</v>
      </c>
      <c r="F14" s="535">
        <v>0.75698173143070946</v>
      </c>
      <c r="G14" s="535">
        <v>1</v>
      </c>
      <c r="H14" s="534">
        <v>502104.42999999976</v>
      </c>
      <c r="I14" s="535">
        <v>0.81205642961232671</v>
      </c>
      <c r="J14" s="536">
        <v>1.0727556503609739</v>
      </c>
    </row>
    <row r="15" spans="1:28" ht="14.4" customHeight="1" x14ac:dyDescent="0.3">
      <c r="A15" s="531" t="s">
        <v>929</v>
      </c>
      <c r="B15" s="525">
        <v>618312.23999999964</v>
      </c>
      <c r="C15" s="526">
        <v>1</v>
      </c>
      <c r="D15" s="526">
        <v>1.3210358433749538</v>
      </c>
      <c r="E15" s="525">
        <v>468051.07000000007</v>
      </c>
      <c r="F15" s="526">
        <v>0.75698173143070946</v>
      </c>
      <c r="G15" s="526">
        <v>1</v>
      </c>
      <c r="H15" s="525">
        <v>502104.42999999976</v>
      </c>
      <c r="I15" s="526">
        <v>0.81205642961232671</v>
      </c>
      <c r="J15" s="527">
        <v>1.0727556503609739</v>
      </c>
    </row>
    <row r="16" spans="1:28" ht="14.4" customHeight="1" x14ac:dyDescent="0.3">
      <c r="A16" s="533" t="s">
        <v>932</v>
      </c>
      <c r="B16" s="534">
        <v>517328.93000000017</v>
      </c>
      <c r="C16" s="535">
        <v>1</v>
      </c>
      <c r="D16" s="535">
        <v>0.83528316832878935</v>
      </c>
      <c r="E16" s="534">
        <v>619345.57000000018</v>
      </c>
      <c r="F16" s="535">
        <v>1.1971987918788922</v>
      </c>
      <c r="G16" s="535">
        <v>1</v>
      </c>
      <c r="H16" s="534">
        <v>636128.86</v>
      </c>
      <c r="I16" s="535">
        <v>1.2296409945602691</v>
      </c>
      <c r="J16" s="536">
        <v>1.0270984258432652</v>
      </c>
    </row>
    <row r="17" spans="1:10" ht="14.4" customHeight="1" x14ac:dyDescent="0.3">
      <c r="A17" s="531" t="s">
        <v>929</v>
      </c>
      <c r="B17" s="525">
        <v>517328.93000000017</v>
      </c>
      <c r="C17" s="526">
        <v>1</v>
      </c>
      <c r="D17" s="526">
        <v>0.83528316832878935</v>
      </c>
      <c r="E17" s="525">
        <v>619345.57000000018</v>
      </c>
      <c r="F17" s="526">
        <v>1.1971987918788922</v>
      </c>
      <c r="G17" s="526">
        <v>1</v>
      </c>
      <c r="H17" s="525">
        <v>636128.86</v>
      </c>
      <c r="I17" s="526">
        <v>1.2296409945602691</v>
      </c>
      <c r="J17" s="527">
        <v>1.0270984258432652</v>
      </c>
    </row>
    <row r="18" spans="1:10" ht="14.4" customHeight="1" x14ac:dyDescent="0.3">
      <c r="A18" s="533" t="s">
        <v>933</v>
      </c>
      <c r="B18" s="534">
        <v>999746.75</v>
      </c>
      <c r="C18" s="535">
        <v>1</v>
      </c>
      <c r="D18" s="535">
        <v>1.0189367319105602</v>
      </c>
      <c r="E18" s="534">
        <v>981166.66000000027</v>
      </c>
      <c r="F18" s="535">
        <v>0.98141520340026134</v>
      </c>
      <c r="G18" s="535">
        <v>1</v>
      </c>
      <c r="H18" s="534">
        <v>671615.57000000007</v>
      </c>
      <c r="I18" s="535">
        <v>0.67178569972845625</v>
      </c>
      <c r="J18" s="536">
        <v>0.68450712542556214</v>
      </c>
    </row>
    <row r="19" spans="1:10" ht="14.4" customHeight="1" thickBot="1" x14ac:dyDescent="0.35">
      <c r="A19" s="532" t="s">
        <v>929</v>
      </c>
      <c r="B19" s="528">
        <v>999746.75</v>
      </c>
      <c r="C19" s="529">
        <v>1</v>
      </c>
      <c r="D19" s="529">
        <v>1.0189367319105602</v>
      </c>
      <c r="E19" s="528">
        <v>981166.66000000027</v>
      </c>
      <c r="F19" s="529">
        <v>0.98141520340026134</v>
      </c>
      <c r="G19" s="529">
        <v>1</v>
      </c>
      <c r="H19" s="528">
        <v>671615.57000000007</v>
      </c>
      <c r="I19" s="529">
        <v>0.67178569972845625</v>
      </c>
      <c r="J19" s="530">
        <v>0.68450712542556214</v>
      </c>
    </row>
    <row r="20" spans="1:10" ht="14.4" customHeight="1" x14ac:dyDescent="0.3">
      <c r="A20" s="537" t="s">
        <v>219</v>
      </c>
    </row>
    <row r="21" spans="1:10" ht="14.4" customHeight="1" x14ac:dyDescent="0.3">
      <c r="A21" s="538" t="s">
        <v>934</v>
      </c>
    </row>
    <row r="22" spans="1:10" ht="14.4" customHeight="1" x14ac:dyDescent="0.3">
      <c r="A22" s="537" t="s">
        <v>935</v>
      </c>
    </row>
    <row r="23" spans="1:10" ht="14.4" customHeight="1" x14ac:dyDescent="0.3">
      <c r="A23" s="537" t="s">
        <v>936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4" bestFit="1" customWidth="1"/>
    <col min="2" max="2" width="7.77734375" style="189" hidden="1" customWidth="1" outlineLevel="1"/>
    <col min="3" max="3" width="7.77734375" style="189" customWidth="1" collapsed="1"/>
    <col min="4" max="4" width="7.77734375" style="189" customWidth="1"/>
    <col min="5" max="5" width="7.77734375" style="91" hidden="1" customWidth="1" outlineLevel="1"/>
    <col min="6" max="6" width="7.77734375" style="91" customWidth="1" collapsed="1"/>
    <col min="7" max="7" width="7.77734375" style="91" customWidth="1"/>
    <col min="8" max="16384" width="8.88671875" style="114"/>
  </cols>
  <sheetData>
    <row r="1" spans="1:7" ht="18.600000000000001" customHeight="1" thickBot="1" x14ac:dyDescent="0.4">
      <c r="A1" s="398" t="s">
        <v>937</v>
      </c>
      <c r="B1" s="304"/>
      <c r="C1" s="304"/>
      <c r="D1" s="304"/>
      <c r="E1" s="304"/>
      <c r="F1" s="304"/>
      <c r="G1" s="304"/>
    </row>
    <row r="2" spans="1:7" ht="14.4" customHeight="1" thickBot="1" x14ac:dyDescent="0.35">
      <c r="A2" s="207" t="s">
        <v>242</v>
      </c>
      <c r="B2" s="96"/>
      <c r="C2" s="96"/>
      <c r="D2" s="96"/>
      <c r="E2" s="96"/>
      <c r="F2" s="96"/>
      <c r="G2" s="96"/>
    </row>
    <row r="3" spans="1:7" ht="14.4" customHeight="1" thickBot="1" x14ac:dyDescent="0.35">
      <c r="A3" s="248" t="s">
        <v>107</v>
      </c>
      <c r="B3" s="234">
        <f t="shared" ref="B3:G3" si="0">SUBTOTAL(9,B6:B1048576)</f>
        <v>13450</v>
      </c>
      <c r="C3" s="235">
        <f t="shared" si="0"/>
        <v>14468</v>
      </c>
      <c r="D3" s="247">
        <f t="shared" si="0"/>
        <v>12787</v>
      </c>
      <c r="E3" s="202">
        <f t="shared" si="0"/>
        <v>3526990.1299999994</v>
      </c>
      <c r="F3" s="200">
        <f t="shared" si="0"/>
        <v>3383826.6500000013</v>
      </c>
      <c r="G3" s="236">
        <f t="shared" si="0"/>
        <v>3135497.8100000019</v>
      </c>
    </row>
    <row r="4" spans="1:7" ht="14.4" customHeight="1" x14ac:dyDescent="0.3">
      <c r="A4" s="399" t="s">
        <v>115</v>
      </c>
      <c r="B4" s="404" t="s">
        <v>180</v>
      </c>
      <c r="C4" s="402"/>
      <c r="D4" s="405"/>
      <c r="E4" s="404" t="s">
        <v>84</v>
      </c>
      <c r="F4" s="402"/>
      <c r="G4" s="405"/>
    </row>
    <row r="5" spans="1:7" ht="14.4" customHeight="1" thickBot="1" x14ac:dyDescent="0.35">
      <c r="A5" s="516"/>
      <c r="B5" s="517">
        <v>2015</v>
      </c>
      <c r="C5" s="518">
        <v>2017</v>
      </c>
      <c r="D5" s="539">
        <v>2018</v>
      </c>
      <c r="E5" s="517">
        <v>2015</v>
      </c>
      <c r="F5" s="518">
        <v>2017</v>
      </c>
      <c r="G5" s="539">
        <v>2018</v>
      </c>
    </row>
    <row r="6" spans="1:7" ht="14.4" customHeight="1" thickBot="1" x14ac:dyDescent="0.35">
      <c r="A6" s="542" t="s">
        <v>929</v>
      </c>
      <c r="B6" s="484">
        <v>13450</v>
      </c>
      <c r="C6" s="484">
        <v>14468</v>
      </c>
      <c r="D6" s="484">
        <v>12787</v>
      </c>
      <c r="E6" s="540">
        <v>3526990.1299999994</v>
      </c>
      <c r="F6" s="540">
        <v>3383826.6500000013</v>
      </c>
      <c r="G6" s="541">
        <v>3135497.8100000019</v>
      </c>
    </row>
    <row r="7" spans="1:7" ht="14.4" customHeight="1" x14ac:dyDescent="0.3">
      <c r="A7" s="537" t="s">
        <v>219</v>
      </c>
    </row>
    <row r="8" spans="1:7" ht="14.4" customHeight="1" x14ac:dyDescent="0.3">
      <c r="A8" s="538" t="s">
        <v>934</v>
      </c>
    </row>
    <row r="9" spans="1:7" ht="14.4" customHeight="1" x14ac:dyDescent="0.3">
      <c r="A9" s="537" t="s">
        <v>935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35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4" customWidth="1"/>
    <col min="2" max="2" width="8.6640625" style="114" bestFit="1" customWidth="1"/>
    <col min="3" max="3" width="6.109375" style="114" customWidth="1"/>
    <col min="4" max="4" width="2.109375" style="114" bestFit="1" customWidth="1"/>
    <col min="5" max="5" width="8" style="114" customWidth="1"/>
    <col min="6" max="6" width="50.88671875" style="114" bestFit="1" customWidth="1" collapsed="1"/>
    <col min="7" max="8" width="11.109375" style="189" hidden="1" customWidth="1" outlineLevel="1"/>
    <col min="9" max="10" width="9.33203125" style="114" hidden="1" customWidth="1"/>
    <col min="11" max="12" width="11.109375" style="189" customWidth="1"/>
    <col min="13" max="14" width="9.33203125" style="114" hidden="1" customWidth="1"/>
    <col min="15" max="16" width="11.109375" style="189" customWidth="1"/>
    <col min="17" max="17" width="11.109375" style="192" customWidth="1"/>
    <col min="18" max="18" width="11.109375" style="189" customWidth="1"/>
    <col min="19" max="16384" width="8.88671875" style="114"/>
  </cols>
  <sheetData>
    <row r="1" spans="1:18" ht="18.600000000000001" customHeight="1" thickBot="1" x14ac:dyDescent="0.4">
      <c r="A1" s="304" t="s">
        <v>1204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</row>
    <row r="2" spans="1:18" ht="14.4" customHeight="1" thickBot="1" x14ac:dyDescent="0.35">
      <c r="A2" s="207" t="s">
        <v>242</v>
      </c>
      <c r="B2" s="179"/>
      <c r="C2" s="179"/>
      <c r="D2" s="96"/>
      <c r="E2" s="96"/>
      <c r="F2" s="96"/>
      <c r="G2" s="205"/>
      <c r="H2" s="205"/>
      <c r="I2" s="96"/>
      <c r="J2" s="96"/>
      <c r="K2" s="205"/>
      <c r="L2" s="205"/>
      <c r="M2" s="96"/>
      <c r="N2" s="96"/>
      <c r="O2" s="205"/>
      <c r="P2" s="205"/>
      <c r="Q2" s="204"/>
      <c r="R2" s="205"/>
    </row>
    <row r="3" spans="1:18" ht="14.4" customHeight="1" thickBot="1" x14ac:dyDescent="0.35">
      <c r="F3" s="73" t="s">
        <v>107</v>
      </c>
      <c r="G3" s="88">
        <f t="shared" ref="G3:P3" si="0">SUBTOTAL(9,G6:G1048576)</f>
        <v>13917</v>
      </c>
      <c r="H3" s="89">
        <f t="shared" si="0"/>
        <v>3820069.129999999</v>
      </c>
      <c r="I3" s="66"/>
      <c r="J3" s="66"/>
      <c r="K3" s="89">
        <f t="shared" si="0"/>
        <v>15027</v>
      </c>
      <c r="L3" s="89">
        <f t="shared" si="0"/>
        <v>3761401.65</v>
      </c>
      <c r="M3" s="66"/>
      <c r="N3" s="66"/>
      <c r="O3" s="89">
        <f t="shared" si="0"/>
        <v>13242</v>
      </c>
      <c r="P3" s="89">
        <f t="shared" si="0"/>
        <v>3420215.8099999996</v>
      </c>
      <c r="Q3" s="67">
        <f>IF(L3=0,0,P3/L3)</f>
        <v>0.90929289883200848</v>
      </c>
      <c r="R3" s="90">
        <f>IF(O3=0,0,P3/O3)</f>
        <v>258.2854410209938</v>
      </c>
    </row>
    <row r="4" spans="1:18" ht="14.4" customHeight="1" x14ac:dyDescent="0.3">
      <c r="A4" s="406" t="s">
        <v>184</v>
      </c>
      <c r="B4" s="406" t="s">
        <v>81</v>
      </c>
      <c r="C4" s="414" t="s">
        <v>0</v>
      </c>
      <c r="D4" s="408" t="s">
        <v>82</v>
      </c>
      <c r="E4" s="413" t="s">
        <v>57</v>
      </c>
      <c r="F4" s="409" t="s">
        <v>56</v>
      </c>
      <c r="G4" s="410">
        <v>2015</v>
      </c>
      <c r="H4" s="411"/>
      <c r="I4" s="87"/>
      <c r="J4" s="87"/>
      <c r="K4" s="410">
        <v>2017</v>
      </c>
      <c r="L4" s="411"/>
      <c r="M4" s="87"/>
      <c r="N4" s="87"/>
      <c r="O4" s="410">
        <v>2018</v>
      </c>
      <c r="P4" s="411"/>
      <c r="Q4" s="412" t="s">
        <v>2</v>
      </c>
      <c r="R4" s="407" t="s">
        <v>83</v>
      </c>
    </row>
    <row r="5" spans="1:18" ht="14.4" customHeight="1" thickBot="1" x14ac:dyDescent="0.35">
      <c r="A5" s="543"/>
      <c r="B5" s="543"/>
      <c r="C5" s="544"/>
      <c r="D5" s="545"/>
      <c r="E5" s="546"/>
      <c r="F5" s="547"/>
      <c r="G5" s="548" t="s">
        <v>58</v>
      </c>
      <c r="H5" s="549" t="s">
        <v>14</v>
      </c>
      <c r="I5" s="550"/>
      <c r="J5" s="550"/>
      <c r="K5" s="548" t="s">
        <v>58</v>
      </c>
      <c r="L5" s="549" t="s">
        <v>14</v>
      </c>
      <c r="M5" s="550"/>
      <c r="N5" s="550"/>
      <c r="O5" s="548" t="s">
        <v>58</v>
      </c>
      <c r="P5" s="549" t="s">
        <v>14</v>
      </c>
      <c r="Q5" s="551"/>
      <c r="R5" s="552"/>
    </row>
    <row r="6" spans="1:18" ht="14.4" customHeight="1" x14ac:dyDescent="0.3">
      <c r="A6" s="456"/>
      <c r="B6" s="457" t="s">
        <v>938</v>
      </c>
      <c r="C6" s="457" t="s">
        <v>425</v>
      </c>
      <c r="D6" s="457" t="s">
        <v>939</v>
      </c>
      <c r="E6" s="457" t="s">
        <v>940</v>
      </c>
      <c r="F6" s="457"/>
      <c r="G6" s="461">
        <v>19</v>
      </c>
      <c r="H6" s="461">
        <v>2147</v>
      </c>
      <c r="I6" s="457">
        <v>0.47499999999999998</v>
      </c>
      <c r="J6" s="457">
        <v>113</v>
      </c>
      <c r="K6" s="461">
        <v>40</v>
      </c>
      <c r="L6" s="461">
        <v>4520</v>
      </c>
      <c r="M6" s="457">
        <v>1</v>
      </c>
      <c r="N6" s="457">
        <v>113</v>
      </c>
      <c r="O6" s="461">
        <v>27</v>
      </c>
      <c r="P6" s="461">
        <v>3051</v>
      </c>
      <c r="Q6" s="482">
        <v>0.67500000000000004</v>
      </c>
      <c r="R6" s="462">
        <v>113</v>
      </c>
    </row>
    <row r="7" spans="1:18" ht="14.4" customHeight="1" x14ac:dyDescent="0.3">
      <c r="A7" s="463"/>
      <c r="B7" s="464" t="s">
        <v>938</v>
      </c>
      <c r="C7" s="464" t="s">
        <v>425</v>
      </c>
      <c r="D7" s="464" t="s">
        <v>939</v>
      </c>
      <c r="E7" s="464" t="s">
        <v>941</v>
      </c>
      <c r="F7" s="464"/>
      <c r="G7" s="468">
        <v>1</v>
      </c>
      <c r="H7" s="468">
        <v>132</v>
      </c>
      <c r="I7" s="464"/>
      <c r="J7" s="464">
        <v>132</v>
      </c>
      <c r="K7" s="468"/>
      <c r="L7" s="468"/>
      <c r="M7" s="464"/>
      <c r="N7" s="464"/>
      <c r="O7" s="468">
        <v>1</v>
      </c>
      <c r="P7" s="468">
        <v>132</v>
      </c>
      <c r="Q7" s="491"/>
      <c r="R7" s="469">
        <v>132</v>
      </c>
    </row>
    <row r="8" spans="1:18" ht="14.4" customHeight="1" x14ac:dyDescent="0.3">
      <c r="A8" s="463"/>
      <c r="B8" s="464" t="s">
        <v>938</v>
      </c>
      <c r="C8" s="464" t="s">
        <v>425</v>
      </c>
      <c r="D8" s="464" t="s">
        <v>939</v>
      </c>
      <c r="E8" s="464" t="s">
        <v>942</v>
      </c>
      <c r="F8" s="464"/>
      <c r="G8" s="468"/>
      <c r="H8" s="468"/>
      <c r="I8" s="464"/>
      <c r="J8" s="464"/>
      <c r="K8" s="468"/>
      <c r="L8" s="468"/>
      <c r="M8" s="464"/>
      <c r="N8" s="464"/>
      <c r="O8" s="468">
        <v>2</v>
      </c>
      <c r="P8" s="468">
        <v>312</v>
      </c>
      <c r="Q8" s="491"/>
      <c r="R8" s="469">
        <v>156</v>
      </c>
    </row>
    <row r="9" spans="1:18" ht="14.4" customHeight="1" x14ac:dyDescent="0.3">
      <c r="A9" s="463"/>
      <c r="B9" s="464" t="s">
        <v>938</v>
      </c>
      <c r="C9" s="464" t="s">
        <v>425</v>
      </c>
      <c r="D9" s="464" t="s">
        <v>939</v>
      </c>
      <c r="E9" s="464" t="s">
        <v>943</v>
      </c>
      <c r="F9" s="464"/>
      <c r="G9" s="468">
        <v>3</v>
      </c>
      <c r="H9" s="468">
        <v>657</v>
      </c>
      <c r="I9" s="464">
        <v>3</v>
      </c>
      <c r="J9" s="464">
        <v>219</v>
      </c>
      <c r="K9" s="468">
        <v>1</v>
      </c>
      <c r="L9" s="468">
        <v>219</v>
      </c>
      <c r="M9" s="464">
        <v>1</v>
      </c>
      <c r="N9" s="464">
        <v>219</v>
      </c>
      <c r="O9" s="468">
        <v>1</v>
      </c>
      <c r="P9" s="468">
        <v>219</v>
      </c>
      <c r="Q9" s="491">
        <v>1</v>
      </c>
      <c r="R9" s="469">
        <v>219</v>
      </c>
    </row>
    <row r="10" spans="1:18" ht="14.4" customHeight="1" x14ac:dyDescent="0.3">
      <c r="A10" s="463"/>
      <c r="B10" s="464" t="s">
        <v>938</v>
      </c>
      <c r="C10" s="464" t="s">
        <v>425</v>
      </c>
      <c r="D10" s="464" t="s">
        <v>939</v>
      </c>
      <c r="E10" s="464" t="s">
        <v>944</v>
      </c>
      <c r="F10" s="464"/>
      <c r="G10" s="468">
        <v>2</v>
      </c>
      <c r="H10" s="468">
        <v>472</v>
      </c>
      <c r="I10" s="464"/>
      <c r="J10" s="464">
        <v>236</v>
      </c>
      <c r="K10" s="468"/>
      <c r="L10" s="468"/>
      <c r="M10" s="464"/>
      <c r="N10" s="464"/>
      <c r="O10" s="468">
        <v>2</v>
      </c>
      <c r="P10" s="468">
        <v>472</v>
      </c>
      <c r="Q10" s="491"/>
      <c r="R10" s="469">
        <v>236</v>
      </c>
    </row>
    <row r="11" spans="1:18" ht="14.4" customHeight="1" x14ac:dyDescent="0.3">
      <c r="A11" s="463"/>
      <c r="B11" s="464" t="s">
        <v>938</v>
      </c>
      <c r="C11" s="464" t="s">
        <v>425</v>
      </c>
      <c r="D11" s="464" t="s">
        <v>939</v>
      </c>
      <c r="E11" s="464" t="s">
        <v>945</v>
      </c>
      <c r="F11" s="464"/>
      <c r="G11" s="468">
        <v>8</v>
      </c>
      <c r="H11" s="468">
        <v>1248</v>
      </c>
      <c r="I11" s="464">
        <v>1</v>
      </c>
      <c r="J11" s="464">
        <v>156</v>
      </c>
      <c r="K11" s="468">
        <v>8</v>
      </c>
      <c r="L11" s="468">
        <v>1248</v>
      </c>
      <c r="M11" s="464">
        <v>1</v>
      </c>
      <c r="N11" s="464">
        <v>156</v>
      </c>
      <c r="O11" s="468">
        <v>2</v>
      </c>
      <c r="P11" s="468">
        <v>312</v>
      </c>
      <c r="Q11" s="491">
        <v>0.25</v>
      </c>
      <c r="R11" s="469">
        <v>156</v>
      </c>
    </row>
    <row r="12" spans="1:18" ht="14.4" customHeight="1" x14ac:dyDescent="0.3">
      <c r="A12" s="463"/>
      <c r="B12" s="464" t="s">
        <v>938</v>
      </c>
      <c r="C12" s="464" t="s">
        <v>425</v>
      </c>
      <c r="D12" s="464" t="s">
        <v>939</v>
      </c>
      <c r="E12" s="464" t="s">
        <v>946</v>
      </c>
      <c r="F12" s="464"/>
      <c r="G12" s="468">
        <v>5</v>
      </c>
      <c r="H12" s="468">
        <v>950</v>
      </c>
      <c r="I12" s="464">
        <v>2.5</v>
      </c>
      <c r="J12" s="464">
        <v>190</v>
      </c>
      <c r="K12" s="468">
        <v>2</v>
      </c>
      <c r="L12" s="468">
        <v>380</v>
      </c>
      <c r="M12" s="464">
        <v>1</v>
      </c>
      <c r="N12" s="464">
        <v>190</v>
      </c>
      <c r="O12" s="468">
        <v>3</v>
      </c>
      <c r="P12" s="468">
        <v>570</v>
      </c>
      <c r="Q12" s="491">
        <v>1.5</v>
      </c>
      <c r="R12" s="469">
        <v>190</v>
      </c>
    </row>
    <row r="13" spans="1:18" ht="14.4" customHeight="1" x14ac:dyDescent="0.3">
      <c r="A13" s="463"/>
      <c r="B13" s="464" t="s">
        <v>938</v>
      </c>
      <c r="C13" s="464" t="s">
        <v>425</v>
      </c>
      <c r="D13" s="464" t="s">
        <v>939</v>
      </c>
      <c r="E13" s="464" t="s">
        <v>947</v>
      </c>
      <c r="F13" s="464"/>
      <c r="G13" s="468">
        <v>9</v>
      </c>
      <c r="H13" s="468">
        <v>5364</v>
      </c>
      <c r="I13" s="464">
        <v>9</v>
      </c>
      <c r="J13" s="464">
        <v>596</v>
      </c>
      <c r="K13" s="468">
        <v>1</v>
      </c>
      <c r="L13" s="468">
        <v>596</v>
      </c>
      <c r="M13" s="464">
        <v>1</v>
      </c>
      <c r="N13" s="464">
        <v>596</v>
      </c>
      <c r="O13" s="468">
        <v>1</v>
      </c>
      <c r="P13" s="468">
        <v>596</v>
      </c>
      <c r="Q13" s="491">
        <v>1</v>
      </c>
      <c r="R13" s="469">
        <v>596</v>
      </c>
    </row>
    <row r="14" spans="1:18" ht="14.4" customHeight="1" x14ac:dyDescent="0.3">
      <c r="A14" s="463"/>
      <c r="B14" s="464" t="s">
        <v>938</v>
      </c>
      <c r="C14" s="464" t="s">
        <v>425</v>
      </c>
      <c r="D14" s="464" t="s">
        <v>939</v>
      </c>
      <c r="E14" s="464" t="s">
        <v>948</v>
      </c>
      <c r="F14" s="464"/>
      <c r="G14" s="468">
        <v>1</v>
      </c>
      <c r="H14" s="468">
        <v>666</v>
      </c>
      <c r="I14" s="464">
        <v>0.5</v>
      </c>
      <c r="J14" s="464">
        <v>666</v>
      </c>
      <c r="K14" s="468">
        <v>2</v>
      </c>
      <c r="L14" s="468">
        <v>1332</v>
      </c>
      <c r="M14" s="464">
        <v>1</v>
      </c>
      <c r="N14" s="464">
        <v>666</v>
      </c>
      <c r="O14" s="468">
        <v>1</v>
      </c>
      <c r="P14" s="468">
        <v>666</v>
      </c>
      <c r="Q14" s="491">
        <v>0.5</v>
      </c>
      <c r="R14" s="469">
        <v>666</v>
      </c>
    </row>
    <row r="15" spans="1:18" ht="14.4" customHeight="1" x14ac:dyDescent="0.3">
      <c r="A15" s="463"/>
      <c r="B15" s="464" t="s">
        <v>938</v>
      </c>
      <c r="C15" s="464" t="s">
        <v>425</v>
      </c>
      <c r="D15" s="464" t="s">
        <v>939</v>
      </c>
      <c r="E15" s="464" t="s">
        <v>949</v>
      </c>
      <c r="F15" s="464"/>
      <c r="G15" s="468">
        <v>5</v>
      </c>
      <c r="H15" s="468">
        <v>5860</v>
      </c>
      <c r="I15" s="464">
        <v>1.6666666666666667</v>
      </c>
      <c r="J15" s="464">
        <v>1172</v>
      </c>
      <c r="K15" s="468">
        <v>3</v>
      </c>
      <c r="L15" s="468">
        <v>3516</v>
      </c>
      <c r="M15" s="464">
        <v>1</v>
      </c>
      <c r="N15" s="464">
        <v>1172</v>
      </c>
      <c r="O15" s="468">
        <v>2</v>
      </c>
      <c r="P15" s="468">
        <v>2344</v>
      </c>
      <c r="Q15" s="491">
        <v>0.66666666666666663</v>
      </c>
      <c r="R15" s="469">
        <v>1172</v>
      </c>
    </row>
    <row r="16" spans="1:18" ht="14.4" customHeight="1" x14ac:dyDescent="0.3">
      <c r="A16" s="463"/>
      <c r="B16" s="464" t="s">
        <v>938</v>
      </c>
      <c r="C16" s="464" t="s">
        <v>425</v>
      </c>
      <c r="D16" s="464" t="s">
        <v>939</v>
      </c>
      <c r="E16" s="464" t="s">
        <v>950</v>
      </c>
      <c r="F16" s="464"/>
      <c r="G16" s="468">
        <v>7</v>
      </c>
      <c r="H16" s="468">
        <v>5600</v>
      </c>
      <c r="I16" s="464">
        <v>0.7</v>
      </c>
      <c r="J16" s="464">
        <v>800</v>
      </c>
      <c r="K16" s="468">
        <v>10</v>
      </c>
      <c r="L16" s="468">
        <v>8000</v>
      </c>
      <c r="M16" s="464">
        <v>1</v>
      </c>
      <c r="N16" s="464">
        <v>800</v>
      </c>
      <c r="O16" s="468">
        <v>5</v>
      </c>
      <c r="P16" s="468">
        <v>4000</v>
      </c>
      <c r="Q16" s="491">
        <v>0.5</v>
      </c>
      <c r="R16" s="469">
        <v>800</v>
      </c>
    </row>
    <row r="17" spans="1:18" ht="14.4" customHeight="1" x14ac:dyDescent="0.3">
      <c r="A17" s="463"/>
      <c r="B17" s="464" t="s">
        <v>938</v>
      </c>
      <c r="C17" s="464" t="s">
        <v>425</v>
      </c>
      <c r="D17" s="464" t="s">
        <v>939</v>
      </c>
      <c r="E17" s="464" t="s">
        <v>951</v>
      </c>
      <c r="F17" s="464"/>
      <c r="G17" s="468"/>
      <c r="H17" s="468"/>
      <c r="I17" s="464"/>
      <c r="J17" s="464"/>
      <c r="K17" s="468">
        <v>1</v>
      </c>
      <c r="L17" s="468">
        <v>745</v>
      </c>
      <c r="M17" s="464">
        <v>1</v>
      </c>
      <c r="N17" s="464">
        <v>745</v>
      </c>
      <c r="O17" s="468">
        <v>1</v>
      </c>
      <c r="P17" s="468">
        <v>745</v>
      </c>
      <c r="Q17" s="491">
        <v>1</v>
      </c>
      <c r="R17" s="469">
        <v>745</v>
      </c>
    </row>
    <row r="18" spans="1:18" ht="14.4" customHeight="1" x14ac:dyDescent="0.3">
      <c r="A18" s="463"/>
      <c r="B18" s="464" t="s">
        <v>938</v>
      </c>
      <c r="C18" s="464" t="s">
        <v>425</v>
      </c>
      <c r="D18" s="464" t="s">
        <v>939</v>
      </c>
      <c r="E18" s="464" t="s">
        <v>952</v>
      </c>
      <c r="F18" s="464"/>
      <c r="G18" s="468">
        <v>6</v>
      </c>
      <c r="H18" s="468">
        <v>4470</v>
      </c>
      <c r="I18" s="464">
        <v>0.23076923076923078</v>
      </c>
      <c r="J18" s="464">
        <v>745</v>
      </c>
      <c r="K18" s="468">
        <v>26</v>
      </c>
      <c r="L18" s="468">
        <v>19370</v>
      </c>
      <c r="M18" s="464">
        <v>1</v>
      </c>
      <c r="N18" s="464">
        <v>745</v>
      </c>
      <c r="O18" s="468">
        <v>16</v>
      </c>
      <c r="P18" s="468">
        <v>11920</v>
      </c>
      <c r="Q18" s="491">
        <v>0.61538461538461542</v>
      </c>
      <c r="R18" s="469">
        <v>745</v>
      </c>
    </row>
    <row r="19" spans="1:18" ht="14.4" customHeight="1" x14ac:dyDescent="0.3">
      <c r="A19" s="463"/>
      <c r="B19" s="464" t="s">
        <v>938</v>
      </c>
      <c r="C19" s="464" t="s">
        <v>425</v>
      </c>
      <c r="D19" s="464" t="s">
        <v>939</v>
      </c>
      <c r="E19" s="464" t="s">
        <v>953</v>
      </c>
      <c r="F19" s="464"/>
      <c r="G19" s="468"/>
      <c r="H19" s="468"/>
      <c r="I19" s="464"/>
      <c r="J19" s="464"/>
      <c r="K19" s="468">
        <v>1</v>
      </c>
      <c r="L19" s="468">
        <v>592</v>
      </c>
      <c r="M19" s="464">
        <v>1</v>
      </c>
      <c r="N19" s="464">
        <v>592</v>
      </c>
      <c r="O19" s="468">
        <v>1</v>
      </c>
      <c r="P19" s="468">
        <v>592</v>
      </c>
      <c r="Q19" s="491">
        <v>1</v>
      </c>
      <c r="R19" s="469">
        <v>592</v>
      </c>
    </row>
    <row r="20" spans="1:18" ht="14.4" customHeight="1" x14ac:dyDescent="0.3">
      <c r="A20" s="463"/>
      <c r="B20" s="464" t="s">
        <v>938</v>
      </c>
      <c r="C20" s="464" t="s">
        <v>425</v>
      </c>
      <c r="D20" s="464" t="s">
        <v>939</v>
      </c>
      <c r="E20" s="464" t="s">
        <v>954</v>
      </c>
      <c r="F20" s="464"/>
      <c r="G20" s="468">
        <v>28</v>
      </c>
      <c r="H20" s="468">
        <v>15708</v>
      </c>
      <c r="I20" s="464">
        <v>1.4736842105263157</v>
      </c>
      <c r="J20" s="464">
        <v>561</v>
      </c>
      <c r="K20" s="468">
        <v>19</v>
      </c>
      <c r="L20" s="468">
        <v>10659</v>
      </c>
      <c r="M20" s="464">
        <v>1</v>
      </c>
      <c r="N20" s="464">
        <v>561</v>
      </c>
      <c r="O20" s="468">
        <v>14</v>
      </c>
      <c r="P20" s="468">
        <v>7854</v>
      </c>
      <c r="Q20" s="491">
        <v>0.73684210526315785</v>
      </c>
      <c r="R20" s="469">
        <v>561</v>
      </c>
    </row>
    <row r="21" spans="1:18" ht="14.4" customHeight="1" x14ac:dyDescent="0.3">
      <c r="A21" s="463"/>
      <c r="B21" s="464" t="s">
        <v>938</v>
      </c>
      <c r="C21" s="464" t="s">
        <v>425</v>
      </c>
      <c r="D21" s="464" t="s">
        <v>939</v>
      </c>
      <c r="E21" s="464" t="s">
        <v>955</v>
      </c>
      <c r="F21" s="464"/>
      <c r="G21" s="468">
        <v>7</v>
      </c>
      <c r="H21" s="468">
        <v>3633</v>
      </c>
      <c r="I21" s="464">
        <v>0.5</v>
      </c>
      <c r="J21" s="464">
        <v>519</v>
      </c>
      <c r="K21" s="468">
        <v>14</v>
      </c>
      <c r="L21" s="468">
        <v>7266</v>
      </c>
      <c r="M21" s="464">
        <v>1</v>
      </c>
      <c r="N21" s="464">
        <v>519</v>
      </c>
      <c r="O21" s="468"/>
      <c r="P21" s="468"/>
      <c r="Q21" s="491"/>
      <c r="R21" s="469"/>
    </row>
    <row r="22" spans="1:18" ht="14.4" customHeight="1" x14ac:dyDescent="0.3">
      <c r="A22" s="463"/>
      <c r="B22" s="464" t="s">
        <v>938</v>
      </c>
      <c r="C22" s="464" t="s">
        <v>425</v>
      </c>
      <c r="D22" s="464" t="s">
        <v>939</v>
      </c>
      <c r="E22" s="464" t="s">
        <v>956</v>
      </c>
      <c r="F22" s="464"/>
      <c r="G22" s="468"/>
      <c r="H22" s="468"/>
      <c r="I22" s="464"/>
      <c r="J22" s="464"/>
      <c r="K22" s="468"/>
      <c r="L22" s="468"/>
      <c r="M22" s="464"/>
      <c r="N22" s="464"/>
      <c r="O22" s="468">
        <v>2</v>
      </c>
      <c r="P22" s="468">
        <v>642</v>
      </c>
      <c r="Q22" s="491"/>
      <c r="R22" s="469">
        <v>321</v>
      </c>
    </row>
    <row r="23" spans="1:18" ht="14.4" customHeight="1" x14ac:dyDescent="0.3">
      <c r="A23" s="463"/>
      <c r="B23" s="464" t="s">
        <v>938</v>
      </c>
      <c r="C23" s="464" t="s">
        <v>425</v>
      </c>
      <c r="D23" s="464" t="s">
        <v>939</v>
      </c>
      <c r="E23" s="464" t="s">
        <v>957</v>
      </c>
      <c r="F23" s="464"/>
      <c r="G23" s="468"/>
      <c r="H23" s="468"/>
      <c r="I23" s="464"/>
      <c r="J23" s="464"/>
      <c r="K23" s="468">
        <v>2</v>
      </c>
      <c r="L23" s="468">
        <v>642</v>
      </c>
      <c r="M23" s="464">
        <v>1</v>
      </c>
      <c r="N23" s="464">
        <v>321</v>
      </c>
      <c r="O23" s="468">
        <v>1</v>
      </c>
      <c r="P23" s="468">
        <v>321</v>
      </c>
      <c r="Q23" s="491">
        <v>0.5</v>
      </c>
      <c r="R23" s="469">
        <v>321</v>
      </c>
    </row>
    <row r="24" spans="1:18" ht="14.4" customHeight="1" x14ac:dyDescent="0.3">
      <c r="A24" s="463"/>
      <c r="B24" s="464" t="s">
        <v>938</v>
      </c>
      <c r="C24" s="464" t="s">
        <v>425</v>
      </c>
      <c r="D24" s="464" t="s">
        <v>939</v>
      </c>
      <c r="E24" s="464" t="s">
        <v>958</v>
      </c>
      <c r="F24" s="464"/>
      <c r="G24" s="468">
        <v>6</v>
      </c>
      <c r="H24" s="468">
        <v>1926</v>
      </c>
      <c r="I24" s="464">
        <v>0.5</v>
      </c>
      <c r="J24" s="464">
        <v>321</v>
      </c>
      <c r="K24" s="468">
        <v>12</v>
      </c>
      <c r="L24" s="468">
        <v>3852</v>
      </c>
      <c r="M24" s="464">
        <v>1</v>
      </c>
      <c r="N24" s="464">
        <v>321</v>
      </c>
      <c r="O24" s="468"/>
      <c r="P24" s="468"/>
      <c r="Q24" s="491"/>
      <c r="R24" s="469"/>
    </row>
    <row r="25" spans="1:18" ht="14.4" customHeight="1" x14ac:dyDescent="0.3">
      <c r="A25" s="463"/>
      <c r="B25" s="464" t="s">
        <v>938</v>
      </c>
      <c r="C25" s="464" t="s">
        <v>425</v>
      </c>
      <c r="D25" s="464" t="s">
        <v>939</v>
      </c>
      <c r="E25" s="464" t="s">
        <v>959</v>
      </c>
      <c r="F25" s="464"/>
      <c r="G25" s="468"/>
      <c r="H25" s="468"/>
      <c r="I25" s="464"/>
      <c r="J25" s="464"/>
      <c r="K25" s="468">
        <v>1</v>
      </c>
      <c r="L25" s="468">
        <v>1230</v>
      </c>
      <c r="M25" s="464">
        <v>1</v>
      </c>
      <c r="N25" s="464">
        <v>1230</v>
      </c>
      <c r="O25" s="468"/>
      <c r="P25" s="468"/>
      <c r="Q25" s="491"/>
      <c r="R25" s="469"/>
    </row>
    <row r="26" spans="1:18" ht="14.4" customHeight="1" x14ac:dyDescent="0.3">
      <c r="A26" s="463"/>
      <c r="B26" s="464" t="s">
        <v>938</v>
      </c>
      <c r="C26" s="464" t="s">
        <v>425</v>
      </c>
      <c r="D26" s="464" t="s">
        <v>939</v>
      </c>
      <c r="E26" s="464" t="s">
        <v>960</v>
      </c>
      <c r="F26" s="464"/>
      <c r="G26" s="468">
        <v>15</v>
      </c>
      <c r="H26" s="468">
        <v>4230</v>
      </c>
      <c r="I26" s="464">
        <v>1.25</v>
      </c>
      <c r="J26" s="464">
        <v>282</v>
      </c>
      <c r="K26" s="468">
        <v>12</v>
      </c>
      <c r="L26" s="468">
        <v>3384</v>
      </c>
      <c r="M26" s="464">
        <v>1</v>
      </c>
      <c r="N26" s="464">
        <v>282</v>
      </c>
      <c r="O26" s="468">
        <v>18</v>
      </c>
      <c r="P26" s="468">
        <v>5076</v>
      </c>
      <c r="Q26" s="491">
        <v>1.5</v>
      </c>
      <c r="R26" s="469">
        <v>282</v>
      </c>
    </row>
    <row r="27" spans="1:18" ht="14.4" customHeight="1" x14ac:dyDescent="0.3">
      <c r="A27" s="463"/>
      <c r="B27" s="464" t="s">
        <v>938</v>
      </c>
      <c r="C27" s="464" t="s">
        <v>425</v>
      </c>
      <c r="D27" s="464" t="s">
        <v>939</v>
      </c>
      <c r="E27" s="464" t="s">
        <v>961</v>
      </c>
      <c r="F27" s="464"/>
      <c r="G27" s="468">
        <v>7</v>
      </c>
      <c r="H27" s="468">
        <v>4753</v>
      </c>
      <c r="I27" s="464">
        <v>1</v>
      </c>
      <c r="J27" s="464">
        <v>679</v>
      </c>
      <c r="K27" s="468">
        <v>7</v>
      </c>
      <c r="L27" s="468">
        <v>4753</v>
      </c>
      <c r="M27" s="464">
        <v>1</v>
      </c>
      <c r="N27" s="464">
        <v>679</v>
      </c>
      <c r="O27" s="468">
        <v>5</v>
      </c>
      <c r="P27" s="468">
        <v>3395</v>
      </c>
      <c r="Q27" s="491">
        <v>0.7142857142857143</v>
      </c>
      <c r="R27" s="469">
        <v>679</v>
      </c>
    </row>
    <row r="28" spans="1:18" ht="14.4" customHeight="1" x14ac:dyDescent="0.3">
      <c r="A28" s="463"/>
      <c r="B28" s="464" t="s">
        <v>938</v>
      </c>
      <c r="C28" s="464" t="s">
        <v>425</v>
      </c>
      <c r="D28" s="464" t="s">
        <v>939</v>
      </c>
      <c r="E28" s="464" t="s">
        <v>962</v>
      </c>
      <c r="F28" s="464"/>
      <c r="G28" s="468">
        <v>1</v>
      </c>
      <c r="H28" s="468">
        <v>929</v>
      </c>
      <c r="I28" s="464">
        <v>0.14285714285714285</v>
      </c>
      <c r="J28" s="464">
        <v>929</v>
      </c>
      <c r="K28" s="468">
        <v>7</v>
      </c>
      <c r="L28" s="468">
        <v>6503</v>
      </c>
      <c r="M28" s="464">
        <v>1</v>
      </c>
      <c r="N28" s="464">
        <v>929</v>
      </c>
      <c r="O28" s="468">
        <v>1</v>
      </c>
      <c r="P28" s="468">
        <v>929</v>
      </c>
      <c r="Q28" s="491">
        <v>0.14285714285714285</v>
      </c>
      <c r="R28" s="469">
        <v>929</v>
      </c>
    </row>
    <row r="29" spans="1:18" ht="14.4" customHeight="1" x14ac:dyDescent="0.3">
      <c r="A29" s="463"/>
      <c r="B29" s="464" t="s">
        <v>938</v>
      </c>
      <c r="C29" s="464" t="s">
        <v>425</v>
      </c>
      <c r="D29" s="464" t="s">
        <v>939</v>
      </c>
      <c r="E29" s="464" t="s">
        <v>963</v>
      </c>
      <c r="F29" s="464"/>
      <c r="G29" s="468"/>
      <c r="H29" s="468"/>
      <c r="I29" s="464"/>
      <c r="J29" s="464"/>
      <c r="K29" s="468"/>
      <c r="L29" s="468"/>
      <c r="M29" s="464"/>
      <c r="N29" s="464"/>
      <c r="O29" s="468">
        <v>1</v>
      </c>
      <c r="P29" s="468">
        <v>208</v>
      </c>
      <c r="Q29" s="491"/>
      <c r="R29" s="469">
        <v>208</v>
      </c>
    </row>
    <row r="30" spans="1:18" ht="14.4" customHeight="1" x14ac:dyDescent="0.3">
      <c r="A30" s="463"/>
      <c r="B30" s="464" t="s">
        <v>938</v>
      </c>
      <c r="C30" s="464" t="s">
        <v>425</v>
      </c>
      <c r="D30" s="464" t="s">
        <v>939</v>
      </c>
      <c r="E30" s="464" t="s">
        <v>964</v>
      </c>
      <c r="F30" s="464"/>
      <c r="G30" s="468">
        <v>2</v>
      </c>
      <c r="H30" s="468">
        <v>3480</v>
      </c>
      <c r="I30" s="464">
        <v>0.19333333333333333</v>
      </c>
      <c r="J30" s="464">
        <v>1740</v>
      </c>
      <c r="K30" s="468">
        <v>9</v>
      </c>
      <c r="L30" s="468">
        <v>18000</v>
      </c>
      <c r="M30" s="464">
        <v>1</v>
      </c>
      <c r="N30" s="464">
        <v>2000</v>
      </c>
      <c r="O30" s="468">
        <v>11</v>
      </c>
      <c r="P30" s="468">
        <v>22000</v>
      </c>
      <c r="Q30" s="491">
        <v>1.2222222222222223</v>
      </c>
      <c r="R30" s="469">
        <v>2000</v>
      </c>
    </row>
    <row r="31" spans="1:18" ht="14.4" customHeight="1" x14ac:dyDescent="0.3">
      <c r="A31" s="463"/>
      <c r="B31" s="464" t="s">
        <v>938</v>
      </c>
      <c r="C31" s="464" t="s">
        <v>425</v>
      </c>
      <c r="D31" s="464" t="s">
        <v>939</v>
      </c>
      <c r="E31" s="464" t="s">
        <v>965</v>
      </c>
      <c r="F31" s="464"/>
      <c r="G31" s="468">
        <v>1</v>
      </c>
      <c r="H31" s="468">
        <v>2024</v>
      </c>
      <c r="I31" s="464">
        <v>1</v>
      </c>
      <c r="J31" s="464">
        <v>2024</v>
      </c>
      <c r="K31" s="468">
        <v>1</v>
      </c>
      <c r="L31" s="468">
        <v>2024</v>
      </c>
      <c r="M31" s="464">
        <v>1</v>
      </c>
      <c r="N31" s="464">
        <v>2024</v>
      </c>
      <c r="O31" s="468">
        <v>2</v>
      </c>
      <c r="P31" s="468">
        <v>4048</v>
      </c>
      <c r="Q31" s="491">
        <v>2</v>
      </c>
      <c r="R31" s="469">
        <v>2024</v>
      </c>
    </row>
    <row r="32" spans="1:18" ht="14.4" customHeight="1" x14ac:dyDescent="0.3">
      <c r="A32" s="463"/>
      <c r="B32" s="464" t="s">
        <v>938</v>
      </c>
      <c r="C32" s="464" t="s">
        <v>425</v>
      </c>
      <c r="D32" s="464" t="s">
        <v>939</v>
      </c>
      <c r="E32" s="464" t="s">
        <v>966</v>
      </c>
      <c r="F32" s="464"/>
      <c r="G32" s="468">
        <v>1</v>
      </c>
      <c r="H32" s="468">
        <v>2010</v>
      </c>
      <c r="I32" s="464"/>
      <c r="J32" s="464">
        <v>2010</v>
      </c>
      <c r="K32" s="468"/>
      <c r="L32" s="468"/>
      <c r="M32" s="464"/>
      <c r="N32" s="464"/>
      <c r="O32" s="468">
        <v>2</v>
      </c>
      <c r="P32" s="468">
        <v>4020</v>
      </c>
      <c r="Q32" s="491"/>
      <c r="R32" s="469">
        <v>2010</v>
      </c>
    </row>
    <row r="33" spans="1:18" ht="14.4" customHeight="1" x14ac:dyDescent="0.3">
      <c r="A33" s="463"/>
      <c r="B33" s="464" t="s">
        <v>938</v>
      </c>
      <c r="C33" s="464" t="s">
        <v>425</v>
      </c>
      <c r="D33" s="464" t="s">
        <v>939</v>
      </c>
      <c r="E33" s="464" t="s">
        <v>967</v>
      </c>
      <c r="F33" s="464"/>
      <c r="G33" s="468">
        <v>1</v>
      </c>
      <c r="H33" s="468">
        <v>1246</v>
      </c>
      <c r="I33" s="464"/>
      <c r="J33" s="464">
        <v>1246</v>
      </c>
      <c r="K33" s="468"/>
      <c r="L33" s="468"/>
      <c r="M33" s="464"/>
      <c r="N33" s="464"/>
      <c r="O33" s="468">
        <v>1</v>
      </c>
      <c r="P33" s="468">
        <v>1246</v>
      </c>
      <c r="Q33" s="491"/>
      <c r="R33" s="469">
        <v>1246</v>
      </c>
    </row>
    <row r="34" spans="1:18" ht="14.4" customHeight="1" x14ac:dyDescent="0.3">
      <c r="A34" s="463"/>
      <c r="B34" s="464" t="s">
        <v>938</v>
      </c>
      <c r="C34" s="464" t="s">
        <v>425</v>
      </c>
      <c r="D34" s="464" t="s">
        <v>939</v>
      </c>
      <c r="E34" s="464" t="s">
        <v>968</v>
      </c>
      <c r="F34" s="464"/>
      <c r="G34" s="468"/>
      <c r="H34" s="468"/>
      <c r="I34" s="464"/>
      <c r="J34" s="464"/>
      <c r="K34" s="468"/>
      <c r="L34" s="468"/>
      <c r="M34" s="464"/>
      <c r="N34" s="464"/>
      <c r="O34" s="468">
        <v>1</v>
      </c>
      <c r="P34" s="468">
        <v>1345</v>
      </c>
      <c r="Q34" s="491"/>
      <c r="R34" s="469">
        <v>1345</v>
      </c>
    </row>
    <row r="35" spans="1:18" ht="14.4" customHeight="1" x14ac:dyDescent="0.3">
      <c r="A35" s="463"/>
      <c r="B35" s="464" t="s">
        <v>938</v>
      </c>
      <c r="C35" s="464" t="s">
        <v>425</v>
      </c>
      <c r="D35" s="464" t="s">
        <v>939</v>
      </c>
      <c r="E35" s="464" t="s">
        <v>969</v>
      </c>
      <c r="F35" s="464"/>
      <c r="G35" s="468">
        <v>10</v>
      </c>
      <c r="H35" s="468">
        <v>35540</v>
      </c>
      <c r="I35" s="464">
        <v>0.75940170940170937</v>
      </c>
      <c r="J35" s="464">
        <v>3554</v>
      </c>
      <c r="K35" s="468">
        <v>12</v>
      </c>
      <c r="L35" s="468">
        <v>46800</v>
      </c>
      <c r="M35" s="464">
        <v>1</v>
      </c>
      <c r="N35" s="464">
        <v>3900</v>
      </c>
      <c r="O35" s="468">
        <v>8</v>
      </c>
      <c r="P35" s="468">
        <v>31200</v>
      </c>
      <c r="Q35" s="491">
        <v>0.66666666666666663</v>
      </c>
      <c r="R35" s="469">
        <v>3900</v>
      </c>
    </row>
    <row r="36" spans="1:18" ht="14.4" customHeight="1" x14ac:dyDescent="0.3">
      <c r="A36" s="463"/>
      <c r="B36" s="464" t="s">
        <v>938</v>
      </c>
      <c r="C36" s="464" t="s">
        <v>425</v>
      </c>
      <c r="D36" s="464" t="s">
        <v>939</v>
      </c>
      <c r="E36" s="464" t="s">
        <v>970</v>
      </c>
      <c r="F36" s="464"/>
      <c r="G36" s="468">
        <v>8</v>
      </c>
      <c r="H36" s="468">
        <v>28936</v>
      </c>
      <c r="I36" s="464">
        <v>0.82438746438746435</v>
      </c>
      <c r="J36" s="464">
        <v>3617</v>
      </c>
      <c r="K36" s="468">
        <v>9</v>
      </c>
      <c r="L36" s="468">
        <v>35100</v>
      </c>
      <c r="M36" s="464">
        <v>1</v>
      </c>
      <c r="N36" s="464">
        <v>3900</v>
      </c>
      <c r="O36" s="468">
        <v>3</v>
      </c>
      <c r="P36" s="468">
        <v>11700</v>
      </c>
      <c r="Q36" s="491">
        <v>0.33333333333333331</v>
      </c>
      <c r="R36" s="469">
        <v>3900</v>
      </c>
    </row>
    <row r="37" spans="1:18" ht="14.4" customHeight="1" x14ac:dyDescent="0.3">
      <c r="A37" s="463"/>
      <c r="B37" s="464" t="s">
        <v>938</v>
      </c>
      <c r="C37" s="464" t="s">
        <v>425</v>
      </c>
      <c r="D37" s="464" t="s">
        <v>939</v>
      </c>
      <c r="E37" s="464" t="s">
        <v>971</v>
      </c>
      <c r="F37" s="464"/>
      <c r="G37" s="468"/>
      <c r="H37" s="468"/>
      <c r="I37" s="464"/>
      <c r="J37" s="464"/>
      <c r="K37" s="468">
        <v>3</v>
      </c>
      <c r="L37" s="468">
        <v>492</v>
      </c>
      <c r="M37" s="464">
        <v>1</v>
      </c>
      <c r="N37" s="464">
        <v>164</v>
      </c>
      <c r="O37" s="468">
        <v>1</v>
      </c>
      <c r="P37" s="468">
        <v>164</v>
      </c>
      <c r="Q37" s="491">
        <v>0.33333333333333331</v>
      </c>
      <c r="R37" s="469">
        <v>164</v>
      </c>
    </row>
    <row r="38" spans="1:18" ht="14.4" customHeight="1" x14ac:dyDescent="0.3">
      <c r="A38" s="463"/>
      <c r="B38" s="464" t="s">
        <v>938</v>
      </c>
      <c r="C38" s="464" t="s">
        <v>425</v>
      </c>
      <c r="D38" s="464" t="s">
        <v>939</v>
      </c>
      <c r="E38" s="464" t="s">
        <v>972</v>
      </c>
      <c r="F38" s="464"/>
      <c r="G38" s="468">
        <v>6</v>
      </c>
      <c r="H38" s="468">
        <v>1350</v>
      </c>
      <c r="I38" s="464">
        <v>0.5</v>
      </c>
      <c r="J38" s="464">
        <v>225</v>
      </c>
      <c r="K38" s="468">
        <v>12</v>
      </c>
      <c r="L38" s="468">
        <v>2700</v>
      </c>
      <c r="M38" s="464">
        <v>1</v>
      </c>
      <c r="N38" s="464">
        <v>225</v>
      </c>
      <c r="O38" s="468">
        <v>10</v>
      </c>
      <c r="P38" s="468">
        <v>2250</v>
      </c>
      <c r="Q38" s="491">
        <v>0.83333333333333337</v>
      </c>
      <c r="R38" s="469">
        <v>225</v>
      </c>
    </row>
    <row r="39" spans="1:18" ht="14.4" customHeight="1" x14ac:dyDescent="0.3">
      <c r="A39" s="463"/>
      <c r="B39" s="464" t="s">
        <v>938</v>
      </c>
      <c r="C39" s="464" t="s">
        <v>425</v>
      </c>
      <c r="D39" s="464" t="s">
        <v>939</v>
      </c>
      <c r="E39" s="464" t="s">
        <v>973</v>
      </c>
      <c r="F39" s="464"/>
      <c r="G39" s="468">
        <v>4</v>
      </c>
      <c r="H39" s="468">
        <v>1452</v>
      </c>
      <c r="I39" s="464">
        <v>0.8</v>
      </c>
      <c r="J39" s="464">
        <v>363</v>
      </c>
      <c r="K39" s="468">
        <v>5</v>
      </c>
      <c r="L39" s="468">
        <v>1815</v>
      </c>
      <c r="M39" s="464">
        <v>1</v>
      </c>
      <c r="N39" s="464">
        <v>363</v>
      </c>
      <c r="O39" s="468">
        <v>3</v>
      </c>
      <c r="P39" s="468">
        <v>1089</v>
      </c>
      <c r="Q39" s="491">
        <v>0.6</v>
      </c>
      <c r="R39" s="469">
        <v>363</v>
      </c>
    </row>
    <row r="40" spans="1:18" ht="14.4" customHeight="1" x14ac:dyDescent="0.3">
      <c r="A40" s="463"/>
      <c r="B40" s="464" t="s">
        <v>938</v>
      </c>
      <c r="C40" s="464" t="s">
        <v>425</v>
      </c>
      <c r="D40" s="464" t="s">
        <v>939</v>
      </c>
      <c r="E40" s="464" t="s">
        <v>974</v>
      </c>
      <c r="F40" s="464"/>
      <c r="G40" s="468">
        <v>5</v>
      </c>
      <c r="H40" s="468">
        <v>2935</v>
      </c>
      <c r="I40" s="464">
        <v>0.83333333333333337</v>
      </c>
      <c r="J40" s="464">
        <v>587</v>
      </c>
      <c r="K40" s="468">
        <v>6</v>
      </c>
      <c r="L40" s="468">
        <v>3522</v>
      </c>
      <c r="M40" s="464">
        <v>1</v>
      </c>
      <c r="N40" s="464">
        <v>587</v>
      </c>
      <c r="O40" s="468">
        <v>6</v>
      </c>
      <c r="P40" s="468">
        <v>3522</v>
      </c>
      <c r="Q40" s="491">
        <v>1</v>
      </c>
      <c r="R40" s="469">
        <v>587</v>
      </c>
    </row>
    <row r="41" spans="1:18" ht="14.4" customHeight="1" x14ac:dyDescent="0.3">
      <c r="A41" s="463"/>
      <c r="B41" s="464" t="s">
        <v>938</v>
      </c>
      <c r="C41" s="464" t="s">
        <v>425</v>
      </c>
      <c r="D41" s="464" t="s">
        <v>939</v>
      </c>
      <c r="E41" s="464" t="s">
        <v>975</v>
      </c>
      <c r="F41" s="464"/>
      <c r="G41" s="468">
        <v>1</v>
      </c>
      <c r="H41" s="468">
        <v>600</v>
      </c>
      <c r="I41" s="464">
        <v>1</v>
      </c>
      <c r="J41" s="464">
        <v>600</v>
      </c>
      <c r="K41" s="468">
        <v>1</v>
      </c>
      <c r="L41" s="468">
        <v>600</v>
      </c>
      <c r="M41" s="464">
        <v>1</v>
      </c>
      <c r="N41" s="464">
        <v>600</v>
      </c>
      <c r="O41" s="468">
        <v>3</v>
      </c>
      <c r="P41" s="468">
        <v>1800</v>
      </c>
      <c r="Q41" s="491">
        <v>3</v>
      </c>
      <c r="R41" s="469">
        <v>600</v>
      </c>
    </row>
    <row r="42" spans="1:18" ht="14.4" customHeight="1" x14ac:dyDescent="0.3">
      <c r="A42" s="463"/>
      <c r="B42" s="464" t="s">
        <v>938</v>
      </c>
      <c r="C42" s="464" t="s">
        <v>425</v>
      </c>
      <c r="D42" s="464" t="s">
        <v>939</v>
      </c>
      <c r="E42" s="464" t="s">
        <v>976</v>
      </c>
      <c r="F42" s="464"/>
      <c r="G42" s="468"/>
      <c r="H42" s="468"/>
      <c r="I42" s="464"/>
      <c r="J42" s="464"/>
      <c r="K42" s="468">
        <v>1</v>
      </c>
      <c r="L42" s="468">
        <v>745</v>
      </c>
      <c r="M42" s="464">
        <v>1</v>
      </c>
      <c r="N42" s="464">
        <v>745</v>
      </c>
      <c r="O42" s="468"/>
      <c r="P42" s="468"/>
      <c r="Q42" s="491"/>
      <c r="R42" s="469"/>
    </row>
    <row r="43" spans="1:18" ht="14.4" customHeight="1" x14ac:dyDescent="0.3">
      <c r="A43" s="463"/>
      <c r="B43" s="464" t="s">
        <v>938</v>
      </c>
      <c r="C43" s="464" t="s">
        <v>425</v>
      </c>
      <c r="D43" s="464" t="s">
        <v>939</v>
      </c>
      <c r="E43" s="464" t="s">
        <v>977</v>
      </c>
      <c r="F43" s="464"/>
      <c r="G43" s="468">
        <v>1</v>
      </c>
      <c r="H43" s="468">
        <v>561</v>
      </c>
      <c r="I43" s="464">
        <v>0.5</v>
      </c>
      <c r="J43" s="464">
        <v>561</v>
      </c>
      <c r="K43" s="468">
        <v>2</v>
      </c>
      <c r="L43" s="468">
        <v>1122</v>
      </c>
      <c r="M43" s="464">
        <v>1</v>
      </c>
      <c r="N43" s="464">
        <v>561</v>
      </c>
      <c r="O43" s="468">
        <v>2</v>
      </c>
      <c r="P43" s="468">
        <v>1122</v>
      </c>
      <c r="Q43" s="491">
        <v>1</v>
      </c>
      <c r="R43" s="469">
        <v>561</v>
      </c>
    </row>
    <row r="44" spans="1:18" ht="14.4" customHeight="1" x14ac:dyDescent="0.3">
      <c r="A44" s="463"/>
      <c r="B44" s="464" t="s">
        <v>938</v>
      </c>
      <c r="C44" s="464" t="s">
        <v>425</v>
      </c>
      <c r="D44" s="464" t="s">
        <v>939</v>
      </c>
      <c r="E44" s="464" t="s">
        <v>978</v>
      </c>
      <c r="F44" s="464"/>
      <c r="G44" s="468"/>
      <c r="H44" s="468"/>
      <c r="I44" s="464"/>
      <c r="J44" s="464"/>
      <c r="K44" s="468"/>
      <c r="L44" s="468"/>
      <c r="M44" s="464"/>
      <c r="N44" s="464"/>
      <c r="O44" s="468">
        <v>1</v>
      </c>
      <c r="P44" s="468">
        <v>1122</v>
      </c>
      <c r="Q44" s="491"/>
      <c r="R44" s="469">
        <v>1122</v>
      </c>
    </row>
    <row r="45" spans="1:18" ht="14.4" customHeight="1" x14ac:dyDescent="0.3">
      <c r="A45" s="463"/>
      <c r="B45" s="464" t="s">
        <v>938</v>
      </c>
      <c r="C45" s="464" t="s">
        <v>425</v>
      </c>
      <c r="D45" s="464" t="s">
        <v>939</v>
      </c>
      <c r="E45" s="464" t="s">
        <v>979</v>
      </c>
      <c r="F45" s="464"/>
      <c r="G45" s="468"/>
      <c r="H45" s="468"/>
      <c r="I45" s="464"/>
      <c r="J45" s="464"/>
      <c r="K45" s="468">
        <v>2</v>
      </c>
      <c r="L45" s="468">
        <v>1734</v>
      </c>
      <c r="M45" s="464">
        <v>1</v>
      </c>
      <c r="N45" s="464">
        <v>867</v>
      </c>
      <c r="O45" s="468"/>
      <c r="P45" s="468"/>
      <c r="Q45" s="491"/>
      <c r="R45" s="469"/>
    </row>
    <row r="46" spans="1:18" ht="14.4" customHeight="1" x14ac:dyDescent="0.3">
      <c r="A46" s="463"/>
      <c r="B46" s="464" t="s">
        <v>938</v>
      </c>
      <c r="C46" s="464" t="s">
        <v>425</v>
      </c>
      <c r="D46" s="464" t="s">
        <v>939</v>
      </c>
      <c r="E46" s="464" t="s">
        <v>980</v>
      </c>
      <c r="F46" s="464"/>
      <c r="G46" s="468"/>
      <c r="H46" s="468"/>
      <c r="I46" s="464"/>
      <c r="J46" s="464"/>
      <c r="K46" s="468"/>
      <c r="L46" s="468"/>
      <c r="M46" s="464"/>
      <c r="N46" s="464"/>
      <c r="O46" s="468">
        <v>2</v>
      </c>
      <c r="P46" s="468">
        <v>1100</v>
      </c>
      <c r="Q46" s="491"/>
      <c r="R46" s="469">
        <v>550</v>
      </c>
    </row>
    <row r="47" spans="1:18" ht="14.4" customHeight="1" x14ac:dyDescent="0.3">
      <c r="A47" s="463"/>
      <c r="B47" s="464" t="s">
        <v>938</v>
      </c>
      <c r="C47" s="464" t="s">
        <v>425</v>
      </c>
      <c r="D47" s="464" t="s">
        <v>939</v>
      </c>
      <c r="E47" s="464" t="s">
        <v>981</v>
      </c>
      <c r="F47" s="464"/>
      <c r="G47" s="468">
        <v>1</v>
      </c>
      <c r="H47" s="468">
        <v>519</v>
      </c>
      <c r="I47" s="464"/>
      <c r="J47" s="464">
        <v>519</v>
      </c>
      <c r="K47" s="468"/>
      <c r="L47" s="468"/>
      <c r="M47" s="464"/>
      <c r="N47" s="464"/>
      <c r="O47" s="468"/>
      <c r="P47" s="468"/>
      <c r="Q47" s="491"/>
      <c r="R47" s="469"/>
    </row>
    <row r="48" spans="1:18" ht="14.4" customHeight="1" x14ac:dyDescent="0.3">
      <c r="A48" s="463"/>
      <c r="B48" s="464" t="s">
        <v>938</v>
      </c>
      <c r="C48" s="464" t="s">
        <v>425</v>
      </c>
      <c r="D48" s="464" t="s">
        <v>939</v>
      </c>
      <c r="E48" s="464" t="s">
        <v>982</v>
      </c>
      <c r="F48" s="464"/>
      <c r="G48" s="468"/>
      <c r="H48" s="468"/>
      <c r="I48" s="464"/>
      <c r="J48" s="464"/>
      <c r="K48" s="468">
        <v>2</v>
      </c>
      <c r="L48" s="468">
        <v>2652</v>
      </c>
      <c r="M48" s="464">
        <v>1</v>
      </c>
      <c r="N48" s="464">
        <v>1326</v>
      </c>
      <c r="O48" s="468"/>
      <c r="P48" s="468"/>
      <c r="Q48" s="491"/>
      <c r="R48" s="469"/>
    </row>
    <row r="49" spans="1:18" ht="14.4" customHeight="1" x14ac:dyDescent="0.3">
      <c r="A49" s="463"/>
      <c r="B49" s="464" t="s">
        <v>938</v>
      </c>
      <c r="C49" s="464" t="s">
        <v>425</v>
      </c>
      <c r="D49" s="464" t="s">
        <v>939</v>
      </c>
      <c r="E49" s="464" t="s">
        <v>983</v>
      </c>
      <c r="F49" s="464"/>
      <c r="G49" s="468"/>
      <c r="H49" s="468"/>
      <c r="I49" s="464"/>
      <c r="J49" s="464"/>
      <c r="K49" s="468"/>
      <c r="L49" s="468"/>
      <c r="M49" s="464"/>
      <c r="N49" s="464"/>
      <c r="O49" s="468">
        <v>2</v>
      </c>
      <c r="P49" s="468">
        <v>810</v>
      </c>
      <c r="Q49" s="491"/>
      <c r="R49" s="469">
        <v>405</v>
      </c>
    </row>
    <row r="50" spans="1:18" ht="14.4" customHeight="1" x14ac:dyDescent="0.3">
      <c r="A50" s="463"/>
      <c r="B50" s="464" t="s">
        <v>938</v>
      </c>
      <c r="C50" s="464" t="s">
        <v>425</v>
      </c>
      <c r="D50" s="464" t="s">
        <v>939</v>
      </c>
      <c r="E50" s="464" t="s">
        <v>984</v>
      </c>
      <c r="F50" s="464"/>
      <c r="G50" s="468"/>
      <c r="H50" s="468"/>
      <c r="I50" s="464"/>
      <c r="J50" s="464"/>
      <c r="K50" s="468">
        <v>6</v>
      </c>
      <c r="L50" s="468">
        <v>3300</v>
      </c>
      <c r="M50" s="464">
        <v>1</v>
      </c>
      <c r="N50" s="464">
        <v>550</v>
      </c>
      <c r="O50" s="468">
        <v>2</v>
      </c>
      <c r="P50" s="468">
        <v>1100</v>
      </c>
      <c r="Q50" s="491">
        <v>0.33333333333333331</v>
      </c>
      <c r="R50" s="469">
        <v>550</v>
      </c>
    </row>
    <row r="51" spans="1:18" ht="14.4" customHeight="1" x14ac:dyDescent="0.3">
      <c r="A51" s="463"/>
      <c r="B51" s="464" t="s">
        <v>938</v>
      </c>
      <c r="C51" s="464" t="s">
        <v>425</v>
      </c>
      <c r="D51" s="464" t="s">
        <v>939</v>
      </c>
      <c r="E51" s="464" t="s">
        <v>985</v>
      </c>
      <c r="F51" s="464"/>
      <c r="G51" s="468"/>
      <c r="H51" s="468"/>
      <c r="I51" s="464"/>
      <c r="J51" s="464"/>
      <c r="K51" s="468">
        <v>4</v>
      </c>
      <c r="L51" s="468">
        <v>0</v>
      </c>
      <c r="M51" s="464"/>
      <c r="N51" s="464">
        <v>0</v>
      </c>
      <c r="O51" s="468"/>
      <c r="P51" s="468"/>
      <c r="Q51" s="491"/>
      <c r="R51" s="469"/>
    </row>
    <row r="52" spans="1:18" ht="14.4" customHeight="1" x14ac:dyDescent="0.3">
      <c r="A52" s="463"/>
      <c r="B52" s="464" t="s">
        <v>938</v>
      </c>
      <c r="C52" s="464" t="s">
        <v>425</v>
      </c>
      <c r="D52" s="464" t="s">
        <v>986</v>
      </c>
      <c r="E52" s="464" t="s">
        <v>987</v>
      </c>
      <c r="F52" s="464" t="s">
        <v>988</v>
      </c>
      <c r="G52" s="468">
        <v>1</v>
      </c>
      <c r="H52" s="468">
        <v>475.56</v>
      </c>
      <c r="I52" s="464"/>
      <c r="J52" s="464">
        <v>475.56</v>
      </c>
      <c r="K52" s="468"/>
      <c r="L52" s="468"/>
      <c r="M52" s="464"/>
      <c r="N52" s="464"/>
      <c r="O52" s="468"/>
      <c r="P52" s="468"/>
      <c r="Q52" s="491"/>
      <c r="R52" s="469"/>
    </row>
    <row r="53" spans="1:18" ht="14.4" customHeight="1" x14ac:dyDescent="0.3">
      <c r="A53" s="463"/>
      <c r="B53" s="464" t="s">
        <v>938</v>
      </c>
      <c r="C53" s="464" t="s">
        <v>425</v>
      </c>
      <c r="D53" s="464" t="s">
        <v>986</v>
      </c>
      <c r="E53" s="464" t="s">
        <v>989</v>
      </c>
      <c r="F53" s="464" t="s">
        <v>990</v>
      </c>
      <c r="G53" s="468">
        <v>14</v>
      </c>
      <c r="H53" s="468">
        <v>6377.7800000000007</v>
      </c>
      <c r="I53" s="464">
        <v>1.5944450000000001</v>
      </c>
      <c r="J53" s="464">
        <v>455.55571428571432</v>
      </c>
      <c r="K53" s="468">
        <v>8</v>
      </c>
      <c r="L53" s="468">
        <v>4000</v>
      </c>
      <c r="M53" s="464">
        <v>1</v>
      </c>
      <c r="N53" s="464">
        <v>500</v>
      </c>
      <c r="O53" s="468"/>
      <c r="P53" s="468"/>
      <c r="Q53" s="491"/>
      <c r="R53" s="469"/>
    </row>
    <row r="54" spans="1:18" ht="14.4" customHeight="1" x14ac:dyDescent="0.3">
      <c r="A54" s="463"/>
      <c r="B54" s="464" t="s">
        <v>938</v>
      </c>
      <c r="C54" s="464" t="s">
        <v>425</v>
      </c>
      <c r="D54" s="464" t="s">
        <v>986</v>
      </c>
      <c r="E54" s="464" t="s">
        <v>989</v>
      </c>
      <c r="F54" s="464" t="s">
        <v>991</v>
      </c>
      <c r="G54" s="468">
        <v>4</v>
      </c>
      <c r="H54" s="468">
        <v>1822.23</v>
      </c>
      <c r="I54" s="464">
        <v>0.91111500000000001</v>
      </c>
      <c r="J54" s="464">
        <v>455.5575</v>
      </c>
      <c r="K54" s="468">
        <v>4</v>
      </c>
      <c r="L54" s="468">
        <v>2000</v>
      </c>
      <c r="M54" s="464">
        <v>1</v>
      </c>
      <c r="N54" s="464">
        <v>500</v>
      </c>
      <c r="O54" s="468">
        <v>1</v>
      </c>
      <c r="P54" s="468">
        <v>500</v>
      </c>
      <c r="Q54" s="491">
        <v>0.25</v>
      </c>
      <c r="R54" s="469">
        <v>500</v>
      </c>
    </row>
    <row r="55" spans="1:18" ht="14.4" customHeight="1" x14ac:dyDescent="0.3">
      <c r="A55" s="463"/>
      <c r="B55" s="464" t="s">
        <v>938</v>
      </c>
      <c r="C55" s="464" t="s">
        <v>425</v>
      </c>
      <c r="D55" s="464" t="s">
        <v>986</v>
      </c>
      <c r="E55" s="464" t="s">
        <v>992</v>
      </c>
      <c r="F55" s="464" t="s">
        <v>993</v>
      </c>
      <c r="G55" s="468">
        <v>212</v>
      </c>
      <c r="H55" s="468">
        <v>16488.879999999997</v>
      </c>
      <c r="I55" s="464">
        <v>0.7653430608282511</v>
      </c>
      <c r="J55" s="464">
        <v>77.777735849056597</v>
      </c>
      <c r="K55" s="468">
        <v>277</v>
      </c>
      <c r="L55" s="468">
        <v>21544.43</v>
      </c>
      <c r="M55" s="464">
        <v>1</v>
      </c>
      <c r="N55" s="464">
        <v>77.777725631768959</v>
      </c>
      <c r="O55" s="468">
        <v>208</v>
      </c>
      <c r="P55" s="468">
        <v>16177.769999999999</v>
      </c>
      <c r="Q55" s="491">
        <v>0.75090266950668916</v>
      </c>
      <c r="R55" s="469">
        <v>77.777740384615385</v>
      </c>
    </row>
    <row r="56" spans="1:18" ht="14.4" customHeight="1" x14ac:dyDescent="0.3">
      <c r="A56" s="463"/>
      <c r="B56" s="464" t="s">
        <v>938</v>
      </c>
      <c r="C56" s="464" t="s">
        <v>425</v>
      </c>
      <c r="D56" s="464" t="s">
        <v>986</v>
      </c>
      <c r="E56" s="464" t="s">
        <v>994</v>
      </c>
      <c r="F56" s="464" t="s">
        <v>995</v>
      </c>
      <c r="G56" s="468"/>
      <c r="H56" s="468"/>
      <c r="I56" s="464"/>
      <c r="J56" s="464"/>
      <c r="K56" s="468">
        <v>7</v>
      </c>
      <c r="L56" s="468">
        <v>1750</v>
      </c>
      <c r="M56" s="464">
        <v>1</v>
      </c>
      <c r="N56" s="464">
        <v>250</v>
      </c>
      <c r="O56" s="468"/>
      <c r="P56" s="468"/>
      <c r="Q56" s="491"/>
      <c r="R56" s="469"/>
    </row>
    <row r="57" spans="1:18" ht="14.4" customHeight="1" x14ac:dyDescent="0.3">
      <c r="A57" s="463"/>
      <c r="B57" s="464" t="s">
        <v>938</v>
      </c>
      <c r="C57" s="464" t="s">
        <v>425</v>
      </c>
      <c r="D57" s="464" t="s">
        <v>986</v>
      </c>
      <c r="E57" s="464" t="s">
        <v>994</v>
      </c>
      <c r="F57" s="464" t="s">
        <v>996</v>
      </c>
      <c r="G57" s="468"/>
      <c r="H57" s="468"/>
      <c r="I57" s="464"/>
      <c r="J57" s="464"/>
      <c r="K57" s="468">
        <v>1</v>
      </c>
      <c r="L57" s="468">
        <v>250</v>
      </c>
      <c r="M57" s="464">
        <v>1</v>
      </c>
      <c r="N57" s="464">
        <v>250</v>
      </c>
      <c r="O57" s="468">
        <v>4</v>
      </c>
      <c r="P57" s="468">
        <v>1000</v>
      </c>
      <c r="Q57" s="491">
        <v>4</v>
      </c>
      <c r="R57" s="469">
        <v>250</v>
      </c>
    </row>
    <row r="58" spans="1:18" ht="14.4" customHeight="1" x14ac:dyDescent="0.3">
      <c r="A58" s="463"/>
      <c r="B58" s="464" t="s">
        <v>938</v>
      </c>
      <c r="C58" s="464" t="s">
        <v>425</v>
      </c>
      <c r="D58" s="464" t="s">
        <v>986</v>
      </c>
      <c r="E58" s="464" t="s">
        <v>997</v>
      </c>
      <c r="F58" s="464" t="s">
        <v>998</v>
      </c>
      <c r="G58" s="468">
        <v>1</v>
      </c>
      <c r="H58" s="468">
        <v>300</v>
      </c>
      <c r="I58" s="464"/>
      <c r="J58" s="464">
        <v>300</v>
      </c>
      <c r="K58" s="468"/>
      <c r="L58" s="468"/>
      <c r="M58" s="464"/>
      <c r="N58" s="464"/>
      <c r="O58" s="468"/>
      <c r="P58" s="468"/>
      <c r="Q58" s="491"/>
      <c r="R58" s="469"/>
    </row>
    <row r="59" spans="1:18" ht="14.4" customHeight="1" x14ac:dyDescent="0.3">
      <c r="A59" s="463"/>
      <c r="B59" s="464" t="s">
        <v>938</v>
      </c>
      <c r="C59" s="464" t="s">
        <v>425</v>
      </c>
      <c r="D59" s="464" t="s">
        <v>986</v>
      </c>
      <c r="E59" s="464" t="s">
        <v>999</v>
      </c>
      <c r="F59" s="464" t="s">
        <v>1000</v>
      </c>
      <c r="G59" s="468">
        <v>75</v>
      </c>
      <c r="H59" s="468">
        <v>8750</v>
      </c>
      <c r="I59" s="464">
        <v>0.89285805393678974</v>
      </c>
      <c r="J59" s="464">
        <v>116.66666666666667</v>
      </c>
      <c r="K59" s="468">
        <v>84</v>
      </c>
      <c r="L59" s="468">
        <v>9799.99</v>
      </c>
      <c r="M59" s="464">
        <v>1</v>
      </c>
      <c r="N59" s="464">
        <v>116.66654761904762</v>
      </c>
      <c r="O59" s="468">
        <v>42</v>
      </c>
      <c r="P59" s="468">
        <v>4900.01</v>
      </c>
      <c r="Q59" s="491">
        <v>0.50000153061380681</v>
      </c>
      <c r="R59" s="469">
        <v>116.66690476190476</v>
      </c>
    </row>
    <row r="60" spans="1:18" ht="14.4" customHeight="1" x14ac:dyDescent="0.3">
      <c r="A60" s="463"/>
      <c r="B60" s="464" t="s">
        <v>938</v>
      </c>
      <c r="C60" s="464" t="s">
        <v>425</v>
      </c>
      <c r="D60" s="464" t="s">
        <v>986</v>
      </c>
      <c r="E60" s="464" t="s">
        <v>999</v>
      </c>
      <c r="F60" s="464" t="s">
        <v>1001</v>
      </c>
      <c r="G60" s="468"/>
      <c r="H60" s="468"/>
      <c r="I60" s="464"/>
      <c r="J60" s="464"/>
      <c r="K60" s="468"/>
      <c r="L60" s="468"/>
      <c r="M60" s="464"/>
      <c r="N60" s="464"/>
      <c r="O60" s="468">
        <v>2</v>
      </c>
      <c r="P60" s="468">
        <v>233.33</v>
      </c>
      <c r="Q60" s="491"/>
      <c r="R60" s="469">
        <v>116.66500000000001</v>
      </c>
    </row>
    <row r="61" spans="1:18" ht="14.4" customHeight="1" x14ac:dyDescent="0.3">
      <c r="A61" s="463"/>
      <c r="B61" s="464" t="s">
        <v>938</v>
      </c>
      <c r="C61" s="464" t="s">
        <v>425</v>
      </c>
      <c r="D61" s="464" t="s">
        <v>986</v>
      </c>
      <c r="E61" s="464" t="s">
        <v>1002</v>
      </c>
      <c r="F61" s="464" t="s">
        <v>1003</v>
      </c>
      <c r="G61" s="468">
        <v>11</v>
      </c>
      <c r="H61" s="468">
        <v>3300</v>
      </c>
      <c r="I61" s="464">
        <v>0.84615384615384615</v>
      </c>
      <c r="J61" s="464">
        <v>300</v>
      </c>
      <c r="K61" s="468">
        <v>13</v>
      </c>
      <c r="L61" s="468">
        <v>3900</v>
      </c>
      <c r="M61" s="464">
        <v>1</v>
      </c>
      <c r="N61" s="464">
        <v>300</v>
      </c>
      <c r="O61" s="468">
        <v>17</v>
      </c>
      <c r="P61" s="468">
        <v>5100</v>
      </c>
      <c r="Q61" s="491">
        <v>1.3076923076923077</v>
      </c>
      <c r="R61" s="469">
        <v>300</v>
      </c>
    </row>
    <row r="62" spans="1:18" ht="14.4" customHeight="1" x14ac:dyDescent="0.3">
      <c r="A62" s="463"/>
      <c r="B62" s="464" t="s">
        <v>938</v>
      </c>
      <c r="C62" s="464" t="s">
        <v>425</v>
      </c>
      <c r="D62" s="464" t="s">
        <v>986</v>
      </c>
      <c r="E62" s="464" t="s">
        <v>1002</v>
      </c>
      <c r="F62" s="464" t="s">
        <v>1004</v>
      </c>
      <c r="G62" s="468">
        <v>21</v>
      </c>
      <c r="H62" s="468">
        <v>6300</v>
      </c>
      <c r="I62" s="464">
        <v>1.2352941176470589</v>
      </c>
      <c r="J62" s="464">
        <v>300</v>
      </c>
      <c r="K62" s="468">
        <v>17</v>
      </c>
      <c r="L62" s="468">
        <v>5100</v>
      </c>
      <c r="M62" s="464">
        <v>1</v>
      </c>
      <c r="N62" s="464">
        <v>300</v>
      </c>
      <c r="O62" s="468">
        <v>37</v>
      </c>
      <c r="P62" s="468">
        <v>11100</v>
      </c>
      <c r="Q62" s="491">
        <v>2.1764705882352939</v>
      </c>
      <c r="R62" s="469">
        <v>300</v>
      </c>
    </row>
    <row r="63" spans="1:18" ht="14.4" customHeight="1" x14ac:dyDescent="0.3">
      <c r="A63" s="463"/>
      <c r="B63" s="464" t="s">
        <v>938</v>
      </c>
      <c r="C63" s="464" t="s">
        <v>425</v>
      </c>
      <c r="D63" s="464" t="s">
        <v>986</v>
      </c>
      <c r="E63" s="464" t="s">
        <v>1005</v>
      </c>
      <c r="F63" s="464" t="s">
        <v>1006</v>
      </c>
      <c r="G63" s="468">
        <v>2</v>
      </c>
      <c r="H63" s="468">
        <v>588.88</v>
      </c>
      <c r="I63" s="464"/>
      <c r="J63" s="464">
        <v>294.44</v>
      </c>
      <c r="K63" s="468"/>
      <c r="L63" s="468"/>
      <c r="M63" s="464"/>
      <c r="N63" s="464"/>
      <c r="O63" s="468">
        <v>2</v>
      </c>
      <c r="P63" s="468">
        <v>588.89</v>
      </c>
      <c r="Q63" s="491"/>
      <c r="R63" s="469">
        <v>294.44499999999999</v>
      </c>
    </row>
    <row r="64" spans="1:18" ht="14.4" customHeight="1" x14ac:dyDescent="0.3">
      <c r="A64" s="463"/>
      <c r="B64" s="464" t="s">
        <v>938</v>
      </c>
      <c r="C64" s="464" t="s">
        <v>425</v>
      </c>
      <c r="D64" s="464" t="s">
        <v>986</v>
      </c>
      <c r="E64" s="464" t="s">
        <v>1005</v>
      </c>
      <c r="F64" s="464" t="s">
        <v>1007</v>
      </c>
      <c r="G64" s="468">
        <v>2</v>
      </c>
      <c r="H64" s="468">
        <v>588.88</v>
      </c>
      <c r="I64" s="464">
        <v>2</v>
      </c>
      <c r="J64" s="464">
        <v>294.44</v>
      </c>
      <c r="K64" s="468">
        <v>1</v>
      </c>
      <c r="L64" s="468">
        <v>294.44</v>
      </c>
      <c r="M64" s="464">
        <v>1</v>
      </c>
      <c r="N64" s="464">
        <v>294.44</v>
      </c>
      <c r="O64" s="468">
        <v>8</v>
      </c>
      <c r="P64" s="468">
        <v>2355.56</v>
      </c>
      <c r="Q64" s="491">
        <v>8.0001358511071867</v>
      </c>
      <c r="R64" s="469">
        <v>294.44499999999999</v>
      </c>
    </row>
    <row r="65" spans="1:18" ht="14.4" customHeight="1" x14ac:dyDescent="0.3">
      <c r="A65" s="463"/>
      <c r="B65" s="464" t="s">
        <v>938</v>
      </c>
      <c r="C65" s="464" t="s">
        <v>425</v>
      </c>
      <c r="D65" s="464" t="s">
        <v>986</v>
      </c>
      <c r="E65" s="464" t="s">
        <v>1008</v>
      </c>
      <c r="F65" s="464" t="s">
        <v>990</v>
      </c>
      <c r="G65" s="468">
        <v>44</v>
      </c>
      <c r="H65" s="468">
        <v>16426.669999999998</v>
      </c>
      <c r="I65" s="464">
        <v>1.7095283638380707</v>
      </c>
      <c r="J65" s="464">
        <v>373.33340909090907</v>
      </c>
      <c r="K65" s="468">
        <v>23</v>
      </c>
      <c r="L65" s="468">
        <v>9608.89</v>
      </c>
      <c r="M65" s="464">
        <v>1</v>
      </c>
      <c r="N65" s="464">
        <v>417.77782608695651</v>
      </c>
      <c r="O65" s="468">
        <v>36</v>
      </c>
      <c r="P65" s="468">
        <v>15040.010000000002</v>
      </c>
      <c r="Q65" s="491">
        <v>1.5652182510154662</v>
      </c>
      <c r="R65" s="469">
        <v>417.77805555555562</v>
      </c>
    </row>
    <row r="66" spans="1:18" ht="14.4" customHeight="1" x14ac:dyDescent="0.3">
      <c r="A66" s="463"/>
      <c r="B66" s="464" t="s">
        <v>938</v>
      </c>
      <c r="C66" s="464" t="s">
        <v>425</v>
      </c>
      <c r="D66" s="464" t="s">
        <v>986</v>
      </c>
      <c r="E66" s="464" t="s">
        <v>1008</v>
      </c>
      <c r="F66" s="464" t="s">
        <v>991</v>
      </c>
      <c r="G66" s="468">
        <v>124</v>
      </c>
      <c r="H66" s="468">
        <v>46293.329999999994</v>
      </c>
      <c r="I66" s="464">
        <v>3.2590723329660771</v>
      </c>
      <c r="J66" s="464">
        <v>373.33330645161288</v>
      </c>
      <c r="K66" s="468">
        <v>34</v>
      </c>
      <c r="L66" s="468">
        <v>14204.45</v>
      </c>
      <c r="M66" s="464">
        <v>1</v>
      </c>
      <c r="N66" s="464">
        <v>417.77794117647062</v>
      </c>
      <c r="O66" s="468">
        <v>35</v>
      </c>
      <c r="P66" s="468">
        <v>14622.22</v>
      </c>
      <c r="Q66" s="491">
        <v>1.0294112056433018</v>
      </c>
      <c r="R66" s="469">
        <v>417.77771428571424</v>
      </c>
    </row>
    <row r="67" spans="1:18" ht="14.4" customHeight="1" x14ac:dyDescent="0.3">
      <c r="A67" s="463"/>
      <c r="B67" s="464" t="s">
        <v>938</v>
      </c>
      <c r="C67" s="464" t="s">
        <v>425</v>
      </c>
      <c r="D67" s="464" t="s">
        <v>986</v>
      </c>
      <c r="E67" s="464" t="s">
        <v>1009</v>
      </c>
      <c r="F67" s="464" t="s">
        <v>1010</v>
      </c>
      <c r="G67" s="468">
        <v>71</v>
      </c>
      <c r="H67" s="468">
        <v>14988.9</v>
      </c>
      <c r="I67" s="464">
        <v>1.6136373667897888</v>
      </c>
      <c r="J67" s="464">
        <v>211.1112676056338</v>
      </c>
      <c r="K67" s="468">
        <v>44</v>
      </c>
      <c r="L67" s="468">
        <v>9288.89</v>
      </c>
      <c r="M67" s="464">
        <v>1</v>
      </c>
      <c r="N67" s="464">
        <v>211.11113636363635</v>
      </c>
      <c r="O67" s="468">
        <v>34</v>
      </c>
      <c r="P67" s="468">
        <v>7177.7900000000009</v>
      </c>
      <c r="Q67" s="491">
        <v>0.7727284960851083</v>
      </c>
      <c r="R67" s="469">
        <v>211.11147058823531</v>
      </c>
    </row>
    <row r="68" spans="1:18" ht="14.4" customHeight="1" x14ac:dyDescent="0.3">
      <c r="A68" s="463"/>
      <c r="B68" s="464" t="s">
        <v>938</v>
      </c>
      <c r="C68" s="464" t="s">
        <v>425</v>
      </c>
      <c r="D68" s="464" t="s">
        <v>986</v>
      </c>
      <c r="E68" s="464" t="s">
        <v>1009</v>
      </c>
      <c r="F68" s="464" t="s">
        <v>1011</v>
      </c>
      <c r="G68" s="468"/>
      <c r="H68" s="468"/>
      <c r="I68" s="464"/>
      <c r="J68" s="464"/>
      <c r="K68" s="468"/>
      <c r="L68" s="468"/>
      <c r="M68" s="464"/>
      <c r="N68" s="464"/>
      <c r="O68" s="468">
        <v>2</v>
      </c>
      <c r="P68" s="468">
        <v>422.22</v>
      </c>
      <c r="Q68" s="491"/>
      <c r="R68" s="469">
        <v>211.11</v>
      </c>
    </row>
    <row r="69" spans="1:18" ht="14.4" customHeight="1" x14ac:dyDescent="0.3">
      <c r="A69" s="463"/>
      <c r="B69" s="464" t="s">
        <v>938</v>
      </c>
      <c r="C69" s="464" t="s">
        <v>425</v>
      </c>
      <c r="D69" s="464" t="s">
        <v>986</v>
      </c>
      <c r="E69" s="464" t="s">
        <v>1012</v>
      </c>
      <c r="F69" s="464" t="s">
        <v>1013</v>
      </c>
      <c r="G69" s="468">
        <v>20</v>
      </c>
      <c r="H69" s="468">
        <v>11666.66</v>
      </c>
      <c r="I69" s="464">
        <v>0.86956515257895783</v>
      </c>
      <c r="J69" s="464">
        <v>583.33299999999997</v>
      </c>
      <c r="K69" s="468">
        <v>23</v>
      </c>
      <c r="L69" s="468">
        <v>13416.66</v>
      </c>
      <c r="M69" s="464">
        <v>1</v>
      </c>
      <c r="N69" s="464">
        <v>583.33304347826083</v>
      </c>
      <c r="O69" s="468">
        <v>5</v>
      </c>
      <c r="P69" s="468">
        <v>2916.67</v>
      </c>
      <c r="Q69" s="491">
        <v>0.21739166081573208</v>
      </c>
      <c r="R69" s="469">
        <v>583.33400000000006</v>
      </c>
    </row>
    <row r="70" spans="1:18" ht="14.4" customHeight="1" x14ac:dyDescent="0.3">
      <c r="A70" s="463"/>
      <c r="B70" s="464" t="s">
        <v>938</v>
      </c>
      <c r="C70" s="464" t="s">
        <v>425</v>
      </c>
      <c r="D70" s="464" t="s">
        <v>986</v>
      </c>
      <c r="E70" s="464" t="s">
        <v>1014</v>
      </c>
      <c r="F70" s="464" t="s">
        <v>1015</v>
      </c>
      <c r="G70" s="468">
        <v>7</v>
      </c>
      <c r="H70" s="468">
        <v>3266.66</v>
      </c>
      <c r="I70" s="464">
        <v>0.77777433863252698</v>
      </c>
      <c r="J70" s="464">
        <v>466.66571428571427</v>
      </c>
      <c r="K70" s="468">
        <v>9</v>
      </c>
      <c r="L70" s="468">
        <v>4200.01</v>
      </c>
      <c r="M70" s="464">
        <v>1</v>
      </c>
      <c r="N70" s="464">
        <v>466.66777777777781</v>
      </c>
      <c r="O70" s="468">
        <v>11</v>
      </c>
      <c r="P70" s="468">
        <v>5133.34</v>
      </c>
      <c r="Q70" s="491">
        <v>1.2222208994740489</v>
      </c>
      <c r="R70" s="469">
        <v>466.66727272727275</v>
      </c>
    </row>
    <row r="71" spans="1:18" ht="14.4" customHeight="1" x14ac:dyDescent="0.3">
      <c r="A71" s="463"/>
      <c r="B71" s="464" t="s">
        <v>938</v>
      </c>
      <c r="C71" s="464" t="s">
        <v>425</v>
      </c>
      <c r="D71" s="464" t="s">
        <v>986</v>
      </c>
      <c r="E71" s="464" t="s">
        <v>1014</v>
      </c>
      <c r="F71" s="464" t="s">
        <v>1016</v>
      </c>
      <c r="G71" s="468">
        <v>18</v>
      </c>
      <c r="H71" s="468">
        <v>8400</v>
      </c>
      <c r="I71" s="464">
        <v>1.1249994977680813</v>
      </c>
      <c r="J71" s="464">
        <v>466.66666666666669</v>
      </c>
      <c r="K71" s="468">
        <v>16</v>
      </c>
      <c r="L71" s="468">
        <v>7466.67</v>
      </c>
      <c r="M71" s="464">
        <v>1</v>
      </c>
      <c r="N71" s="464">
        <v>466.666875</v>
      </c>
      <c r="O71" s="468">
        <v>29</v>
      </c>
      <c r="P71" s="468">
        <v>13533.34</v>
      </c>
      <c r="Q71" s="491">
        <v>1.8125000837053198</v>
      </c>
      <c r="R71" s="469">
        <v>466.66689655172416</v>
      </c>
    </row>
    <row r="72" spans="1:18" ht="14.4" customHeight="1" x14ac:dyDescent="0.3">
      <c r="A72" s="463"/>
      <c r="B72" s="464" t="s">
        <v>938</v>
      </c>
      <c r="C72" s="464" t="s">
        <v>425</v>
      </c>
      <c r="D72" s="464" t="s">
        <v>986</v>
      </c>
      <c r="E72" s="464" t="s">
        <v>1017</v>
      </c>
      <c r="F72" s="464" t="s">
        <v>1018</v>
      </c>
      <c r="G72" s="468">
        <v>3</v>
      </c>
      <c r="H72" s="468">
        <v>150</v>
      </c>
      <c r="I72" s="464">
        <v>0.5</v>
      </c>
      <c r="J72" s="464">
        <v>50</v>
      </c>
      <c r="K72" s="468">
        <v>6</v>
      </c>
      <c r="L72" s="468">
        <v>300</v>
      </c>
      <c r="M72" s="464">
        <v>1</v>
      </c>
      <c r="N72" s="464">
        <v>50</v>
      </c>
      <c r="O72" s="468">
        <v>11</v>
      </c>
      <c r="P72" s="468">
        <v>550</v>
      </c>
      <c r="Q72" s="491">
        <v>1.8333333333333333</v>
      </c>
      <c r="R72" s="469">
        <v>50</v>
      </c>
    </row>
    <row r="73" spans="1:18" ht="14.4" customHeight="1" x14ac:dyDescent="0.3">
      <c r="A73" s="463"/>
      <c r="B73" s="464" t="s">
        <v>938</v>
      </c>
      <c r="C73" s="464" t="s">
        <v>425</v>
      </c>
      <c r="D73" s="464" t="s">
        <v>986</v>
      </c>
      <c r="E73" s="464" t="s">
        <v>1017</v>
      </c>
      <c r="F73" s="464" t="s">
        <v>1019</v>
      </c>
      <c r="G73" s="468">
        <v>11</v>
      </c>
      <c r="H73" s="468">
        <v>550</v>
      </c>
      <c r="I73" s="464">
        <v>1.375</v>
      </c>
      <c r="J73" s="464">
        <v>50</v>
      </c>
      <c r="K73" s="468">
        <v>8</v>
      </c>
      <c r="L73" s="468">
        <v>400</v>
      </c>
      <c r="M73" s="464">
        <v>1</v>
      </c>
      <c r="N73" s="464">
        <v>50</v>
      </c>
      <c r="O73" s="468">
        <v>16</v>
      </c>
      <c r="P73" s="468">
        <v>800</v>
      </c>
      <c r="Q73" s="491">
        <v>2</v>
      </c>
      <c r="R73" s="469">
        <v>50</v>
      </c>
    </row>
    <row r="74" spans="1:18" ht="14.4" customHeight="1" x14ac:dyDescent="0.3">
      <c r="A74" s="463"/>
      <c r="B74" s="464" t="s">
        <v>938</v>
      </c>
      <c r="C74" s="464" t="s">
        <v>425</v>
      </c>
      <c r="D74" s="464" t="s">
        <v>986</v>
      </c>
      <c r="E74" s="464" t="s">
        <v>1020</v>
      </c>
      <c r="F74" s="464" t="s">
        <v>1021</v>
      </c>
      <c r="G74" s="468">
        <v>9</v>
      </c>
      <c r="H74" s="468">
        <v>909.99</v>
      </c>
      <c r="I74" s="464">
        <v>0.42856739178554443</v>
      </c>
      <c r="J74" s="464">
        <v>101.11</v>
      </c>
      <c r="K74" s="468">
        <v>21</v>
      </c>
      <c r="L74" s="468">
        <v>2123.33</v>
      </c>
      <c r="M74" s="464">
        <v>1</v>
      </c>
      <c r="N74" s="464">
        <v>101.11095238095238</v>
      </c>
      <c r="O74" s="468">
        <v>14</v>
      </c>
      <c r="P74" s="468">
        <v>1415.55</v>
      </c>
      <c r="Q74" s="491">
        <v>0.66666509680548947</v>
      </c>
      <c r="R74" s="469">
        <v>101.11071428571428</v>
      </c>
    </row>
    <row r="75" spans="1:18" ht="14.4" customHeight="1" x14ac:dyDescent="0.3">
      <c r="A75" s="463"/>
      <c r="B75" s="464" t="s">
        <v>938</v>
      </c>
      <c r="C75" s="464" t="s">
        <v>425</v>
      </c>
      <c r="D75" s="464" t="s">
        <v>986</v>
      </c>
      <c r="E75" s="464" t="s">
        <v>1020</v>
      </c>
      <c r="F75" s="464" t="s">
        <v>1022</v>
      </c>
      <c r="G75" s="468">
        <v>31</v>
      </c>
      <c r="H75" s="468">
        <v>3134.44</v>
      </c>
      <c r="I75" s="464">
        <v>1.2399971516508557</v>
      </c>
      <c r="J75" s="464">
        <v>101.11096774193548</v>
      </c>
      <c r="K75" s="468">
        <v>25</v>
      </c>
      <c r="L75" s="468">
        <v>2527.7800000000002</v>
      </c>
      <c r="M75" s="464">
        <v>1</v>
      </c>
      <c r="N75" s="464">
        <v>101.11120000000001</v>
      </c>
      <c r="O75" s="468">
        <v>35</v>
      </c>
      <c r="P75" s="468">
        <v>3538.87</v>
      </c>
      <c r="Q75" s="491">
        <v>1.3999912967109478</v>
      </c>
      <c r="R75" s="469">
        <v>101.11057142857142</v>
      </c>
    </row>
    <row r="76" spans="1:18" ht="14.4" customHeight="1" x14ac:dyDescent="0.3">
      <c r="A76" s="463"/>
      <c r="B76" s="464" t="s">
        <v>938</v>
      </c>
      <c r="C76" s="464" t="s">
        <v>425</v>
      </c>
      <c r="D76" s="464" t="s">
        <v>986</v>
      </c>
      <c r="E76" s="464" t="s">
        <v>1023</v>
      </c>
      <c r="F76" s="464" t="s">
        <v>1024</v>
      </c>
      <c r="G76" s="468">
        <v>3</v>
      </c>
      <c r="H76" s="468">
        <v>230</v>
      </c>
      <c r="I76" s="464">
        <v>0.10344843095716785</v>
      </c>
      <c r="J76" s="464">
        <v>76.666666666666671</v>
      </c>
      <c r="K76" s="468">
        <v>29</v>
      </c>
      <c r="L76" s="468">
        <v>2223.33</v>
      </c>
      <c r="M76" s="464">
        <v>1</v>
      </c>
      <c r="N76" s="464">
        <v>76.666551724137932</v>
      </c>
      <c r="O76" s="468">
        <v>11</v>
      </c>
      <c r="P76" s="468">
        <v>843.33</v>
      </c>
      <c r="Q76" s="491">
        <v>0.37930941425699294</v>
      </c>
      <c r="R76" s="469">
        <v>76.666363636363641</v>
      </c>
    </row>
    <row r="77" spans="1:18" ht="14.4" customHeight="1" x14ac:dyDescent="0.3">
      <c r="A77" s="463"/>
      <c r="B77" s="464" t="s">
        <v>938</v>
      </c>
      <c r="C77" s="464" t="s">
        <v>425</v>
      </c>
      <c r="D77" s="464" t="s">
        <v>986</v>
      </c>
      <c r="E77" s="464" t="s">
        <v>1023</v>
      </c>
      <c r="F77" s="464" t="s">
        <v>1025</v>
      </c>
      <c r="G77" s="468">
        <v>7</v>
      </c>
      <c r="H77" s="468">
        <v>536.68000000000006</v>
      </c>
      <c r="I77" s="464">
        <v>2.3333913043478263</v>
      </c>
      <c r="J77" s="464">
        <v>76.66857142857144</v>
      </c>
      <c r="K77" s="468">
        <v>3</v>
      </c>
      <c r="L77" s="468">
        <v>230</v>
      </c>
      <c r="M77" s="464">
        <v>1</v>
      </c>
      <c r="N77" s="464">
        <v>76.666666666666671</v>
      </c>
      <c r="O77" s="468">
        <v>2</v>
      </c>
      <c r="P77" s="468">
        <v>153.34</v>
      </c>
      <c r="Q77" s="491">
        <v>0.66669565217391302</v>
      </c>
      <c r="R77" s="469">
        <v>76.67</v>
      </c>
    </row>
    <row r="78" spans="1:18" ht="14.4" customHeight="1" x14ac:dyDescent="0.3">
      <c r="A78" s="463"/>
      <c r="B78" s="464" t="s">
        <v>938</v>
      </c>
      <c r="C78" s="464" t="s">
        <v>425</v>
      </c>
      <c r="D78" s="464" t="s">
        <v>986</v>
      </c>
      <c r="E78" s="464" t="s">
        <v>1026</v>
      </c>
      <c r="F78" s="464" t="s">
        <v>1027</v>
      </c>
      <c r="G78" s="468">
        <v>135</v>
      </c>
      <c r="H78" s="468">
        <v>0</v>
      </c>
      <c r="I78" s="464"/>
      <c r="J78" s="464">
        <v>0</v>
      </c>
      <c r="K78" s="468">
        <v>200</v>
      </c>
      <c r="L78" s="468">
        <v>0</v>
      </c>
      <c r="M78" s="464"/>
      <c r="N78" s="464">
        <v>0</v>
      </c>
      <c r="O78" s="468">
        <v>137</v>
      </c>
      <c r="P78" s="468">
        <v>0</v>
      </c>
      <c r="Q78" s="491"/>
      <c r="R78" s="469">
        <v>0</v>
      </c>
    </row>
    <row r="79" spans="1:18" ht="14.4" customHeight="1" x14ac:dyDescent="0.3">
      <c r="A79" s="463"/>
      <c r="B79" s="464" t="s">
        <v>938</v>
      </c>
      <c r="C79" s="464" t="s">
        <v>425</v>
      </c>
      <c r="D79" s="464" t="s">
        <v>986</v>
      </c>
      <c r="E79" s="464" t="s">
        <v>1026</v>
      </c>
      <c r="F79" s="464" t="s">
        <v>1028</v>
      </c>
      <c r="G79" s="468"/>
      <c r="H79" s="468"/>
      <c r="I79" s="464"/>
      <c r="J79" s="464"/>
      <c r="K79" s="468"/>
      <c r="L79" s="468"/>
      <c r="M79" s="464"/>
      <c r="N79" s="464"/>
      <c r="O79" s="468">
        <v>3</v>
      </c>
      <c r="P79" s="468">
        <v>0</v>
      </c>
      <c r="Q79" s="491"/>
      <c r="R79" s="469">
        <v>0</v>
      </c>
    </row>
    <row r="80" spans="1:18" ht="14.4" customHeight="1" x14ac:dyDescent="0.3">
      <c r="A80" s="463"/>
      <c r="B80" s="464" t="s">
        <v>938</v>
      </c>
      <c r="C80" s="464" t="s">
        <v>425</v>
      </c>
      <c r="D80" s="464" t="s">
        <v>986</v>
      </c>
      <c r="E80" s="464" t="s">
        <v>1029</v>
      </c>
      <c r="F80" s="464" t="s">
        <v>1030</v>
      </c>
      <c r="G80" s="468">
        <v>79</v>
      </c>
      <c r="H80" s="468">
        <v>24138.89</v>
      </c>
      <c r="I80" s="464">
        <v>1.1126763355034746</v>
      </c>
      <c r="J80" s="464">
        <v>305.55556962025315</v>
      </c>
      <c r="K80" s="468">
        <v>71</v>
      </c>
      <c r="L80" s="468">
        <v>21694.44</v>
      </c>
      <c r="M80" s="464">
        <v>1</v>
      </c>
      <c r="N80" s="464">
        <v>305.55549295774648</v>
      </c>
      <c r="O80" s="468">
        <v>68</v>
      </c>
      <c r="P80" s="468">
        <v>20777.78</v>
      </c>
      <c r="Q80" s="491">
        <v>0.95774677751534498</v>
      </c>
      <c r="R80" s="469">
        <v>305.55558823529412</v>
      </c>
    </row>
    <row r="81" spans="1:18" ht="14.4" customHeight="1" x14ac:dyDescent="0.3">
      <c r="A81" s="463"/>
      <c r="B81" s="464" t="s">
        <v>938</v>
      </c>
      <c r="C81" s="464" t="s">
        <v>425</v>
      </c>
      <c r="D81" s="464" t="s">
        <v>986</v>
      </c>
      <c r="E81" s="464" t="s">
        <v>1029</v>
      </c>
      <c r="F81" s="464" t="s">
        <v>1031</v>
      </c>
      <c r="G81" s="468">
        <v>6</v>
      </c>
      <c r="H81" s="468">
        <v>1833.34</v>
      </c>
      <c r="I81" s="464"/>
      <c r="J81" s="464">
        <v>305.55666666666667</v>
      </c>
      <c r="K81" s="468"/>
      <c r="L81" s="468"/>
      <c r="M81" s="464"/>
      <c r="N81" s="464"/>
      <c r="O81" s="468"/>
      <c r="P81" s="468"/>
      <c r="Q81" s="491"/>
      <c r="R81" s="469"/>
    </row>
    <row r="82" spans="1:18" ht="14.4" customHeight="1" x14ac:dyDescent="0.3">
      <c r="A82" s="463"/>
      <c r="B82" s="464" t="s">
        <v>938</v>
      </c>
      <c r="C82" s="464" t="s">
        <v>425</v>
      </c>
      <c r="D82" s="464" t="s">
        <v>986</v>
      </c>
      <c r="E82" s="464" t="s">
        <v>1032</v>
      </c>
      <c r="F82" s="464" t="s">
        <v>1033</v>
      </c>
      <c r="G82" s="468">
        <v>32</v>
      </c>
      <c r="H82" s="468">
        <v>1066.6699999999998</v>
      </c>
      <c r="I82" s="464">
        <v>0.42105283933463322</v>
      </c>
      <c r="J82" s="464">
        <v>33.333437499999995</v>
      </c>
      <c r="K82" s="468">
        <v>76</v>
      </c>
      <c r="L82" s="468">
        <v>2533.34</v>
      </c>
      <c r="M82" s="464">
        <v>1</v>
      </c>
      <c r="N82" s="464">
        <v>33.333421052631579</v>
      </c>
      <c r="O82" s="468">
        <v>27</v>
      </c>
      <c r="P82" s="468">
        <v>900</v>
      </c>
      <c r="Q82" s="491">
        <v>0.35526222299415</v>
      </c>
      <c r="R82" s="469">
        <v>33.333333333333336</v>
      </c>
    </row>
    <row r="83" spans="1:18" ht="14.4" customHeight="1" x14ac:dyDescent="0.3">
      <c r="A83" s="463"/>
      <c r="B83" s="464" t="s">
        <v>938</v>
      </c>
      <c r="C83" s="464" t="s">
        <v>425</v>
      </c>
      <c r="D83" s="464" t="s">
        <v>986</v>
      </c>
      <c r="E83" s="464" t="s">
        <v>1032</v>
      </c>
      <c r="F83" s="464" t="s">
        <v>1034</v>
      </c>
      <c r="G83" s="468">
        <v>2</v>
      </c>
      <c r="H83" s="468">
        <v>66.67</v>
      </c>
      <c r="I83" s="464">
        <v>2.0003000300030003</v>
      </c>
      <c r="J83" s="464">
        <v>33.335000000000001</v>
      </c>
      <c r="K83" s="468">
        <v>1</v>
      </c>
      <c r="L83" s="468">
        <v>33.33</v>
      </c>
      <c r="M83" s="464">
        <v>1</v>
      </c>
      <c r="N83" s="464">
        <v>33.33</v>
      </c>
      <c r="O83" s="468">
        <v>1</v>
      </c>
      <c r="P83" s="468">
        <v>33.33</v>
      </c>
      <c r="Q83" s="491">
        <v>1</v>
      </c>
      <c r="R83" s="469">
        <v>33.33</v>
      </c>
    </row>
    <row r="84" spans="1:18" ht="14.4" customHeight="1" x14ac:dyDescent="0.3">
      <c r="A84" s="463"/>
      <c r="B84" s="464" t="s">
        <v>938</v>
      </c>
      <c r="C84" s="464" t="s">
        <v>425</v>
      </c>
      <c r="D84" s="464" t="s">
        <v>986</v>
      </c>
      <c r="E84" s="464" t="s">
        <v>1035</v>
      </c>
      <c r="F84" s="464" t="s">
        <v>1036</v>
      </c>
      <c r="G84" s="468">
        <v>37</v>
      </c>
      <c r="H84" s="468">
        <v>16855.57</v>
      </c>
      <c r="I84" s="464">
        <v>1.6086936188894614</v>
      </c>
      <c r="J84" s="464">
        <v>455.55594594594595</v>
      </c>
      <c r="K84" s="468">
        <v>23</v>
      </c>
      <c r="L84" s="468">
        <v>10477.800000000001</v>
      </c>
      <c r="M84" s="464">
        <v>1</v>
      </c>
      <c r="N84" s="464">
        <v>455.55652173913046</v>
      </c>
      <c r="O84" s="468">
        <v>31</v>
      </c>
      <c r="P84" s="468">
        <v>14122.230000000001</v>
      </c>
      <c r="Q84" s="491">
        <v>1.3478239706808681</v>
      </c>
      <c r="R84" s="469">
        <v>455.55580645161297</v>
      </c>
    </row>
    <row r="85" spans="1:18" ht="14.4" customHeight="1" x14ac:dyDescent="0.3">
      <c r="A85" s="463"/>
      <c r="B85" s="464" t="s">
        <v>938</v>
      </c>
      <c r="C85" s="464" t="s">
        <v>425</v>
      </c>
      <c r="D85" s="464" t="s">
        <v>986</v>
      </c>
      <c r="E85" s="464" t="s">
        <v>1035</v>
      </c>
      <c r="F85" s="464" t="s">
        <v>1037</v>
      </c>
      <c r="G85" s="468">
        <v>65</v>
      </c>
      <c r="H85" s="468">
        <v>29611.11</v>
      </c>
      <c r="I85" s="464">
        <v>1.1403506880165997</v>
      </c>
      <c r="J85" s="464">
        <v>455.55553846153845</v>
      </c>
      <c r="K85" s="468">
        <v>57</v>
      </c>
      <c r="L85" s="468">
        <v>25966.670000000002</v>
      </c>
      <c r="M85" s="464">
        <v>1</v>
      </c>
      <c r="N85" s="464">
        <v>455.55561403508773</v>
      </c>
      <c r="O85" s="468">
        <v>43</v>
      </c>
      <c r="P85" s="468">
        <v>19588.899999999998</v>
      </c>
      <c r="Q85" s="491">
        <v>0.7543862959709503</v>
      </c>
      <c r="R85" s="469">
        <v>455.55581395348833</v>
      </c>
    </row>
    <row r="86" spans="1:18" ht="14.4" customHeight="1" x14ac:dyDescent="0.3">
      <c r="A86" s="463"/>
      <c r="B86" s="464" t="s">
        <v>938</v>
      </c>
      <c r="C86" s="464" t="s">
        <v>425</v>
      </c>
      <c r="D86" s="464" t="s">
        <v>986</v>
      </c>
      <c r="E86" s="464" t="s">
        <v>1038</v>
      </c>
      <c r="F86" s="464" t="s">
        <v>1039</v>
      </c>
      <c r="G86" s="468">
        <v>79</v>
      </c>
      <c r="H86" s="468">
        <v>6144.4500000000007</v>
      </c>
      <c r="I86" s="464">
        <v>1.0675677084419239</v>
      </c>
      <c r="J86" s="464">
        <v>77.777848101265832</v>
      </c>
      <c r="K86" s="468">
        <v>74</v>
      </c>
      <c r="L86" s="468">
        <v>5755.56</v>
      </c>
      <c r="M86" s="464">
        <v>1</v>
      </c>
      <c r="N86" s="464">
        <v>77.777837837837836</v>
      </c>
      <c r="O86" s="468">
        <v>69</v>
      </c>
      <c r="P86" s="468">
        <v>5366.6799999999994</v>
      </c>
      <c r="Q86" s="491">
        <v>0.93243402900847161</v>
      </c>
      <c r="R86" s="469">
        <v>77.777971014492749</v>
      </c>
    </row>
    <row r="87" spans="1:18" ht="14.4" customHeight="1" x14ac:dyDescent="0.3">
      <c r="A87" s="463"/>
      <c r="B87" s="464" t="s">
        <v>938</v>
      </c>
      <c r="C87" s="464" t="s">
        <v>425</v>
      </c>
      <c r="D87" s="464" t="s">
        <v>986</v>
      </c>
      <c r="E87" s="464" t="s">
        <v>1038</v>
      </c>
      <c r="F87" s="464" t="s">
        <v>1040</v>
      </c>
      <c r="G87" s="468">
        <v>7</v>
      </c>
      <c r="H87" s="468">
        <v>544.45000000000005</v>
      </c>
      <c r="I87" s="464"/>
      <c r="J87" s="464">
        <v>77.778571428571439</v>
      </c>
      <c r="K87" s="468"/>
      <c r="L87" s="468"/>
      <c r="M87" s="464"/>
      <c r="N87" s="464"/>
      <c r="O87" s="468"/>
      <c r="P87" s="468"/>
      <c r="Q87" s="491"/>
      <c r="R87" s="469"/>
    </row>
    <row r="88" spans="1:18" ht="14.4" customHeight="1" x14ac:dyDescent="0.3">
      <c r="A88" s="463"/>
      <c r="B88" s="464" t="s">
        <v>938</v>
      </c>
      <c r="C88" s="464" t="s">
        <v>425</v>
      </c>
      <c r="D88" s="464" t="s">
        <v>986</v>
      </c>
      <c r="E88" s="464" t="s">
        <v>1041</v>
      </c>
      <c r="F88" s="464" t="s">
        <v>1042</v>
      </c>
      <c r="G88" s="468"/>
      <c r="H88" s="468"/>
      <c r="I88" s="464"/>
      <c r="J88" s="464"/>
      <c r="K88" s="468">
        <v>12</v>
      </c>
      <c r="L88" s="468">
        <v>3240</v>
      </c>
      <c r="M88" s="464">
        <v>1</v>
      </c>
      <c r="N88" s="464">
        <v>270</v>
      </c>
      <c r="O88" s="468"/>
      <c r="P88" s="468"/>
      <c r="Q88" s="491"/>
      <c r="R88" s="469"/>
    </row>
    <row r="89" spans="1:18" ht="14.4" customHeight="1" x14ac:dyDescent="0.3">
      <c r="A89" s="463"/>
      <c r="B89" s="464" t="s">
        <v>938</v>
      </c>
      <c r="C89" s="464" t="s">
        <v>425</v>
      </c>
      <c r="D89" s="464" t="s">
        <v>986</v>
      </c>
      <c r="E89" s="464" t="s">
        <v>1043</v>
      </c>
      <c r="F89" s="464" t="s">
        <v>1044</v>
      </c>
      <c r="G89" s="468">
        <v>41</v>
      </c>
      <c r="H89" s="468">
        <v>3872.2200000000003</v>
      </c>
      <c r="I89" s="464">
        <v>0.38317718167028847</v>
      </c>
      <c r="J89" s="464">
        <v>94.444390243902447</v>
      </c>
      <c r="K89" s="468">
        <v>107</v>
      </c>
      <c r="L89" s="468">
        <v>10105.56</v>
      </c>
      <c r="M89" s="464">
        <v>1</v>
      </c>
      <c r="N89" s="464">
        <v>94.444485981308404</v>
      </c>
      <c r="O89" s="468">
        <v>32</v>
      </c>
      <c r="P89" s="468">
        <v>3022.2199999999993</v>
      </c>
      <c r="Q89" s="491">
        <v>0.29906506913026093</v>
      </c>
      <c r="R89" s="469">
        <v>94.44437499999998</v>
      </c>
    </row>
    <row r="90" spans="1:18" ht="14.4" customHeight="1" x14ac:dyDescent="0.3">
      <c r="A90" s="463"/>
      <c r="B90" s="464" t="s">
        <v>938</v>
      </c>
      <c r="C90" s="464" t="s">
        <v>425</v>
      </c>
      <c r="D90" s="464" t="s">
        <v>986</v>
      </c>
      <c r="E90" s="464" t="s">
        <v>1043</v>
      </c>
      <c r="F90" s="464" t="s">
        <v>1045</v>
      </c>
      <c r="G90" s="468">
        <v>91</v>
      </c>
      <c r="H90" s="468">
        <v>8594.4499999999989</v>
      </c>
      <c r="I90" s="464">
        <v>0.99999883645976595</v>
      </c>
      <c r="J90" s="464">
        <v>94.444505494505478</v>
      </c>
      <c r="K90" s="468">
        <v>91</v>
      </c>
      <c r="L90" s="468">
        <v>8594.4599999999991</v>
      </c>
      <c r="M90" s="464">
        <v>1</v>
      </c>
      <c r="N90" s="464">
        <v>94.444615384615375</v>
      </c>
      <c r="O90" s="468">
        <v>78</v>
      </c>
      <c r="P90" s="468">
        <v>7366.6599999999989</v>
      </c>
      <c r="Q90" s="491">
        <v>0.85714053006238899</v>
      </c>
      <c r="R90" s="469">
        <v>94.444358974358963</v>
      </c>
    </row>
    <row r="91" spans="1:18" ht="14.4" customHeight="1" x14ac:dyDescent="0.3">
      <c r="A91" s="463"/>
      <c r="B91" s="464" t="s">
        <v>938</v>
      </c>
      <c r="C91" s="464" t="s">
        <v>425</v>
      </c>
      <c r="D91" s="464" t="s">
        <v>986</v>
      </c>
      <c r="E91" s="464" t="s">
        <v>1046</v>
      </c>
      <c r="F91" s="464" t="s">
        <v>1047</v>
      </c>
      <c r="G91" s="468">
        <v>2</v>
      </c>
      <c r="H91" s="468">
        <v>86.67</v>
      </c>
      <c r="I91" s="464">
        <v>1</v>
      </c>
      <c r="J91" s="464">
        <v>43.335000000000001</v>
      </c>
      <c r="K91" s="468">
        <v>2</v>
      </c>
      <c r="L91" s="468">
        <v>86.67</v>
      </c>
      <c r="M91" s="464">
        <v>1</v>
      </c>
      <c r="N91" s="464">
        <v>43.335000000000001</v>
      </c>
      <c r="O91" s="468"/>
      <c r="P91" s="468"/>
      <c r="Q91" s="491"/>
      <c r="R91" s="469"/>
    </row>
    <row r="92" spans="1:18" ht="14.4" customHeight="1" x14ac:dyDescent="0.3">
      <c r="A92" s="463"/>
      <c r="B92" s="464" t="s">
        <v>938</v>
      </c>
      <c r="C92" s="464" t="s">
        <v>425</v>
      </c>
      <c r="D92" s="464" t="s">
        <v>986</v>
      </c>
      <c r="E92" s="464" t="s">
        <v>1046</v>
      </c>
      <c r="F92" s="464" t="s">
        <v>1048</v>
      </c>
      <c r="G92" s="468">
        <v>32</v>
      </c>
      <c r="H92" s="468">
        <v>1386.67</v>
      </c>
      <c r="I92" s="464">
        <v>0.69565151956013527</v>
      </c>
      <c r="J92" s="464">
        <v>43.333437500000002</v>
      </c>
      <c r="K92" s="468">
        <v>46</v>
      </c>
      <c r="L92" s="468">
        <v>1993.3400000000001</v>
      </c>
      <c r="M92" s="464">
        <v>1</v>
      </c>
      <c r="N92" s="464">
        <v>43.333478260869569</v>
      </c>
      <c r="O92" s="468">
        <v>45</v>
      </c>
      <c r="P92" s="468">
        <v>1950</v>
      </c>
      <c r="Q92" s="491">
        <v>0.97825759780067623</v>
      </c>
      <c r="R92" s="469">
        <v>43.333333333333336</v>
      </c>
    </row>
    <row r="93" spans="1:18" ht="14.4" customHeight="1" x14ac:dyDescent="0.3">
      <c r="A93" s="463"/>
      <c r="B93" s="464" t="s">
        <v>938</v>
      </c>
      <c r="C93" s="464" t="s">
        <v>425</v>
      </c>
      <c r="D93" s="464" t="s">
        <v>986</v>
      </c>
      <c r="E93" s="464" t="s">
        <v>1049</v>
      </c>
      <c r="F93" s="464" t="s">
        <v>1050</v>
      </c>
      <c r="G93" s="468">
        <v>1</v>
      </c>
      <c r="H93" s="468">
        <v>195.56</v>
      </c>
      <c r="I93" s="464"/>
      <c r="J93" s="464">
        <v>195.56</v>
      </c>
      <c r="K93" s="468"/>
      <c r="L93" s="468"/>
      <c r="M93" s="464"/>
      <c r="N93" s="464"/>
      <c r="O93" s="468"/>
      <c r="P93" s="468"/>
      <c r="Q93" s="491"/>
      <c r="R93" s="469"/>
    </row>
    <row r="94" spans="1:18" ht="14.4" customHeight="1" x14ac:dyDescent="0.3">
      <c r="A94" s="463"/>
      <c r="B94" s="464" t="s">
        <v>938</v>
      </c>
      <c r="C94" s="464" t="s">
        <v>425</v>
      </c>
      <c r="D94" s="464" t="s">
        <v>986</v>
      </c>
      <c r="E94" s="464" t="s">
        <v>1049</v>
      </c>
      <c r="F94" s="464" t="s">
        <v>1051</v>
      </c>
      <c r="G94" s="468">
        <v>2</v>
      </c>
      <c r="H94" s="468">
        <v>391.11</v>
      </c>
      <c r="I94" s="464">
        <v>1.9999488647985273</v>
      </c>
      <c r="J94" s="464">
        <v>195.55500000000001</v>
      </c>
      <c r="K94" s="468">
        <v>1</v>
      </c>
      <c r="L94" s="468">
        <v>195.56</v>
      </c>
      <c r="M94" s="464">
        <v>1</v>
      </c>
      <c r="N94" s="464">
        <v>195.56</v>
      </c>
      <c r="O94" s="468"/>
      <c r="P94" s="468"/>
      <c r="Q94" s="491"/>
      <c r="R94" s="469"/>
    </row>
    <row r="95" spans="1:18" ht="14.4" customHeight="1" x14ac:dyDescent="0.3">
      <c r="A95" s="463"/>
      <c r="B95" s="464" t="s">
        <v>938</v>
      </c>
      <c r="C95" s="464" t="s">
        <v>425</v>
      </c>
      <c r="D95" s="464" t="s">
        <v>986</v>
      </c>
      <c r="E95" s="464" t="s">
        <v>1052</v>
      </c>
      <c r="F95" s="464" t="s">
        <v>1053</v>
      </c>
      <c r="G95" s="468"/>
      <c r="H95" s="468"/>
      <c r="I95" s="464"/>
      <c r="J95" s="464"/>
      <c r="K95" s="468"/>
      <c r="L95" s="468"/>
      <c r="M95" s="464"/>
      <c r="N95" s="464"/>
      <c r="O95" s="468">
        <v>1</v>
      </c>
      <c r="P95" s="468">
        <v>116.67</v>
      </c>
      <c r="Q95" s="491"/>
      <c r="R95" s="469">
        <v>116.67</v>
      </c>
    </row>
    <row r="96" spans="1:18" ht="14.4" customHeight="1" x14ac:dyDescent="0.3">
      <c r="A96" s="463"/>
      <c r="B96" s="464" t="s">
        <v>938</v>
      </c>
      <c r="C96" s="464" t="s">
        <v>425</v>
      </c>
      <c r="D96" s="464" t="s">
        <v>986</v>
      </c>
      <c r="E96" s="464" t="s">
        <v>1052</v>
      </c>
      <c r="F96" s="464" t="s">
        <v>1054</v>
      </c>
      <c r="G96" s="468"/>
      <c r="H96" s="468"/>
      <c r="I96" s="464"/>
      <c r="J96" s="464"/>
      <c r="K96" s="468">
        <v>1</v>
      </c>
      <c r="L96" s="468">
        <v>116.67</v>
      </c>
      <c r="M96" s="464">
        <v>1</v>
      </c>
      <c r="N96" s="464">
        <v>116.67</v>
      </c>
      <c r="O96" s="468"/>
      <c r="P96" s="468"/>
      <c r="Q96" s="491"/>
      <c r="R96" s="469"/>
    </row>
    <row r="97" spans="1:18" ht="14.4" customHeight="1" x14ac:dyDescent="0.3">
      <c r="A97" s="463"/>
      <c r="B97" s="464" t="s">
        <v>938</v>
      </c>
      <c r="C97" s="464" t="s">
        <v>425</v>
      </c>
      <c r="D97" s="464" t="s">
        <v>986</v>
      </c>
      <c r="E97" s="464" t="s">
        <v>1055</v>
      </c>
      <c r="F97" s="464" t="s">
        <v>1056</v>
      </c>
      <c r="G97" s="468"/>
      <c r="H97" s="468"/>
      <c r="I97" s="464"/>
      <c r="J97" s="464"/>
      <c r="K97" s="468">
        <v>6</v>
      </c>
      <c r="L97" s="468">
        <v>293.33</v>
      </c>
      <c r="M97" s="464">
        <v>1</v>
      </c>
      <c r="N97" s="464">
        <v>48.888333333333328</v>
      </c>
      <c r="O97" s="468"/>
      <c r="P97" s="468"/>
      <c r="Q97" s="491"/>
      <c r="R97" s="469"/>
    </row>
    <row r="98" spans="1:18" ht="14.4" customHeight="1" x14ac:dyDescent="0.3">
      <c r="A98" s="463"/>
      <c r="B98" s="464" t="s">
        <v>938</v>
      </c>
      <c r="C98" s="464" t="s">
        <v>425</v>
      </c>
      <c r="D98" s="464" t="s">
        <v>986</v>
      </c>
      <c r="E98" s="464" t="s">
        <v>1055</v>
      </c>
      <c r="F98" s="464" t="s">
        <v>1057</v>
      </c>
      <c r="G98" s="468">
        <v>2</v>
      </c>
      <c r="H98" s="468">
        <v>97.78</v>
      </c>
      <c r="I98" s="464">
        <v>0.2857142857142857</v>
      </c>
      <c r="J98" s="464">
        <v>48.89</v>
      </c>
      <c r="K98" s="468">
        <v>7</v>
      </c>
      <c r="L98" s="468">
        <v>342.23</v>
      </c>
      <c r="M98" s="464">
        <v>1</v>
      </c>
      <c r="N98" s="464">
        <v>48.89</v>
      </c>
      <c r="O98" s="468">
        <v>3</v>
      </c>
      <c r="P98" s="468">
        <v>146.66999999999999</v>
      </c>
      <c r="Q98" s="491">
        <v>0.42857142857142849</v>
      </c>
      <c r="R98" s="469">
        <v>48.889999999999993</v>
      </c>
    </row>
    <row r="99" spans="1:18" ht="14.4" customHeight="1" x14ac:dyDescent="0.3">
      <c r="A99" s="463"/>
      <c r="B99" s="464" t="s">
        <v>938</v>
      </c>
      <c r="C99" s="464" t="s">
        <v>425</v>
      </c>
      <c r="D99" s="464" t="s">
        <v>986</v>
      </c>
      <c r="E99" s="464" t="s">
        <v>1058</v>
      </c>
      <c r="F99" s="464" t="s">
        <v>1059</v>
      </c>
      <c r="G99" s="468"/>
      <c r="H99" s="468"/>
      <c r="I99" s="464"/>
      <c r="J99" s="464"/>
      <c r="K99" s="468">
        <v>1</v>
      </c>
      <c r="L99" s="468">
        <v>344.44</v>
      </c>
      <c r="M99" s="464">
        <v>1</v>
      </c>
      <c r="N99" s="464">
        <v>344.44</v>
      </c>
      <c r="O99" s="468">
        <v>1</v>
      </c>
      <c r="P99" s="468">
        <v>344.44</v>
      </c>
      <c r="Q99" s="491">
        <v>1</v>
      </c>
      <c r="R99" s="469">
        <v>344.44</v>
      </c>
    </row>
    <row r="100" spans="1:18" ht="14.4" customHeight="1" x14ac:dyDescent="0.3">
      <c r="A100" s="463"/>
      <c r="B100" s="464" t="s">
        <v>938</v>
      </c>
      <c r="C100" s="464" t="s">
        <v>425</v>
      </c>
      <c r="D100" s="464" t="s">
        <v>986</v>
      </c>
      <c r="E100" s="464" t="s">
        <v>1060</v>
      </c>
      <c r="F100" s="464" t="s">
        <v>1061</v>
      </c>
      <c r="G100" s="468">
        <v>1</v>
      </c>
      <c r="H100" s="468">
        <v>292.22000000000003</v>
      </c>
      <c r="I100" s="464"/>
      <c r="J100" s="464">
        <v>292.22000000000003</v>
      </c>
      <c r="K100" s="468"/>
      <c r="L100" s="468"/>
      <c r="M100" s="464"/>
      <c r="N100" s="464"/>
      <c r="O100" s="468"/>
      <c r="P100" s="468"/>
      <c r="Q100" s="491"/>
      <c r="R100" s="469"/>
    </row>
    <row r="101" spans="1:18" ht="14.4" customHeight="1" x14ac:dyDescent="0.3">
      <c r="A101" s="463"/>
      <c r="B101" s="464" t="s">
        <v>938</v>
      </c>
      <c r="C101" s="464" t="s">
        <v>425</v>
      </c>
      <c r="D101" s="464" t="s">
        <v>986</v>
      </c>
      <c r="E101" s="464" t="s">
        <v>1062</v>
      </c>
      <c r="F101" s="464" t="s">
        <v>1063</v>
      </c>
      <c r="G101" s="468"/>
      <c r="H101" s="468"/>
      <c r="I101" s="464"/>
      <c r="J101" s="464"/>
      <c r="K101" s="468">
        <v>2</v>
      </c>
      <c r="L101" s="468">
        <v>444.44</v>
      </c>
      <c r="M101" s="464">
        <v>1</v>
      </c>
      <c r="N101" s="464">
        <v>222.22</v>
      </c>
      <c r="O101" s="468">
        <v>3</v>
      </c>
      <c r="P101" s="468">
        <v>666.66</v>
      </c>
      <c r="Q101" s="491">
        <v>1.5</v>
      </c>
      <c r="R101" s="469">
        <v>222.22</v>
      </c>
    </row>
    <row r="102" spans="1:18" ht="14.4" customHeight="1" x14ac:dyDescent="0.3">
      <c r="A102" s="463"/>
      <c r="B102" s="464" t="s">
        <v>938</v>
      </c>
      <c r="C102" s="464" t="s">
        <v>425</v>
      </c>
      <c r="D102" s="464" t="s">
        <v>986</v>
      </c>
      <c r="E102" s="464" t="s">
        <v>1062</v>
      </c>
      <c r="F102" s="464" t="s">
        <v>1064</v>
      </c>
      <c r="G102" s="468"/>
      <c r="H102" s="468"/>
      <c r="I102" s="464"/>
      <c r="J102" s="464"/>
      <c r="K102" s="468">
        <v>12</v>
      </c>
      <c r="L102" s="468">
        <v>2666.6599999999994</v>
      </c>
      <c r="M102" s="464">
        <v>1</v>
      </c>
      <c r="N102" s="464">
        <v>222.22166666666661</v>
      </c>
      <c r="O102" s="468">
        <v>3</v>
      </c>
      <c r="P102" s="468">
        <v>666.66</v>
      </c>
      <c r="Q102" s="491">
        <v>0.24999812499531254</v>
      </c>
      <c r="R102" s="469">
        <v>222.22</v>
      </c>
    </row>
    <row r="103" spans="1:18" ht="14.4" customHeight="1" x14ac:dyDescent="0.3">
      <c r="A103" s="463"/>
      <c r="B103" s="464" t="s">
        <v>938</v>
      </c>
      <c r="C103" s="464" t="s">
        <v>425</v>
      </c>
      <c r="D103" s="464" t="s">
        <v>986</v>
      </c>
      <c r="E103" s="464" t="s">
        <v>1065</v>
      </c>
      <c r="F103" s="464" t="s">
        <v>1066</v>
      </c>
      <c r="G103" s="468"/>
      <c r="H103" s="468"/>
      <c r="I103" s="464"/>
      <c r="J103" s="464"/>
      <c r="K103" s="468"/>
      <c r="L103" s="468"/>
      <c r="M103" s="464"/>
      <c r="N103" s="464"/>
      <c r="O103" s="468">
        <v>2</v>
      </c>
      <c r="P103" s="468">
        <v>233.33</v>
      </c>
      <c r="Q103" s="491"/>
      <c r="R103" s="469">
        <v>116.66500000000001</v>
      </c>
    </row>
    <row r="104" spans="1:18" ht="14.4" customHeight="1" x14ac:dyDescent="0.3">
      <c r="A104" s="463"/>
      <c r="B104" s="464" t="s">
        <v>938</v>
      </c>
      <c r="C104" s="464" t="s">
        <v>931</v>
      </c>
      <c r="D104" s="464" t="s">
        <v>939</v>
      </c>
      <c r="E104" s="464" t="s">
        <v>940</v>
      </c>
      <c r="F104" s="464"/>
      <c r="G104" s="468">
        <v>2</v>
      </c>
      <c r="H104" s="468">
        <v>226</v>
      </c>
      <c r="I104" s="464"/>
      <c r="J104" s="464">
        <v>113</v>
      </c>
      <c r="K104" s="468"/>
      <c r="L104" s="468"/>
      <c r="M104" s="464"/>
      <c r="N104" s="464"/>
      <c r="O104" s="468"/>
      <c r="P104" s="468"/>
      <c r="Q104" s="491"/>
      <c r="R104" s="469"/>
    </row>
    <row r="105" spans="1:18" ht="14.4" customHeight="1" x14ac:dyDescent="0.3">
      <c r="A105" s="463"/>
      <c r="B105" s="464" t="s">
        <v>938</v>
      </c>
      <c r="C105" s="464" t="s">
        <v>931</v>
      </c>
      <c r="D105" s="464" t="s">
        <v>986</v>
      </c>
      <c r="E105" s="464" t="s">
        <v>987</v>
      </c>
      <c r="F105" s="464" t="s">
        <v>1067</v>
      </c>
      <c r="G105" s="468">
        <v>4</v>
      </c>
      <c r="H105" s="468">
        <v>1902.24</v>
      </c>
      <c r="I105" s="464">
        <v>0.93450450981548083</v>
      </c>
      <c r="J105" s="464">
        <v>475.56</v>
      </c>
      <c r="K105" s="468">
        <v>4</v>
      </c>
      <c r="L105" s="468">
        <v>2035.56</v>
      </c>
      <c r="M105" s="464">
        <v>1</v>
      </c>
      <c r="N105" s="464">
        <v>508.89</v>
      </c>
      <c r="O105" s="468">
        <v>3</v>
      </c>
      <c r="P105" s="468">
        <v>1526.67</v>
      </c>
      <c r="Q105" s="491">
        <v>0.75000000000000011</v>
      </c>
      <c r="R105" s="469">
        <v>508.89000000000004</v>
      </c>
    </row>
    <row r="106" spans="1:18" ht="14.4" customHeight="1" x14ac:dyDescent="0.3">
      <c r="A106" s="463"/>
      <c r="B106" s="464" t="s">
        <v>938</v>
      </c>
      <c r="C106" s="464" t="s">
        <v>931</v>
      </c>
      <c r="D106" s="464" t="s">
        <v>986</v>
      </c>
      <c r="E106" s="464" t="s">
        <v>987</v>
      </c>
      <c r="F106" s="464" t="s">
        <v>988</v>
      </c>
      <c r="G106" s="468">
        <v>5</v>
      </c>
      <c r="H106" s="468">
        <v>2377.7800000000002</v>
      </c>
      <c r="I106" s="464">
        <v>1.5574944159510569</v>
      </c>
      <c r="J106" s="464">
        <v>475.55600000000004</v>
      </c>
      <c r="K106" s="468">
        <v>3</v>
      </c>
      <c r="L106" s="468">
        <v>1526.67</v>
      </c>
      <c r="M106" s="464">
        <v>1</v>
      </c>
      <c r="N106" s="464">
        <v>508.89000000000004</v>
      </c>
      <c r="O106" s="468">
        <v>8</v>
      </c>
      <c r="P106" s="468">
        <v>4071.1099999999997</v>
      </c>
      <c r="Q106" s="491">
        <v>2.6666601164626274</v>
      </c>
      <c r="R106" s="469">
        <v>508.88874999999996</v>
      </c>
    </row>
    <row r="107" spans="1:18" ht="14.4" customHeight="1" x14ac:dyDescent="0.3">
      <c r="A107" s="463"/>
      <c r="B107" s="464" t="s">
        <v>938</v>
      </c>
      <c r="C107" s="464" t="s">
        <v>931</v>
      </c>
      <c r="D107" s="464" t="s">
        <v>986</v>
      </c>
      <c r="E107" s="464" t="s">
        <v>989</v>
      </c>
      <c r="F107" s="464" t="s">
        <v>990</v>
      </c>
      <c r="G107" s="468">
        <v>43</v>
      </c>
      <c r="H107" s="468">
        <v>19588.879999999997</v>
      </c>
      <c r="I107" s="464">
        <v>1.3992057142857142</v>
      </c>
      <c r="J107" s="464">
        <v>455.55534883720924</v>
      </c>
      <c r="K107" s="468">
        <v>28</v>
      </c>
      <c r="L107" s="468">
        <v>14000</v>
      </c>
      <c r="M107" s="464">
        <v>1</v>
      </c>
      <c r="N107" s="464">
        <v>500</v>
      </c>
      <c r="O107" s="468">
        <v>47</v>
      </c>
      <c r="P107" s="468">
        <v>23500</v>
      </c>
      <c r="Q107" s="491">
        <v>1.6785714285714286</v>
      </c>
      <c r="R107" s="469">
        <v>500</v>
      </c>
    </row>
    <row r="108" spans="1:18" ht="14.4" customHeight="1" x14ac:dyDescent="0.3">
      <c r="A108" s="463"/>
      <c r="B108" s="464" t="s">
        <v>938</v>
      </c>
      <c r="C108" s="464" t="s">
        <v>931</v>
      </c>
      <c r="D108" s="464" t="s">
        <v>986</v>
      </c>
      <c r="E108" s="464" t="s">
        <v>989</v>
      </c>
      <c r="F108" s="464" t="s">
        <v>991</v>
      </c>
      <c r="G108" s="468">
        <v>97</v>
      </c>
      <c r="H108" s="468">
        <v>44188.880000000005</v>
      </c>
      <c r="I108" s="464">
        <v>1.2808371014492754</v>
      </c>
      <c r="J108" s="464">
        <v>455.5554639175258</v>
      </c>
      <c r="K108" s="468">
        <v>69</v>
      </c>
      <c r="L108" s="468">
        <v>34500</v>
      </c>
      <c r="M108" s="464">
        <v>1</v>
      </c>
      <c r="N108" s="464">
        <v>500</v>
      </c>
      <c r="O108" s="468">
        <v>45</v>
      </c>
      <c r="P108" s="468">
        <v>22500</v>
      </c>
      <c r="Q108" s="491">
        <v>0.65217391304347827</v>
      </c>
      <c r="R108" s="469">
        <v>500</v>
      </c>
    </row>
    <row r="109" spans="1:18" ht="14.4" customHeight="1" x14ac:dyDescent="0.3">
      <c r="A109" s="463"/>
      <c r="B109" s="464" t="s">
        <v>938</v>
      </c>
      <c r="C109" s="464" t="s">
        <v>931</v>
      </c>
      <c r="D109" s="464" t="s">
        <v>986</v>
      </c>
      <c r="E109" s="464" t="s">
        <v>1068</v>
      </c>
      <c r="F109" s="464" t="s">
        <v>1069</v>
      </c>
      <c r="G109" s="468">
        <v>6</v>
      </c>
      <c r="H109" s="468">
        <v>633.33000000000004</v>
      </c>
      <c r="I109" s="464">
        <v>1.1999886316268142</v>
      </c>
      <c r="J109" s="464">
        <v>105.55500000000001</v>
      </c>
      <c r="K109" s="468">
        <v>5</v>
      </c>
      <c r="L109" s="468">
        <v>527.78</v>
      </c>
      <c r="M109" s="464">
        <v>1</v>
      </c>
      <c r="N109" s="464">
        <v>105.556</v>
      </c>
      <c r="O109" s="468">
        <v>15</v>
      </c>
      <c r="P109" s="468">
        <v>1583.34</v>
      </c>
      <c r="Q109" s="491">
        <v>3</v>
      </c>
      <c r="R109" s="469">
        <v>105.556</v>
      </c>
    </row>
    <row r="110" spans="1:18" ht="14.4" customHeight="1" x14ac:dyDescent="0.3">
      <c r="A110" s="463"/>
      <c r="B110" s="464" t="s">
        <v>938</v>
      </c>
      <c r="C110" s="464" t="s">
        <v>931</v>
      </c>
      <c r="D110" s="464" t="s">
        <v>986</v>
      </c>
      <c r="E110" s="464" t="s">
        <v>1068</v>
      </c>
      <c r="F110" s="464" t="s">
        <v>1070</v>
      </c>
      <c r="G110" s="468">
        <v>21</v>
      </c>
      <c r="H110" s="468">
        <v>2216.6799999999998</v>
      </c>
      <c r="I110" s="464">
        <v>1.6153969480112518</v>
      </c>
      <c r="J110" s="464">
        <v>105.55619047619047</v>
      </c>
      <c r="K110" s="468">
        <v>13</v>
      </c>
      <c r="L110" s="468">
        <v>1372.22</v>
      </c>
      <c r="M110" s="464">
        <v>1</v>
      </c>
      <c r="N110" s="464">
        <v>105.55538461538461</v>
      </c>
      <c r="O110" s="468">
        <v>13</v>
      </c>
      <c r="P110" s="468">
        <v>1372.22</v>
      </c>
      <c r="Q110" s="491">
        <v>1</v>
      </c>
      <c r="R110" s="469">
        <v>105.55538461538461</v>
      </c>
    </row>
    <row r="111" spans="1:18" ht="14.4" customHeight="1" x14ac:dyDescent="0.3">
      <c r="A111" s="463"/>
      <c r="B111" s="464" t="s">
        <v>938</v>
      </c>
      <c r="C111" s="464" t="s">
        <v>931</v>
      </c>
      <c r="D111" s="464" t="s">
        <v>986</v>
      </c>
      <c r="E111" s="464" t="s">
        <v>992</v>
      </c>
      <c r="F111" s="464" t="s">
        <v>1071</v>
      </c>
      <c r="G111" s="468"/>
      <c r="H111" s="468"/>
      <c r="I111" s="464"/>
      <c r="J111" s="464"/>
      <c r="K111" s="468"/>
      <c r="L111" s="468"/>
      <c r="M111" s="464"/>
      <c r="N111" s="464"/>
      <c r="O111" s="468">
        <v>9</v>
      </c>
      <c r="P111" s="468">
        <v>700</v>
      </c>
      <c r="Q111" s="491"/>
      <c r="R111" s="469">
        <v>77.777777777777771</v>
      </c>
    </row>
    <row r="112" spans="1:18" ht="14.4" customHeight="1" x14ac:dyDescent="0.3">
      <c r="A112" s="463"/>
      <c r="B112" s="464" t="s">
        <v>938</v>
      </c>
      <c r="C112" s="464" t="s">
        <v>931</v>
      </c>
      <c r="D112" s="464" t="s">
        <v>986</v>
      </c>
      <c r="E112" s="464" t="s">
        <v>992</v>
      </c>
      <c r="F112" s="464" t="s">
        <v>993</v>
      </c>
      <c r="G112" s="468">
        <v>995</v>
      </c>
      <c r="H112" s="468">
        <v>77388.88</v>
      </c>
      <c r="I112" s="464">
        <v>1.1761226176105446</v>
      </c>
      <c r="J112" s="464">
        <v>77.777768844221114</v>
      </c>
      <c r="K112" s="468">
        <v>846</v>
      </c>
      <c r="L112" s="468">
        <v>65800.009999999995</v>
      </c>
      <c r="M112" s="464">
        <v>1</v>
      </c>
      <c r="N112" s="464">
        <v>77.77778959810874</v>
      </c>
      <c r="O112" s="468">
        <v>903</v>
      </c>
      <c r="P112" s="468">
        <v>70233.33</v>
      </c>
      <c r="Q112" s="491">
        <v>1.0673756736511135</v>
      </c>
      <c r="R112" s="469">
        <v>77.777774086378741</v>
      </c>
    </row>
    <row r="113" spans="1:18" ht="14.4" customHeight="1" x14ac:dyDescent="0.3">
      <c r="A113" s="463"/>
      <c r="B113" s="464" t="s">
        <v>938</v>
      </c>
      <c r="C113" s="464" t="s">
        <v>931</v>
      </c>
      <c r="D113" s="464" t="s">
        <v>986</v>
      </c>
      <c r="E113" s="464" t="s">
        <v>994</v>
      </c>
      <c r="F113" s="464" t="s">
        <v>995</v>
      </c>
      <c r="G113" s="468">
        <v>1</v>
      </c>
      <c r="H113" s="468">
        <v>250</v>
      </c>
      <c r="I113" s="464"/>
      <c r="J113" s="464">
        <v>250</v>
      </c>
      <c r="K113" s="468"/>
      <c r="L113" s="468"/>
      <c r="M113" s="464"/>
      <c r="N113" s="464"/>
      <c r="O113" s="468">
        <v>2</v>
      </c>
      <c r="P113" s="468">
        <v>500</v>
      </c>
      <c r="Q113" s="491"/>
      <c r="R113" s="469">
        <v>250</v>
      </c>
    </row>
    <row r="114" spans="1:18" ht="14.4" customHeight="1" x14ac:dyDescent="0.3">
      <c r="A114" s="463"/>
      <c r="B114" s="464" t="s">
        <v>938</v>
      </c>
      <c r="C114" s="464" t="s">
        <v>931</v>
      </c>
      <c r="D114" s="464" t="s">
        <v>986</v>
      </c>
      <c r="E114" s="464" t="s">
        <v>994</v>
      </c>
      <c r="F114" s="464" t="s">
        <v>996</v>
      </c>
      <c r="G114" s="468"/>
      <c r="H114" s="468"/>
      <c r="I114" s="464"/>
      <c r="J114" s="464"/>
      <c r="K114" s="468"/>
      <c r="L114" s="468"/>
      <c r="M114" s="464"/>
      <c r="N114" s="464"/>
      <c r="O114" s="468">
        <v>4</v>
      </c>
      <c r="P114" s="468">
        <v>1000</v>
      </c>
      <c r="Q114" s="491"/>
      <c r="R114" s="469">
        <v>250</v>
      </c>
    </row>
    <row r="115" spans="1:18" ht="14.4" customHeight="1" x14ac:dyDescent="0.3">
      <c r="A115" s="463"/>
      <c r="B115" s="464" t="s">
        <v>938</v>
      </c>
      <c r="C115" s="464" t="s">
        <v>931</v>
      </c>
      <c r="D115" s="464" t="s">
        <v>986</v>
      </c>
      <c r="E115" s="464" t="s">
        <v>999</v>
      </c>
      <c r="F115" s="464" t="s">
        <v>1000</v>
      </c>
      <c r="G115" s="468">
        <v>304</v>
      </c>
      <c r="H115" s="468">
        <v>35466.67</v>
      </c>
      <c r="I115" s="464">
        <v>1.1343287066798946</v>
      </c>
      <c r="J115" s="464">
        <v>116.66667763157893</v>
      </c>
      <c r="K115" s="468">
        <v>268</v>
      </c>
      <c r="L115" s="468">
        <v>31266.660000000003</v>
      </c>
      <c r="M115" s="464">
        <v>1</v>
      </c>
      <c r="N115" s="464">
        <v>116.6666417910448</v>
      </c>
      <c r="O115" s="468">
        <v>275</v>
      </c>
      <c r="P115" s="468">
        <v>32083.33</v>
      </c>
      <c r="Q115" s="491">
        <v>1.0261195151640756</v>
      </c>
      <c r="R115" s="469">
        <v>116.66665454545455</v>
      </c>
    </row>
    <row r="116" spans="1:18" ht="14.4" customHeight="1" x14ac:dyDescent="0.3">
      <c r="A116" s="463"/>
      <c r="B116" s="464" t="s">
        <v>938</v>
      </c>
      <c r="C116" s="464" t="s">
        <v>931</v>
      </c>
      <c r="D116" s="464" t="s">
        <v>986</v>
      </c>
      <c r="E116" s="464" t="s">
        <v>1002</v>
      </c>
      <c r="F116" s="464" t="s">
        <v>1003</v>
      </c>
      <c r="G116" s="468">
        <v>153</v>
      </c>
      <c r="H116" s="468">
        <v>45900</v>
      </c>
      <c r="I116" s="464">
        <v>1.2338709677419355</v>
      </c>
      <c r="J116" s="464">
        <v>300</v>
      </c>
      <c r="K116" s="468">
        <v>124</v>
      </c>
      <c r="L116" s="468">
        <v>37200</v>
      </c>
      <c r="M116" s="464">
        <v>1</v>
      </c>
      <c r="N116" s="464">
        <v>300</v>
      </c>
      <c r="O116" s="468">
        <v>143</v>
      </c>
      <c r="P116" s="468">
        <v>42900</v>
      </c>
      <c r="Q116" s="491">
        <v>1.153225806451613</v>
      </c>
      <c r="R116" s="469">
        <v>300</v>
      </c>
    </row>
    <row r="117" spans="1:18" ht="14.4" customHeight="1" x14ac:dyDescent="0.3">
      <c r="A117" s="463"/>
      <c r="B117" s="464" t="s">
        <v>938</v>
      </c>
      <c r="C117" s="464" t="s">
        <v>931</v>
      </c>
      <c r="D117" s="464" t="s">
        <v>986</v>
      </c>
      <c r="E117" s="464" t="s">
        <v>1002</v>
      </c>
      <c r="F117" s="464" t="s">
        <v>1004</v>
      </c>
      <c r="G117" s="468">
        <v>215</v>
      </c>
      <c r="H117" s="468">
        <v>64500</v>
      </c>
      <c r="I117" s="464">
        <v>1.5034965034965035</v>
      </c>
      <c r="J117" s="464">
        <v>300</v>
      </c>
      <c r="K117" s="468">
        <v>143</v>
      </c>
      <c r="L117" s="468">
        <v>42900</v>
      </c>
      <c r="M117" s="464">
        <v>1</v>
      </c>
      <c r="N117" s="464">
        <v>300</v>
      </c>
      <c r="O117" s="468">
        <v>167</v>
      </c>
      <c r="P117" s="468">
        <v>50100</v>
      </c>
      <c r="Q117" s="491">
        <v>1.1678321678321679</v>
      </c>
      <c r="R117" s="469">
        <v>300</v>
      </c>
    </row>
    <row r="118" spans="1:18" ht="14.4" customHeight="1" x14ac:dyDescent="0.3">
      <c r="A118" s="463"/>
      <c r="B118" s="464" t="s">
        <v>938</v>
      </c>
      <c r="C118" s="464" t="s">
        <v>931</v>
      </c>
      <c r="D118" s="464" t="s">
        <v>986</v>
      </c>
      <c r="E118" s="464" t="s">
        <v>1005</v>
      </c>
      <c r="F118" s="464" t="s">
        <v>1006</v>
      </c>
      <c r="G118" s="468">
        <v>60</v>
      </c>
      <c r="H118" s="468">
        <v>17666.669999999998</v>
      </c>
      <c r="I118" s="464">
        <v>2.0000011320758988</v>
      </c>
      <c r="J118" s="464">
        <v>294.44449999999995</v>
      </c>
      <c r="K118" s="468">
        <v>30</v>
      </c>
      <c r="L118" s="468">
        <v>8833.33</v>
      </c>
      <c r="M118" s="464">
        <v>1</v>
      </c>
      <c r="N118" s="464">
        <v>294.4443333333333</v>
      </c>
      <c r="O118" s="468">
        <v>36</v>
      </c>
      <c r="P118" s="468">
        <v>10600</v>
      </c>
      <c r="Q118" s="491">
        <v>1.2000004528303596</v>
      </c>
      <c r="R118" s="469">
        <v>294.44444444444446</v>
      </c>
    </row>
    <row r="119" spans="1:18" ht="14.4" customHeight="1" x14ac:dyDescent="0.3">
      <c r="A119" s="463"/>
      <c r="B119" s="464" t="s">
        <v>938</v>
      </c>
      <c r="C119" s="464" t="s">
        <v>931</v>
      </c>
      <c r="D119" s="464" t="s">
        <v>986</v>
      </c>
      <c r="E119" s="464" t="s">
        <v>1005</v>
      </c>
      <c r="F119" s="464" t="s">
        <v>1007</v>
      </c>
      <c r="G119" s="468">
        <v>55</v>
      </c>
      <c r="H119" s="468">
        <v>16194.440000000002</v>
      </c>
      <c r="I119" s="464">
        <v>3.0555604821895894</v>
      </c>
      <c r="J119" s="464">
        <v>294.44436363636368</v>
      </c>
      <c r="K119" s="468">
        <v>18</v>
      </c>
      <c r="L119" s="468">
        <v>5299.99</v>
      </c>
      <c r="M119" s="464">
        <v>1</v>
      </c>
      <c r="N119" s="464">
        <v>294.44388888888886</v>
      </c>
      <c r="O119" s="468">
        <v>43</v>
      </c>
      <c r="P119" s="468">
        <v>12661.099999999999</v>
      </c>
      <c r="Q119" s="491">
        <v>2.388891299794905</v>
      </c>
      <c r="R119" s="469">
        <v>294.44418604651162</v>
      </c>
    </row>
    <row r="120" spans="1:18" ht="14.4" customHeight="1" x14ac:dyDescent="0.3">
      <c r="A120" s="463"/>
      <c r="B120" s="464" t="s">
        <v>938</v>
      </c>
      <c r="C120" s="464" t="s">
        <v>931</v>
      </c>
      <c r="D120" s="464" t="s">
        <v>986</v>
      </c>
      <c r="E120" s="464" t="s">
        <v>1008</v>
      </c>
      <c r="F120" s="464" t="s">
        <v>990</v>
      </c>
      <c r="G120" s="468">
        <v>60</v>
      </c>
      <c r="H120" s="468">
        <v>22399.989999999998</v>
      </c>
      <c r="I120" s="464">
        <v>1.2185682686857189</v>
      </c>
      <c r="J120" s="464">
        <v>373.33316666666661</v>
      </c>
      <c r="K120" s="468">
        <v>44</v>
      </c>
      <c r="L120" s="468">
        <v>18382.22</v>
      </c>
      <c r="M120" s="464">
        <v>1</v>
      </c>
      <c r="N120" s="464">
        <v>417.7777272727273</v>
      </c>
      <c r="O120" s="468">
        <v>36</v>
      </c>
      <c r="P120" s="468">
        <v>15039.990000000002</v>
      </c>
      <c r="Q120" s="491">
        <v>0.81818137308769023</v>
      </c>
      <c r="R120" s="469">
        <v>417.77750000000003</v>
      </c>
    </row>
    <row r="121" spans="1:18" ht="14.4" customHeight="1" x14ac:dyDescent="0.3">
      <c r="A121" s="463"/>
      <c r="B121" s="464" t="s">
        <v>938</v>
      </c>
      <c r="C121" s="464" t="s">
        <v>931</v>
      </c>
      <c r="D121" s="464" t="s">
        <v>986</v>
      </c>
      <c r="E121" s="464" t="s">
        <v>1008</v>
      </c>
      <c r="F121" s="464" t="s">
        <v>991</v>
      </c>
      <c r="G121" s="468">
        <v>180</v>
      </c>
      <c r="H121" s="468">
        <v>67200</v>
      </c>
      <c r="I121" s="464">
        <v>1.3404256210389376</v>
      </c>
      <c r="J121" s="464">
        <v>373.33333333333331</v>
      </c>
      <c r="K121" s="468">
        <v>120</v>
      </c>
      <c r="L121" s="468">
        <v>50133.33</v>
      </c>
      <c r="M121" s="464">
        <v>1</v>
      </c>
      <c r="N121" s="464">
        <v>417.77775000000003</v>
      </c>
      <c r="O121" s="468">
        <v>104</v>
      </c>
      <c r="P121" s="468">
        <v>43448.89</v>
      </c>
      <c r="Q121" s="491">
        <v>0.86666674645390596</v>
      </c>
      <c r="R121" s="469">
        <v>417.77778846153848</v>
      </c>
    </row>
    <row r="122" spans="1:18" ht="14.4" customHeight="1" x14ac:dyDescent="0.3">
      <c r="A122" s="463"/>
      <c r="B122" s="464" t="s">
        <v>938</v>
      </c>
      <c r="C122" s="464" t="s">
        <v>931</v>
      </c>
      <c r="D122" s="464" t="s">
        <v>986</v>
      </c>
      <c r="E122" s="464" t="s">
        <v>1009</v>
      </c>
      <c r="F122" s="464" t="s">
        <v>1010</v>
      </c>
      <c r="G122" s="468">
        <v>10</v>
      </c>
      <c r="H122" s="468">
        <v>2111.11</v>
      </c>
      <c r="I122" s="464">
        <v>0.41666699561446796</v>
      </c>
      <c r="J122" s="464">
        <v>211.11100000000002</v>
      </c>
      <c r="K122" s="468">
        <v>24</v>
      </c>
      <c r="L122" s="468">
        <v>5066.66</v>
      </c>
      <c r="M122" s="464">
        <v>1</v>
      </c>
      <c r="N122" s="464">
        <v>211.11083333333332</v>
      </c>
      <c r="O122" s="468">
        <v>14</v>
      </c>
      <c r="P122" s="468">
        <v>2955.56</v>
      </c>
      <c r="Q122" s="491">
        <v>0.58333497807233958</v>
      </c>
      <c r="R122" s="469">
        <v>211.11142857142858</v>
      </c>
    </row>
    <row r="123" spans="1:18" ht="14.4" customHeight="1" x14ac:dyDescent="0.3">
      <c r="A123" s="463"/>
      <c r="B123" s="464" t="s">
        <v>938</v>
      </c>
      <c r="C123" s="464" t="s">
        <v>931</v>
      </c>
      <c r="D123" s="464" t="s">
        <v>986</v>
      </c>
      <c r="E123" s="464" t="s">
        <v>1009</v>
      </c>
      <c r="F123" s="464" t="s">
        <v>1011</v>
      </c>
      <c r="G123" s="468">
        <v>6</v>
      </c>
      <c r="H123" s="468">
        <v>1266.67</v>
      </c>
      <c r="I123" s="464"/>
      <c r="J123" s="464">
        <v>211.11166666666668</v>
      </c>
      <c r="K123" s="468"/>
      <c r="L123" s="468"/>
      <c r="M123" s="464"/>
      <c r="N123" s="464"/>
      <c r="O123" s="468">
        <v>4</v>
      </c>
      <c r="P123" s="468">
        <v>844.44</v>
      </c>
      <c r="Q123" s="491"/>
      <c r="R123" s="469">
        <v>211.11</v>
      </c>
    </row>
    <row r="124" spans="1:18" ht="14.4" customHeight="1" x14ac:dyDescent="0.3">
      <c r="A124" s="463"/>
      <c r="B124" s="464" t="s">
        <v>938</v>
      </c>
      <c r="C124" s="464" t="s">
        <v>931</v>
      </c>
      <c r="D124" s="464" t="s">
        <v>986</v>
      </c>
      <c r="E124" s="464" t="s">
        <v>1012</v>
      </c>
      <c r="F124" s="464" t="s">
        <v>1013</v>
      </c>
      <c r="G124" s="468">
        <v>10</v>
      </c>
      <c r="H124" s="468">
        <v>5833.34</v>
      </c>
      <c r="I124" s="464">
        <v>0.7142871137037663</v>
      </c>
      <c r="J124" s="464">
        <v>583.33400000000006</v>
      </c>
      <c r="K124" s="468">
        <v>14</v>
      </c>
      <c r="L124" s="468">
        <v>8166.66</v>
      </c>
      <c r="M124" s="464">
        <v>1</v>
      </c>
      <c r="N124" s="464">
        <v>583.33285714285716</v>
      </c>
      <c r="O124" s="468">
        <v>12</v>
      </c>
      <c r="P124" s="468">
        <v>6999.99</v>
      </c>
      <c r="Q124" s="491">
        <v>0.85714233236108761</v>
      </c>
      <c r="R124" s="469">
        <v>583.33249999999998</v>
      </c>
    </row>
    <row r="125" spans="1:18" ht="14.4" customHeight="1" x14ac:dyDescent="0.3">
      <c r="A125" s="463"/>
      <c r="B125" s="464" t="s">
        <v>938</v>
      </c>
      <c r="C125" s="464" t="s">
        <v>931</v>
      </c>
      <c r="D125" s="464" t="s">
        <v>986</v>
      </c>
      <c r="E125" s="464" t="s">
        <v>1014</v>
      </c>
      <c r="F125" s="464" t="s">
        <v>1015</v>
      </c>
      <c r="G125" s="468">
        <v>23</v>
      </c>
      <c r="H125" s="468">
        <v>10733.34</v>
      </c>
      <c r="I125" s="464">
        <v>1.6428590014586744</v>
      </c>
      <c r="J125" s="464">
        <v>466.66695652173911</v>
      </c>
      <c r="K125" s="468">
        <v>14</v>
      </c>
      <c r="L125" s="468">
        <v>6533.33</v>
      </c>
      <c r="M125" s="464">
        <v>1</v>
      </c>
      <c r="N125" s="464">
        <v>466.66642857142858</v>
      </c>
      <c r="O125" s="468">
        <v>10</v>
      </c>
      <c r="P125" s="468">
        <v>4666.67</v>
      </c>
      <c r="Q125" s="491">
        <v>0.71428658892172903</v>
      </c>
      <c r="R125" s="469">
        <v>466.66700000000003</v>
      </c>
    </row>
    <row r="126" spans="1:18" ht="14.4" customHeight="1" x14ac:dyDescent="0.3">
      <c r="A126" s="463"/>
      <c r="B126" s="464" t="s">
        <v>938</v>
      </c>
      <c r="C126" s="464" t="s">
        <v>931</v>
      </c>
      <c r="D126" s="464" t="s">
        <v>986</v>
      </c>
      <c r="E126" s="464" t="s">
        <v>1014</v>
      </c>
      <c r="F126" s="464" t="s">
        <v>1016</v>
      </c>
      <c r="G126" s="468">
        <v>48</v>
      </c>
      <c r="H126" s="468">
        <v>22400</v>
      </c>
      <c r="I126" s="464">
        <v>3.2</v>
      </c>
      <c r="J126" s="464">
        <v>466.66666666666669</v>
      </c>
      <c r="K126" s="468">
        <v>15</v>
      </c>
      <c r="L126" s="468">
        <v>7000</v>
      </c>
      <c r="M126" s="464">
        <v>1</v>
      </c>
      <c r="N126" s="464">
        <v>466.66666666666669</v>
      </c>
      <c r="O126" s="468">
        <v>18</v>
      </c>
      <c r="P126" s="468">
        <v>8399.99</v>
      </c>
      <c r="Q126" s="491">
        <v>1.1999985714285715</v>
      </c>
      <c r="R126" s="469">
        <v>466.66611111111109</v>
      </c>
    </row>
    <row r="127" spans="1:18" ht="14.4" customHeight="1" x14ac:dyDescent="0.3">
      <c r="A127" s="463"/>
      <c r="B127" s="464" t="s">
        <v>938</v>
      </c>
      <c r="C127" s="464" t="s">
        <v>931</v>
      </c>
      <c r="D127" s="464" t="s">
        <v>986</v>
      </c>
      <c r="E127" s="464" t="s">
        <v>1017</v>
      </c>
      <c r="F127" s="464" t="s">
        <v>1018</v>
      </c>
      <c r="G127" s="468">
        <v>6</v>
      </c>
      <c r="H127" s="468">
        <v>300</v>
      </c>
      <c r="I127" s="464">
        <v>1</v>
      </c>
      <c r="J127" s="464">
        <v>50</v>
      </c>
      <c r="K127" s="468">
        <v>6</v>
      </c>
      <c r="L127" s="468">
        <v>300</v>
      </c>
      <c r="M127" s="464">
        <v>1</v>
      </c>
      <c r="N127" s="464">
        <v>50</v>
      </c>
      <c r="O127" s="468">
        <v>1</v>
      </c>
      <c r="P127" s="468">
        <v>50</v>
      </c>
      <c r="Q127" s="491">
        <v>0.16666666666666666</v>
      </c>
      <c r="R127" s="469">
        <v>50</v>
      </c>
    </row>
    <row r="128" spans="1:18" ht="14.4" customHeight="1" x14ac:dyDescent="0.3">
      <c r="A128" s="463"/>
      <c r="B128" s="464" t="s">
        <v>938</v>
      </c>
      <c r="C128" s="464" t="s">
        <v>931</v>
      </c>
      <c r="D128" s="464" t="s">
        <v>986</v>
      </c>
      <c r="E128" s="464" t="s">
        <v>1017</v>
      </c>
      <c r="F128" s="464" t="s">
        <v>1019</v>
      </c>
      <c r="G128" s="468">
        <v>10</v>
      </c>
      <c r="H128" s="468">
        <v>500</v>
      </c>
      <c r="I128" s="464">
        <v>1.4285714285714286</v>
      </c>
      <c r="J128" s="464">
        <v>50</v>
      </c>
      <c r="K128" s="468">
        <v>7</v>
      </c>
      <c r="L128" s="468">
        <v>350</v>
      </c>
      <c r="M128" s="464">
        <v>1</v>
      </c>
      <c r="N128" s="464">
        <v>50</v>
      </c>
      <c r="O128" s="468">
        <v>10</v>
      </c>
      <c r="P128" s="468">
        <v>500</v>
      </c>
      <c r="Q128" s="491">
        <v>1.4285714285714286</v>
      </c>
      <c r="R128" s="469">
        <v>50</v>
      </c>
    </row>
    <row r="129" spans="1:18" ht="14.4" customHeight="1" x14ac:dyDescent="0.3">
      <c r="A129" s="463"/>
      <c r="B129" s="464" t="s">
        <v>938</v>
      </c>
      <c r="C129" s="464" t="s">
        <v>931</v>
      </c>
      <c r="D129" s="464" t="s">
        <v>986</v>
      </c>
      <c r="E129" s="464" t="s">
        <v>1020</v>
      </c>
      <c r="F129" s="464" t="s">
        <v>1021</v>
      </c>
      <c r="G129" s="468">
        <v>2</v>
      </c>
      <c r="H129" s="468">
        <v>202.22</v>
      </c>
      <c r="I129" s="464">
        <v>2</v>
      </c>
      <c r="J129" s="464">
        <v>101.11</v>
      </c>
      <c r="K129" s="468">
        <v>1</v>
      </c>
      <c r="L129" s="468">
        <v>101.11</v>
      </c>
      <c r="M129" s="464">
        <v>1</v>
      </c>
      <c r="N129" s="464">
        <v>101.11</v>
      </c>
      <c r="O129" s="468"/>
      <c r="P129" s="468"/>
      <c r="Q129" s="491"/>
      <c r="R129" s="469"/>
    </row>
    <row r="130" spans="1:18" ht="14.4" customHeight="1" x14ac:dyDescent="0.3">
      <c r="A130" s="463"/>
      <c r="B130" s="464" t="s">
        <v>938</v>
      </c>
      <c r="C130" s="464" t="s">
        <v>931</v>
      </c>
      <c r="D130" s="464" t="s">
        <v>986</v>
      </c>
      <c r="E130" s="464" t="s">
        <v>1020</v>
      </c>
      <c r="F130" s="464" t="s">
        <v>1022</v>
      </c>
      <c r="G130" s="468">
        <v>2</v>
      </c>
      <c r="H130" s="468">
        <v>202.22</v>
      </c>
      <c r="I130" s="464">
        <v>0.66666666666666674</v>
      </c>
      <c r="J130" s="464">
        <v>101.11</v>
      </c>
      <c r="K130" s="468">
        <v>3</v>
      </c>
      <c r="L130" s="468">
        <v>303.33</v>
      </c>
      <c r="M130" s="464">
        <v>1</v>
      </c>
      <c r="N130" s="464">
        <v>101.11</v>
      </c>
      <c r="O130" s="468"/>
      <c r="P130" s="468"/>
      <c r="Q130" s="491"/>
      <c r="R130" s="469"/>
    </row>
    <row r="131" spans="1:18" ht="14.4" customHeight="1" x14ac:dyDescent="0.3">
      <c r="A131" s="463"/>
      <c r="B131" s="464" t="s">
        <v>938</v>
      </c>
      <c r="C131" s="464" t="s">
        <v>931</v>
      </c>
      <c r="D131" s="464" t="s">
        <v>986</v>
      </c>
      <c r="E131" s="464" t="s">
        <v>1023</v>
      </c>
      <c r="F131" s="464" t="s">
        <v>1024</v>
      </c>
      <c r="G131" s="468">
        <v>4</v>
      </c>
      <c r="H131" s="468">
        <v>306.67</v>
      </c>
      <c r="I131" s="464"/>
      <c r="J131" s="464">
        <v>76.667500000000004</v>
      </c>
      <c r="K131" s="468"/>
      <c r="L131" s="468"/>
      <c r="M131" s="464"/>
      <c r="N131" s="464"/>
      <c r="O131" s="468"/>
      <c r="P131" s="468"/>
      <c r="Q131" s="491"/>
      <c r="R131" s="469"/>
    </row>
    <row r="132" spans="1:18" ht="14.4" customHeight="1" x14ac:dyDescent="0.3">
      <c r="A132" s="463"/>
      <c r="B132" s="464" t="s">
        <v>938</v>
      </c>
      <c r="C132" s="464" t="s">
        <v>931</v>
      </c>
      <c r="D132" s="464" t="s">
        <v>986</v>
      </c>
      <c r="E132" s="464" t="s">
        <v>1026</v>
      </c>
      <c r="F132" s="464" t="s">
        <v>1028</v>
      </c>
      <c r="G132" s="468">
        <v>1</v>
      </c>
      <c r="H132" s="468">
        <v>0</v>
      </c>
      <c r="I132" s="464"/>
      <c r="J132" s="464">
        <v>0</v>
      </c>
      <c r="K132" s="468"/>
      <c r="L132" s="468"/>
      <c r="M132" s="464"/>
      <c r="N132" s="464"/>
      <c r="O132" s="468"/>
      <c r="P132" s="468"/>
      <c r="Q132" s="491"/>
      <c r="R132" s="469"/>
    </row>
    <row r="133" spans="1:18" ht="14.4" customHeight="1" x14ac:dyDescent="0.3">
      <c r="A133" s="463"/>
      <c r="B133" s="464" t="s">
        <v>938</v>
      </c>
      <c r="C133" s="464" t="s">
        <v>931</v>
      </c>
      <c r="D133" s="464" t="s">
        <v>986</v>
      </c>
      <c r="E133" s="464" t="s">
        <v>1029</v>
      </c>
      <c r="F133" s="464" t="s">
        <v>1030</v>
      </c>
      <c r="G133" s="468">
        <v>148</v>
      </c>
      <c r="H133" s="468">
        <v>45222.229999999996</v>
      </c>
      <c r="I133" s="464">
        <v>1.3214292706403239</v>
      </c>
      <c r="J133" s="464">
        <v>305.55560810810806</v>
      </c>
      <c r="K133" s="468">
        <v>112</v>
      </c>
      <c r="L133" s="468">
        <v>34222.21</v>
      </c>
      <c r="M133" s="464">
        <v>1</v>
      </c>
      <c r="N133" s="464">
        <v>305.55544642857143</v>
      </c>
      <c r="O133" s="468">
        <v>102</v>
      </c>
      <c r="P133" s="468">
        <v>31166.680000000004</v>
      </c>
      <c r="Q133" s="491">
        <v>0.91071500058003285</v>
      </c>
      <c r="R133" s="469">
        <v>305.55568627450987</v>
      </c>
    </row>
    <row r="134" spans="1:18" ht="14.4" customHeight="1" x14ac:dyDescent="0.3">
      <c r="A134" s="463"/>
      <c r="B134" s="464" t="s">
        <v>938</v>
      </c>
      <c r="C134" s="464" t="s">
        <v>931</v>
      </c>
      <c r="D134" s="464" t="s">
        <v>986</v>
      </c>
      <c r="E134" s="464" t="s">
        <v>1029</v>
      </c>
      <c r="F134" s="464" t="s">
        <v>1031</v>
      </c>
      <c r="G134" s="468"/>
      <c r="H134" s="468"/>
      <c r="I134" s="464"/>
      <c r="J134" s="464"/>
      <c r="K134" s="468">
        <v>1</v>
      </c>
      <c r="L134" s="468">
        <v>305.56</v>
      </c>
      <c r="M134" s="464">
        <v>1</v>
      </c>
      <c r="N134" s="464">
        <v>305.56</v>
      </c>
      <c r="O134" s="468">
        <v>5</v>
      </c>
      <c r="P134" s="468">
        <v>1527.78</v>
      </c>
      <c r="Q134" s="491">
        <v>4.9999345464065978</v>
      </c>
      <c r="R134" s="469">
        <v>305.55599999999998</v>
      </c>
    </row>
    <row r="135" spans="1:18" ht="14.4" customHeight="1" x14ac:dyDescent="0.3">
      <c r="A135" s="463"/>
      <c r="B135" s="464" t="s">
        <v>938</v>
      </c>
      <c r="C135" s="464" t="s">
        <v>931</v>
      </c>
      <c r="D135" s="464" t="s">
        <v>986</v>
      </c>
      <c r="E135" s="464" t="s">
        <v>1032</v>
      </c>
      <c r="F135" s="464" t="s">
        <v>1033</v>
      </c>
      <c r="G135" s="468">
        <v>112</v>
      </c>
      <c r="H135" s="468">
        <v>3733.33</v>
      </c>
      <c r="I135" s="464">
        <v>0.95726410256410255</v>
      </c>
      <c r="J135" s="464">
        <v>33.333303571428573</v>
      </c>
      <c r="K135" s="468">
        <v>117</v>
      </c>
      <c r="L135" s="468">
        <v>3900</v>
      </c>
      <c r="M135" s="464">
        <v>1</v>
      </c>
      <c r="N135" s="464">
        <v>33.333333333333336</v>
      </c>
      <c r="O135" s="468">
        <v>95</v>
      </c>
      <c r="P135" s="468">
        <v>3166.67</v>
      </c>
      <c r="Q135" s="491">
        <v>0.81196666666666673</v>
      </c>
      <c r="R135" s="469">
        <v>33.333368421052633</v>
      </c>
    </row>
    <row r="136" spans="1:18" ht="14.4" customHeight="1" x14ac:dyDescent="0.3">
      <c r="A136" s="463"/>
      <c r="B136" s="464" t="s">
        <v>938</v>
      </c>
      <c r="C136" s="464" t="s">
        <v>931</v>
      </c>
      <c r="D136" s="464" t="s">
        <v>986</v>
      </c>
      <c r="E136" s="464" t="s">
        <v>1032</v>
      </c>
      <c r="F136" s="464" t="s">
        <v>1034</v>
      </c>
      <c r="G136" s="468">
        <v>4</v>
      </c>
      <c r="H136" s="468">
        <v>133.33000000000001</v>
      </c>
      <c r="I136" s="464">
        <v>1.3333000000000002</v>
      </c>
      <c r="J136" s="464">
        <v>33.332500000000003</v>
      </c>
      <c r="K136" s="468">
        <v>3</v>
      </c>
      <c r="L136" s="468">
        <v>100</v>
      </c>
      <c r="M136" s="464">
        <v>1</v>
      </c>
      <c r="N136" s="464">
        <v>33.333333333333336</v>
      </c>
      <c r="O136" s="468"/>
      <c r="P136" s="468"/>
      <c r="Q136" s="491"/>
      <c r="R136" s="469"/>
    </row>
    <row r="137" spans="1:18" ht="14.4" customHeight="1" x14ac:dyDescent="0.3">
      <c r="A137" s="463"/>
      <c r="B137" s="464" t="s">
        <v>938</v>
      </c>
      <c r="C137" s="464" t="s">
        <v>931</v>
      </c>
      <c r="D137" s="464" t="s">
        <v>986</v>
      </c>
      <c r="E137" s="464" t="s">
        <v>1035</v>
      </c>
      <c r="F137" s="464" t="s">
        <v>1036</v>
      </c>
      <c r="G137" s="468">
        <v>66</v>
      </c>
      <c r="H137" s="468">
        <v>30066.670000000002</v>
      </c>
      <c r="I137" s="464">
        <v>1.1186440993266558</v>
      </c>
      <c r="J137" s="464">
        <v>455.55560606060607</v>
      </c>
      <c r="K137" s="468">
        <v>59</v>
      </c>
      <c r="L137" s="468">
        <v>26877.78</v>
      </c>
      <c r="M137" s="464">
        <v>1</v>
      </c>
      <c r="N137" s="464">
        <v>455.55559322033895</v>
      </c>
      <c r="O137" s="468">
        <v>64</v>
      </c>
      <c r="P137" s="468">
        <v>29155.550000000003</v>
      </c>
      <c r="Q137" s="491">
        <v>1.0847454663294367</v>
      </c>
      <c r="R137" s="469">
        <v>455.55546875000005</v>
      </c>
    </row>
    <row r="138" spans="1:18" ht="14.4" customHeight="1" x14ac:dyDescent="0.3">
      <c r="A138" s="463"/>
      <c r="B138" s="464" t="s">
        <v>938</v>
      </c>
      <c r="C138" s="464" t="s">
        <v>931</v>
      </c>
      <c r="D138" s="464" t="s">
        <v>986</v>
      </c>
      <c r="E138" s="464" t="s">
        <v>1035</v>
      </c>
      <c r="F138" s="464" t="s">
        <v>1037</v>
      </c>
      <c r="G138" s="468">
        <v>94</v>
      </c>
      <c r="H138" s="468">
        <v>42822.210000000006</v>
      </c>
      <c r="I138" s="464">
        <v>1.2533332201625795</v>
      </c>
      <c r="J138" s="464">
        <v>455.55542553191498</v>
      </c>
      <c r="K138" s="468">
        <v>75</v>
      </c>
      <c r="L138" s="468">
        <v>34166.660000000003</v>
      </c>
      <c r="M138" s="464">
        <v>1</v>
      </c>
      <c r="N138" s="464">
        <v>455.55546666666669</v>
      </c>
      <c r="O138" s="468">
        <v>88</v>
      </c>
      <c r="P138" s="468">
        <v>40088.89</v>
      </c>
      <c r="Q138" s="491">
        <v>1.1733335947967989</v>
      </c>
      <c r="R138" s="469">
        <v>455.55556818181816</v>
      </c>
    </row>
    <row r="139" spans="1:18" ht="14.4" customHeight="1" x14ac:dyDescent="0.3">
      <c r="A139" s="463"/>
      <c r="B139" s="464" t="s">
        <v>938</v>
      </c>
      <c r="C139" s="464" t="s">
        <v>931</v>
      </c>
      <c r="D139" s="464" t="s">
        <v>986</v>
      </c>
      <c r="E139" s="464" t="s">
        <v>1038</v>
      </c>
      <c r="F139" s="464" t="s">
        <v>1039</v>
      </c>
      <c r="G139" s="468">
        <v>143</v>
      </c>
      <c r="H139" s="468">
        <v>11122.23</v>
      </c>
      <c r="I139" s="464">
        <v>1.2767867699983124</v>
      </c>
      <c r="J139" s="464">
        <v>77.777832167832159</v>
      </c>
      <c r="K139" s="468">
        <v>112</v>
      </c>
      <c r="L139" s="468">
        <v>8711.11</v>
      </c>
      <c r="M139" s="464">
        <v>1</v>
      </c>
      <c r="N139" s="464">
        <v>77.777767857142862</v>
      </c>
      <c r="O139" s="468">
        <v>103</v>
      </c>
      <c r="P139" s="468">
        <v>8011.1100000000006</v>
      </c>
      <c r="Q139" s="491">
        <v>0.91964284689322029</v>
      </c>
      <c r="R139" s="469">
        <v>77.777766990291269</v>
      </c>
    </row>
    <row r="140" spans="1:18" ht="14.4" customHeight="1" x14ac:dyDescent="0.3">
      <c r="A140" s="463"/>
      <c r="B140" s="464" t="s">
        <v>938</v>
      </c>
      <c r="C140" s="464" t="s">
        <v>931</v>
      </c>
      <c r="D140" s="464" t="s">
        <v>986</v>
      </c>
      <c r="E140" s="464" t="s">
        <v>1038</v>
      </c>
      <c r="F140" s="464" t="s">
        <v>1040</v>
      </c>
      <c r="G140" s="468">
        <v>3</v>
      </c>
      <c r="H140" s="468">
        <v>233.33</v>
      </c>
      <c r="I140" s="464">
        <v>2.999871432244793</v>
      </c>
      <c r="J140" s="464">
        <v>77.776666666666671</v>
      </c>
      <c r="K140" s="468">
        <v>1</v>
      </c>
      <c r="L140" s="468">
        <v>77.78</v>
      </c>
      <c r="M140" s="464">
        <v>1</v>
      </c>
      <c r="N140" s="464">
        <v>77.78</v>
      </c>
      <c r="O140" s="468">
        <v>5</v>
      </c>
      <c r="P140" s="468">
        <v>388.89</v>
      </c>
      <c r="Q140" s="491">
        <v>4.9998714322447926</v>
      </c>
      <c r="R140" s="469">
        <v>77.777999999999992</v>
      </c>
    </row>
    <row r="141" spans="1:18" ht="14.4" customHeight="1" x14ac:dyDescent="0.3">
      <c r="A141" s="463"/>
      <c r="B141" s="464" t="s">
        <v>938</v>
      </c>
      <c r="C141" s="464" t="s">
        <v>931</v>
      </c>
      <c r="D141" s="464" t="s">
        <v>986</v>
      </c>
      <c r="E141" s="464" t="s">
        <v>1041</v>
      </c>
      <c r="F141" s="464" t="s">
        <v>1042</v>
      </c>
      <c r="G141" s="468">
        <v>1</v>
      </c>
      <c r="H141" s="468">
        <v>270</v>
      </c>
      <c r="I141" s="464"/>
      <c r="J141" s="464">
        <v>270</v>
      </c>
      <c r="K141" s="468"/>
      <c r="L141" s="468"/>
      <c r="M141" s="464"/>
      <c r="N141" s="464"/>
      <c r="O141" s="468"/>
      <c r="P141" s="468"/>
      <c r="Q141" s="491"/>
      <c r="R141" s="469"/>
    </row>
    <row r="142" spans="1:18" ht="14.4" customHeight="1" x14ac:dyDescent="0.3">
      <c r="A142" s="463"/>
      <c r="B142" s="464" t="s">
        <v>938</v>
      </c>
      <c r="C142" s="464" t="s">
        <v>931</v>
      </c>
      <c r="D142" s="464" t="s">
        <v>986</v>
      </c>
      <c r="E142" s="464" t="s">
        <v>1041</v>
      </c>
      <c r="F142" s="464" t="s">
        <v>1072</v>
      </c>
      <c r="G142" s="468">
        <v>2</v>
      </c>
      <c r="H142" s="468">
        <v>540</v>
      </c>
      <c r="I142" s="464"/>
      <c r="J142" s="464">
        <v>270</v>
      </c>
      <c r="K142" s="468"/>
      <c r="L142" s="468"/>
      <c r="M142" s="464"/>
      <c r="N142" s="464"/>
      <c r="O142" s="468"/>
      <c r="P142" s="468"/>
      <c r="Q142" s="491"/>
      <c r="R142" s="469"/>
    </row>
    <row r="143" spans="1:18" ht="14.4" customHeight="1" x14ac:dyDescent="0.3">
      <c r="A143" s="463"/>
      <c r="B143" s="464" t="s">
        <v>938</v>
      </c>
      <c r="C143" s="464" t="s">
        <v>931</v>
      </c>
      <c r="D143" s="464" t="s">
        <v>986</v>
      </c>
      <c r="E143" s="464" t="s">
        <v>1043</v>
      </c>
      <c r="F143" s="464" t="s">
        <v>1044</v>
      </c>
      <c r="G143" s="468">
        <v>90</v>
      </c>
      <c r="H143" s="468">
        <v>8500</v>
      </c>
      <c r="I143" s="464">
        <v>1.2676066840154798</v>
      </c>
      <c r="J143" s="464">
        <v>94.444444444444443</v>
      </c>
      <c r="K143" s="468">
        <v>71</v>
      </c>
      <c r="L143" s="468">
        <v>6705.5499999999993</v>
      </c>
      <c r="M143" s="464">
        <v>1</v>
      </c>
      <c r="N143" s="464">
        <v>94.444366197183086</v>
      </c>
      <c r="O143" s="468">
        <v>133</v>
      </c>
      <c r="P143" s="468">
        <v>12561.11</v>
      </c>
      <c r="Q143" s="491">
        <v>1.8732408229004336</v>
      </c>
      <c r="R143" s="469">
        <v>94.444436090225565</v>
      </c>
    </row>
    <row r="144" spans="1:18" ht="14.4" customHeight="1" x14ac:dyDescent="0.3">
      <c r="A144" s="463"/>
      <c r="B144" s="464" t="s">
        <v>938</v>
      </c>
      <c r="C144" s="464" t="s">
        <v>931</v>
      </c>
      <c r="D144" s="464" t="s">
        <v>986</v>
      </c>
      <c r="E144" s="464" t="s">
        <v>1043</v>
      </c>
      <c r="F144" s="464" t="s">
        <v>1045</v>
      </c>
      <c r="G144" s="468">
        <v>138</v>
      </c>
      <c r="H144" s="468">
        <v>13033.35</v>
      </c>
      <c r="I144" s="464">
        <v>1.3018873013209313</v>
      </c>
      <c r="J144" s="464">
        <v>94.4445652173913</v>
      </c>
      <c r="K144" s="468">
        <v>106</v>
      </c>
      <c r="L144" s="468">
        <v>10011.119999999999</v>
      </c>
      <c r="M144" s="464">
        <v>1</v>
      </c>
      <c r="N144" s="464">
        <v>94.444528301886777</v>
      </c>
      <c r="O144" s="468">
        <v>155</v>
      </c>
      <c r="P144" s="468">
        <v>14638.89</v>
      </c>
      <c r="Q144" s="491">
        <v>1.4622629635844941</v>
      </c>
      <c r="R144" s="469">
        <v>94.444451612903222</v>
      </c>
    </row>
    <row r="145" spans="1:18" ht="14.4" customHeight="1" x14ac:dyDescent="0.3">
      <c r="A145" s="463"/>
      <c r="B145" s="464" t="s">
        <v>938</v>
      </c>
      <c r="C145" s="464" t="s">
        <v>931</v>
      </c>
      <c r="D145" s="464" t="s">
        <v>986</v>
      </c>
      <c r="E145" s="464" t="s">
        <v>1073</v>
      </c>
      <c r="F145" s="464" t="s">
        <v>1074</v>
      </c>
      <c r="G145" s="468"/>
      <c r="H145" s="468"/>
      <c r="I145" s="464"/>
      <c r="J145" s="464"/>
      <c r="K145" s="468"/>
      <c r="L145" s="468"/>
      <c r="M145" s="464"/>
      <c r="N145" s="464"/>
      <c r="O145" s="468">
        <v>1</v>
      </c>
      <c r="P145" s="468">
        <v>96.67</v>
      </c>
      <c r="Q145" s="491"/>
      <c r="R145" s="469">
        <v>96.67</v>
      </c>
    </row>
    <row r="146" spans="1:18" ht="14.4" customHeight="1" x14ac:dyDescent="0.3">
      <c r="A146" s="463"/>
      <c r="B146" s="464" t="s">
        <v>938</v>
      </c>
      <c r="C146" s="464" t="s">
        <v>931</v>
      </c>
      <c r="D146" s="464" t="s">
        <v>986</v>
      </c>
      <c r="E146" s="464" t="s">
        <v>1049</v>
      </c>
      <c r="F146" s="464" t="s">
        <v>1050</v>
      </c>
      <c r="G146" s="468"/>
      <c r="H146" s="468"/>
      <c r="I146" s="464"/>
      <c r="J146" s="464"/>
      <c r="K146" s="468"/>
      <c r="L146" s="468"/>
      <c r="M146" s="464"/>
      <c r="N146" s="464"/>
      <c r="O146" s="468">
        <v>1</v>
      </c>
      <c r="P146" s="468">
        <v>433.33</v>
      </c>
      <c r="Q146" s="491"/>
      <c r="R146" s="469">
        <v>433.33</v>
      </c>
    </row>
    <row r="147" spans="1:18" ht="14.4" customHeight="1" x14ac:dyDescent="0.3">
      <c r="A147" s="463"/>
      <c r="B147" s="464" t="s">
        <v>938</v>
      </c>
      <c r="C147" s="464" t="s">
        <v>931</v>
      </c>
      <c r="D147" s="464" t="s">
        <v>986</v>
      </c>
      <c r="E147" s="464" t="s">
        <v>1075</v>
      </c>
      <c r="F147" s="464" t="s">
        <v>1076</v>
      </c>
      <c r="G147" s="468"/>
      <c r="H147" s="468"/>
      <c r="I147" s="464"/>
      <c r="J147" s="464"/>
      <c r="K147" s="468"/>
      <c r="L147" s="468"/>
      <c r="M147" s="464"/>
      <c r="N147" s="464"/>
      <c r="O147" s="468">
        <v>3</v>
      </c>
      <c r="P147" s="468">
        <v>226.67000000000002</v>
      </c>
      <c r="Q147" s="491"/>
      <c r="R147" s="469">
        <v>75.556666666666672</v>
      </c>
    </row>
    <row r="148" spans="1:18" ht="14.4" customHeight="1" x14ac:dyDescent="0.3">
      <c r="A148" s="463"/>
      <c r="B148" s="464" t="s">
        <v>938</v>
      </c>
      <c r="C148" s="464" t="s">
        <v>931</v>
      </c>
      <c r="D148" s="464" t="s">
        <v>986</v>
      </c>
      <c r="E148" s="464" t="s">
        <v>1052</v>
      </c>
      <c r="F148" s="464" t="s">
        <v>1053</v>
      </c>
      <c r="G148" s="468"/>
      <c r="H148" s="468"/>
      <c r="I148" s="464"/>
      <c r="J148" s="464"/>
      <c r="K148" s="468">
        <v>2</v>
      </c>
      <c r="L148" s="468">
        <v>233.33</v>
      </c>
      <c r="M148" s="464">
        <v>1</v>
      </c>
      <c r="N148" s="464">
        <v>116.66500000000001</v>
      </c>
      <c r="O148" s="468"/>
      <c r="P148" s="468"/>
      <c r="Q148" s="491"/>
      <c r="R148" s="469"/>
    </row>
    <row r="149" spans="1:18" ht="14.4" customHeight="1" x14ac:dyDescent="0.3">
      <c r="A149" s="463"/>
      <c r="B149" s="464" t="s">
        <v>938</v>
      </c>
      <c r="C149" s="464" t="s">
        <v>931</v>
      </c>
      <c r="D149" s="464" t="s">
        <v>986</v>
      </c>
      <c r="E149" s="464" t="s">
        <v>1052</v>
      </c>
      <c r="F149" s="464" t="s">
        <v>1054</v>
      </c>
      <c r="G149" s="468">
        <v>4</v>
      </c>
      <c r="H149" s="468">
        <v>466.66</v>
      </c>
      <c r="I149" s="464">
        <v>3.999828576326391</v>
      </c>
      <c r="J149" s="464">
        <v>116.66500000000001</v>
      </c>
      <c r="K149" s="468">
        <v>1</v>
      </c>
      <c r="L149" s="468">
        <v>116.67</v>
      </c>
      <c r="M149" s="464">
        <v>1</v>
      </c>
      <c r="N149" s="464">
        <v>116.67</v>
      </c>
      <c r="O149" s="468">
        <v>5</v>
      </c>
      <c r="P149" s="468">
        <v>583.33000000000004</v>
      </c>
      <c r="Q149" s="491">
        <v>4.999828576326391</v>
      </c>
      <c r="R149" s="469">
        <v>116.66600000000001</v>
      </c>
    </row>
    <row r="150" spans="1:18" ht="14.4" customHeight="1" x14ac:dyDescent="0.3">
      <c r="A150" s="463"/>
      <c r="B150" s="464" t="s">
        <v>938</v>
      </c>
      <c r="C150" s="464" t="s">
        <v>931</v>
      </c>
      <c r="D150" s="464" t="s">
        <v>986</v>
      </c>
      <c r="E150" s="464" t="s">
        <v>1055</v>
      </c>
      <c r="F150" s="464" t="s">
        <v>1056</v>
      </c>
      <c r="G150" s="468"/>
      <c r="H150" s="468"/>
      <c r="I150" s="464"/>
      <c r="J150" s="464"/>
      <c r="K150" s="468">
        <v>1</v>
      </c>
      <c r="L150" s="468">
        <v>48.89</v>
      </c>
      <c r="M150" s="464">
        <v>1</v>
      </c>
      <c r="N150" s="464">
        <v>48.89</v>
      </c>
      <c r="O150" s="468"/>
      <c r="P150" s="468"/>
      <c r="Q150" s="491"/>
      <c r="R150" s="469"/>
    </row>
    <row r="151" spans="1:18" ht="14.4" customHeight="1" x14ac:dyDescent="0.3">
      <c r="A151" s="463"/>
      <c r="B151" s="464" t="s">
        <v>938</v>
      </c>
      <c r="C151" s="464" t="s">
        <v>931</v>
      </c>
      <c r="D151" s="464" t="s">
        <v>986</v>
      </c>
      <c r="E151" s="464" t="s">
        <v>1055</v>
      </c>
      <c r="F151" s="464" t="s">
        <v>1057</v>
      </c>
      <c r="G151" s="468">
        <v>3</v>
      </c>
      <c r="H151" s="468">
        <v>146.66999999999999</v>
      </c>
      <c r="I151" s="464">
        <v>0.37500958809542068</v>
      </c>
      <c r="J151" s="464">
        <v>48.889999999999993</v>
      </c>
      <c r="K151" s="468">
        <v>8</v>
      </c>
      <c r="L151" s="468">
        <v>391.11</v>
      </c>
      <c r="M151" s="464">
        <v>1</v>
      </c>
      <c r="N151" s="464">
        <v>48.888750000000002</v>
      </c>
      <c r="O151" s="468">
        <v>4</v>
      </c>
      <c r="P151" s="468">
        <v>195.56</v>
      </c>
      <c r="Q151" s="491">
        <v>0.50001278412722761</v>
      </c>
      <c r="R151" s="469">
        <v>48.89</v>
      </c>
    </row>
    <row r="152" spans="1:18" ht="14.4" customHeight="1" x14ac:dyDescent="0.3">
      <c r="A152" s="463"/>
      <c r="B152" s="464" t="s">
        <v>938</v>
      </c>
      <c r="C152" s="464" t="s">
        <v>931</v>
      </c>
      <c r="D152" s="464" t="s">
        <v>986</v>
      </c>
      <c r="E152" s="464" t="s">
        <v>1060</v>
      </c>
      <c r="F152" s="464" t="s">
        <v>1061</v>
      </c>
      <c r="G152" s="468">
        <v>1</v>
      </c>
      <c r="H152" s="468">
        <v>292.22000000000003</v>
      </c>
      <c r="I152" s="464">
        <v>1</v>
      </c>
      <c r="J152" s="464">
        <v>292.22000000000003</v>
      </c>
      <c r="K152" s="468">
        <v>1</v>
      </c>
      <c r="L152" s="468">
        <v>292.22000000000003</v>
      </c>
      <c r="M152" s="464">
        <v>1</v>
      </c>
      <c r="N152" s="464">
        <v>292.22000000000003</v>
      </c>
      <c r="O152" s="468"/>
      <c r="P152" s="468"/>
      <c r="Q152" s="491"/>
      <c r="R152" s="469"/>
    </row>
    <row r="153" spans="1:18" ht="14.4" customHeight="1" x14ac:dyDescent="0.3">
      <c r="A153" s="463"/>
      <c r="B153" s="464" t="s">
        <v>938</v>
      </c>
      <c r="C153" s="464" t="s">
        <v>931</v>
      </c>
      <c r="D153" s="464" t="s">
        <v>986</v>
      </c>
      <c r="E153" s="464" t="s">
        <v>1060</v>
      </c>
      <c r="F153" s="464" t="s">
        <v>1077</v>
      </c>
      <c r="G153" s="468"/>
      <c r="H153" s="468"/>
      <c r="I153" s="464"/>
      <c r="J153" s="464"/>
      <c r="K153" s="468">
        <v>1</v>
      </c>
      <c r="L153" s="468">
        <v>292.22000000000003</v>
      </c>
      <c r="M153" s="464">
        <v>1</v>
      </c>
      <c r="N153" s="464">
        <v>292.22000000000003</v>
      </c>
      <c r="O153" s="468"/>
      <c r="P153" s="468"/>
      <c r="Q153" s="491"/>
      <c r="R153" s="469"/>
    </row>
    <row r="154" spans="1:18" ht="14.4" customHeight="1" x14ac:dyDescent="0.3">
      <c r="A154" s="463"/>
      <c r="B154" s="464" t="s">
        <v>938</v>
      </c>
      <c r="C154" s="464" t="s">
        <v>931</v>
      </c>
      <c r="D154" s="464" t="s">
        <v>986</v>
      </c>
      <c r="E154" s="464" t="s">
        <v>1078</v>
      </c>
      <c r="F154" s="464" t="s">
        <v>1079</v>
      </c>
      <c r="G154" s="468"/>
      <c r="H154" s="468"/>
      <c r="I154" s="464"/>
      <c r="J154" s="464"/>
      <c r="K154" s="468"/>
      <c r="L154" s="468"/>
      <c r="M154" s="464"/>
      <c r="N154" s="464"/>
      <c r="O154" s="468">
        <v>3</v>
      </c>
      <c r="P154" s="468">
        <v>1076.67</v>
      </c>
      <c r="Q154" s="491"/>
      <c r="R154" s="469">
        <v>358.89000000000004</v>
      </c>
    </row>
    <row r="155" spans="1:18" ht="14.4" customHeight="1" x14ac:dyDescent="0.3">
      <c r="A155" s="463"/>
      <c r="B155" s="464" t="s">
        <v>938</v>
      </c>
      <c r="C155" s="464" t="s">
        <v>931</v>
      </c>
      <c r="D155" s="464" t="s">
        <v>986</v>
      </c>
      <c r="E155" s="464" t="s">
        <v>1080</v>
      </c>
      <c r="F155" s="464" t="s">
        <v>1081</v>
      </c>
      <c r="G155" s="468"/>
      <c r="H155" s="468"/>
      <c r="I155" s="464"/>
      <c r="J155" s="464"/>
      <c r="K155" s="468"/>
      <c r="L155" s="468"/>
      <c r="M155" s="464"/>
      <c r="N155" s="464"/>
      <c r="O155" s="468">
        <v>1</v>
      </c>
      <c r="P155" s="468">
        <v>550</v>
      </c>
      <c r="Q155" s="491"/>
      <c r="R155" s="469">
        <v>550</v>
      </c>
    </row>
    <row r="156" spans="1:18" ht="14.4" customHeight="1" x14ac:dyDescent="0.3">
      <c r="A156" s="463"/>
      <c r="B156" s="464" t="s">
        <v>938</v>
      </c>
      <c r="C156" s="464" t="s">
        <v>932</v>
      </c>
      <c r="D156" s="464" t="s">
        <v>939</v>
      </c>
      <c r="E156" s="464" t="s">
        <v>1082</v>
      </c>
      <c r="F156" s="464"/>
      <c r="G156" s="468"/>
      <c r="H156" s="468"/>
      <c r="I156" s="464"/>
      <c r="J156" s="464"/>
      <c r="K156" s="468">
        <v>1</v>
      </c>
      <c r="L156" s="468">
        <v>1657</v>
      </c>
      <c r="M156" s="464">
        <v>1</v>
      </c>
      <c r="N156" s="464">
        <v>1657</v>
      </c>
      <c r="O156" s="468">
        <v>1</v>
      </c>
      <c r="P156" s="468">
        <v>1657</v>
      </c>
      <c r="Q156" s="491">
        <v>1</v>
      </c>
      <c r="R156" s="469">
        <v>1657</v>
      </c>
    </row>
    <row r="157" spans="1:18" ht="14.4" customHeight="1" x14ac:dyDescent="0.3">
      <c r="A157" s="463"/>
      <c r="B157" s="464" t="s">
        <v>938</v>
      </c>
      <c r="C157" s="464" t="s">
        <v>932</v>
      </c>
      <c r="D157" s="464" t="s">
        <v>939</v>
      </c>
      <c r="E157" s="464" t="s">
        <v>1083</v>
      </c>
      <c r="F157" s="464"/>
      <c r="G157" s="468"/>
      <c r="H157" s="468"/>
      <c r="I157" s="464"/>
      <c r="J157" s="464"/>
      <c r="K157" s="468"/>
      <c r="L157" s="468"/>
      <c r="M157" s="464"/>
      <c r="N157" s="464"/>
      <c r="O157" s="468">
        <v>1</v>
      </c>
      <c r="P157" s="468">
        <v>1179</v>
      </c>
      <c r="Q157" s="491"/>
      <c r="R157" s="469">
        <v>1179</v>
      </c>
    </row>
    <row r="158" spans="1:18" ht="14.4" customHeight="1" x14ac:dyDescent="0.3">
      <c r="A158" s="463"/>
      <c r="B158" s="464" t="s">
        <v>938</v>
      </c>
      <c r="C158" s="464" t="s">
        <v>932</v>
      </c>
      <c r="D158" s="464" t="s">
        <v>939</v>
      </c>
      <c r="E158" s="464" t="s">
        <v>1084</v>
      </c>
      <c r="F158" s="464"/>
      <c r="G158" s="468"/>
      <c r="H158" s="468"/>
      <c r="I158" s="464"/>
      <c r="J158" s="464"/>
      <c r="K158" s="468">
        <v>1</v>
      </c>
      <c r="L158" s="468">
        <v>1281</v>
      </c>
      <c r="M158" s="464">
        <v>1</v>
      </c>
      <c r="N158" s="464">
        <v>1281</v>
      </c>
      <c r="O158" s="468"/>
      <c r="P158" s="468"/>
      <c r="Q158" s="491"/>
      <c r="R158" s="469"/>
    </row>
    <row r="159" spans="1:18" ht="14.4" customHeight="1" x14ac:dyDescent="0.3">
      <c r="A159" s="463"/>
      <c r="B159" s="464" t="s">
        <v>938</v>
      </c>
      <c r="C159" s="464" t="s">
        <v>932</v>
      </c>
      <c r="D159" s="464" t="s">
        <v>939</v>
      </c>
      <c r="E159" s="464" t="s">
        <v>943</v>
      </c>
      <c r="F159" s="464"/>
      <c r="G159" s="468"/>
      <c r="H159" s="468"/>
      <c r="I159" s="464"/>
      <c r="J159" s="464"/>
      <c r="K159" s="468">
        <v>1</v>
      </c>
      <c r="L159" s="468">
        <v>219</v>
      </c>
      <c r="M159" s="464">
        <v>1</v>
      </c>
      <c r="N159" s="464">
        <v>219</v>
      </c>
      <c r="O159" s="468"/>
      <c r="P159" s="468"/>
      <c r="Q159" s="491"/>
      <c r="R159" s="469"/>
    </row>
    <row r="160" spans="1:18" ht="14.4" customHeight="1" x14ac:dyDescent="0.3">
      <c r="A160" s="463"/>
      <c r="B160" s="464" t="s">
        <v>938</v>
      </c>
      <c r="C160" s="464" t="s">
        <v>932</v>
      </c>
      <c r="D160" s="464" t="s">
        <v>939</v>
      </c>
      <c r="E160" s="464" t="s">
        <v>964</v>
      </c>
      <c r="F160" s="464"/>
      <c r="G160" s="468"/>
      <c r="H160" s="468"/>
      <c r="I160" s="464"/>
      <c r="J160" s="464"/>
      <c r="K160" s="468">
        <v>1</v>
      </c>
      <c r="L160" s="468">
        <v>2000</v>
      </c>
      <c r="M160" s="464">
        <v>1</v>
      </c>
      <c r="N160" s="464">
        <v>2000</v>
      </c>
      <c r="O160" s="468"/>
      <c r="P160" s="468"/>
      <c r="Q160" s="491"/>
      <c r="R160" s="469"/>
    </row>
    <row r="161" spans="1:18" ht="14.4" customHeight="1" x14ac:dyDescent="0.3">
      <c r="A161" s="463"/>
      <c r="B161" s="464" t="s">
        <v>938</v>
      </c>
      <c r="C161" s="464" t="s">
        <v>932</v>
      </c>
      <c r="D161" s="464" t="s">
        <v>986</v>
      </c>
      <c r="E161" s="464" t="s">
        <v>987</v>
      </c>
      <c r="F161" s="464" t="s">
        <v>1067</v>
      </c>
      <c r="G161" s="468"/>
      <c r="H161" s="468"/>
      <c r="I161" s="464"/>
      <c r="J161" s="464"/>
      <c r="K161" s="468">
        <v>2</v>
      </c>
      <c r="L161" s="468">
        <v>1017.78</v>
      </c>
      <c r="M161" s="464">
        <v>1</v>
      </c>
      <c r="N161" s="464">
        <v>508.89</v>
      </c>
      <c r="O161" s="468">
        <v>1</v>
      </c>
      <c r="P161" s="468">
        <v>508.89</v>
      </c>
      <c r="Q161" s="491">
        <v>0.5</v>
      </c>
      <c r="R161" s="469">
        <v>508.89</v>
      </c>
    </row>
    <row r="162" spans="1:18" ht="14.4" customHeight="1" x14ac:dyDescent="0.3">
      <c r="A162" s="463"/>
      <c r="B162" s="464" t="s">
        <v>938</v>
      </c>
      <c r="C162" s="464" t="s">
        <v>932</v>
      </c>
      <c r="D162" s="464" t="s">
        <v>986</v>
      </c>
      <c r="E162" s="464" t="s">
        <v>987</v>
      </c>
      <c r="F162" s="464" t="s">
        <v>988</v>
      </c>
      <c r="G162" s="468">
        <v>20</v>
      </c>
      <c r="H162" s="468">
        <v>9511.11</v>
      </c>
      <c r="I162" s="464">
        <v>1.2459958550254542</v>
      </c>
      <c r="J162" s="464">
        <v>475.55550000000005</v>
      </c>
      <c r="K162" s="468">
        <v>15</v>
      </c>
      <c r="L162" s="468">
        <v>7633.34</v>
      </c>
      <c r="M162" s="464">
        <v>1</v>
      </c>
      <c r="N162" s="464">
        <v>508.88933333333335</v>
      </c>
      <c r="O162" s="468">
        <v>6</v>
      </c>
      <c r="P162" s="468">
        <v>3053.3399999999997</v>
      </c>
      <c r="Q162" s="491">
        <v>0.40000052401700953</v>
      </c>
      <c r="R162" s="469">
        <v>508.88999999999993</v>
      </c>
    </row>
    <row r="163" spans="1:18" ht="14.4" customHeight="1" x14ac:dyDescent="0.3">
      <c r="A163" s="463"/>
      <c r="B163" s="464" t="s">
        <v>938</v>
      </c>
      <c r="C163" s="464" t="s">
        <v>932</v>
      </c>
      <c r="D163" s="464" t="s">
        <v>986</v>
      </c>
      <c r="E163" s="464" t="s">
        <v>989</v>
      </c>
      <c r="F163" s="464" t="s">
        <v>990</v>
      </c>
      <c r="G163" s="468">
        <v>17</v>
      </c>
      <c r="H163" s="468">
        <v>7744.45</v>
      </c>
      <c r="I163" s="464">
        <v>0.53410000000000002</v>
      </c>
      <c r="J163" s="464">
        <v>455.55588235294118</v>
      </c>
      <c r="K163" s="468">
        <v>29</v>
      </c>
      <c r="L163" s="468">
        <v>14500</v>
      </c>
      <c r="M163" s="464">
        <v>1</v>
      </c>
      <c r="N163" s="464">
        <v>500</v>
      </c>
      <c r="O163" s="468">
        <v>8</v>
      </c>
      <c r="P163" s="468">
        <v>4000</v>
      </c>
      <c r="Q163" s="491">
        <v>0.27586206896551724</v>
      </c>
      <c r="R163" s="469">
        <v>500</v>
      </c>
    </row>
    <row r="164" spans="1:18" ht="14.4" customHeight="1" x14ac:dyDescent="0.3">
      <c r="A164" s="463"/>
      <c r="B164" s="464" t="s">
        <v>938</v>
      </c>
      <c r="C164" s="464" t="s">
        <v>932</v>
      </c>
      <c r="D164" s="464" t="s">
        <v>986</v>
      </c>
      <c r="E164" s="464" t="s">
        <v>989</v>
      </c>
      <c r="F164" s="464" t="s">
        <v>991</v>
      </c>
      <c r="G164" s="468">
        <v>44</v>
      </c>
      <c r="H164" s="468">
        <v>20044.45</v>
      </c>
      <c r="I164" s="464">
        <v>3.0837615384615384</v>
      </c>
      <c r="J164" s="464">
        <v>455.55568181818182</v>
      </c>
      <c r="K164" s="468">
        <v>13</v>
      </c>
      <c r="L164" s="468">
        <v>6500</v>
      </c>
      <c r="M164" s="464">
        <v>1</v>
      </c>
      <c r="N164" s="464">
        <v>500</v>
      </c>
      <c r="O164" s="468">
        <v>18</v>
      </c>
      <c r="P164" s="468">
        <v>9000</v>
      </c>
      <c r="Q164" s="491">
        <v>1.3846153846153846</v>
      </c>
      <c r="R164" s="469">
        <v>500</v>
      </c>
    </row>
    <row r="165" spans="1:18" ht="14.4" customHeight="1" x14ac:dyDescent="0.3">
      <c r="A165" s="463"/>
      <c r="B165" s="464" t="s">
        <v>938</v>
      </c>
      <c r="C165" s="464" t="s">
        <v>932</v>
      </c>
      <c r="D165" s="464" t="s">
        <v>986</v>
      </c>
      <c r="E165" s="464" t="s">
        <v>1068</v>
      </c>
      <c r="F165" s="464" t="s">
        <v>1069</v>
      </c>
      <c r="G165" s="468">
        <v>30</v>
      </c>
      <c r="H165" s="468">
        <v>3166.66</v>
      </c>
      <c r="I165" s="464">
        <v>0.57692279663610802</v>
      </c>
      <c r="J165" s="464">
        <v>105.55533333333332</v>
      </c>
      <c r="K165" s="468">
        <v>52</v>
      </c>
      <c r="L165" s="468">
        <v>5488.8799999999992</v>
      </c>
      <c r="M165" s="464">
        <v>1</v>
      </c>
      <c r="N165" s="464">
        <v>105.5553846153846</v>
      </c>
      <c r="O165" s="468">
        <v>52</v>
      </c>
      <c r="P165" s="468">
        <v>5488.89</v>
      </c>
      <c r="Q165" s="491">
        <v>1.0000018218652988</v>
      </c>
      <c r="R165" s="469">
        <v>105.55557692307693</v>
      </c>
    </row>
    <row r="166" spans="1:18" ht="14.4" customHeight="1" x14ac:dyDescent="0.3">
      <c r="A166" s="463"/>
      <c r="B166" s="464" t="s">
        <v>938</v>
      </c>
      <c r="C166" s="464" t="s">
        <v>932</v>
      </c>
      <c r="D166" s="464" t="s">
        <v>986</v>
      </c>
      <c r="E166" s="464" t="s">
        <v>1068</v>
      </c>
      <c r="F166" s="464" t="s">
        <v>1070</v>
      </c>
      <c r="G166" s="468">
        <v>155</v>
      </c>
      <c r="H166" s="468">
        <v>16361.12</v>
      </c>
      <c r="I166" s="464">
        <v>1.1151079283789853</v>
      </c>
      <c r="J166" s="464">
        <v>105.55561290322581</v>
      </c>
      <c r="K166" s="468">
        <v>139</v>
      </c>
      <c r="L166" s="468">
        <v>14672.23</v>
      </c>
      <c r="M166" s="464">
        <v>1</v>
      </c>
      <c r="N166" s="464">
        <v>105.55561151079137</v>
      </c>
      <c r="O166" s="468">
        <v>106</v>
      </c>
      <c r="P166" s="468">
        <v>11188.89</v>
      </c>
      <c r="Q166" s="491">
        <v>0.76258959953599414</v>
      </c>
      <c r="R166" s="469">
        <v>105.55556603773584</v>
      </c>
    </row>
    <row r="167" spans="1:18" ht="14.4" customHeight="1" x14ac:dyDescent="0.3">
      <c r="A167" s="463"/>
      <c r="B167" s="464" t="s">
        <v>938</v>
      </c>
      <c r="C167" s="464" t="s">
        <v>932</v>
      </c>
      <c r="D167" s="464" t="s">
        <v>986</v>
      </c>
      <c r="E167" s="464" t="s">
        <v>992</v>
      </c>
      <c r="F167" s="464" t="s">
        <v>1071</v>
      </c>
      <c r="G167" s="468"/>
      <c r="H167" s="468"/>
      <c r="I167" s="464"/>
      <c r="J167" s="464"/>
      <c r="K167" s="468">
        <v>8</v>
      </c>
      <c r="L167" s="468">
        <v>622.22</v>
      </c>
      <c r="M167" s="464">
        <v>1</v>
      </c>
      <c r="N167" s="464">
        <v>77.777500000000003</v>
      </c>
      <c r="O167" s="468">
        <v>4</v>
      </c>
      <c r="P167" s="468">
        <v>311.11</v>
      </c>
      <c r="Q167" s="491">
        <v>0.5</v>
      </c>
      <c r="R167" s="469">
        <v>77.777500000000003</v>
      </c>
    </row>
    <row r="168" spans="1:18" ht="14.4" customHeight="1" x14ac:dyDescent="0.3">
      <c r="A168" s="463"/>
      <c r="B168" s="464" t="s">
        <v>938</v>
      </c>
      <c r="C168" s="464" t="s">
        <v>932</v>
      </c>
      <c r="D168" s="464" t="s">
        <v>986</v>
      </c>
      <c r="E168" s="464" t="s">
        <v>992</v>
      </c>
      <c r="F168" s="464" t="s">
        <v>993</v>
      </c>
      <c r="G168" s="468">
        <v>69</v>
      </c>
      <c r="H168" s="468">
        <v>5366.67</v>
      </c>
      <c r="I168" s="464">
        <v>0.58474662145597456</v>
      </c>
      <c r="J168" s="464">
        <v>77.777826086956523</v>
      </c>
      <c r="K168" s="468">
        <v>118</v>
      </c>
      <c r="L168" s="468">
        <v>9177.77</v>
      </c>
      <c r="M168" s="464">
        <v>1</v>
      </c>
      <c r="N168" s="464">
        <v>77.777711864406783</v>
      </c>
      <c r="O168" s="468">
        <v>132</v>
      </c>
      <c r="P168" s="468">
        <v>10266.670000000002</v>
      </c>
      <c r="Q168" s="491">
        <v>1.1186453789972948</v>
      </c>
      <c r="R168" s="469">
        <v>77.777803030303048</v>
      </c>
    </row>
    <row r="169" spans="1:18" ht="14.4" customHeight="1" x14ac:dyDescent="0.3">
      <c r="A169" s="463"/>
      <c r="B169" s="464" t="s">
        <v>938</v>
      </c>
      <c r="C169" s="464" t="s">
        <v>932</v>
      </c>
      <c r="D169" s="464" t="s">
        <v>986</v>
      </c>
      <c r="E169" s="464" t="s">
        <v>999</v>
      </c>
      <c r="F169" s="464" t="s">
        <v>1000</v>
      </c>
      <c r="G169" s="468">
        <v>57</v>
      </c>
      <c r="H169" s="468">
        <v>6650</v>
      </c>
      <c r="I169" s="464">
        <v>0.62637342971006915</v>
      </c>
      <c r="J169" s="464">
        <v>116.66666666666667</v>
      </c>
      <c r="K169" s="468">
        <v>91</v>
      </c>
      <c r="L169" s="468">
        <v>10616.67</v>
      </c>
      <c r="M169" s="464">
        <v>1</v>
      </c>
      <c r="N169" s="464">
        <v>116.6667032967033</v>
      </c>
      <c r="O169" s="468">
        <v>98</v>
      </c>
      <c r="P169" s="468">
        <v>11433.32</v>
      </c>
      <c r="Q169" s="491">
        <v>1.0769214829131921</v>
      </c>
      <c r="R169" s="469">
        <v>116.6665306122449</v>
      </c>
    </row>
    <row r="170" spans="1:18" ht="14.4" customHeight="1" x14ac:dyDescent="0.3">
      <c r="A170" s="463"/>
      <c r="B170" s="464" t="s">
        <v>938</v>
      </c>
      <c r="C170" s="464" t="s">
        <v>932</v>
      </c>
      <c r="D170" s="464" t="s">
        <v>986</v>
      </c>
      <c r="E170" s="464" t="s">
        <v>999</v>
      </c>
      <c r="F170" s="464" t="s">
        <v>1001</v>
      </c>
      <c r="G170" s="468">
        <v>4</v>
      </c>
      <c r="H170" s="468">
        <v>466.67</v>
      </c>
      <c r="I170" s="464">
        <v>1</v>
      </c>
      <c r="J170" s="464">
        <v>116.6675</v>
      </c>
      <c r="K170" s="468">
        <v>4</v>
      </c>
      <c r="L170" s="468">
        <v>466.67</v>
      </c>
      <c r="M170" s="464">
        <v>1</v>
      </c>
      <c r="N170" s="464">
        <v>116.6675</v>
      </c>
      <c r="O170" s="468">
        <v>3</v>
      </c>
      <c r="P170" s="468">
        <v>350</v>
      </c>
      <c r="Q170" s="491">
        <v>0.74999464289540785</v>
      </c>
      <c r="R170" s="469">
        <v>116.66666666666667</v>
      </c>
    </row>
    <row r="171" spans="1:18" ht="14.4" customHeight="1" x14ac:dyDescent="0.3">
      <c r="A171" s="463"/>
      <c r="B171" s="464" t="s">
        <v>938</v>
      </c>
      <c r="C171" s="464" t="s">
        <v>932</v>
      </c>
      <c r="D171" s="464" t="s">
        <v>986</v>
      </c>
      <c r="E171" s="464" t="s">
        <v>1085</v>
      </c>
      <c r="F171" s="464" t="s">
        <v>1086</v>
      </c>
      <c r="G171" s="468">
        <v>2</v>
      </c>
      <c r="H171" s="468">
        <v>777.78</v>
      </c>
      <c r="I171" s="464">
        <v>0.25</v>
      </c>
      <c r="J171" s="464">
        <v>388.89</v>
      </c>
      <c r="K171" s="468">
        <v>8</v>
      </c>
      <c r="L171" s="468">
        <v>3111.12</v>
      </c>
      <c r="M171" s="464">
        <v>1</v>
      </c>
      <c r="N171" s="464">
        <v>388.89</v>
      </c>
      <c r="O171" s="468">
        <v>9</v>
      </c>
      <c r="P171" s="468">
        <v>3500.0099999999998</v>
      </c>
      <c r="Q171" s="491">
        <v>1.125</v>
      </c>
      <c r="R171" s="469">
        <v>388.89</v>
      </c>
    </row>
    <row r="172" spans="1:18" ht="14.4" customHeight="1" x14ac:dyDescent="0.3">
      <c r="A172" s="463"/>
      <c r="B172" s="464" t="s">
        <v>938</v>
      </c>
      <c r="C172" s="464" t="s">
        <v>932</v>
      </c>
      <c r="D172" s="464" t="s">
        <v>986</v>
      </c>
      <c r="E172" s="464" t="s">
        <v>1085</v>
      </c>
      <c r="F172" s="464" t="s">
        <v>1087</v>
      </c>
      <c r="G172" s="468">
        <v>14</v>
      </c>
      <c r="H172" s="468">
        <v>5444.45</v>
      </c>
      <c r="I172" s="464">
        <v>0.82352914483476314</v>
      </c>
      <c r="J172" s="464">
        <v>388.88928571428568</v>
      </c>
      <c r="K172" s="468">
        <v>17</v>
      </c>
      <c r="L172" s="468">
        <v>6611.1200000000008</v>
      </c>
      <c r="M172" s="464">
        <v>1</v>
      </c>
      <c r="N172" s="464">
        <v>388.88941176470593</v>
      </c>
      <c r="O172" s="468">
        <v>6</v>
      </c>
      <c r="P172" s="468">
        <v>2333.33</v>
      </c>
      <c r="Q172" s="491">
        <v>0.35294019772746521</v>
      </c>
      <c r="R172" s="469">
        <v>388.88833333333332</v>
      </c>
    </row>
    <row r="173" spans="1:18" ht="14.4" customHeight="1" x14ac:dyDescent="0.3">
      <c r="A173" s="463"/>
      <c r="B173" s="464" t="s">
        <v>938</v>
      </c>
      <c r="C173" s="464" t="s">
        <v>932</v>
      </c>
      <c r="D173" s="464" t="s">
        <v>986</v>
      </c>
      <c r="E173" s="464" t="s">
        <v>1002</v>
      </c>
      <c r="F173" s="464" t="s">
        <v>1003</v>
      </c>
      <c r="G173" s="468">
        <v>14</v>
      </c>
      <c r="H173" s="468">
        <v>4200</v>
      </c>
      <c r="I173" s="464">
        <v>0.2413793103448276</v>
      </c>
      <c r="J173" s="464">
        <v>300</v>
      </c>
      <c r="K173" s="468">
        <v>58</v>
      </c>
      <c r="L173" s="468">
        <v>17400</v>
      </c>
      <c r="M173" s="464">
        <v>1</v>
      </c>
      <c r="N173" s="464">
        <v>300</v>
      </c>
      <c r="O173" s="468">
        <v>40</v>
      </c>
      <c r="P173" s="468">
        <v>12000</v>
      </c>
      <c r="Q173" s="491">
        <v>0.68965517241379315</v>
      </c>
      <c r="R173" s="469">
        <v>300</v>
      </c>
    </row>
    <row r="174" spans="1:18" ht="14.4" customHeight="1" x14ac:dyDescent="0.3">
      <c r="A174" s="463"/>
      <c r="B174" s="464" t="s">
        <v>938</v>
      </c>
      <c r="C174" s="464" t="s">
        <v>932</v>
      </c>
      <c r="D174" s="464" t="s">
        <v>986</v>
      </c>
      <c r="E174" s="464" t="s">
        <v>1002</v>
      </c>
      <c r="F174" s="464" t="s">
        <v>1004</v>
      </c>
      <c r="G174" s="468">
        <v>156</v>
      </c>
      <c r="H174" s="468">
        <v>46800</v>
      </c>
      <c r="I174" s="464">
        <v>1.2380952380952381</v>
      </c>
      <c r="J174" s="464">
        <v>300</v>
      </c>
      <c r="K174" s="468">
        <v>126</v>
      </c>
      <c r="L174" s="468">
        <v>37800</v>
      </c>
      <c r="M174" s="464">
        <v>1</v>
      </c>
      <c r="N174" s="464">
        <v>300</v>
      </c>
      <c r="O174" s="468">
        <v>67</v>
      </c>
      <c r="P174" s="468">
        <v>20100</v>
      </c>
      <c r="Q174" s="491">
        <v>0.53174603174603174</v>
      </c>
      <c r="R174" s="469">
        <v>300</v>
      </c>
    </row>
    <row r="175" spans="1:18" ht="14.4" customHeight="1" x14ac:dyDescent="0.3">
      <c r="A175" s="463"/>
      <c r="B175" s="464" t="s">
        <v>938</v>
      </c>
      <c r="C175" s="464" t="s">
        <v>932</v>
      </c>
      <c r="D175" s="464" t="s">
        <v>986</v>
      </c>
      <c r="E175" s="464" t="s">
        <v>1005</v>
      </c>
      <c r="F175" s="464" t="s">
        <v>1007</v>
      </c>
      <c r="G175" s="468">
        <v>4</v>
      </c>
      <c r="H175" s="468">
        <v>1177.77</v>
      </c>
      <c r="I175" s="464">
        <v>1.3333295597341877</v>
      </c>
      <c r="J175" s="464">
        <v>294.4425</v>
      </c>
      <c r="K175" s="468">
        <v>3</v>
      </c>
      <c r="L175" s="468">
        <v>883.33</v>
      </c>
      <c r="M175" s="464">
        <v>1</v>
      </c>
      <c r="N175" s="464">
        <v>294.44333333333333</v>
      </c>
      <c r="O175" s="468"/>
      <c r="P175" s="468"/>
      <c r="Q175" s="491"/>
      <c r="R175" s="469"/>
    </row>
    <row r="176" spans="1:18" ht="14.4" customHeight="1" x14ac:dyDescent="0.3">
      <c r="A176" s="463"/>
      <c r="B176" s="464" t="s">
        <v>938</v>
      </c>
      <c r="C176" s="464" t="s">
        <v>932</v>
      </c>
      <c r="D176" s="464" t="s">
        <v>986</v>
      </c>
      <c r="E176" s="464" t="s">
        <v>1088</v>
      </c>
      <c r="F176" s="464" t="s">
        <v>1089</v>
      </c>
      <c r="G176" s="468">
        <v>1</v>
      </c>
      <c r="H176" s="468">
        <v>33.33</v>
      </c>
      <c r="I176" s="464"/>
      <c r="J176" s="464">
        <v>33.33</v>
      </c>
      <c r="K176" s="468"/>
      <c r="L176" s="468"/>
      <c r="M176" s="464"/>
      <c r="N176" s="464"/>
      <c r="O176" s="468"/>
      <c r="P176" s="468"/>
      <c r="Q176" s="491"/>
      <c r="R176" s="469"/>
    </row>
    <row r="177" spans="1:18" ht="14.4" customHeight="1" x14ac:dyDescent="0.3">
      <c r="A177" s="463"/>
      <c r="B177" s="464" t="s">
        <v>938</v>
      </c>
      <c r="C177" s="464" t="s">
        <v>932</v>
      </c>
      <c r="D177" s="464" t="s">
        <v>986</v>
      </c>
      <c r="E177" s="464" t="s">
        <v>1088</v>
      </c>
      <c r="F177" s="464" t="s">
        <v>1090</v>
      </c>
      <c r="G177" s="468"/>
      <c r="H177" s="468"/>
      <c r="I177" s="464"/>
      <c r="J177" s="464"/>
      <c r="K177" s="468">
        <v>1</v>
      </c>
      <c r="L177" s="468">
        <v>33.33</v>
      </c>
      <c r="M177" s="464">
        <v>1</v>
      </c>
      <c r="N177" s="464">
        <v>33.33</v>
      </c>
      <c r="O177" s="468">
        <v>5</v>
      </c>
      <c r="P177" s="468">
        <v>166.67000000000002</v>
      </c>
      <c r="Q177" s="491">
        <v>5.0006000600060014</v>
      </c>
      <c r="R177" s="469">
        <v>33.334000000000003</v>
      </c>
    </row>
    <row r="178" spans="1:18" ht="14.4" customHeight="1" x14ac:dyDescent="0.3">
      <c r="A178" s="463"/>
      <c r="B178" s="464" t="s">
        <v>938</v>
      </c>
      <c r="C178" s="464" t="s">
        <v>932</v>
      </c>
      <c r="D178" s="464" t="s">
        <v>986</v>
      </c>
      <c r="E178" s="464" t="s">
        <v>1008</v>
      </c>
      <c r="F178" s="464" t="s">
        <v>990</v>
      </c>
      <c r="G178" s="468">
        <v>20</v>
      </c>
      <c r="H178" s="468">
        <v>7466.67</v>
      </c>
      <c r="I178" s="464">
        <v>0.57652741734106183</v>
      </c>
      <c r="J178" s="464">
        <v>373.33350000000002</v>
      </c>
      <c r="K178" s="468">
        <v>31</v>
      </c>
      <c r="L178" s="468">
        <v>12951.11</v>
      </c>
      <c r="M178" s="464">
        <v>1</v>
      </c>
      <c r="N178" s="464">
        <v>417.7777419354839</v>
      </c>
      <c r="O178" s="468">
        <v>44</v>
      </c>
      <c r="P178" s="468">
        <v>18382.22</v>
      </c>
      <c r="Q178" s="491">
        <v>1.4193547888945426</v>
      </c>
      <c r="R178" s="469">
        <v>417.7777272727273</v>
      </c>
    </row>
    <row r="179" spans="1:18" ht="14.4" customHeight="1" x14ac:dyDescent="0.3">
      <c r="A179" s="463"/>
      <c r="B179" s="464" t="s">
        <v>938</v>
      </c>
      <c r="C179" s="464" t="s">
        <v>932</v>
      </c>
      <c r="D179" s="464" t="s">
        <v>986</v>
      </c>
      <c r="E179" s="464" t="s">
        <v>1008</v>
      </c>
      <c r="F179" s="464" t="s">
        <v>991</v>
      </c>
      <c r="G179" s="468">
        <v>218</v>
      </c>
      <c r="H179" s="468">
        <v>81386.67</v>
      </c>
      <c r="I179" s="464">
        <v>0.95494368136171459</v>
      </c>
      <c r="J179" s="464">
        <v>373.33334862385323</v>
      </c>
      <c r="K179" s="468">
        <v>204</v>
      </c>
      <c r="L179" s="468">
        <v>85226.67</v>
      </c>
      <c r="M179" s="464">
        <v>1</v>
      </c>
      <c r="N179" s="464">
        <v>417.77779411764703</v>
      </c>
      <c r="O179" s="468">
        <v>210</v>
      </c>
      <c r="P179" s="468">
        <v>87733.33</v>
      </c>
      <c r="Q179" s="491">
        <v>1.0294116853327719</v>
      </c>
      <c r="R179" s="469">
        <v>417.77776190476192</v>
      </c>
    </row>
    <row r="180" spans="1:18" ht="14.4" customHeight="1" x14ac:dyDescent="0.3">
      <c r="A180" s="463"/>
      <c r="B180" s="464" t="s">
        <v>938</v>
      </c>
      <c r="C180" s="464" t="s">
        <v>932</v>
      </c>
      <c r="D180" s="464" t="s">
        <v>986</v>
      </c>
      <c r="E180" s="464" t="s">
        <v>1009</v>
      </c>
      <c r="F180" s="464" t="s">
        <v>1010</v>
      </c>
      <c r="G180" s="468">
        <v>8</v>
      </c>
      <c r="H180" s="468">
        <v>1688.89</v>
      </c>
      <c r="I180" s="464">
        <v>0.38095377730459345</v>
      </c>
      <c r="J180" s="464">
        <v>211.11125000000001</v>
      </c>
      <c r="K180" s="468">
        <v>21</v>
      </c>
      <c r="L180" s="468">
        <v>4433.32</v>
      </c>
      <c r="M180" s="464">
        <v>1</v>
      </c>
      <c r="N180" s="464">
        <v>211.11047619047616</v>
      </c>
      <c r="O180" s="468">
        <v>20</v>
      </c>
      <c r="P180" s="468">
        <v>4222.2299999999996</v>
      </c>
      <c r="Q180" s="491">
        <v>0.95238557108442423</v>
      </c>
      <c r="R180" s="469">
        <v>211.11149999999998</v>
      </c>
    </row>
    <row r="181" spans="1:18" ht="14.4" customHeight="1" x14ac:dyDescent="0.3">
      <c r="A181" s="463"/>
      <c r="B181" s="464" t="s">
        <v>938</v>
      </c>
      <c r="C181" s="464" t="s">
        <v>932</v>
      </c>
      <c r="D181" s="464" t="s">
        <v>986</v>
      </c>
      <c r="E181" s="464" t="s">
        <v>1009</v>
      </c>
      <c r="F181" s="464" t="s">
        <v>1011</v>
      </c>
      <c r="G181" s="468">
        <v>7</v>
      </c>
      <c r="H181" s="468">
        <v>1477.77</v>
      </c>
      <c r="I181" s="464">
        <v>6.9999999999999991</v>
      </c>
      <c r="J181" s="464">
        <v>211.10999999999999</v>
      </c>
      <c r="K181" s="468">
        <v>1</v>
      </c>
      <c r="L181" s="468">
        <v>211.11</v>
      </c>
      <c r="M181" s="464">
        <v>1</v>
      </c>
      <c r="N181" s="464">
        <v>211.11</v>
      </c>
      <c r="O181" s="468">
        <v>7</v>
      </c>
      <c r="P181" s="468">
        <v>1477.78</v>
      </c>
      <c r="Q181" s="491">
        <v>7.0000473686703613</v>
      </c>
      <c r="R181" s="469">
        <v>211.11142857142858</v>
      </c>
    </row>
    <row r="182" spans="1:18" ht="14.4" customHeight="1" x14ac:dyDescent="0.3">
      <c r="A182" s="463"/>
      <c r="B182" s="464" t="s">
        <v>938</v>
      </c>
      <c r="C182" s="464" t="s">
        <v>932</v>
      </c>
      <c r="D182" s="464" t="s">
        <v>986</v>
      </c>
      <c r="E182" s="464" t="s">
        <v>1012</v>
      </c>
      <c r="F182" s="464" t="s">
        <v>1013</v>
      </c>
      <c r="G182" s="468">
        <v>6</v>
      </c>
      <c r="H182" s="468">
        <v>3500</v>
      </c>
      <c r="I182" s="464">
        <v>0.599999314286498</v>
      </c>
      <c r="J182" s="464">
        <v>583.33333333333337</v>
      </c>
      <c r="K182" s="468">
        <v>10</v>
      </c>
      <c r="L182" s="468">
        <v>5833.34</v>
      </c>
      <c r="M182" s="464">
        <v>1</v>
      </c>
      <c r="N182" s="464">
        <v>583.33400000000006</v>
      </c>
      <c r="O182" s="468">
        <v>9</v>
      </c>
      <c r="P182" s="468">
        <v>5249.99</v>
      </c>
      <c r="Q182" s="491">
        <v>0.89999725714599177</v>
      </c>
      <c r="R182" s="469">
        <v>583.33222222222219</v>
      </c>
    </row>
    <row r="183" spans="1:18" ht="14.4" customHeight="1" x14ac:dyDescent="0.3">
      <c r="A183" s="463"/>
      <c r="B183" s="464" t="s">
        <v>938</v>
      </c>
      <c r="C183" s="464" t="s">
        <v>932</v>
      </c>
      <c r="D183" s="464" t="s">
        <v>986</v>
      </c>
      <c r="E183" s="464" t="s">
        <v>1014</v>
      </c>
      <c r="F183" s="464" t="s">
        <v>1015</v>
      </c>
      <c r="G183" s="468">
        <v>5</v>
      </c>
      <c r="H183" s="468">
        <v>2333.34</v>
      </c>
      <c r="I183" s="464">
        <v>2.4999892857908157</v>
      </c>
      <c r="J183" s="464">
        <v>466.66800000000001</v>
      </c>
      <c r="K183" s="468">
        <v>2</v>
      </c>
      <c r="L183" s="468">
        <v>933.34</v>
      </c>
      <c r="M183" s="464">
        <v>1</v>
      </c>
      <c r="N183" s="464">
        <v>466.67</v>
      </c>
      <c r="O183" s="468">
        <v>2</v>
      </c>
      <c r="P183" s="468">
        <v>933.34</v>
      </c>
      <c r="Q183" s="491">
        <v>1</v>
      </c>
      <c r="R183" s="469">
        <v>466.67</v>
      </c>
    </row>
    <row r="184" spans="1:18" ht="14.4" customHeight="1" x14ac:dyDescent="0.3">
      <c r="A184" s="463"/>
      <c r="B184" s="464" t="s">
        <v>938</v>
      </c>
      <c r="C184" s="464" t="s">
        <v>932</v>
      </c>
      <c r="D184" s="464" t="s">
        <v>986</v>
      </c>
      <c r="E184" s="464" t="s">
        <v>1014</v>
      </c>
      <c r="F184" s="464" t="s">
        <v>1016</v>
      </c>
      <c r="G184" s="468">
        <v>5</v>
      </c>
      <c r="H184" s="468">
        <v>2333.34</v>
      </c>
      <c r="I184" s="464">
        <v>1.6666714285714286</v>
      </c>
      <c r="J184" s="464">
        <v>466.66800000000001</v>
      </c>
      <c r="K184" s="468">
        <v>3</v>
      </c>
      <c r="L184" s="468">
        <v>1400</v>
      </c>
      <c r="M184" s="464">
        <v>1</v>
      </c>
      <c r="N184" s="464">
        <v>466.66666666666669</v>
      </c>
      <c r="O184" s="468">
        <v>4</v>
      </c>
      <c r="P184" s="468">
        <v>1866.66</v>
      </c>
      <c r="Q184" s="491">
        <v>1.3333285714285714</v>
      </c>
      <c r="R184" s="469">
        <v>466.66500000000002</v>
      </c>
    </row>
    <row r="185" spans="1:18" ht="14.4" customHeight="1" x14ac:dyDescent="0.3">
      <c r="A185" s="463"/>
      <c r="B185" s="464" t="s">
        <v>938</v>
      </c>
      <c r="C185" s="464" t="s">
        <v>932</v>
      </c>
      <c r="D185" s="464" t="s">
        <v>986</v>
      </c>
      <c r="E185" s="464" t="s">
        <v>1091</v>
      </c>
      <c r="F185" s="464" t="s">
        <v>1015</v>
      </c>
      <c r="G185" s="468"/>
      <c r="H185" s="468"/>
      <c r="I185" s="464"/>
      <c r="J185" s="464"/>
      <c r="K185" s="468"/>
      <c r="L185" s="468"/>
      <c r="M185" s="464"/>
      <c r="N185" s="464"/>
      <c r="O185" s="468">
        <v>2</v>
      </c>
      <c r="P185" s="468">
        <v>2000</v>
      </c>
      <c r="Q185" s="491"/>
      <c r="R185" s="469">
        <v>1000</v>
      </c>
    </row>
    <row r="186" spans="1:18" ht="14.4" customHeight="1" x14ac:dyDescent="0.3">
      <c r="A186" s="463"/>
      <c r="B186" s="464" t="s">
        <v>938</v>
      </c>
      <c r="C186" s="464" t="s">
        <v>932</v>
      </c>
      <c r="D186" s="464" t="s">
        <v>986</v>
      </c>
      <c r="E186" s="464" t="s">
        <v>1091</v>
      </c>
      <c r="F186" s="464" t="s">
        <v>1016</v>
      </c>
      <c r="G186" s="468">
        <v>1</v>
      </c>
      <c r="H186" s="468">
        <v>1000</v>
      </c>
      <c r="I186" s="464"/>
      <c r="J186" s="464">
        <v>1000</v>
      </c>
      <c r="K186" s="468"/>
      <c r="L186" s="468"/>
      <c r="M186" s="464"/>
      <c r="N186" s="464"/>
      <c r="O186" s="468"/>
      <c r="P186" s="468"/>
      <c r="Q186" s="491"/>
      <c r="R186" s="469"/>
    </row>
    <row r="187" spans="1:18" ht="14.4" customHeight="1" x14ac:dyDescent="0.3">
      <c r="A187" s="463"/>
      <c r="B187" s="464" t="s">
        <v>938</v>
      </c>
      <c r="C187" s="464" t="s">
        <v>932</v>
      </c>
      <c r="D187" s="464" t="s">
        <v>986</v>
      </c>
      <c r="E187" s="464" t="s">
        <v>1017</v>
      </c>
      <c r="F187" s="464" t="s">
        <v>1018</v>
      </c>
      <c r="G187" s="468">
        <v>14</v>
      </c>
      <c r="H187" s="468">
        <v>700</v>
      </c>
      <c r="I187" s="464">
        <v>0.82352941176470584</v>
      </c>
      <c r="J187" s="464">
        <v>50</v>
      </c>
      <c r="K187" s="468">
        <v>17</v>
      </c>
      <c r="L187" s="468">
        <v>850</v>
      </c>
      <c r="M187" s="464">
        <v>1</v>
      </c>
      <c r="N187" s="464">
        <v>50</v>
      </c>
      <c r="O187" s="468">
        <v>23</v>
      </c>
      <c r="P187" s="468">
        <v>1150</v>
      </c>
      <c r="Q187" s="491">
        <v>1.3529411764705883</v>
      </c>
      <c r="R187" s="469">
        <v>50</v>
      </c>
    </row>
    <row r="188" spans="1:18" ht="14.4" customHeight="1" x14ac:dyDescent="0.3">
      <c r="A188" s="463"/>
      <c r="B188" s="464" t="s">
        <v>938</v>
      </c>
      <c r="C188" s="464" t="s">
        <v>932</v>
      </c>
      <c r="D188" s="464" t="s">
        <v>986</v>
      </c>
      <c r="E188" s="464" t="s">
        <v>1017</v>
      </c>
      <c r="F188" s="464" t="s">
        <v>1019</v>
      </c>
      <c r="G188" s="468">
        <v>26</v>
      </c>
      <c r="H188" s="468">
        <v>1300</v>
      </c>
      <c r="I188" s="464">
        <v>0.8666666666666667</v>
      </c>
      <c r="J188" s="464">
        <v>50</v>
      </c>
      <c r="K188" s="468">
        <v>30</v>
      </c>
      <c r="L188" s="468">
        <v>1500</v>
      </c>
      <c r="M188" s="464">
        <v>1</v>
      </c>
      <c r="N188" s="464">
        <v>50</v>
      </c>
      <c r="O188" s="468">
        <v>33</v>
      </c>
      <c r="P188" s="468">
        <v>1650</v>
      </c>
      <c r="Q188" s="491">
        <v>1.1000000000000001</v>
      </c>
      <c r="R188" s="469">
        <v>50</v>
      </c>
    </row>
    <row r="189" spans="1:18" ht="14.4" customHeight="1" x14ac:dyDescent="0.3">
      <c r="A189" s="463"/>
      <c r="B189" s="464" t="s">
        <v>938</v>
      </c>
      <c r="C189" s="464" t="s">
        <v>932</v>
      </c>
      <c r="D189" s="464" t="s">
        <v>986</v>
      </c>
      <c r="E189" s="464" t="s">
        <v>1026</v>
      </c>
      <c r="F189" s="464" t="s">
        <v>1028</v>
      </c>
      <c r="G189" s="468"/>
      <c r="H189" s="468"/>
      <c r="I189" s="464"/>
      <c r="J189" s="464"/>
      <c r="K189" s="468">
        <v>2</v>
      </c>
      <c r="L189" s="468">
        <v>0</v>
      </c>
      <c r="M189" s="464"/>
      <c r="N189" s="464">
        <v>0</v>
      </c>
      <c r="O189" s="468">
        <v>3</v>
      </c>
      <c r="P189" s="468">
        <v>0</v>
      </c>
      <c r="Q189" s="491"/>
      <c r="R189" s="469">
        <v>0</v>
      </c>
    </row>
    <row r="190" spans="1:18" ht="14.4" customHeight="1" x14ac:dyDescent="0.3">
      <c r="A190" s="463"/>
      <c r="B190" s="464" t="s">
        <v>938</v>
      </c>
      <c r="C190" s="464" t="s">
        <v>932</v>
      </c>
      <c r="D190" s="464" t="s">
        <v>986</v>
      </c>
      <c r="E190" s="464" t="s">
        <v>1029</v>
      </c>
      <c r="F190" s="464" t="s">
        <v>1030</v>
      </c>
      <c r="G190" s="468">
        <v>85</v>
      </c>
      <c r="H190" s="468">
        <v>25972.21</v>
      </c>
      <c r="I190" s="464">
        <v>0.67999975912724475</v>
      </c>
      <c r="J190" s="464">
        <v>305.55541176470587</v>
      </c>
      <c r="K190" s="468">
        <v>125</v>
      </c>
      <c r="L190" s="468">
        <v>38194.439999999995</v>
      </c>
      <c r="M190" s="464">
        <v>1</v>
      </c>
      <c r="N190" s="464">
        <v>305.55551999999994</v>
      </c>
      <c r="O190" s="468">
        <v>122</v>
      </c>
      <c r="P190" s="468">
        <v>37277.769999999997</v>
      </c>
      <c r="Q190" s="491">
        <v>0.975999909934535</v>
      </c>
      <c r="R190" s="469">
        <v>305.55549180327864</v>
      </c>
    </row>
    <row r="191" spans="1:18" ht="14.4" customHeight="1" x14ac:dyDescent="0.3">
      <c r="A191" s="463"/>
      <c r="B191" s="464" t="s">
        <v>938</v>
      </c>
      <c r="C191" s="464" t="s">
        <v>932</v>
      </c>
      <c r="D191" s="464" t="s">
        <v>986</v>
      </c>
      <c r="E191" s="464" t="s">
        <v>1029</v>
      </c>
      <c r="F191" s="464" t="s">
        <v>1031</v>
      </c>
      <c r="G191" s="468">
        <v>6</v>
      </c>
      <c r="H191" s="468">
        <v>1833.33</v>
      </c>
      <c r="I191" s="464">
        <v>1.199996072732985</v>
      </c>
      <c r="J191" s="464">
        <v>305.55500000000001</v>
      </c>
      <c r="K191" s="468">
        <v>5</v>
      </c>
      <c r="L191" s="468">
        <v>1527.78</v>
      </c>
      <c r="M191" s="464">
        <v>1</v>
      </c>
      <c r="N191" s="464">
        <v>305.55599999999998</v>
      </c>
      <c r="O191" s="468"/>
      <c r="P191" s="468"/>
      <c r="Q191" s="491"/>
      <c r="R191" s="469"/>
    </row>
    <row r="192" spans="1:18" ht="14.4" customHeight="1" x14ac:dyDescent="0.3">
      <c r="A192" s="463"/>
      <c r="B192" s="464" t="s">
        <v>938</v>
      </c>
      <c r="C192" s="464" t="s">
        <v>932</v>
      </c>
      <c r="D192" s="464" t="s">
        <v>986</v>
      </c>
      <c r="E192" s="464" t="s">
        <v>1032</v>
      </c>
      <c r="F192" s="464" t="s">
        <v>1033</v>
      </c>
      <c r="G192" s="468">
        <v>7</v>
      </c>
      <c r="H192" s="468">
        <v>233.33</v>
      </c>
      <c r="I192" s="464">
        <v>0.58332499999999998</v>
      </c>
      <c r="J192" s="464">
        <v>33.332857142857144</v>
      </c>
      <c r="K192" s="468">
        <v>12</v>
      </c>
      <c r="L192" s="468">
        <v>400</v>
      </c>
      <c r="M192" s="464">
        <v>1</v>
      </c>
      <c r="N192" s="464">
        <v>33.333333333333336</v>
      </c>
      <c r="O192" s="468">
        <v>8</v>
      </c>
      <c r="P192" s="468">
        <v>266.66999999999996</v>
      </c>
      <c r="Q192" s="491">
        <v>0.66667499999999991</v>
      </c>
      <c r="R192" s="469">
        <v>33.333749999999995</v>
      </c>
    </row>
    <row r="193" spans="1:18" ht="14.4" customHeight="1" x14ac:dyDescent="0.3">
      <c r="A193" s="463"/>
      <c r="B193" s="464" t="s">
        <v>938</v>
      </c>
      <c r="C193" s="464" t="s">
        <v>932</v>
      </c>
      <c r="D193" s="464" t="s">
        <v>986</v>
      </c>
      <c r="E193" s="464" t="s">
        <v>1032</v>
      </c>
      <c r="F193" s="464" t="s">
        <v>1034</v>
      </c>
      <c r="G193" s="468">
        <v>5</v>
      </c>
      <c r="H193" s="468">
        <v>166.67000000000002</v>
      </c>
      <c r="I193" s="464">
        <v>0.41667500000000002</v>
      </c>
      <c r="J193" s="464">
        <v>33.334000000000003</v>
      </c>
      <c r="K193" s="468">
        <v>12</v>
      </c>
      <c r="L193" s="468">
        <v>400</v>
      </c>
      <c r="M193" s="464">
        <v>1</v>
      </c>
      <c r="N193" s="464">
        <v>33.333333333333336</v>
      </c>
      <c r="O193" s="468">
        <v>23</v>
      </c>
      <c r="P193" s="468">
        <v>766.67000000000007</v>
      </c>
      <c r="Q193" s="491">
        <v>1.9166750000000001</v>
      </c>
      <c r="R193" s="469">
        <v>33.333478260869569</v>
      </c>
    </row>
    <row r="194" spans="1:18" ht="14.4" customHeight="1" x14ac:dyDescent="0.3">
      <c r="A194" s="463"/>
      <c r="B194" s="464" t="s">
        <v>938</v>
      </c>
      <c r="C194" s="464" t="s">
        <v>932</v>
      </c>
      <c r="D194" s="464" t="s">
        <v>986</v>
      </c>
      <c r="E194" s="464" t="s">
        <v>1035</v>
      </c>
      <c r="F194" s="464" t="s">
        <v>1036</v>
      </c>
      <c r="G194" s="468">
        <v>113</v>
      </c>
      <c r="H194" s="468">
        <v>51477.78</v>
      </c>
      <c r="I194" s="464">
        <v>0.86259556950603211</v>
      </c>
      <c r="J194" s="464">
        <v>455.55557522123894</v>
      </c>
      <c r="K194" s="468">
        <v>131</v>
      </c>
      <c r="L194" s="468">
        <v>59677.770000000004</v>
      </c>
      <c r="M194" s="464">
        <v>1</v>
      </c>
      <c r="N194" s="464">
        <v>455.55549618320612</v>
      </c>
      <c r="O194" s="468">
        <v>153</v>
      </c>
      <c r="P194" s="468">
        <v>69700</v>
      </c>
      <c r="Q194" s="491">
        <v>1.1679390835146821</v>
      </c>
      <c r="R194" s="469">
        <v>455.55555555555554</v>
      </c>
    </row>
    <row r="195" spans="1:18" ht="14.4" customHeight="1" x14ac:dyDescent="0.3">
      <c r="A195" s="463"/>
      <c r="B195" s="464" t="s">
        <v>938</v>
      </c>
      <c r="C195" s="464" t="s">
        <v>932</v>
      </c>
      <c r="D195" s="464" t="s">
        <v>986</v>
      </c>
      <c r="E195" s="464" t="s">
        <v>1035</v>
      </c>
      <c r="F195" s="464" t="s">
        <v>1037</v>
      </c>
      <c r="G195" s="468">
        <v>159</v>
      </c>
      <c r="H195" s="468">
        <v>72433.34</v>
      </c>
      <c r="I195" s="464">
        <v>0.70982145525797824</v>
      </c>
      <c r="J195" s="464">
        <v>455.55559748427669</v>
      </c>
      <c r="K195" s="468">
        <v>224</v>
      </c>
      <c r="L195" s="468">
        <v>102044.45</v>
      </c>
      <c r="M195" s="464">
        <v>1</v>
      </c>
      <c r="N195" s="464">
        <v>455.55558035714284</v>
      </c>
      <c r="O195" s="468">
        <v>192</v>
      </c>
      <c r="P195" s="468">
        <v>87466.67</v>
      </c>
      <c r="Q195" s="491">
        <v>0.85714284314335565</v>
      </c>
      <c r="R195" s="469">
        <v>455.55557291666668</v>
      </c>
    </row>
    <row r="196" spans="1:18" ht="14.4" customHeight="1" x14ac:dyDescent="0.3">
      <c r="A196" s="463"/>
      <c r="B196" s="464" t="s">
        <v>938</v>
      </c>
      <c r="C196" s="464" t="s">
        <v>932</v>
      </c>
      <c r="D196" s="464" t="s">
        <v>986</v>
      </c>
      <c r="E196" s="464" t="s">
        <v>1038</v>
      </c>
      <c r="F196" s="464" t="s">
        <v>1039</v>
      </c>
      <c r="G196" s="468">
        <v>119</v>
      </c>
      <c r="H196" s="468">
        <v>9255.56</v>
      </c>
      <c r="I196" s="464">
        <v>0.74375002511159594</v>
      </c>
      <c r="J196" s="464">
        <v>77.777815126050413</v>
      </c>
      <c r="K196" s="468">
        <v>160</v>
      </c>
      <c r="L196" s="468">
        <v>12444.449999999999</v>
      </c>
      <c r="M196" s="464">
        <v>1</v>
      </c>
      <c r="N196" s="464">
        <v>77.777812499999996</v>
      </c>
      <c r="O196" s="468">
        <v>169</v>
      </c>
      <c r="P196" s="468">
        <v>13144.45</v>
      </c>
      <c r="Q196" s="491">
        <v>1.0562499748884042</v>
      </c>
      <c r="R196" s="469">
        <v>77.777810650887574</v>
      </c>
    </row>
    <row r="197" spans="1:18" ht="14.4" customHeight="1" x14ac:dyDescent="0.3">
      <c r="A197" s="463"/>
      <c r="B197" s="464" t="s">
        <v>938</v>
      </c>
      <c r="C197" s="464" t="s">
        <v>932</v>
      </c>
      <c r="D197" s="464" t="s">
        <v>986</v>
      </c>
      <c r="E197" s="464" t="s">
        <v>1092</v>
      </c>
      <c r="F197" s="464" t="s">
        <v>1093</v>
      </c>
      <c r="G197" s="468">
        <v>5</v>
      </c>
      <c r="H197" s="468">
        <v>3500</v>
      </c>
      <c r="I197" s="464">
        <v>0.625</v>
      </c>
      <c r="J197" s="464">
        <v>700</v>
      </c>
      <c r="K197" s="468">
        <v>8</v>
      </c>
      <c r="L197" s="468">
        <v>5600</v>
      </c>
      <c r="M197" s="464">
        <v>1</v>
      </c>
      <c r="N197" s="464">
        <v>700</v>
      </c>
      <c r="O197" s="468">
        <v>13</v>
      </c>
      <c r="P197" s="468">
        <v>9100</v>
      </c>
      <c r="Q197" s="491">
        <v>1.625</v>
      </c>
      <c r="R197" s="469">
        <v>700</v>
      </c>
    </row>
    <row r="198" spans="1:18" ht="14.4" customHeight="1" x14ac:dyDescent="0.3">
      <c r="A198" s="463"/>
      <c r="B198" s="464" t="s">
        <v>938</v>
      </c>
      <c r="C198" s="464" t="s">
        <v>932</v>
      </c>
      <c r="D198" s="464" t="s">
        <v>986</v>
      </c>
      <c r="E198" s="464" t="s">
        <v>1092</v>
      </c>
      <c r="F198" s="464" t="s">
        <v>1094</v>
      </c>
      <c r="G198" s="468">
        <v>14</v>
      </c>
      <c r="H198" s="468">
        <v>9800</v>
      </c>
      <c r="I198" s="464">
        <v>1.1666666666666667</v>
      </c>
      <c r="J198" s="464">
        <v>700</v>
      </c>
      <c r="K198" s="468">
        <v>12</v>
      </c>
      <c r="L198" s="468">
        <v>8400</v>
      </c>
      <c r="M198" s="464">
        <v>1</v>
      </c>
      <c r="N198" s="464">
        <v>700</v>
      </c>
      <c r="O198" s="468">
        <v>7</v>
      </c>
      <c r="P198" s="468">
        <v>4900</v>
      </c>
      <c r="Q198" s="491">
        <v>0.58333333333333337</v>
      </c>
      <c r="R198" s="469">
        <v>700</v>
      </c>
    </row>
    <row r="199" spans="1:18" ht="14.4" customHeight="1" x14ac:dyDescent="0.3">
      <c r="A199" s="463"/>
      <c r="B199" s="464" t="s">
        <v>938</v>
      </c>
      <c r="C199" s="464" t="s">
        <v>932</v>
      </c>
      <c r="D199" s="464" t="s">
        <v>986</v>
      </c>
      <c r="E199" s="464" t="s">
        <v>1043</v>
      </c>
      <c r="F199" s="464" t="s">
        <v>1044</v>
      </c>
      <c r="G199" s="468">
        <v>33</v>
      </c>
      <c r="H199" s="468">
        <v>3116.6499999999996</v>
      </c>
      <c r="I199" s="464">
        <v>0.39285520708201982</v>
      </c>
      <c r="J199" s="464">
        <v>94.443939393939388</v>
      </c>
      <c r="K199" s="468">
        <v>84</v>
      </c>
      <c r="L199" s="468">
        <v>7933.3299999999981</v>
      </c>
      <c r="M199" s="464">
        <v>1</v>
      </c>
      <c r="N199" s="464">
        <v>94.444404761904735</v>
      </c>
      <c r="O199" s="468">
        <v>90</v>
      </c>
      <c r="P199" s="468">
        <v>8499.9999999999982</v>
      </c>
      <c r="Q199" s="491">
        <v>1.0714290216088327</v>
      </c>
      <c r="R199" s="469">
        <v>94.444444444444429</v>
      </c>
    </row>
    <row r="200" spans="1:18" ht="14.4" customHeight="1" x14ac:dyDescent="0.3">
      <c r="A200" s="463"/>
      <c r="B200" s="464" t="s">
        <v>938</v>
      </c>
      <c r="C200" s="464" t="s">
        <v>932</v>
      </c>
      <c r="D200" s="464" t="s">
        <v>986</v>
      </c>
      <c r="E200" s="464" t="s">
        <v>1043</v>
      </c>
      <c r="F200" s="464" t="s">
        <v>1045</v>
      </c>
      <c r="G200" s="468">
        <v>132</v>
      </c>
      <c r="H200" s="468">
        <v>12466.67</v>
      </c>
      <c r="I200" s="464">
        <v>0.89795963936605994</v>
      </c>
      <c r="J200" s="464">
        <v>94.444469696969691</v>
      </c>
      <c r="K200" s="468">
        <v>147</v>
      </c>
      <c r="L200" s="468">
        <v>13883.33</v>
      </c>
      <c r="M200" s="464">
        <v>1</v>
      </c>
      <c r="N200" s="464">
        <v>94.444421768707485</v>
      </c>
      <c r="O200" s="468">
        <v>125</v>
      </c>
      <c r="P200" s="468">
        <v>11805.55</v>
      </c>
      <c r="Q200" s="491">
        <v>0.8503399400576086</v>
      </c>
      <c r="R200" s="469">
        <v>94.444399999999987</v>
      </c>
    </row>
    <row r="201" spans="1:18" ht="14.4" customHeight="1" x14ac:dyDescent="0.3">
      <c r="A201" s="463"/>
      <c r="B201" s="464" t="s">
        <v>938</v>
      </c>
      <c r="C201" s="464" t="s">
        <v>932</v>
      </c>
      <c r="D201" s="464" t="s">
        <v>986</v>
      </c>
      <c r="E201" s="464" t="s">
        <v>1046</v>
      </c>
      <c r="F201" s="464" t="s">
        <v>1047</v>
      </c>
      <c r="G201" s="468">
        <v>1</v>
      </c>
      <c r="H201" s="468">
        <v>43.33</v>
      </c>
      <c r="I201" s="464"/>
      <c r="J201" s="464">
        <v>43.33</v>
      </c>
      <c r="K201" s="468"/>
      <c r="L201" s="468"/>
      <c r="M201" s="464"/>
      <c r="N201" s="464"/>
      <c r="O201" s="468"/>
      <c r="P201" s="468"/>
      <c r="Q201" s="491"/>
      <c r="R201" s="469"/>
    </row>
    <row r="202" spans="1:18" ht="14.4" customHeight="1" x14ac:dyDescent="0.3">
      <c r="A202" s="463"/>
      <c r="B202" s="464" t="s">
        <v>938</v>
      </c>
      <c r="C202" s="464" t="s">
        <v>932</v>
      </c>
      <c r="D202" s="464" t="s">
        <v>986</v>
      </c>
      <c r="E202" s="464" t="s">
        <v>1073</v>
      </c>
      <c r="F202" s="464" t="s">
        <v>1074</v>
      </c>
      <c r="G202" s="468">
        <v>38</v>
      </c>
      <c r="H202" s="468">
        <v>3673.34</v>
      </c>
      <c r="I202" s="464">
        <v>0.56716491653890044</v>
      </c>
      <c r="J202" s="464">
        <v>96.666842105263157</v>
      </c>
      <c r="K202" s="468">
        <v>67</v>
      </c>
      <c r="L202" s="468">
        <v>6476.67</v>
      </c>
      <c r="M202" s="464">
        <v>1</v>
      </c>
      <c r="N202" s="464">
        <v>96.66671641791045</v>
      </c>
      <c r="O202" s="468">
        <v>64</v>
      </c>
      <c r="P202" s="468">
        <v>6186.67</v>
      </c>
      <c r="Q202" s="491">
        <v>0.95522390364184062</v>
      </c>
      <c r="R202" s="469">
        <v>96.666718750000001</v>
      </c>
    </row>
    <row r="203" spans="1:18" ht="14.4" customHeight="1" x14ac:dyDescent="0.3">
      <c r="A203" s="463"/>
      <c r="B203" s="464" t="s">
        <v>938</v>
      </c>
      <c r="C203" s="464" t="s">
        <v>932</v>
      </c>
      <c r="D203" s="464" t="s">
        <v>986</v>
      </c>
      <c r="E203" s="464" t="s">
        <v>1073</v>
      </c>
      <c r="F203" s="464" t="s">
        <v>1095</v>
      </c>
      <c r="G203" s="468">
        <v>126</v>
      </c>
      <c r="H203" s="468">
        <v>12180</v>
      </c>
      <c r="I203" s="464">
        <v>0.78749983028020898</v>
      </c>
      <c r="J203" s="464">
        <v>96.666666666666671</v>
      </c>
      <c r="K203" s="468">
        <v>160</v>
      </c>
      <c r="L203" s="468">
        <v>15466.67</v>
      </c>
      <c r="M203" s="464">
        <v>1</v>
      </c>
      <c r="N203" s="464">
        <v>96.666687499999995</v>
      </c>
      <c r="O203" s="468">
        <v>118</v>
      </c>
      <c r="P203" s="468">
        <v>11406.66</v>
      </c>
      <c r="Q203" s="491">
        <v>0.73749941002167885</v>
      </c>
      <c r="R203" s="469">
        <v>96.66661016949152</v>
      </c>
    </row>
    <row r="204" spans="1:18" ht="14.4" customHeight="1" x14ac:dyDescent="0.3">
      <c r="A204" s="463"/>
      <c r="B204" s="464" t="s">
        <v>938</v>
      </c>
      <c r="C204" s="464" t="s">
        <v>932</v>
      </c>
      <c r="D204" s="464" t="s">
        <v>986</v>
      </c>
      <c r="E204" s="464" t="s">
        <v>1049</v>
      </c>
      <c r="F204" s="464" t="s">
        <v>1050</v>
      </c>
      <c r="G204" s="468">
        <v>32</v>
      </c>
      <c r="H204" s="468">
        <v>6257.79</v>
      </c>
      <c r="I204" s="464">
        <v>0.43243331022983034</v>
      </c>
      <c r="J204" s="464">
        <v>195.5559375</v>
      </c>
      <c r="K204" s="468">
        <v>74</v>
      </c>
      <c r="L204" s="468">
        <v>14471.11</v>
      </c>
      <c r="M204" s="464">
        <v>1</v>
      </c>
      <c r="N204" s="464">
        <v>195.55554054054056</v>
      </c>
      <c r="O204" s="468">
        <v>36</v>
      </c>
      <c r="P204" s="468">
        <v>15599.99</v>
      </c>
      <c r="Q204" s="491">
        <v>1.0780092197488651</v>
      </c>
      <c r="R204" s="469">
        <v>433.33305555555557</v>
      </c>
    </row>
    <row r="205" spans="1:18" ht="14.4" customHeight="1" x14ac:dyDescent="0.3">
      <c r="A205" s="463"/>
      <c r="B205" s="464" t="s">
        <v>938</v>
      </c>
      <c r="C205" s="464" t="s">
        <v>932</v>
      </c>
      <c r="D205" s="464" t="s">
        <v>986</v>
      </c>
      <c r="E205" s="464" t="s">
        <v>1049</v>
      </c>
      <c r="F205" s="464" t="s">
        <v>1051</v>
      </c>
      <c r="G205" s="468">
        <v>187</v>
      </c>
      <c r="H205" s="468">
        <v>36568.89</v>
      </c>
      <c r="I205" s="464">
        <v>1.4384617079074919</v>
      </c>
      <c r="J205" s="464">
        <v>195.55556149732621</v>
      </c>
      <c r="K205" s="468">
        <v>130</v>
      </c>
      <c r="L205" s="468">
        <v>25422.22</v>
      </c>
      <c r="M205" s="464">
        <v>1</v>
      </c>
      <c r="N205" s="464">
        <v>195.55553846153848</v>
      </c>
      <c r="O205" s="468">
        <v>128</v>
      </c>
      <c r="P205" s="468">
        <v>55466.66</v>
      </c>
      <c r="Q205" s="491">
        <v>2.1818181102987859</v>
      </c>
      <c r="R205" s="469">
        <v>433.33328125000003</v>
      </c>
    </row>
    <row r="206" spans="1:18" ht="14.4" customHeight="1" x14ac:dyDescent="0.3">
      <c r="A206" s="463"/>
      <c r="B206" s="464" t="s">
        <v>938</v>
      </c>
      <c r="C206" s="464" t="s">
        <v>932</v>
      </c>
      <c r="D206" s="464" t="s">
        <v>986</v>
      </c>
      <c r="E206" s="464" t="s">
        <v>1075</v>
      </c>
      <c r="F206" s="464" t="s">
        <v>1076</v>
      </c>
      <c r="G206" s="468">
        <v>52</v>
      </c>
      <c r="H206" s="468">
        <v>3928.9</v>
      </c>
      <c r="I206" s="464">
        <v>0.64197817316694961</v>
      </c>
      <c r="J206" s="464">
        <v>75.555769230769229</v>
      </c>
      <c r="K206" s="468">
        <v>81</v>
      </c>
      <c r="L206" s="468">
        <v>6119.99</v>
      </c>
      <c r="M206" s="464">
        <v>1</v>
      </c>
      <c r="N206" s="464">
        <v>75.555432098765436</v>
      </c>
      <c r="O206" s="468">
        <v>85</v>
      </c>
      <c r="P206" s="468">
        <v>6422.22</v>
      </c>
      <c r="Q206" s="491">
        <v>1.0493840676210255</v>
      </c>
      <c r="R206" s="469">
        <v>75.555529411764709</v>
      </c>
    </row>
    <row r="207" spans="1:18" ht="14.4" customHeight="1" x14ac:dyDescent="0.3">
      <c r="A207" s="463"/>
      <c r="B207" s="464" t="s">
        <v>938</v>
      </c>
      <c r="C207" s="464" t="s">
        <v>932</v>
      </c>
      <c r="D207" s="464" t="s">
        <v>986</v>
      </c>
      <c r="E207" s="464" t="s">
        <v>1075</v>
      </c>
      <c r="F207" s="464" t="s">
        <v>1096</v>
      </c>
      <c r="G207" s="468">
        <v>187</v>
      </c>
      <c r="H207" s="468">
        <v>14128.880000000001</v>
      </c>
      <c r="I207" s="464">
        <v>0.94444321895506755</v>
      </c>
      <c r="J207" s="464">
        <v>75.555508021390381</v>
      </c>
      <c r="K207" s="468">
        <v>198</v>
      </c>
      <c r="L207" s="468">
        <v>14960.01</v>
      </c>
      <c r="M207" s="464">
        <v>1</v>
      </c>
      <c r="N207" s="464">
        <v>75.555606060606067</v>
      </c>
      <c r="O207" s="468">
        <v>134</v>
      </c>
      <c r="P207" s="468">
        <v>10124.43</v>
      </c>
      <c r="Q207" s="491">
        <v>0.67676625884608366</v>
      </c>
      <c r="R207" s="469">
        <v>75.555447761194031</v>
      </c>
    </row>
    <row r="208" spans="1:18" ht="14.4" customHeight="1" x14ac:dyDescent="0.3">
      <c r="A208" s="463"/>
      <c r="B208" s="464" t="s">
        <v>938</v>
      </c>
      <c r="C208" s="464" t="s">
        <v>932</v>
      </c>
      <c r="D208" s="464" t="s">
        <v>986</v>
      </c>
      <c r="E208" s="464" t="s">
        <v>1097</v>
      </c>
      <c r="F208" s="464" t="s">
        <v>1098</v>
      </c>
      <c r="G208" s="468">
        <v>14</v>
      </c>
      <c r="H208" s="468">
        <v>17966.669999999998</v>
      </c>
      <c r="I208" s="464">
        <v>0.50000013914658059</v>
      </c>
      <c r="J208" s="464">
        <v>1283.3335714285713</v>
      </c>
      <c r="K208" s="468">
        <v>28</v>
      </c>
      <c r="L208" s="468">
        <v>35933.33</v>
      </c>
      <c r="M208" s="464">
        <v>1</v>
      </c>
      <c r="N208" s="464">
        <v>1283.3332142857143</v>
      </c>
      <c r="O208" s="468">
        <v>30</v>
      </c>
      <c r="P208" s="468">
        <v>38500</v>
      </c>
      <c r="Q208" s="491">
        <v>1.0714286708189862</v>
      </c>
      <c r="R208" s="469">
        <v>1283.3333333333333</v>
      </c>
    </row>
    <row r="209" spans="1:18" ht="14.4" customHeight="1" x14ac:dyDescent="0.3">
      <c r="A209" s="463"/>
      <c r="B209" s="464" t="s">
        <v>938</v>
      </c>
      <c r="C209" s="464" t="s">
        <v>932</v>
      </c>
      <c r="D209" s="464" t="s">
        <v>986</v>
      </c>
      <c r="E209" s="464" t="s">
        <v>1099</v>
      </c>
      <c r="F209" s="464" t="s">
        <v>1100</v>
      </c>
      <c r="G209" s="468"/>
      <c r="H209" s="468"/>
      <c r="I209" s="464"/>
      <c r="J209" s="464"/>
      <c r="K209" s="468"/>
      <c r="L209" s="468"/>
      <c r="M209" s="464"/>
      <c r="N209" s="464"/>
      <c r="O209" s="468">
        <v>1</v>
      </c>
      <c r="P209" s="468">
        <v>466.67</v>
      </c>
      <c r="Q209" s="491"/>
      <c r="R209" s="469">
        <v>466.67</v>
      </c>
    </row>
    <row r="210" spans="1:18" ht="14.4" customHeight="1" x14ac:dyDescent="0.3">
      <c r="A210" s="463"/>
      <c r="B210" s="464" t="s">
        <v>938</v>
      </c>
      <c r="C210" s="464" t="s">
        <v>932</v>
      </c>
      <c r="D210" s="464" t="s">
        <v>986</v>
      </c>
      <c r="E210" s="464" t="s">
        <v>1052</v>
      </c>
      <c r="F210" s="464" t="s">
        <v>1053</v>
      </c>
      <c r="G210" s="468"/>
      <c r="H210" s="468"/>
      <c r="I210" s="464"/>
      <c r="J210" s="464"/>
      <c r="K210" s="468"/>
      <c r="L210" s="468"/>
      <c r="M210" s="464"/>
      <c r="N210" s="464"/>
      <c r="O210" s="468">
        <v>1</v>
      </c>
      <c r="P210" s="468">
        <v>116.67</v>
      </c>
      <c r="Q210" s="491"/>
      <c r="R210" s="469">
        <v>116.67</v>
      </c>
    </row>
    <row r="211" spans="1:18" ht="14.4" customHeight="1" x14ac:dyDescent="0.3">
      <c r="A211" s="463"/>
      <c r="B211" s="464" t="s">
        <v>938</v>
      </c>
      <c r="C211" s="464" t="s">
        <v>932</v>
      </c>
      <c r="D211" s="464" t="s">
        <v>986</v>
      </c>
      <c r="E211" s="464" t="s">
        <v>1052</v>
      </c>
      <c r="F211" s="464" t="s">
        <v>1054</v>
      </c>
      <c r="G211" s="468"/>
      <c r="H211" s="468"/>
      <c r="I211" s="464"/>
      <c r="J211" s="464"/>
      <c r="K211" s="468">
        <v>1</v>
      </c>
      <c r="L211" s="468">
        <v>116.67</v>
      </c>
      <c r="M211" s="464">
        <v>1</v>
      </c>
      <c r="N211" s="464">
        <v>116.67</v>
      </c>
      <c r="O211" s="468"/>
      <c r="P211" s="468"/>
      <c r="Q211" s="491"/>
      <c r="R211" s="469"/>
    </row>
    <row r="212" spans="1:18" ht="14.4" customHeight="1" x14ac:dyDescent="0.3">
      <c r="A212" s="463"/>
      <c r="B212" s="464" t="s">
        <v>938</v>
      </c>
      <c r="C212" s="464" t="s">
        <v>932</v>
      </c>
      <c r="D212" s="464" t="s">
        <v>986</v>
      </c>
      <c r="E212" s="464" t="s">
        <v>1058</v>
      </c>
      <c r="F212" s="464" t="s">
        <v>1101</v>
      </c>
      <c r="G212" s="468"/>
      <c r="H212" s="468"/>
      <c r="I212" s="464"/>
      <c r="J212" s="464"/>
      <c r="K212" s="468"/>
      <c r="L212" s="468"/>
      <c r="M212" s="464"/>
      <c r="N212" s="464"/>
      <c r="O212" s="468">
        <v>2</v>
      </c>
      <c r="P212" s="468">
        <v>688.88</v>
      </c>
      <c r="Q212" s="491"/>
      <c r="R212" s="469">
        <v>344.44</v>
      </c>
    </row>
    <row r="213" spans="1:18" ht="14.4" customHeight="1" x14ac:dyDescent="0.3">
      <c r="A213" s="463"/>
      <c r="B213" s="464" t="s">
        <v>938</v>
      </c>
      <c r="C213" s="464" t="s">
        <v>932</v>
      </c>
      <c r="D213" s="464" t="s">
        <v>986</v>
      </c>
      <c r="E213" s="464" t="s">
        <v>1058</v>
      </c>
      <c r="F213" s="464" t="s">
        <v>1059</v>
      </c>
      <c r="G213" s="468">
        <v>1</v>
      </c>
      <c r="H213" s="468">
        <v>344.44</v>
      </c>
      <c r="I213" s="464"/>
      <c r="J213" s="464">
        <v>344.44</v>
      </c>
      <c r="K213" s="468"/>
      <c r="L213" s="468"/>
      <c r="M213" s="464"/>
      <c r="N213" s="464"/>
      <c r="O213" s="468">
        <v>-1</v>
      </c>
      <c r="P213" s="468">
        <v>-344.44</v>
      </c>
      <c r="Q213" s="491"/>
      <c r="R213" s="469">
        <v>344.44</v>
      </c>
    </row>
    <row r="214" spans="1:18" ht="14.4" customHeight="1" x14ac:dyDescent="0.3">
      <c r="A214" s="463"/>
      <c r="B214" s="464" t="s">
        <v>938</v>
      </c>
      <c r="C214" s="464" t="s">
        <v>932</v>
      </c>
      <c r="D214" s="464" t="s">
        <v>986</v>
      </c>
      <c r="E214" s="464" t="s">
        <v>1102</v>
      </c>
      <c r="F214" s="464" t="s">
        <v>1103</v>
      </c>
      <c r="G214" s="468">
        <v>1</v>
      </c>
      <c r="H214" s="468">
        <v>466.67</v>
      </c>
      <c r="I214" s="464"/>
      <c r="J214" s="464">
        <v>466.67</v>
      </c>
      <c r="K214" s="468"/>
      <c r="L214" s="468"/>
      <c r="M214" s="464"/>
      <c r="N214" s="464"/>
      <c r="O214" s="468"/>
      <c r="P214" s="468"/>
      <c r="Q214" s="491"/>
      <c r="R214" s="469"/>
    </row>
    <row r="215" spans="1:18" ht="14.4" customHeight="1" x14ac:dyDescent="0.3">
      <c r="A215" s="463"/>
      <c r="B215" s="464" t="s">
        <v>938</v>
      </c>
      <c r="C215" s="464" t="s">
        <v>932</v>
      </c>
      <c r="D215" s="464" t="s">
        <v>986</v>
      </c>
      <c r="E215" s="464" t="s">
        <v>1104</v>
      </c>
      <c r="F215" s="464" t="s">
        <v>1105</v>
      </c>
      <c r="G215" s="468"/>
      <c r="H215" s="468"/>
      <c r="I215" s="464"/>
      <c r="J215" s="464"/>
      <c r="K215" s="468"/>
      <c r="L215" s="468"/>
      <c r="M215" s="464"/>
      <c r="N215" s="464"/>
      <c r="O215" s="468">
        <v>12</v>
      </c>
      <c r="P215" s="468">
        <v>1400</v>
      </c>
      <c r="Q215" s="491"/>
      <c r="R215" s="469">
        <v>116.66666666666667</v>
      </c>
    </row>
    <row r="216" spans="1:18" ht="14.4" customHeight="1" x14ac:dyDescent="0.3">
      <c r="A216" s="463"/>
      <c r="B216" s="464" t="s">
        <v>938</v>
      </c>
      <c r="C216" s="464" t="s">
        <v>932</v>
      </c>
      <c r="D216" s="464" t="s">
        <v>986</v>
      </c>
      <c r="E216" s="464" t="s">
        <v>1104</v>
      </c>
      <c r="F216" s="464" t="s">
        <v>1106</v>
      </c>
      <c r="G216" s="468">
        <v>5</v>
      </c>
      <c r="H216" s="468">
        <v>583.34</v>
      </c>
      <c r="I216" s="464"/>
      <c r="J216" s="464">
        <v>116.66800000000001</v>
      </c>
      <c r="K216" s="468"/>
      <c r="L216" s="468"/>
      <c r="M216" s="464"/>
      <c r="N216" s="464"/>
      <c r="O216" s="468">
        <v>96</v>
      </c>
      <c r="P216" s="468">
        <v>11200</v>
      </c>
      <c r="Q216" s="491"/>
      <c r="R216" s="469">
        <v>116.66666666666667</v>
      </c>
    </row>
    <row r="217" spans="1:18" ht="14.4" customHeight="1" x14ac:dyDescent="0.3">
      <c r="A217" s="463"/>
      <c r="B217" s="464" t="s">
        <v>938</v>
      </c>
      <c r="C217" s="464" t="s">
        <v>932</v>
      </c>
      <c r="D217" s="464" t="s">
        <v>986</v>
      </c>
      <c r="E217" s="464" t="s">
        <v>1080</v>
      </c>
      <c r="F217" s="464" t="s">
        <v>1081</v>
      </c>
      <c r="G217" s="468"/>
      <c r="H217" s="468"/>
      <c r="I217" s="464"/>
      <c r="J217" s="464"/>
      <c r="K217" s="468"/>
      <c r="L217" s="468"/>
      <c r="M217" s="464"/>
      <c r="N217" s="464"/>
      <c r="O217" s="468">
        <v>3</v>
      </c>
      <c r="P217" s="468">
        <v>1650</v>
      </c>
      <c r="Q217" s="491"/>
      <c r="R217" s="469">
        <v>550</v>
      </c>
    </row>
    <row r="218" spans="1:18" ht="14.4" customHeight="1" x14ac:dyDescent="0.3">
      <c r="A218" s="463"/>
      <c r="B218" s="464" t="s">
        <v>938</v>
      </c>
      <c r="C218" s="464" t="s">
        <v>932</v>
      </c>
      <c r="D218" s="464" t="s">
        <v>986</v>
      </c>
      <c r="E218" s="464" t="s">
        <v>1080</v>
      </c>
      <c r="F218" s="464" t="s">
        <v>1107</v>
      </c>
      <c r="G218" s="468"/>
      <c r="H218" s="468"/>
      <c r="I218" s="464"/>
      <c r="J218" s="464"/>
      <c r="K218" s="468"/>
      <c r="L218" s="468"/>
      <c r="M218" s="464"/>
      <c r="N218" s="464"/>
      <c r="O218" s="468">
        <v>29</v>
      </c>
      <c r="P218" s="468">
        <v>15950</v>
      </c>
      <c r="Q218" s="491"/>
      <c r="R218" s="469">
        <v>550</v>
      </c>
    </row>
    <row r="219" spans="1:18" ht="14.4" customHeight="1" x14ac:dyDescent="0.3">
      <c r="A219" s="463"/>
      <c r="B219" s="464" t="s">
        <v>938</v>
      </c>
      <c r="C219" s="464" t="s">
        <v>933</v>
      </c>
      <c r="D219" s="464" t="s">
        <v>986</v>
      </c>
      <c r="E219" s="464" t="s">
        <v>992</v>
      </c>
      <c r="F219" s="464" t="s">
        <v>1071</v>
      </c>
      <c r="G219" s="468">
        <v>3</v>
      </c>
      <c r="H219" s="468">
        <v>233.34</v>
      </c>
      <c r="I219" s="464"/>
      <c r="J219" s="464">
        <v>77.78</v>
      </c>
      <c r="K219" s="468"/>
      <c r="L219" s="468"/>
      <c r="M219" s="464"/>
      <c r="N219" s="464"/>
      <c r="O219" s="468">
        <v>7</v>
      </c>
      <c r="P219" s="468">
        <v>544.44000000000005</v>
      </c>
      <c r="Q219" s="491"/>
      <c r="R219" s="469">
        <v>77.777142857142863</v>
      </c>
    </row>
    <row r="220" spans="1:18" ht="14.4" customHeight="1" x14ac:dyDescent="0.3">
      <c r="A220" s="463"/>
      <c r="B220" s="464" t="s">
        <v>938</v>
      </c>
      <c r="C220" s="464" t="s">
        <v>933</v>
      </c>
      <c r="D220" s="464" t="s">
        <v>986</v>
      </c>
      <c r="E220" s="464" t="s">
        <v>992</v>
      </c>
      <c r="F220" s="464" t="s">
        <v>993</v>
      </c>
      <c r="G220" s="468">
        <v>58</v>
      </c>
      <c r="H220" s="468">
        <v>4511.1200000000008</v>
      </c>
      <c r="I220" s="464">
        <v>0.47541071716502153</v>
      </c>
      <c r="J220" s="464">
        <v>77.777931034482776</v>
      </c>
      <c r="K220" s="468">
        <v>122</v>
      </c>
      <c r="L220" s="468">
        <v>9488.89</v>
      </c>
      <c r="M220" s="464">
        <v>1</v>
      </c>
      <c r="N220" s="464">
        <v>77.777786885245902</v>
      </c>
      <c r="O220" s="468">
        <v>184</v>
      </c>
      <c r="P220" s="468">
        <v>14311.12</v>
      </c>
      <c r="Q220" s="491">
        <v>1.5081974814757049</v>
      </c>
      <c r="R220" s="469">
        <v>77.777826086956523</v>
      </c>
    </row>
    <row r="221" spans="1:18" ht="14.4" customHeight="1" x14ac:dyDescent="0.3">
      <c r="A221" s="463"/>
      <c r="B221" s="464" t="s">
        <v>938</v>
      </c>
      <c r="C221" s="464" t="s">
        <v>933</v>
      </c>
      <c r="D221" s="464" t="s">
        <v>986</v>
      </c>
      <c r="E221" s="464" t="s">
        <v>994</v>
      </c>
      <c r="F221" s="464" t="s">
        <v>995</v>
      </c>
      <c r="G221" s="468"/>
      <c r="H221" s="468"/>
      <c r="I221" s="464"/>
      <c r="J221" s="464"/>
      <c r="K221" s="468">
        <v>4</v>
      </c>
      <c r="L221" s="468">
        <v>1000</v>
      </c>
      <c r="M221" s="464">
        <v>1</v>
      </c>
      <c r="N221" s="464">
        <v>250</v>
      </c>
      <c r="O221" s="468">
        <v>3</v>
      </c>
      <c r="P221" s="468">
        <v>750</v>
      </c>
      <c r="Q221" s="491">
        <v>0.75</v>
      </c>
      <c r="R221" s="469">
        <v>250</v>
      </c>
    </row>
    <row r="222" spans="1:18" ht="14.4" customHeight="1" x14ac:dyDescent="0.3">
      <c r="A222" s="463"/>
      <c r="B222" s="464" t="s">
        <v>938</v>
      </c>
      <c r="C222" s="464" t="s">
        <v>933</v>
      </c>
      <c r="D222" s="464" t="s">
        <v>986</v>
      </c>
      <c r="E222" s="464" t="s">
        <v>994</v>
      </c>
      <c r="F222" s="464" t="s">
        <v>996</v>
      </c>
      <c r="G222" s="468">
        <v>1</v>
      </c>
      <c r="H222" s="468">
        <v>250</v>
      </c>
      <c r="I222" s="464"/>
      <c r="J222" s="464">
        <v>250</v>
      </c>
      <c r="K222" s="468"/>
      <c r="L222" s="468"/>
      <c r="M222" s="464"/>
      <c r="N222" s="464"/>
      <c r="O222" s="468">
        <v>4</v>
      </c>
      <c r="P222" s="468">
        <v>1000</v>
      </c>
      <c r="Q222" s="491"/>
      <c r="R222" s="469">
        <v>250</v>
      </c>
    </row>
    <row r="223" spans="1:18" ht="14.4" customHeight="1" x14ac:dyDescent="0.3">
      <c r="A223" s="463"/>
      <c r="B223" s="464" t="s">
        <v>938</v>
      </c>
      <c r="C223" s="464" t="s">
        <v>933</v>
      </c>
      <c r="D223" s="464" t="s">
        <v>986</v>
      </c>
      <c r="E223" s="464" t="s">
        <v>997</v>
      </c>
      <c r="F223" s="464" t="s">
        <v>998</v>
      </c>
      <c r="G223" s="468">
        <v>2</v>
      </c>
      <c r="H223" s="468">
        <v>600</v>
      </c>
      <c r="I223" s="464"/>
      <c r="J223" s="464">
        <v>300</v>
      </c>
      <c r="K223" s="468"/>
      <c r="L223" s="468"/>
      <c r="M223" s="464"/>
      <c r="N223" s="464"/>
      <c r="O223" s="468"/>
      <c r="P223" s="468"/>
      <c r="Q223" s="491"/>
      <c r="R223" s="469"/>
    </row>
    <row r="224" spans="1:18" ht="14.4" customHeight="1" x14ac:dyDescent="0.3">
      <c r="A224" s="463"/>
      <c r="B224" s="464" t="s">
        <v>938</v>
      </c>
      <c r="C224" s="464" t="s">
        <v>933</v>
      </c>
      <c r="D224" s="464" t="s">
        <v>986</v>
      </c>
      <c r="E224" s="464" t="s">
        <v>999</v>
      </c>
      <c r="F224" s="464" t="s">
        <v>1000</v>
      </c>
      <c r="G224" s="468">
        <v>57</v>
      </c>
      <c r="H224" s="468">
        <v>6650</v>
      </c>
      <c r="I224" s="464">
        <v>0.45967731343840706</v>
      </c>
      <c r="J224" s="464">
        <v>116.66666666666667</v>
      </c>
      <c r="K224" s="468">
        <v>124</v>
      </c>
      <c r="L224" s="468">
        <v>14466.67</v>
      </c>
      <c r="M224" s="464">
        <v>1</v>
      </c>
      <c r="N224" s="464">
        <v>116.6666935483871</v>
      </c>
      <c r="O224" s="468">
        <v>81</v>
      </c>
      <c r="P224" s="468">
        <v>9449.99</v>
      </c>
      <c r="Q224" s="491">
        <v>0.65322496469470859</v>
      </c>
      <c r="R224" s="469">
        <v>116.66654320987654</v>
      </c>
    </row>
    <row r="225" spans="1:18" ht="14.4" customHeight="1" x14ac:dyDescent="0.3">
      <c r="A225" s="463"/>
      <c r="B225" s="464" t="s">
        <v>938</v>
      </c>
      <c r="C225" s="464" t="s">
        <v>933</v>
      </c>
      <c r="D225" s="464" t="s">
        <v>986</v>
      </c>
      <c r="E225" s="464" t="s">
        <v>999</v>
      </c>
      <c r="F225" s="464" t="s">
        <v>1001</v>
      </c>
      <c r="G225" s="468">
        <v>1</v>
      </c>
      <c r="H225" s="468">
        <v>116.67</v>
      </c>
      <c r="I225" s="464">
        <v>0.50002142887755541</v>
      </c>
      <c r="J225" s="464">
        <v>116.67</v>
      </c>
      <c r="K225" s="468">
        <v>2</v>
      </c>
      <c r="L225" s="468">
        <v>233.33</v>
      </c>
      <c r="M225" s="464">
        <v>1</v>
      </c>
      <c r="N225" s="464">
        <v>116.66500000000001</v>
      </c>
      <c r="O225" s="468">
        <v>13</v>
      </c>
      <c r="P225" s="468">
        <v>1516.67</v>
      </c>
      <c r="Q225" s="491">
        <v>6.5001071443877771</v>
      </c>
      <c r="R225" s="469">
        <v>116.66692307692308</v>
      </c>
    </row>
    <row r="226" spans="1:18" ht="14.4" customHeight="1" x14ac:dyDescent="0.3">
      <c r="A226" s="463"/>
      <c r="B226" s="464" t="s">
        <v>938</v>
      </c>
      <c r="C226" s="464" t="s">
        <v>933</v>
      </c>
      <c r="D226" s="464" t="s">
        <v>986</v>
      </c>
      <c r="E226" s="464" t="s">
        <v>1002</v>
      </c>
      <c r="F226" s="464" t="s">
        <v>1003</v>
      </c>
      <c r="G226" s="468"/>
      <c r="H226" s="468"/>
      <c r="I226" s="464"/>
      <c r="J226" s="464"/>
      <c r="K226" s="468">
        <v>8</v>
      </c>
      <c r="L226" s="468">
        <v>2400</v>
      </c>
      <c r="M226" s="464">
        <v>1</v>
      </c>
      <c r="N226" s="464">
        <v>300</v>
      </c>
      <c r="O226" s="468">
        <v>3</v>
      </c>
      <c r="P226" s="468">
        <v>900</v>
      </c>
      <c r="Q226" s="491">
        <v>0.375</v>
      </c>
      <c r="R226" s="469">
        <v>300</v>
      </c>
    </row>
    <row r="227" spans="1:18" ht="14.4" customHeight="1" x14ac:dyDescent="0.3">
      <c r="A227" s="463"/>
      <c r="B227" s="464" t="s">
        <v>938</v>
      </c>
      <c r="C227" s="464" t="s">
        <v>933</v>
      </c>
      <c r="D227" s="464" t="s">
        <v>986</v>
      </c>
      <c r="E227" s="464" t="s">
        <v>1002</v>
      </c>
      <c r="F227" s="464" t="s">
        <v>1004</v>
      </c>
      <c r="G227" s="468">
        <v>2</v>
      </c>
      <c r="H227" s="468">
        <v>600</v>
      </c>
      <c r="I227" s="464">
        <v>0.2</v>
      </c>
      <c r="J227" s="464">
        <v>300</v>
      </c>
      <c r="K227" s="468">
        <v>10</v>
      </c>
      <c r="L227" s="468">
        <v>3000</v>
      </c>
      <c r="M227" s="464">
        <v>1</v>
      </c>
      <c r="N227" s="464">
        <v>300</v>
      </c>
      <c r="O227" s="468">
        <v>5</v>
      </c>
      <c r="P227" s="468">
        <v>1500</v>
      </c>
      <c r="Q227" s="491">
        <v>0.5</v>
      </c>
      <c r="R227" s="469">
        <v>300</v>
      </c>
    </row>
    <row r="228" spans="1:18" ht="14.4" customHeight="1" x14ac:dyDescent="0.3">
      <c r="A228" s="463"/>
      <c r="B228" s="464" t="s">
        <v>938</v>
      </c>
      <c r="C228" s="464" t="s">
        <v>933</v>
      </c>
      <c r="D228" s="464" t="s">
        <v>986</v>
      </c>
      <c r="E228" s="464" t="s">
        <v>1005</v>
      </c>
      <c r="F228" s="464" t="s">
        <v>1006</v>
      </c>
      <c r="G228" s="468"/>
      <c r="H228" s="468"/>
      <c r="I228" s="464"/>
      <c r="J228" s="464"/>
      <c r="K228" s="468">
        <v>3</v>
      </c>
      <c r="L228" s="468">
        <v>883.33</v>
      </c>
      <c r="M228" s="464">
        <v>1</v>
      </c>
      <c r="N228" s="464">
        <v>294.44333333333333</v>
      </c>
      <c r="O228" s="468"/>
      <c r="P228" s="468"/>
      <c r="Q228" s="491"/>
      <c r="R228" s="469"/>
    </row>
    <row r="229" spans="1:18" ht="14.4" customHeight="1" x14ac:dyDescent="0.3">
      <c r="A229" s="463"/>
      <c r="B229" s="464" t="s">
        <v>938</v>
      </c>
      <c r="C229" s="464" t="s">
        <v>933</v>
      </c>
      <c r="D229" s="464" t="s">
        <v>986</v>
      </c>
      <c r="E229" s="464" t="s">
        <v>1005</v>
      </c>
      <c r="F229" s="464" t="s">
        <v>1007</v>
      </c>
      <c r="G229" s="468">
        <v>1</v>
      </c>
      <c r="H229" s="468">
        <v>294.44</v>
      </c>
      <c r="I229" s="464"/>
      <c r="J229" s="464">
        <v>294.44</v>
      </c>
      <c r="K229" s="468"/>
      <c r="L229" s="468"/>
      <c r="M229" s="464"/>
      <c r="N229" s="464"/>
      <c r="O229" s="468"/>
      <c r="P229" s="468"/>
      <c r="Q229" s="491"/>
      <c r="R229" s="469"/>
    </row>
    <row r="230" spans="1:18" ht="14.4" customHeight="1" x14ac:dyDescent="0.3">
      <c r="A230" s="463"/>
      <c r="B230" s="464" t="s">
        <v>938</v>
      </c>
      <c r="C230" s="464" t="s">
        <v>933</v>
      </c>
      <c r="D230" s="464" t="s">
        <v>986</v>
      </c>
      <c r="E230" s="464" t="s">
        <v>1108</v>
      </c>
      <c r="F230" s="464" t="s">
        <v>1109</v>
      </c>
      <c r="G230" s="468">
        <v>293</v>
      </c>
      <c r="H230" s="468">
        <v>227888.88</v>
      </c>
      <c r="I230" s="464">
        <v>1.6553672472332808</v>
      </c>
      <c r="J230" s="464">
        <v>777.77774744027306</v>
      </c>
      <c r="K230" s="468">
        <v>177</v>
      </c>
      <c r="L230" s="468">
        <v>137666.66</v>
      </c>
      <c r="M230" s="464">
        <v>1</v>
      </c>
      <c r="N230" s="464">
        <v>777.77774011299437</v>
      </c>
      <c r="O230" s="468">
        <v>67</v>
      </c>
      <c r="P230" s="468">
        <v>52111.11</v>
      </c>
      <c r="Q230" s="491">
        <v>0.37853108370610572</v>
      </c>
      <c r="R230" s="469">
        <v>777.77776119402984</v>
      </c>
    </row>
    <row r="231" spans="1:18" ht="14.4" customHeight="1" x14ac:dyDescent="0.3">
      <c r="A231" s="463"/>
      <c r="B231" s="464" t="s">
        <v>938</v>
      </c>
      <c r="C231" s="464" t="s">
        <v>933</v>
      </c>
      <c r="D231" s="464" t="s">
        <v>986</v>
      </c>
      <c r="E231" s="464" t="s">
        <v>1108</v>
      </c>
      <c r="F231" s="464" t="s">
        <v>1110</v>
      </c>
      <c r="G231" s="468">
        <v>383</v>
      </c>
      <c r="H231" s="468">
        <v>297888.89</v>
      </c>
      <c r="I231" s="464">
        <v>1.6872246334241754</v>
      </c>
      <c r="J231" s="464">
        <v>777.77778067885117</v>
      </c>
      <c r="K231" s="468">
        <v>227</v>
      </c>
      <c r="L231" s="468">
        <v>176555.56</v>
      </c>
      <c r="M231" s="464">
        <v>1</v>
      </c>
      <c r="N231" s="464">
        <v>777.77779735682816</v>
      </c>
      <c r="O231" s="468">
        <v>141</v>
      </c>
      <c r="P231" s="468">
        <v>109666.67</v>
      </c>
      <c r="Q231" s="491">
        <v>0.62114537769300493</v>
      </c>
      <c r="R231" s="469">
        <v>777.77780141843971</v>
      </c>
    </row>
    <row r="232" spans="1:18" ht="14.4" customHeight="1" x14ac:dyDescent="0.3">
      <c r="A232" s="463"/>
      <c r="B232" s="464" t="s">
        <v>938</v>
      </c>
      <c r="C232" s="464" t="s">
        <v>933</v>
      </c>
      <c r="D232" s="464" t="s">
        <v>986</v>
      </c>
      <c r="E232" s="464" t="s">
        <v>1111</v>
      </c>
      <c r="F232" s="464" t="s">
        <v>1112</v>
      </c>
      <c r="G232" s="468">
        <v>136</v>
      </c>
      <c r="H232" s="468">
        <v>12693.33</v>
      </c>
      <c r="I232" s="464">
        <v>0.24862878706858355</v>
      </c>
      <c r="J232" s="464">
        <v>93.333308823529407</v>
      </c>
      <c r="K232" s="468">
        <v>547</v>
      </c>
      <c r="L232" s="468">
        <v>51053.340000000004</v>
      </c>
      <c r="M232" s="464">
        <v>1</v>
      </c>
      <c r="N232" s="464">
        <v>93.333345521023773</v>
      </c>
      <c r="O232" s="468">
        <v>175</v>
      </c>
      <c r="P232" s="468">
        <v>16333.34</v>
      </c>
      <c r="Q232" s="491">
        <v>0.31992696266297171</v>
      </c>
      <c r="R232" s="469">
        <v>93.333371428571425</v>
      </c>
    </row>
    <row r="233" spans="1:18" ht="14.4" customHeight="1" x14ac:dyDescent="0.3">
      <c r="A233" s="463"/>
      <c r="B233" s="464" t="s">
        <v>938</v>
      </c>
      <c r="C233" s="464" t="s">
        <v>933</v>
      </c>
      <c r="D233" s="464" t="s">
        <v>986</v>
      </c>
      <c r="E233" s="464" t="s">
        <v>1111</v>
      </c>
      <c r="F233" s="464" t="s">
        <v>1113</v>
      </c>
      <c r="G233" s="468">
        <v>360</v>
      </c>
      <c r="H233" s="468">
        <v>33600</v>
      </c>
      <c r="I233" s="464">
        <v>0.3757828529836823</v>
      </c>
      <c r="J233" s="464">
        <v>93.333333333333329</v>
      </c>
      <c r="K233" s="468">
        <v>958</v>
      </c>
      <c r="L233" s="468">
        <v>89413.34</v>
      </c>
      <c r="M233" s="464">
        <v>1</v>
      </c>
      <c r="N233" s="464">
        <v>93.333340292275565</v>
      </c>
      <c r="O233" s="468">
        <v>473</v>
      </c>
      <c r="P233" s="468">
        <v>44146.66</v>
      </c>
      <c r="Q233" s="491">
        <v>0.49373684061013723</v>
      </c>
      <c r="R233" s="469">
        <v>93.333319238900643</v>
      </c>
    </row>
    <row r="234" spans="1:18" ht="14.4" customHeight="1" x14ac:dyDescent="0.3">
      <c r="A234" s="463"/>
      <c r="B234" s="464" t="s">
        <v>938</v>
      </c>
      <c r="C234" s="464" t="s">
        <v>933</v>
      </c>
      <c r="D234" s="464" t="s">
        <v>986</v>
      </c>
      <c r="E234" s="464" t="s">
        <v>1114</v>
      </c>
      <c r="F234" s="464" t="s">
        <v>1115</v>
      </c>
      <c r="G234" s="468">
        <v>4</v>
      </c>
      <c r="H234" s="468">
        <v>2666.67</v>
      </c>
      <c r="I234" s="464">
        <v>0.44444500000000003</v>
      </c>
      <c r="J234" s="464">
        <v>666.66750000000002</v>
      </c>
      <c r="K234" s="468">
        <v>9</v>
      </c>
      <c r="L234" s="468">
        <v>6000</v>
      </c>
      <c r="M234" s="464">
        <v>1</v>
      </c>
      <c r="N234" s="464">
        <v>666.66666666666663</v>
      </c>
      <c r="O234" s="468">
        <v>7</v>
      </c>
      <c r="P234" s="468">
        <v>4666.67</v>
      </c>
      <c r="Q234" s="491">
        <v>0.77777833333333335</v>
      </c>
      <c r="R234" s="469">
        <v>666.66714285714284</v>
      </c>
    </row>
    <row r="235" spans="1:18" ht="14.4" customHeight="1" x14ac:dyDescent="0.3">
      <c r="A235" s="463"/>
      <c r="B235" s="464" t="s">
        <v>938</v>
      </c>
      <c r="C235" s="464" t="s">
        <v>933</v>
      </c>
      <c r="D235" s="464" t="s">
        <v>986</v>
      </c>
      <c r="E235" s="464" t="s">
        <v>1114</v>
      </c>
      <c r="F235" s="464" t="s">
        <v>1116</v>
      </c>
      <c r="G235" s="468">
        <v>7</v>
      </c>
      <c r="H235" s="468">
        <v>4666.67</v>
      </c>
      <c r="I235" s="464">
        <v>0.70000014999992499</v>
      </c>
      <c r="J235" s="464">
        <v>666.66714285714284</v>
      </c>
      <c r="K235" s="468">
        <v>10</v>
      </c>
      <c r="L235" s="468">
        <v>6666.67</v>
      </c>
      <c r="M235" s="464">
        <v>1</v>
      </c>
      <c r="N235" s="464">
        <v>666.66700000000003</v>
      </c>
      <c r="O235" s="468">
        <v>14</v>
      </c>
      <c r="P235" s="468">
        <v>9333.34</v>
      </c>
      <c r="Q235" s="491">
        <v>1.40000029999985</v>
      </c>
      <c r="R235" s="469">
        <v>666.66714285714284</v>
      </c>
    </row>
    <row r="236" spans="1:18" ht="14.4" customHeight="1" x14ac:dyDescent="0.3">
      <c r="A236" s="463"/>
      <c r="B236" s="464" t="s">
        <v>938</v>
      </c>
      <c r="C236" s="464" t="s">
        <v>933</v>
      </c>
      <c r="D236" s="464" t="s">
        <v>986</v>
      </c>
      <c r="E236" s="464" t="s">
        <v>1117</v>
      </c>
      <c r="F236" s="464" t="s">
        <v>1118</v>
      </c>
      <c r="G236" s="468">
        <v>37</v>
      </c>
      <c r="H236" s="468">
        <v>28777.789999999994</v>
      </c>
      <c r="I236" s="464">
        <v>1.233332976190731</v>
      </c>
      <c r="J236" s="464">
        <v>777.77810810810797</v>
      </c>
      <c r="K236" s="468">
        <v>30</v>
      </c>
      <c r="L236" s="468">
        <v>23333.35</v>
      </c>
      <c r="M236" s="464">
        <v>1</v>
      </c>
      <c r="N236" s="464">
        <v>777.77833333333331</v>
      </c>
      <c r="O236" s="468">
        <v>17</v>
      </c>
      <c r="P236" s="468">
        <v>13222.22</v>
      </c>
      <c r="Q236" s="491">
        <v>0.56666616666702385</v>
      </c>
      <c r="R236" s="469">
        <v>777.7776470588235</v>
      </c>
    </row>
    <row r="237" spans="1:18" ht="14.4" customHeight="1" x14ac:dyDescent="0.3">
      <c r="A237" s="463"/>
      <c r="B237" s="464" t="s">
        <v>938</v>
      </c>
      <c r="C237" s="464" t="s">
        <v>933</v>
      </c>
      <c r="D237" s="464" t="s">
        <v>986</v>
      </c>
      <c r="E237" s="464" t="s">
        <v>1117</v>
      </c>
      <c r="F237" s="464" t="s">
        <v>1119</v>
      </c>
      <c r="G237" s="468">
        <v>51</v>
      </c>
      <c r="H237" s="468">
        <v>39666.67</v>
      </c>
      <c r="I237" s="464">
        <v>1.8214293750002868</v>
      </c>
      <c r="J237" s="464">
        <v>777.77784313725488</v>
      </c>
      <c r="K237" s="468">
        <v>28</v>
      </c>
      <c r="L237" s="468">
        <v>21777.77</v>
      </c>
      <c r="M237" s="464">
        <v>1</v>
      </c>
      <c r="N237" s="464">
        <v>777.77750000000003</v>
      </c>
      <c r="O237" s="468">
        <v>30</v>
      </c>
      <c r="P237" s="468">
        <v>23333.33</v>
      </c>
      <c r="Q237" s="491">
        <v>1.0714288010204902</v>
      </c>
      <c r="R237" s="469">
        <v>777.77766666666673</v>
      </c>
    </row>
    <row r="238" spans="1:18" ht="14.4" customHeight="1" x14ac:dyDescent="0.3">
      <c r="A238" s="463"/>
      <c r="B238" s="464" t="s">
        <v>938</v>
      </c>
      <c r="C238" s="464" t="s">
        <v>933</v>
      </c>
      <c r="D238" s="464" t="s">
        <v>986</v>
      </c>
      <c r="E238" s="464" t="s">
        <v>1120</v>
      </c>
      <c r="F238" s="464" t="s">
        <v>1121</v>
      </c>
      <c r="G238" s="468">
        <v>3</v>
      </c>
      <c r="H238" s="468">
        <v>1000</v>
      </c>
      <c r="I238" s="464">
        <v>0.27272776859594289</v>
      </c>
      <c r="J238" s="464">
        <v>333.33333333333331</v>
      </c>
      <c r="K238" s="468">
        <v>11</v>
      </c>
      <c r="L238" s="468">
        <v>3666.66</v>
      </c>
      <c r="M238" s="464">
        <v>1</v>
      </c>
      <c r="N238" s="464">
        <v>333.33272727272725</v>
      </c>
      <c r="O238" s="468">
        <v>7</v>
      </c>
      <c r="P238" s="468">
        <v>2333.33</v>
      </c>
      <c r="Q238" s="491">
        <v>0.63636388429797142</v>
      </c>
      <c r="R238" s="469">
        <v>333.33285714285711</v>
      </c>
    </row>
    <row r="239" spans="1:18" ht="14.4" customHeight="1" x14ac:dyDescent="0.3">
      <c r="A239" s="463"/>
      <c r="B239" s="464" t="s">
        <v>938</v>
      </c>
      <c r="C239" s="464" t="s">
        <v>933</v>
      </c>
      <c r="D239" s="464" t="s">
        <v>986</v>
      </c>
      <c r="E239" s="464" t="s">
        <v>1120</v>
      </c>
      <c r="F239" s="464" t="s">
        <v>1122</v>
      </c>
      <c r="G239" s="468">
        <v>17</v>
      </c>
      <c r="H239" s="468">
        <v>5666.67</v>
      </c>
      <c r="I239" s="464">
        <v>1.88889</v>
      </c>
      <c r="J239" s="464">
        <v>333.33352941176469</v>
      </c>
      <c r="K239" s="468">
        <v>9</v>
      </c>
      <c r="L239" s="468">
        <v>3000</v>
      </c>
      <c r="M239" s="464">
        <v>1</v>
      </c>
      <c r="N239" s="464">
        <v>333.33333333333331</v>
      </c>
      <c r="O239" s="468">
        <v>22</v>
      </c>
      <c r="P239" s="468">
        <v>7333.33</v>
      </c>
      <c r="Q239" s="491">
        <v>2.4444433333333335</v>
      </c>
      <c r="R239" s="469">
        <v>333.3331818181818</v>
      </c>
    </row>
    <row r="240" spans="1:18" ht="14.4" customHeight="1" x14ac:dyDescent="0.3">
      <c r="A240" s="463"/>
      <c r="B240" s="464" t="s">
        <v>938</v>
      </c>
      <c r="C240" s="464" t="s">
        <v>933</v>
      </c>
      <c r="D240" s="464" t="s">
        <v>986</v>
      </c>
      <c r="E240" s="464" t="s">
        <v>1008</v>
      </c>
      <c r="F240" s="464" t="s">
        <v>990</v>
      </c>
      <c r="G240" s="468">
        <v>1</v>
      </c>
      <c r="H240" s="468">
        <v>373.33</v>
      </c>
      <c r="I240" s="464">
        <v>0.1787217134458971</v>
      </c>
      <c r="J240" s="464">
        <v>373.33</v>
      </c>
      <c r="K240" s="468">
        <v>5</v>
      </c>
      <c r="L240" s="468">
        <v>2088.89</v>
      </c>
      <c r="M240" s="464">
        <v>1</v>
      </c>
      <c r="N240" s="464">
        <v>417.77799999999996</v>
      </c>
      <c r="O240" s="468">
        <v>2</v>
      </c>
      <c r="P240" s="468">
        <v>835.56</v>
      </c>
      <c r="Q240" s="491">
        <v>0.40000191489259845</v>
      </c>
      <c r="R240" s="469">
        <v>417.78</v>
      </c>
    </row>
    <row r="241" spans="1:18" ht="14.4" customHeight="1" x14ac:dyDescent="0.3">
      <c r="A241" s="463"/>
      <c r="B241" s="464" t="s">
        <v>938</v>
      </c>
      <c r="C241" s="464" t="s">
        <v>933</v>
      </c>
      <c r="D241" s="464" t="s">
        <v>986</v>
      </c>
      <c r="E241" s="464" t="s">
        <v>1008</v>
      </c>
      <c r="F241" s="464" t="s">
        <v>991</v>
      </c>
      <c r="G241" s="468"/>
      <c r="H241" s="468"/>
      <c r="I241" s="464"/>
      <c r="J241" s="464"/>
      <c r="K241" s="468">
        <v>2</v>
      </c>
      <c r="L241" s="468">
        <v>835.56</v>
      </c>
      <c r="M241" s="464">
        <v>1</v>
      </c>
      <c r="N241" s="464">
        <v>417.78</v>
      </c>
      <c r="O241" s="468">
        <v>2</v>
      </c>
      <c r="P241" s="468">
        <v>835.56</v>
      </c>
      <c r="Q241" s="491">
        <v>1</v>
      </c>
      <c r="R241" s="469">
        <v>417.78</v>
      </c>
    </row>
    <row r="242" spans="1:18" ht="14.4" customHeight="1" x14ac:dyDescent="0.3">
      <c r="A242" s="463"/>
      <c r="B242" s="464" t="s">
        <v>938</v>
      </c>
      <c r="C242" s="464" t="s">
        <v>933</v>
      </c>
      <c r="D242" s="464" t="s">
        <v>986</v>
      </c>
      <c r="E242" s="464" t="s">
        <v>1009</v>
      </c>
      <c r="F242" s="464" t="s">
        <v>1010</v>
      </c>
      <c r="G242" s="468">
        <v>34</v>
      </c>
      <c r="H242" s="468">
        <v>7177.77</v>
      </c>
      <c r="I242" s="464">
        <v>1.4782609591086489</v>
      </c>
      <c r="J242" s="464">
        <v>211.11088235294119</v>
      </c>
      <c r="K242" s="468">
        <v>23</v>
      </c>
      <c r="L242" s="468">
        <v>4855.55</v>
      </c>
      <c r="M242" s="464">
        <v>1</v>
      </c>
      <c r="N242" s="464">
        <v>211.1108695652174</v>
      </c>
      <c r="O242" s="468">
        <v>13</v>
      </c>
      <c r="P242" s="468">
        <v>2744.44</v>
      </c>
      <c r="Q242" s="491">
        <v>0.56521712267405344</v>
      </c>
      <c r="R242" s="469">
        <v>211.11076923076922</v>
      </c>
    </row>
    <row r="243" spans="1:18" ht="14.4" customHeight="1" x14ac:dyDescent="0.3">
      <c r="A243" s="463"/>
      <c r="B243" s="464" t="s">
        <v>938</v>
      </c>
      <c r="C243" s="464" t="s">
        <v>933</v>
      </c>
      <c r="D243" s="464" t="s">
        <v>986</v>
      </c>
      <c r="E243" s="464" t="s">
        <v>1009</v>
      </c>
      <c r="F243" s="464" t="s">
        <v>1011</v>
      </c>
      <c r="G243" s="468"/>
      <c r="H243" s="468"/>
      <c r="I243" s="464"/>
      <c r="J243" s="464"/>
      <c r="K243" s="468">
        <v>2</v>
      </c>
      <c r="L243" s="468">
        <v>422.22</v>
      </c>
      <c r="M243" s="464">
        <v>1</v>
      </c>
      <c r="N243" s="464">
        <v>211.11</v>
      </c>
      <c r="O243" s="468">
        <v>2</v>
      </c>
      <c r="P243" s="468">
        <v>422.22</v>
      </c>
      <c r="Q243" s="491">
        <v>1</v>
      </c>
      <c r="R243" s="469">
        <v>211.11</v>
      </c>
    </row>
    <row r="244" spans="1:18" ht="14.4" customHeight="1" x14ac:dyDescent="0.3">
      <c r="A244" s="463"/>
      <c r="B244" s="464" t="s">
        <v>938</v>
      </c>
      <c r="C244" s="464" t="s">
        <v>933</v>
      </c>
      <c r="D244" s="464" t="s">
        <v>986</v>
      </c>
      <c r="E244" s="464" t="s">
        <v>1012</v>
      </c>
      <c r="F244" s="464" t="s">
        <v>1013</v>
      </c>
      <c r="G244" s="468">
        <v>16</v>
      </c>
      <c r="H244" s="468">
        <v>9333.33</v>
      </c>
      <c r="I244" s="464">
        <v>0.66666642857142855</v>
      </c>
      <c r="J244" s="464">
        <v>583.333125</v>
      </c>
      <c r="K244" s="468">
        <v>24</v>
      </c>
      <c r="L244" s="468">
        <v>14000</v>
      </c>
      <c r="M244" s="464">
        <v>1</v>
      </c>
      <c r="N244" s="464">
        <v>583.33333333333337</v>
      </c>
      <c r="O244" s="468">
        <v>11</v>
      </c>
      <c r="P244" s="468">
        <v>6416.66</v>
      </c>
      <c r="Q244" s="491">
        <v>0.45833285714285715</v>
      </c>
      <c r="R244" s="469">
        <v>583.33272727272731</v>
      </c>
    </row>
    <row r="245" spans="1:18" ht="14.4" customHeight="1" x14ac:dyDescent="0.3">
      <c r="A245" s="463"/>
      <c r="B245" s="464" t="s">
        <v>938</v>
      </c>
      <c r="C245" s="464" t="s">
        <v>933</v>
      </c>
      <c r="D245" s="464" t="s">
        <v>986</v>
      </c>
      <c r="E245" s="464" t="s">
        <v>1014</v>
      </c>
      <c r="F245" s="464" t="s">
        <v>1015</v>
      </c>
      <c r="G245" s="468">
        <v>5</v>
      </c>
      <c r="H245" s="468">
        <v>2333.34</v>
      </c>
      <c r="I245" s="464">
        <v>0.71428921283512836</v>
      </c>
      <c r="J245" s="464">
        <v>466.66800000000001</v>
      </c>
      <c r="K245" s="468">
        <v>7</v>
      </c>
      <c r="L245" s="468">
        <v>3266.66</v>
      </c>
      <c r="M245" s="464">
        <v>1</v>
      </c>
      <c r="N245" s="464">
        <v>466.66571428571427</v>
      </c>
      <c r="O245" s="468">
        <v>2</v>
      </c>
      <c r="P245" s="468">
        <v>933.33</v>
      </c>
      <c r="Q245" s="491">
        <v>0.28571384839560898</v>
      </c>
      <c r="R245" s="469">
        <v>466.66500000000002</v>
      </c>
    </row>
    <row r="246" spans="1:18" ht="14.4" customHeight="1" x14ac:dyDescent="0.3">
      <c r="A246" s="463"/>
      <c r="B246" s="464" t="s">
        <v>938</v>
      </c>
      <c r="C246" s="464" t="s">
        <v>933</v>
      </c>
      <c r="D246" s="464" t="s">
        <v>986</v>
      </c>
      <c r="E246" s="464" t="s">
        <v>1014</v>
      </c>
      <c r="F246" s="464" t="s">
        <v>1016</v>
      </c>
      <c r="G246" s="468">
        <v>6</v>
      </c>
      <c r="H246" s="468">
        <v>2800.01</v>
      </c>
      <c r="I246" s="464">
        <v>0.46153909551847139</v>
      </c>
      <c r="J246" s="464">
        <v>466.66833333333335</v>
      </c>
      <c r="K246" s="468">
        <v>13</v>
      </c>
      <c r="L246" s="468">
        <v>6066.68</v>
      </c>
      <c r="M246" s="464">
        <v>1</v>
      </c>
      <c r="N246" s="464">
        <v>466.66769230769233</v>
      </c>
      <c r="O246" s="468">
        <v>10</v>
      </c>
      <c r="P246" s="468">
        <v>4666.67</v>
      </c>
      <c r="Q246" s="491">
        <v>0.76922962806675144</v>
      </c>
      <c r="R246" s="469">
        <v>466.66700000000003</v>
      </c>
    </row>
    <row r="247" spans="1:18" ht="14.4" customHeight="1" x14ac:dyDescent="0.3">
      <c r="A247" s="463"/>
      <c r="B247" s="464" t="s">
        <v>938</v>
      </c>
      <c r="C247" s="464" t="s">
        <v>933</v>
      </c>
      <c r="D247" s="464" t="s">
        <v>986</v>
      </c>
      <c r="E247" s="464" t="s">
        <v>1091</v>
      </c>
      <c r="F247" s="464" t="s">
        <v>1015</v>
      </c>
      <c r="G247" s="468">
        <v>6</v>
      </c>
      <c r="H247" s="468">
        <v>6000</v>
      </c>
      <c r="I247" s="464">
        <v>1.2</v>
      </c>
      <c r="J247" s="464">
        <v>1000</v>
      </c>
      <c r="K247" s="468">
        <v>5</v>
      </c>
      <c r="L247" s="468">
        <v>5000</v>
      </c>
      <c r="M247" s="464">
        <v>1</v>
      </c>
      <c r="N247" s="464">
        <v>1000</v>
      </c>
      <c r="O247" s="468">
        <v>3</v>
      </c>
      <c r="P247" s="468">
        <v>3000</v>
      </c>
      <c r="Q247" s="491">
        <v>0.6</v>
      </c>
      <c r="R247" s="469">
        <v>1000</v>
      </c>
    </row>
    <row r="248" spans="1:18" ht="14.4" customHeight="1" x14ac:dyDescent="0.3">
      <c r="A248" s="463"/>
      <c r="B248" s="464" t="s">
        <v>938</v>
      </c>
      <c r="C248" s="464" t="s">
        <v>933</v>
      </c>
      <c r="D248" s="464" t="s">
        <v>986</v>
      </c>
      <c r="E248" s="464" t="s">
        <v>1091</v>
      </c>
      <c r="F248" s="464" t="s">
        <v>1016</v>
      </c>
      <c r="G248" s="468">
        <v>8</v>
      </c>
      <c r="H248" s="468">
        <v>8000</v>
      </c>
      <c r="I248" s="464">
        <v>2.6666666666666665</v>
      </c>
      <c r="J248" s="464">
        <v>1000</v>
      </c>
      <c r="K248" s="468">
        <v>3</v>
      </c>
      <c r="L248" s="468">
        <v>3000</v>
      </c>
      <c r="M248" s="464">
        <v>1</v>
      </c>
      <c r="N248" s="464">
        <v>1000</v>
      </c>
      <c r="O248" s="468">
        <v>6</v>
      </c>
      <c r="P248" s="468">
        <v>6000</v>
      </c>
      <c r="Q248" s="491">
        <v>2</v>
      </c>
      <c r="R248" s="469">
        <v>1000</v>
      </c>
    </row>
    <row r="249" spans="1:18" ht="14.4" customHeight="1" x14ac:dyDescent="0.3">
      <c r="A249" s="463"/>
      <c r="B249" s="464" t="s">
        <v>938</v>
      </c>
      <c r="C249" s="464" t="s">
        <v>933</v>
      </c>
      <c r="D249" s="464" t="s">
        <v>986</v>
      </c>
      <c r="E249" s="464" t="s">
        <v>1017</v>
      </c>
      <c r="F249" s="464" t="s">
        <v>1018</v>
      </c>
      <c r="G249" s="468">
        <v>41</v>
      </c>
      <c r="H249" s="468">
        <v>2050</v>
      </c>
      <c r="I249" s="464">
        <v>0.82</v>
      </c>
      <c r="J249" s="464">
        <v>50</v>
      </c>
      <c r="K249" s="468">
        <v>50</v>
      </c>
      <c r="L249" s="468">
        <v>2500</v>
      </c>
      <c r="M249" s="464">
        <v>1</v>
      </c>
      <c r="N249" s="464">
        <v>50</v>
      </c>
      <c r="O249" s="468">
        <v>28</v>
      </c>
      <c r="P249" s="468">
        <v>1400</v>
      </c>
      <c r="Q249" s="491">
        <v>0.56000000000000005</v>
      </c>
      <c r="R249" s="469">
        <v>50</v>
      </c>
    </row>
    <row r="250" spans="1:18" ht="14.4" customHeight="1" x14ac:dyDescent="0.3">
      <c r="A250" s="463"/>
      <c r="B250" s="464" t="s">
        <v>938</v>
      </c>
      <c r="C250" s="464" t="s">
        <v>933</v>
      </c>
      <c r="D250" s="464" t="s">
        <v>986</v>
      </c>
      <c r="E250" s="464" t="s">
        <v>1017</v>
      </c>
      <c r="F250" s="464" t="s">
        <v>1019</v>
      </c>
      <c r="G250" s="468">
        <v>72</v>
      </c>
      <c r="H250" s="468">
        <v>3600</v>
      </c>
      <c r="I250" s="464">
        <v>1.0285714285714285</v>
      </c>
      <c r="J250" s="464">
        <v>50</v>
      </c>
      <c r="K250" s="468">
        <v>70</v>
      </c>
      <c r="L250" s="468">
        <v>3500</v>
      </c>
      <c r="M250" s="464">
        <v>1</v>
      </c>
      <c r="N250" s="464">
        <v>50</v>
      </c>
      <c r="O250" s="468">
        <v>52</v>
      </c>
      <c r="P250" s="468">
        <v>2600</v>
      </c>
      <c r="Q250" s="491">
        <v>0.74285714285714288</v>
      </c>
      <c r="R250" s="469">
        <v>50</v>
      </c>
    </row>
    <row r="251" spans="1:18" ht="14.4" customHeight="1" x14ac:dyDescent="0.3">
      <c r="A251" s="463"/>
      <c r="B251" s="464" t="s">
        <v>938</v>
      </c>
      <c r="C251" s="464" t="s">
        <v>933</v>
      </c>
      <c r="D251" s="464" t="s">
        <v>986</v>
      </c>
      <c r="E251" s="464" t="s">
        <v>1020</v>
      </c>
      <c r="F251" s="464" t="s">
        <v>1021</v>
      </c>
      <c r="G251" s="468"/>
      <c r="H251" s="468"/>
      <c r="I251" s="464"/>
      <c r="J251" s="464"/>
      <c r="K251" s="468">
        <v>1</v>
      </c>
      <c r="L251" s="468">
        <v>101.11</v>
      </c>
      <c r="M251" s="464">
        <v>1</v>
      </c>
      <c r="N251" s="464">
        <v>101.11</v>
      </c>
      <c r="O251" s="468"/>
      <c r="P251" s="468"/>
      <c r="Q251" s="491"/>
      <c r="R251" s="469"/>
    </row>
    <row r="252" spans="1:18" ht="14.4" customHeight="1" x14ac:dyDescent="0.3">
      <c r="A252" s="463"/>
      <c r="B252" s="464" t="s">
        <v>938</v>
      </c>
      <c r="C252" s="464" t="s">
        <v>933</v>
      </c>
      <c r="D252" s="464" t="s">
        <v>986</v>
      </c>
      <c r="E252" s="464" t="s">
        <v>1123</v>
      </c>
      <c r="F252" s="464" t="s">
        <v>1124</v>
      </c>
      <c r="G252" s="468"/>
      <c r="H252" s="468"/>
      <c r="I252" s="464"/>
      <c r="J252" s="464"/>
      <c r="K252" s="468"/>
      <c r="L252" s="468"/>
      <c r="M252" s="464"/>
      <c r="N252" s="464"/>
      <c r="O252" s="468">
        <v>1</v>
      </c>
      <c r="P252" s="468">
        <v>0</v>
      </c>
      <c r="Q252" s="491"/>
      <c r="R252" s="469">
        <v>0</v>
      </c>
    </row>
    <row r="253" spans="1:18" ht="14.4" customHeight="1" x14ac:dyDescent="0.3">
      <c r="A253" s="463"/>
      <c r="B253" s="464" t="s">
        <v>938</v>
      </c>
      <c r="C253" s="464" t="s">
        <v>933</v>
      </c>
      <c r="D253" s="464" t="s">
        <v>986</v>
      </c>
      <c r="E253" s="464" t="s">
        <v>1029</v>
      </c>
      <c r="F253" s="464" t="s">
        <v>1030</v>
      </c>
      <c r="G253" s="468">
        <v>142</v>
      </c>
      <c r="H253" s="468">
        <v>43388.89</v>
      </c>
      <c r="I253" s="464">
        <v>0.85029955257695944</v>
      </c>
      <c r="J253" s="464">
        <v>305.55556338028168</v>
      </c>
      <c r="K253" s="468">
        <v>167</v>
      </c>
      <c r="L253" s="468">
        <v>51027.770000000004</v>
      </c>
      <c r="M253" s="464">
        <v>1</v>
      </c>
      <c r="N253" s="464">
        <v>305.55550898203597</v>
      </c>
      <c r="O253" s="468">
        <v>113</v>
      </c>
      <c r="P253" s="468">
        <v>34527.769999999997</v>
      </c>
      <c r="Q253" s="491">
        <v>0.67664665730052465</v>
      </c>
      <c r="R253" s="469">
        <v>305.55548672566368</v>
      </c>
    </row>
    <row r="254" spans="1:18" ht="14.4" customHeight="1" x14ac:dyDescent="0.3">
      <c r="A254" s="463"/>
      <c r="B254" s="464" t="s">
        <v>938</v>
      </c>
      <c r="C254" s="464" t="s">
        <v>933</v>
      </c>
      <c r="D254" s="464" t="s">
        <v>986</v>
      </c>
      <c r="E254" s="464" t="s">
        <v>1032</v>
      </c>
      <c r="F254" s="464" t="s">
        <v>1033</v>
      </c>
      <c r="G254" s="468">
        <v>970</v>
      </c>
      <c r="H254" s="468">
        <v>32333.339999999997</v>
      </c>
      <c r="I254" s="464">
        <v>0.98477217655722893</v>
      </c>
      <c r="J254" s="464">
        <v>33.333340206185561</v>
      </c>
      <c r="K254" s="468">
        <v>985</v>
      </c>
      <c r="L254" s="468">
        <v>32833.32</v>
      </c>
      <c r="M254" s="464">
        <v>1</v>
      </c>
      <c r="N254" s="464">
        <v>33.333319796954314</v>
      </c>
      <c r="O254" s="468">
        <v>844</v>
      </c>
      <c r="P254" s="468">
        <v>28133.35</v>
      </c>
      <c r="Q254" s="491">
        <v>0.85685364745325776</v>
      </c>
      <c r="R254" s="469">
        <v>33.33335308056872</v>
      </c>
    </row>
    <row r="255" spans="1:18" ht="14.4" customHeight="1" x14ac:dyDescent="0.3">
      <c r="A255" s="463"/>
      <c r="B255" s="464" t="s">
        <v>938</v>
      </c>
      <c r="C255" s="464" t="s">
        <v>933</v>
      </c>
      <c r="D255" s="464" t="s">
        <v>986</v>
      </c>
      <c r="E255" s="464" t="s">
        <v>1035</v>
      </c>
      <c r="F255" s="464" t="s">
        <v>1036</v>
      </c>
      <c r="G255" s="468">
        <v>32</v>
      </c>
      <c r="H255" s="468">
        <v>14577.79</v>
      </c>
      <c r="I255" s="464">
        <v>0.69565227765219462</v>
      </c>
      <c r="J255" s="464">
        <v>455.55593750000003</v>
      </c>
      <c r="K255" s="468">
        <v>46</v>
      </c>
      <c r="L255" s="468">
        <v>20955.57</v>
      </c>
      <c r="M255" s="464">
        <v>1</v>
      </c>
      <c r="N255" s="464">
        <v>455.55586956521739</v>
      </c>
      <c r="O255" s="468">
        <v>41</v>
      </c>
      <c r="P255" s="468">
        <v>18677.79</v>
      </c>
      <c r="Q255" s="491">
        <v>0.89130431670434163</v>
      </c>
      <c r="R255" s="469">
        <v>455.55585365853659</v>
      </c>
    </row>
    <row r="256" spans="1:18" ht="14.4" customHeight="1" x14ac:dyDescent="0.3">
      <c r="A256" s="463"/>
      <c r="B256" s="464" t="s">
        <v>938</v>
      </c>
      <c r="C256" s="464" t="s">
        <v>933</v>
      </c>
      <c r="D256" s="464" t="s">
        <v>986</v>
      </c>
      <c r="E256" s="464" t="s">
        <v>1035</v>
      </c>
      <c r="F256" s="464" t="s">
        <v>1037</v>
      </c>
      <c r="G256" s="468">
        <v>39</v>
      </c>
      <c r="H256" s="468">
        <v>17766.68</v>
      </c>
      <c r="I256" s="464">
        <v>0.97500031554864586</v>
      </c>
      <c r="J256" s="464">
        <v>455.55589743589746</v>
      </c>
      <c r="K256" s="468">
        <v>40</v>
      </c>
      <c r="L256" s="468">
        <v>18222.23</v>
      </c>
      <c r="M256" s="464">
        <v>1</v>
      </c>
      <c r="N256" s="464">
        <v>455.55574999999999</v>
      </c>
      <c r="O256" s="468">
        <v>43</v>
      </c>
      <c r="P256" s="468">
        <v>19588.88</v>
      </c>
      <c r="Q256" s="491">
        <v>1.0749990533540628</v>
      </c>
      <c r="R256" s="469">
        <v>455.55534883720935</v>
      </c>
    </row>
    <row r="257" spans="1:18" ht="14.4" customHeight="1" x14ac:dyDescent="0.3">
      <c r="A257" s="463"/>
      <c r="B257" s="464" t="s">
        <v>938</v>
      </c>
      <c r="C257" s="464" t="s">
        <v>933</v>
      </c>
      <c r="D257" s="464" t="s">
        <v>986</v>
      </c>
      <c r="E257" s="464" t="s">
        <v>1125</v>
      </c>
      <c r="F257" s="464" t="s">
        <v>1126</v>
      </c>
      <c r="G257" s="468">
        <v>50</v>
      </c>
      <c r="H257" s="468">
        <v>2944.44</v>
      </c>
      <c r="I257" s="464">
        <v>1.1904759979460888</v>
      </c>
      <c r="J257" s="464">
        <v>58.888800000000003</v>
      </c>
      <c r="K257" s="468">
        <v>42</v>
      </c>
      <c r="L257" s="468">
        <v>2473.33</v>
      </c>
      <c r="M257" s="464">
        <v>1</v>
      </c>
      <c r="N257" s="464">
        <v>58.88880952380952</v>
      </c>
      <c r="O257" s="468">
        <v>40</v>
      </c>
      <c r="P257" s="468">
        <v>2355.5500000000002</v>
      </c>
      <c r="Q257" s="491">
        <v>0.95237998973044447</v>
      </c>
      <c r="R257" s="469">
        <v>58.888750000000002</v>
      </c>
    </row>
    <row r="258" spans="1:18" ht="14.4" customHeight="1" x14ac:dyDescent="0.3">
      <c r="A258" s="463"/>
      <c r="B258" s="464" t="s">
        <v>938</v>
      </c>
      <c r="C258" s="464" t="s">
        <v>933</v>
      </c>
      <c r="D258" s="464" t="s">
        <v>986</v>
      </c>
      <c r="E258" s="464" t="s">
        <v>1125</v>
      </c>
      <c r="F258" s="464" t="s">
        <v>1127</v>
      </c>
      <c r="G258" s="468">
        <v>1</v>
      </c>
      <c r="H258" s="468">
        <v>58.89</v>
      </c>
      <c r="I258" s="464">
        <v>1</v>
      </c>
      <c r="J258" s="464">
        <v>58.89</v>
      </c>
      <c r="K258" s="468">
        <v>1</v>
      </c>
      <c r="L258" s="468">
        <v>58.89</v>
      </c>
      <c r="M258" s="464">
        <v>1</v>
      </c>
      <c r="N258" s="464">
        <v>58.89</v>
      </c>
      <c r="O258" s="468">
        <v>1</v>
      </c>
      <c r="P258" s="468">
        <v>58.89</v>
      </c>
      <c r="Q258" s="491">
        <v>1</v>
      </c>
      <c r="R258" s="469">
        <v>58.89</v>
      </c>
    </row>
    <row r="259" spans="1:18" ht="14.4" customHeight="1" x14ac:dyDescent="0.3">
      <c r="A259" s="463"/>
      <c r="B259" s="464" t="s">
        <v>938</v>
      </c>
      <c r="C259" s="464" t="s">
        <v>933</v>
      </c>
      <c r="D259" s="464" t="s">
        <v>986</v>
      </c>
      <c r="E259" s="464" t="s">
        <v>1038</v>
      </c>
      <c r="F259" s="464" t="s">
        <v>1039</v>
      </c>
      <c r="G259" s="468">
        <v>162</v>
      </c>
      <c r="H259" s="468">
        <v>12600</v>
      </c>
      <c r="I259" s="464">
        <v>0.97005905041997398</v>
      </c>
      <c r="J259" s="464">
        <v>77.777777777777771</v>
      </c>
      <c r="K259" s="468">
        <v>167</v>
      </c>
      <c r="L259" s="468">
        <v>12988.9</v>
      </c>
      <c r="M259" s="464">
        <v>1</v>
      </c>
      <c r="N259" s="464">
        <v>77.777844311377237</v>
      </c>
      <c r="O259" s="468">
        <v>134</v>
      </c>
      <c r="P259" s="468">
        <v>10422.209999999999</v>
      </c>
      <c r="Q259" s="491">
        <v>0.80239358221250445</v>
      </c>
      <c r="R259" s="469">
        <v>77.777686567164167</v>
      </c>
    </row>
    <row r="260" spans="1:18" ht="14.4" customHeight="1" x14ac:dyDescent="0.3">
      <c r="A260" s="463"/>
      <c r="B260" s="464" t="s">
        <v>938</v>
      </c>
      <c r="C260" s="464" t="s">
        <v>933</v>
      </c>
      <c r="D260" s="464" t="s">
        <v>986</v>
      </c>
      <c r="E260" s="464" t="s">
        <v>1128</v>
      </c>
      <c r="F260" s="464" t="s">
        <v>1129</v>
      </c>
      <c r="G260" s="468">
        <v>29</v>
      </c>
      <c r="H260" s="468">
        <v>32222.220000000005</v>
      </c>
      <c r="I260" s="464">
        <v>0.96666698666679485</v>
      </c>
      <c r="J260" s="464">
        <v>1111.1110344827589</v>
      </c>
      <c r="K260" s="468">
        <v>30</v>
      </c>
      <c r="L260" s="468">
        <v>33333.32</v>
      </c>
      <c r="M260" s="464">
        <v>1</v>
      </c>
      <c r="N260" s="464">
        <v>1111.1106666666667</v>
      </c>
      <c r="O260" s="468">
        <v>21</v>
      </c>
      <c r="P260" s="468">
        <v>23333.33</v>
      </c>
      <c r="Q260" s="491">
        <v>0.70000018000007203</v>
      </c>
      <c r="R260" s="469">
        <v>1111.1109523809525</v>
      </c>
    </row>
    <row r="261" spans="1:18" ht="14.4" customHeight="1" x14ac:dyDescent="0.3">
      <c r="A261" s="463"/>
      <c r="B261" s="464" t="s">
        <v>938</v>
      </c>
      <c r="C261" s="464" t="s">
        <v>933</v>
      </c>
      <c r="D261" s="464" t="s">
        <v>986</v>
      </c>
      <c r="E261" s="464" t="s">
        <v>1128</v>
      </c>
      <c r="F261" s="464" t="s">
        <v>1130</v>
      </c>
      <c r="G261" s="468">
        <v>42</v>
      </c>
      <c r="H261" s="468">
        <v>46666.67</v>
      </c>
      <c r="I261" s="464">
        <v>1.1351355230096007</v>
      </c>
      <c r="J261" s="464">
        <v>1111.1111904761904</v>
      </c>
      <c r="K261" s="468">
        <v>37</v>
      </c>
      <c r="L261" s="468">
        <v>41111.1</v>
      </c>
      <c r="M261" s="464">
        <v>1</v>
      </c>
      <c r="N261" s="464">
        <v>1111.1108108108108</v>
      </c>
      <c r="O261" s="468">
        <v>22</v>
      </c>
      <c r="P261" s="468">
        <v>24444.449999999997</v>
      </c>
      <c r="Q261" s="491">
        <v>0.5945948904310514</v>
      </c>
      <c r="R261" s="469">
        <v>1111.1113636363634</v>
      </c>
    </row>
    <row r="262" spans="1:18" ht="14.4" customHeight="1" x14ac:dyDescent="0.3">
      <c r="A262" s="463"/>
      <c r="B262" s="464" t="s">
        <v>938</v>
      </c>
      <c r="C262" s="464" t="s">
        <v>933</v>
      </c>
      <c r="D262" s="464" t="s">
        <v>986</v>
      </c>
      <c r="E262" s="464" t="s">
        <v>1041</v>
      </c>
      <c r="F262" s="464" t="s">
        <v>1042</v>
      </c>
      <c r="G262" s="468">
        <v>63</v>
      </c>
      <c r="H262" s="468">
        <v>17010</v>
      </c>
      <c r="I262" s="464">
        <v>0.30143540669856461</v>
      </c>
      <c r="J262" s="464">
        <v>270</v>
      </c>
      <c r="K262" s="468">
        <v>209</v>
      </c>
      <c r="L262" s="468">
        <v>56430</v>
      </c>
      <c r="M262" s="464">
        <v>1</v>
      </c>
      <c r="N262" s="464">
        <v>270</v>
      </c>
      <c r="O262" s="468">
        <v>171</v>
      </c>
      <c r="P262" s="468">
        <v>46170</v>
      </c>
      <c r="Q262" s="491">
        <v>0.81818181818181823</v>
      </c>
      <c r="R262" s="469">
        <v>270</v>
      </c>
    </row>
    <row r="263" spans="1:18" ht="14.4" customHeight="1" x14ac:dyDescent="0.3">
      <c r="A263" s="463"/>
      <c r="B263" s="464" t="s">
        <v>938</v>
      </c>
      <c r="C263" s="464" t="s">
        <v>933</v>
      </c>
      <c r="D263" s="464" t="s">
        <v>986</v>
      </c>
      <c r="E263" s="464" t="s">
        <v>1041</v>
      </c>
      <c r="F263" s="464" t="s">
        <v>1072</v>
      </c>
      <c r="G263" s="468">
        <v>77</v>
      </c>
      <c r="H263" s="468">
        <v>20790</v>
      </c>
      <c r="I263" s="464">
        <v>0.33333333333333331</v>
      </c>
      <c r="J263" s="464">
        <v>270</v>
      </c>
      <c r="K263" s="468">
        <v>231</v>
      </c>
      <c r="L263" s="468">
        <v>62370</v>
      </c>
      <c r="M263" s="464">
        <v>1</v>
      </c>
      <c r="N263" s="464">
        <v>270</v>
      </c>
      <c r="O263" s="468">
        <v>224</v>
      </c>
      <c r="P263" s="468">
        <v>60480</v>
      </c>
      <c r="Q263" s="491">
        <v>0.96969696969696972</v>
      </c>
      <c r="R263" s="469">
        <v>270</v>
      </c>
    </row>
    <row r="264" spans="1:18" ht="14.4" customHeight="1" x14ac:dyDescent="0.3">
      <c r="A264" s="463"/>
      <c r="B264" s="464" t="s">
        <v>938</v>
      </c>
      <c r="C264" s="464" t="s">
        <v>933</v>
      </c>
      <c r="D264" s="464" t="s">
        <v>986</v>
      </c>
      <c r="E264" s="464" t="s">
        <v>1043</v>
      </c>
      <c r="F264" s="464" t="s">
        <v>1044</v>
      </c>
      <c r="G264" s="468">
        <v>74</v>
      </c>
      <c r="H264" s="468">
        <v>6988.880000000001</v>
      </c>
      <c r="I264" s="464">
        <v>0.49006564005186137</v>
      </c>
      <c r="J264" s="464">
        <v>94.444324324324342</v>
      </c>
      <c r="K264" s="468">
        <v>151</v>
      </c>
      <c r="L264" s="468">
        <v>14261.11</v>
      </c>
      <c r="M264" s="464">
        <v>1</v>
      </c>
      <c r="N264" s="464">
        <v>94.444437086092719</v>
      </c>
      <c r="O264" s="468">
        <v>92</v>
      </c>
      <c r="P264" s="468">
        <v>8688.9</v>
      </c>
      <c r="Q264" s="491">
        <v>0.60927234976800537</v>
      </c>
      <c r="R264" s="469">
        <v>94.4445652173913</v>
      </c>
    </row>
    <row r="265" spans="1:18" ht="14.4" customHeight="1" x14ac:dyDescent="0.3">
      <c r="A265" s="463"/>
      <c r="B265" s="464" t="s">
        <v>938</v>
      </c>
      <c r="C265" s="464" t="s">
        <v>933</v>
      </c>
      <c r="D265" s="464" t="s">
        <v>986</v>
      </c>
      <c r="E265" s="464" t="s">
        <v>1043</v>
      </c>
      <c r="F265" s="464" t="s">
        <v>1045</v>
      </c>
      <c r="G265" s="468">
        <v>135</v>
      </c>
      <c r="H265" s="468">
        <v>12749.99</v>
      </c>
      <c r="I265" s="464">
        <v>0.81818135148264204</v>
      </c>
      <c r="J265" s="464">
        <v>94.444370370370365</v>
      </c>
      <c r="K265" s="468">
        <v>165</v>
      </c>
      <c r="L265" s="468">
        <v>15583.33</v>
      </c>
      <c r="M265" s="464">
        <v>1</v>
      </c>
      <c r="N265" s="464">
        <v>94.444424242424247</v>
      </c>
      <c r="O265" s="468">
        <v>118</v>
      </c>
      <c r="P265" s="468">
        <v>11144.449999999999</v>
      </c>
      <c r="Q265" s="491">
        <v>0.715152024631449</v>
      </c>
      <c r="R265" s="469">
        <v>94.444491525423715</v>
      </c>
    </row>
    <row r="266" spans="1:18" ht="14.4" customHeight="1" x14ac:dyDescent="0.3">
      <c r="A266" s="463"/>
      <c r="B266" s="464" t="s">
        <v>938</v>
      </c>
      <c r="C266" s="464" t="s">
        <v>933</v>
      </c>
      <c r="D266" s="464" t="s">
        <v>986</v>
      </c>
      <c r="E266" s="464" t="s">
        <v>1073</v>
      </c>
      <c r="F266" s="464" t="s">
        <v>1074</v>
      </c>
      <c r="G266" s="468"/>
      <c r="H266" s="468"/>
      <c r="I266" s="464"/>
      <c r="J266" s="464"/>
      <c r="K266" s="468"/>
      <c r="L266" s="468"/>
      <c r="M266" s="464"/>
      <c r="N266" s="464"/>
      <c r="O266" s="468">
        <v>1</v>
      </c>
      <c r="P266" s="468">
        <v>96.67</v>
      </c>
      <c r="Q266" s="491"/>
      <c r="R266" s="469">
        <v>96.67</v>
      </c>
    </row>
    <row r="267" spans="1:18" ht="14.4" customHeight="1" x14ac:dyDescent="0.3">
      <c r="A267" s="463"/>
      <c r="B267" s="464" t="s">
        <v>938</v>
      </c>
      <c r="C267" s="464" t="s">
        <v>933</v>
      </c>
      <c r="D267" s="464" t="s">
        <v>986</v>
      </c>
      <c r="E267" s="464" t="s">
        <v>1073</v>
      </c>
      <c r="F267" s="464" t="s">
        <v>1095</v>
      </c>
      <c r="G267" s="468">
        <v>1</v>
      </c>
      <c r="H267" s="468">
        <v>96.67</v>
      </c>
      <c r="I267" s="464"/>
      <c r="J267" s="464">
        <v>96.67</v>
      </c>
      <c r="K267" s="468"/>
      <c r="L267" s="468"/>
      <c r="M267" s="464"/>
      <c r="N267" s="464"/>
      <c r="O267" s="468"/>
      <c r="P267" s="468"/>
      <c r="Q267" s="491"/>
      <c r="R267" s="469"/>
    </row>
    <row r="268" spans="1:18" ht="14.4" customHeight="1" x14ac:dyDescent="0.3">
      <c r="A268" s="463"/>
      <c r="B268" s="464" t="s">
        <v>938</v>
      </c>
      <c r="C268" s="464" t="s">
        <v>933</v>
      </c>
      <c r="D268" s="464" t="s">
        <v>986</v>
      </c>
      <c r="E268" s="464" t="s">
        <v>1075</v>
      </c>
      <c r="F268" s="464" t="s">
        <v>1076</v>
      </c>
      <c r="G268" s="468"/>
      <c r="H268" s="468"/>
      <c r="I268" s="464"/>
      <c r="J268" s="464"/>
      <c r="K268" s="468"/>
      <c r="L268" s="468"/>
      <c r="M268" s="464"/>
      <c r="N268" s="464"/>
      <c r="O268" s="468">
        <v>6</v>
      </c>
      <c r="P268" s="468">
        <v>453.34</v>
      </c>
      <c r="Q268" s="491"/>
      <c r="R268" s="469">
        <v>75.556666666666658</v>
      </c>
    </row>
    <row r="269" spans="1:18" ht="14.4" customHeight="1" x14ac:dyDescent="0.3">
      <c r="A269" s="463"/>
      <c r="B269" s="464" t="s">
        <v>938</v>
      </c>
      <c r="C269" s="464" t="s">
        <v>933</v>
      </c>
      <c r="D269" s="464" t="s">
        <v>986</v>
      </c>
      <c r="E269" s="464" t="s">
        <v>1075</v>
      </c>
      <c r="F269" s="464" t="s">
        <v>1096</v>
      </c>
      <c r="G269" s="468"/>
      <c r="H269" s="468"/>
      <c r="I269" s="464"/>
      <c r="J269" s="464"/>
      <c r="K269" s="468"/>
      <c r="L269" s="468"/>
      <c r="M269" s="464"/>
      <c r="N269" s="464"/>
      <c r="O269" s="468">
        <v>7</v>
      </c>
      <c r="P269" s="468">
        <v>528.89</v>
      </c>
      <c r="Q269" s="491"/>
      <c r="R269" s="469">
        <v>75.555714285714288</v>
      </c>
    </row>
    <row r="270" spans="1:18" ht="14.4" customHeight="1" x14ac:dyDescent="0.3">
      <c r="A270" s="463"/>
      <c r="B270" s="464" t="s">
        <v>938</v>
      </c>
      <c r="C270" s="464" t="s">
        <v>933</v>
      </c>
      <c r="D270" s="464" t="s">
        <v>986</v>
      </c>
      <c r="E270" s="464" t="s">
        <v>1097</v>
      </c>
      <c r="F270" s="464" t="s">
        <v>1098</v>
      </c>
      <c r="G270" s="468">
        <v>14</v>
      </c>
      <c r="H270" s="468">
        <v>17966.68</v>
      </c>
      <c r="I270" s="464">
        <v>1.0769240912935247</v>
      </c>
      <c r="J270" s="464">
        <v>1283.3342857142857</v>
      </c>
      <c r="K270" s="468">
        <v>13</v>
      </c>
      <c r="L270" s="468">
        <v>16683.330000000002</v>
      </c>
      <c r="M270" s="464">
        <v>1</v>
      </c>
      <c r="N270" s="464">
        <v>1283.333076923077</v>
      </c>
      <c r="O270" s="468">
        <v>12</v>
      </c>
      <c r="P270" s="468">
        <v>15399.99</v>
      </c>
      <c r="Q270" s="491">
        <v>0.92307650810719433</v>
      </c>
      <c r="R270" s="469">
        <v>1283.3325</v>
      </c>
    </row>
    <row r="271" spans="1:18" ht="14.4" customHeight="1" x14ac:dyDescent="0.3">
      <c r="A271" s="463"/>
      <c r="B271" s="464" t="s">
        <v>938</v>
      </c>
      <c r="C271" s="464" t="s">
        <v>933</v>
      </c>
      <c r="D271" s="464" t="s">
        <v>986</v>
      </c>
      <c r="E271" s="464" t="s">
        <v>1052</v>
      </c>
      <c r="F271" s="464" t="s">
        <v>1053</v>
      </c>
      <c r="G271" s="468">
        <v>1</v>
      </c>
      <c r="H271" s="468">
        <v>116.67</v>
      </c>
      <c r="I271" s="464"/>
      <c r="J271" s="464">
        <v>116.67</v>
      </c>
      <c r="K271" s="468"/>
      <c r="L271" s="468"/>
      <c r="M271" s="464"/>
      <c r="N271" s="464"/>
      <c r="O271" s="468"/>
      <c r="P271" s="468"/>
      <c r="Q271" s="491"/>
      <c r="R271" s="469"/>
    </row>
    <row r="272" spans="1:18" ht="14.4" customHeight="1" x14ac:dyDescent="0.3">
      <c r="A272" s="463"/>
      <c r="B272" s="464" t="s">
        <v>938</v>
      </c>
      <c r="C272" s="464" t="s">
        <v>933</v>
      </c>
      <c r="D272" s="464" t="s">
        <v>986</v>
      </c>
      <c r="E272" s="464" t="s">
        <v>1052</v>
      </c>
      <c r="F272" s="464" t="s">
        <v>1054</v>
      </c>
      <c r="G272" s="468">
        <v>2</v>
      </c>
      <c r="H272" s="468">
        <v>233.34</v>
      </c>
      <c r="I272" s="464">
        <v>2</v>
      </c>
      <c r="J272" s="464">
        <v>116.67</v>
      </c>
      <c r="K272" s="468">
        <v>1</v>
      </c>
      <c r="L272" s="468">
        <v>116.67</v>
      </c>
      <c r="M272" s="464">
        <v>1</v>
      </c>
      <c r="N272" s="464">
        <v>116.67</v>
      </c>
      <c r="O272" s="468"/>
      <c r="P272" s="468"/>
      <c r="Q272" s="491"/>
      <c r="R272" s="469"/>
    </row>
    <row r="273" spans="1:18" ht="14.4" customHeight="1" x14ac:dyDescent="0.3">
      <c r="A273" s="463"/>
      <c r="B273" s="464" t="s">
        <v>938</v>
      </c>
      <c r="C273" s="464" t="s">
        <v>933</v>
      </c>
      <c r="D273" s="464" t="s">
        <v>986</v>
      </c>
      <c r="E273" s="464" t="s">
        <v>1055</v>
      </c>
      <c r="F273" s="464" t="s">
        <v>1056</v>
      </c>
      <c r="G273" s="468">
        <v>5</v>
      </c>
      <c r="H273" s="468">
        <v>244.44</v>
      </c>
      <c r="I273" s="464">
        <v>0.83332765145058474</v>
      </c>
      <c r="J273" s="464">
        <v>48.887999999999998</v>
      </c>
      <c r="K273" s="468">
        <v>6</v>
      </c>
      <c r="L273" s="468">
        <v>293.33</v>
      </c>
      <c r="M273" s="464">
        <v>1</v>
      </c>
      <c r="N273" s="464">
        <v>48.888333333333328</v>
      </c>
      <c r="O273" s="468">
        <v>2</v>
      </c>
      <c r="P273" s="468">
        <v>97.78</v>
      </c>
      <c r="Q273" s="491">
        <v>0.33334469709883069</v>
      </c>
      <c r="R273" s="469">
        <v>48.89</v>
      </c>
    </row>
    <row r="274" spans="1:18" ht="14.4" customHeight="1" x14ac:dyDescent="0.3">
      <c r="A274" s="463"/>
      <c r="B274" s="464" t="s">
        <v>938</v>
      </c>
      <c r="C274" s="464" t="s">
        <v>933</v>
      </c>
      <c r="D274" s="464" t="s">
        <v>986</v>
      </c>
      <c r="E274" s="464" t="s">
        <v>1055</v>
      </c>
      <c r="F274" s="464" t="s">
        <v>1057</v>
      </c>
      <c r="G274" s="468">
        <v>10</v>
      </c>
      <c r="H274" s="468">
        <v>488.9</v>
      </c>
      <c r="I274" s="464">
        <v>0.58824944953134972</v>
      </c>
      <c r="J274" s="464">
        <v>48.89</v>
      </c>
      <c r="K274" s="468">
        <v>17</v>
      </c>
      <c r="L274" s="468">
        <v>831.1099999999999</v>
      </c>
      <c r="M274" s="464">
        <v>1</v>
      </c>
      <c r="N274" s="464">
        <v>48.888823529411759</v>
      </c>
      <c r="O274" s="468"/>
      <c r="P274" s="468"/>
      <c r="Q274" s="491"/>
      <c r="R274" s="469"/>
    </row>
    <row r="275" spans="1:18" ht="14.4" customHeight="1" x14ac:dyDescent="0.3">
      <c r="A275" s="463"/>
      <c r="B275" s="464" t="s">
        <v>938</v>
      </c>
      <c r="C275" s="464" t="s">
        <v>933</v>
      </c>
      <c r="D275" s="464" t="s">
        <v>986</v>
      </c>
      <c r="E275" s="464" t="s">
        <v>1131</v>
      </c>
      <c r="F275" s="464" t="s">
        <v>1132</v>
      </c>
      <c r="G275" s="468"/>
      <c r="H275" s="468"/>
      <c r="I275" s="464"/>
      <c r="J275" s="464"/>
      <c r="K275" s="468"/>
      <c r="L275" s="468"/>
      <c r="M275" s="464"/>
      <c r="N275" s="464"/>
      <c r="O275" s="468">
        <v>1</v>
      </c>
      <c r="P275" s="468">
        <v>466.67</v>
      </c>
      <c r="Q275" s="491"/>
      <c r="R275" s="469">
        <v>466.67</v>
      </c>
    </row>
    <row r="276" spans="1:18" ht="14.4" customHeight="1" x14ac:dyDescent="0.3">
      <c r="A276" s="463"/>
      <c r="B276" s="464" t="s">
        <v>938</v>
      </c>
      <c r="C276" s="464" t="s">
        <v>933</v>
      </c>
      <c r="D276" s="464" t="s">
        <v>986</v>
      </c>
      <c r="E276" s="464" t="s">
        <v>1131</v>
      </c>
      <c r="F276" s="464" t="s">
        <v>1133</v>
      </c>
      <c r="G276" s="468">
        <v>1</v>
      </c>
      <c r="H276" s="468">
        <v>466.67</v>
      </c>
      <c r="I276" s="464"/>
      <c r="J276" s="464">
        <v>466.67</v>
      </c>
      <c r="K276" s="468"/>
      <c r="L276" s="468"/>
      <c r="M276" s="464"/>
      <c r="N276" s="464"/>
      <c r="O276" s="468">
        <v>2</v>
      </c>
      <c r="P276" s="468">
        <v>933.33</v>
      </c>
      <c r="Q276" s="491"/>
      <c r="R276" s="469">
        <v>466.66500000000002</v>
      </c>
    </row>
    <row r="277" spans="1:18" ht="14.4" customHeight="1" x14ac:dyDescent="0.3">
      <c r="A277" s="463"/>
      <c r="B277" s="464" t="s">
        <v>938</v>
      </c>
      <c r="C277" s="464" t="s">
        <v>933</v>
      </c>
      <c r="D277" s="464" t="s">
        <v>986</v>
      </c>
      <c r="E277" s="464" t="s">
        <v>1058</v>
      </c>
      <c r="F277" s="464" t="s">
        <v>1059</v>
      </c>
      <c r="G277" s="468"/>
      <c r="H277" s="468"/>
      <c r="I277" s="464"/>
      <c r="J277" s="464"/>
      <c r="K277" s="468"/>
      <c r="L277" s="468"/>
      <c r="M277" s="464"/>
      <c r="N277" s="464"/>
      <c r="O277" s="468">
        <v>2</v>
      </c>
      <c r="P277" s="468">
        <v>688.88</v>
      </c>
      <c r="Q277" s="491"/>
      <c r="R277" s="469">
        <v>344.44</v>
      </c>
    </row>
    <row r="278" spans="1:18" ht="14.4" customHeight="1" x14ac:dyDescent="0.3">
      <c r="A278" s="463"/>
      <c r="B278" s="464" t="s">
        <v>938</v>
      </c>
      <c r="C278" s="464" t="s">
        <v>933</v>
      </c>
      <c r="D278" s="464" t="s">
        <v>986</v>
      </c>
      <c r="E278" s="464" t="s">
        <v>1102</v>
      </c>
      <c r="F278" s="464" t="s">
        <v>1134</v>
      </c>
      <c r="G278" s="468">
        <v>1</v>
      </c>
      <c r="H278" s="468">
        <v>466.67</v>
      </c>
      <c r="I278" s="464">
        <v>0.20000171428816327</v>
      </c>
      <c r="J278" s="464">
        <v>466.67</v>
      </c>
      <c r="K278" s="468">
        <v>5</v>
      </c>
      <c r="L278" s="468">
        <v>2333.33</v>
      </c>
      <c r="M278" s="464">
        <v>1</v>
      </c>
      <c r="N278" s="464">
        <v>466.666</v>
      </c>
      <c r="O278" s="468">
        <v>23</v>
      </c>
      <c r="P278" s="468">
        <v>10733.33</v>
      </c>
      <c r="Q278" s="491">
        <v>4.6000051428644904</v>
      </c>
      <c r="R278" s="469">
        <v>466.66652173913042</v>
      </c>
    </row>
    <row r="279" spans="1:18" ht="14.4" customHeight="1" x14ac:dyDescent="0.3">
      <c r="A279" s="463"/>
      <c r="B279" s="464" t="s">
        <v>938</v>
      </c>
      <c r="C279" s="464" t="s">
        <v>933</v>
      </c>
      <c r="D279" s="464" t="s">
        <v>986</v>
      </c>
      <c r="E279" s="464" t="s">
        <v>1102</v>
      </c>
      <c r="F279" s="464" t="s">
        <v>1103</v>
      </c>
      <c r="G279" s="468">
        <v>19</v>
      </c>
      <c r="H279" s="468">
        <v>8866.67</v>
      </c>
      <c r="I279" s="464">
        <v>3.8000068571526531</v>
      </c>
      <c r="J279" s="464">
        <v>466.66684210526319</v>
      </c>
      <c r="K279" s="468">
        <v>5</v>
      </c>
      <c r="L279" s="468">
        <v>2333.33</v>
      </c>
      <c r="M279" s="464">
        <v>1</v>
      </c>
      <c r="N279" s="464">
        <v>466.666</v>
      </c>
      <c r="O279" s="468">
        <v>24</v>
      </c>
      <c r="P279" s="468">
        <v>11200</v>
      </c>
      <c r="Q279" s="491">
        <v>4.8000068571526535</v>
      </c>
      <c r="R279" s="469">
        <v>466.66666666666669</v>
      </c>
    </row>
    <row r="280" spans="1:18" ht="14.4" customHeight="1" x14ac:dyDescent="0.3">
      <c r="A280" s="463"/>
      <c r="B280" s="464" t="s">
        <v>938</v>
      </c>
      <c r="C280" s="464" t="s">
        <v>933</v>
      </c>
      <c r="D280" s="464" t="s">
        <v>986</v>
      </c>
      <c r="E280" s="464" t="s">
        <v>1135</v>
      </c>
      <c r="F280" s="464" t="s">
        <v>1136</v>
      </c>
      <c r="G280" s="468">
        <v>4</v>
      </c>
      <c r="H280" s="468">
        <v>391.11</v>
      </c>
      <c r="I280" s="464">
        <v>1.333299243199018</v>
      </c>
      <c r="J280" s="464">
        <v>97.777500000000003</v>
      </c>
      <c r="K280" s="468">
        <v>3</v>
      </c>
      <c r="L280" s="468">
        <v>293.34000000000003</v>
      </c>
      <c r="M280" s="464">
        <v>1</v>
      </c>
      <c r="N280" s="464">
        <v>97.780000000000015</v>
      </c>
      <c r="O280" s="468">
        <v>3</v>
      </c>
      <c r="P280" s="468">
        <v>293.34000000000003</v>
      </c>
      <c r="Q280" s="491">
        <v>1</v>
      </c>
      <c r="R280" s="469">
        <v>97.780000000000015</v>
      </c>
    </row>
    <row r="281" spans="1:18" ht="14.4" customHeight="1" x14ac:dyDescent="0.3">
      <c r="A281" s="463"/>
      <c r="B281" s="464" t="s">
        <v>938</v>
      </c>
      <c r="C281" s="464" t="s">
        <v>933</v>
      </c>
      <c r="D281" s="464" t="s">
        <v>986</v>
      </c>
      <c r="E281" s="464" t="s">
        <v>1135</v>
      </c>
      <c r="F281" s="464" t="s">
        <v>1137</v>
      </c>
      <c r="G281" s="468">
        <v>4</v>
      </c>
      <c r="H281" s="468">
        <v>391.11</v>
      </c>
      <c r="I281" s="464">
        <v>1</v>
      </c>
      <c r="J281" s="464">
        <v>97.777500000000003</v>
      </c>
      <c r="K281" s="468">
        <v>4</v>
      </c>
      <c r="L281" s="468">
        <v>391.11</v>
      </c>
      <c r="M281" s="464">
        <v>1</v>
      </c>
      <c r="N281" s="464">
        <v>97.777500000000003</v>
      </c>
      <c r="O281" s="468">
        <v>4</v>
      </c>
      <c r="P281" s="468">
        <v>391.12</v>
      </c>
      <c r="Q281" s="491">
        <v>1.0000255682544552</v>
      </c>
      <c r="R281" s="469">
        <v>97.78</v>
      </c>
    </row>
    <row r="282" spans="1:18" ht="14.4" customHeight="1" x14ac:dyDescent="0.3">
      <c r="A282" s="463"/>
      <c r="B282" s="464" t="s">
        <v>938</v>
      </c>
      <c r="C282" s="464" t="s">
        <v>933</v>
      </c>
      <c r="D282" s="464" t="s">
        <v>986</v>
      </c>
      <c r="E282" s="464" t="s">
        <v>1138</v>
      </c>
      <c r="F282" s="464" t="s">
        <v>1139</v>
      </c>
      <c r="G282" s="468">
        <v>1</v>
      </c>
      <c r="H282" s="468">
        <v>481.11</v>
      </c>
      <c r="I282" s="464"/>
      <c r="J282" s="464">
        <v>481.11</v>
      </c>
      <c r="K282" s="468"/>
      <c r="L282" s="468"/>
      <c r="M282" s="464"/>
      <c r="N282" s="464"/>
      <c r="O282" s="468"/>
      <c r="P282" s="468"/>
      <c r="Q282" s="491"/>
      <c r="R282" s="469"/>
    </row>
    <row r="283" spans="1:18" ht="14.4" customHeight="1" x14ac:dyDescent="0.3">
      <c r="A283" s="463"/>
      <c r="B283" s="464" t="s">
        <v>1140</v>
      </c>
      <c r="C283" s="464" t="s">
        <v>930</v>
      </c>
      <c r="D283" s="464" t="s">
        <v>939</v>
      </c>
      <c r="E283" s="464" t="s">
        <v>1141</v>
      </c>
      <c r="F283" s="464"/>
      <c r="G283" s="468">
        <v>1</v>
      </c>
      <c r="H283" s="468">
        <v>113</v>
      </c>
      <c r="I283" s="464">
        <v>0.16666666666666666</v>
      </c>
      <c r="J283" s="464">
        <v>113</v>
      </c>
      <c r="K283" s="468">
        <v>6</v>
      </c>
      <c r="L283" s="468">
        <v>678</v>
      </c>
      <c r="M283" s="464">
        <v>1</v>
      </c>
      <c r="N283" s="464">
        <v>113</v>
      </c>
      <c r="O283" s="468">
        <v>3</v>
      </c>
      <c r="P283" s="468">
        <v>339</v>
      </c>
      <c r="Q283" s="491">
        <v>0.5</v>
      </c>
      <c r="R283" s="469">
        <v>113</v>
      </c>
    </row>
    <row r="284" spans="1:18" ht="14.4" customHeight="1" x14ac:dyDescent="0.3">
      <c r="A284" s="463"/>
      <c r="B284" s="464" t="s">
        <v>1140</v>
      </c>
      <c r="C284" s="464" t="s">
        <v>930</v>
      </c>
      <c r="D284" s="464" t="s">
        <v>939</v>
      </c>
      <c r="E284" s="464" t="s">
        <v>1142</v>
      </c>
      <c r="F284" s="464"/>
      <c r="G284" s="468"/>
      <c r="H284" s="468"/>
      <c r="I284" s="464"/>
      <c r="J284" s="464"/>
      <c r="K284" s="468">
        <v>4</v>
      </c>
      <c r="L284" s="468">
        <v>4032</v>
      </c>
      <c r="M284" s="464">
        <v>1</v>
      </c>
      <c r="N284" s="464">
        <v>1008</v>
      </c>
      <c r="O284" s="468">
        <v>1</v>
      </c>
      <c r="P284" s="468">
        <v>1008</v>
      </c>
      <c r="Q284" s="491">
        <v>0.25</v>
      </c>
      <c r="R284" s="469">
        <v>1008</v>
      </c>
    </row>
    <row r="285" spans="1:18" ht="14.4" customHeight="1" x14ac:dyDescent="0.3">
      <c r="A285" s="463"/>
      <c r="B285" s="464" t="s">
        <v>1140</v>
      </c>
      <c r="C285" s="464" t="s">
        <v>930</v>
      </c>
      <c r="D285" s="464" t="s">
        <v>939</v>
      </c>
      <c r="E285" s="464" t="s">
        <v>1143</v>
      </c>
      <c r="F285" s="464"/>
      <c r="G285" s="468">
        <v>96</v>
      </c>
      <c r="H285" s="468">
        <v>20832</v>
      </c>
      <c r="I285" s="464">
        <v>0.94117647058823528</v>
      </c>
      <c r="J285" s="464">
        <v>217</v>
      </c>
      <c r="K285" s="468">
        <v>102</v>
      </c>
      <c r="L285" s="468">
        <v>22134</v>
      </c>
      <c r="M285" s="464">
        <v>1</v>
      </c>
      <c r="N285" s="464">
        <v>217</v>
      </c>
      <c r="O285" s="468">
        <v>86</v>
      </c>
      <c r="P285" s="468">
        <v>18662</v>
      </c>
      <c r="Q285" s="491">
        <v>0.84313725490196079</v>
      </c>
      <c r="R285" s="469">
        <v>217</v>
      </c>
    </row>
    <row r="286" spans="1:18" ht="14.4" customHeight="1" x14ac:dyDescent="0.3">
      <c r="A286" s="463"/>
      <c r="B286" s="464" t="s">
        <v>1140</v>
      </c>
      <c r="C286" s="464" t="s">
        <v>930</v>
      </c>
      <c r="D286" s="464" t="s">
        <v>939</v>
      </c>
      <c r="E286" s="464" t="s">
        <v>1144</v>
      </c>
      <c r="F286" s="464"/>
      <c r="G286" s="468">
        <v>1</v>
      </c>
      <c r="H286" s="468">
        <v>1289</v>
      </c>
      <c r="I286" s="464"/>
      <c r="J286" s="464">
        <v>1289</v>
      </c>
      <c r="K286" s="468"/>
      <c r="L286" s="468"/>
      <c r="M286" s="464"/>
      <c r="N286" s="464"/>
      <c r="O286" s="468"/>
      <c r="P286" s="468"/>
      <c r="Q286" s="491"/>
      <c r="R286" s="469"/>
    </row>
    <row r="287" spans="1:18" ht="14.4" customHeight="1" x14ac:dyDescent="0.3">
      <c r="A287" s="463"/>
      <c r="B287" s="464" t="s">
        <v>1140</v>
      </c>
      <c r="C287" s="464" t="s">
        <v>930</v>
      </c>
      <c r="D287" s="464" t="s">
        <v>939</v>
      </c>
      <c r="E287" s="464" t="s">
        <v>1145</v>
      </c>
      <c r="F287" s="464"/>
      <c r="G287" s="468">
        <v>1</v>
      </c>
      <c r="H287" s="468">
        <v>1770</v>
      </c>
      <c r="I287" s="464">
        <v>1</v>
      </c>
      <c r="J287" s="464">
        <v>1770</v>
      </c>
      <c r="K287" s="468">
        <v>1</v>
      </c>
      <c r="L287" s="468">
        <v>1770</v>
      </c>
      <c r="M287" s="464">
        <v>1</v>
      </c>
      <c r="N287" s="464">
        <v>1770</v>
      </c>
      <c r="O287" s="468"/>
      <c r="P287" s="468"/>
      <c r="Q287" s="491"/>
      <c r="R287" s="469"/>
    </row>
    <row r="288" spans="1:18" ht="14.4" customHeight="1" x14ac:dyDescent="0.3">
      <c r="A288" s="463"/>
      <c r="B288" s="464" t="s">
        <v>1140</v>
      </c>
      <c r="C288" s="464" t="s">
        <v>930</v>
      </c>
      <c r="D288" s="464" t="s">
        <v>939</v>
      </c>
      <c r="E288" s="464" t="s">
        <v>1146</v>
      </c>
      <c r="F288" s="464"/>
      <c r="G288" s="468"/>
      <c r="H288" s="468"/>
      <c r="I288" s="464"/>
      <c r="J288" s="464"/>
      <c r="K288" s="468">
        <v>1</v>
      </c>
      <c r="L288" s="468">
        <v>2450</v>
      </c>
      <c r="M288" s="464">
        <v>1</v>
      </c>
      <c r="N288" s="464">
        <v>2450</v>
      </c>
      <c r="O288" s="468">
        <v>1</v>
      </c>
      <c r="P288" s="468">
        <v>2450</v>
      </c>
      <c r="Q288" s="491">
        <v>1</v>
      </c>
      <c r="R288" s="469">
        <v>2450</v>
      </c>
    </row>
    <row r="289" spans="1:18" ht="14.4" customHeight="1" x14ac:dyDescent="0.3">
      <c r="A289" s="463"/>
      <c r="B289" s="464" t="s">
        <v>1140</v>
      </c>
      <c r="C289" s="464" t="s">
        <v>930</v>
      </c>
      <c r="D289" s="464" t="s">
        <v>939</v>
      </c>
      <c r="E289" s="464" t="s">
        <v>1147</v>
      </c>
      <c r="F289" s="464"/>
      <c r="G289" s="468">
        <v>2</v>
      </c>
      <c r="H289" s="468">
        <v>2606</v>
      </c>
      <c r="I289" s="464"/>
      <c r="J289" s="464">
        <v>1303</v>
      </c>
      <c r="K289" s="468"/>
      <c r="L289" s="468"/>
      <c r="M289" s="464"/>
      <c r="N289" s="464"/>
      <c r="O289" s="468">
        <v>2</v>
      </c>
      <c r="P289" s="468">
        <v>2606</v>
      </c>
      <c r="Q289" s="491"/>
      <c r="R289" s="469">
        <v>1303</v>
      </c>
    </row>
    <row r="290" spans="1:18" ht="14.4" customHeight="1" x14ac:dyDescent="0.3">
      <c r="A290" s="463"/>
      <c r="B290" s="464" t="s">
        <v>1140</v>
      </c>
      <c r="C290" s="464" t="s">
        <v>930</v>
      </c>
      <c r="D290" s="464" t="s">
        <v>939</v>
      </c>
      <c r="E290" s="464" t="s">
        <v>1148</v>
      </c>
      <c r="F290" s="464"/>
      <c r="G290" s="468">
        <v>41</v>
      </c>
      <c r="H290" s="468">
        <v>42763</v>
      </c>
      <c r="I290" s="464">
        <v>0.68333333333333335</v>
      </c>
      <c r="J290" s="464">
        <v>1043</v>
      </c>
      <c r="K290" s="468">
        <v>60</v>
      </c>
      <c r="L290" s="468">
        <v>62580</v>
      </c>
      <c r="M290" s="464">
        <v>1</v>
      </c>
      <c r="N290" s="464">
        <v>1043</v>
      </c>
      <c r="O290" s="468">
        <v>28</v>
      </c>
      <c r="P290" s="468">
        <v>29204</v>
      </c>
      <c r="Q290" s="491">
        <v>0.46666666666666667</v>
      </c>
      <c r="R290" s="469">
        <v>1043</v>
      </c>
    </row>
    <row r="291" spans="1:18" ht="14.4" customHeight="1" x14ac:dyDescent="0.3">
      <c r="A291" s="463"/>
      <c r="B291" s="464" t="s">
        <v>1140</v>
      </c>
      <c r="C291" s="464" t="s">
        <v>930</v>
      </c>
      <c r="D291" s="464" t="s">
        <v>939</v>
      </c>
      <c r="E291" s="464" t="s">
        <v>1149</v>
      </c>
      <c r="F291" s="464"/>
      <c r="G291" s="468">
        <v>1</v>
      </c>
      <c r="H291" s="468">
        <v>1654</v>
      </c>
      <c r="I291" s="464"/>
      <c r="J291" s="464">
        <v>1654</v>
      </c>
      <c r="K291" s="468"/>
      <c r="L291" s="468"/>
      <c r="M291" s="464"/>
      <c r="N291" s="464"/>
      <c r="O291" s="468">
        <v>1</v>
      </c>
      <c r="P291" s="468">
        <v>1654</v>
      </c>
      <c r="Q291" s="491"/>
      <c r="R291" s="469">
        <v>1654</v>
      </c>
    </row>
    <row r="292" spans="1:18" ht="14.4" customHeight="1" x14ac:dyDescent="0.3">
      <c r="A292" s="463"/>
      <c r="B292" s="464" t="s">
        <v>1140</v>
      </c>
      <c r="C292" s="464" t="s">
        <v>930</v>
      </c>
      <c r="D292" s="464" t="s">
        <v>939</v>
      </c>
      <c r="E292" s="464" t="s">
        <v>1150</v>
      </c>
      <c r="F292" s="464"/>
      <c r="G292" s="468">
        <v>5</v>
      </c>
      <c r="H292" s="468">
        <v>6615</v>
      </c>
      <c r="I292" s="464">
        <v>1</v>
      </c>
      <c r="J292" s="464">
        <v>1323</v>
      </c>
      <c r="K292" s="468">
        <v>5</v>
      </c>
      <c r="L292" s="468">
        <v>6615</v>
      </c>
      <c r="M292" s="464">
        <v>1</v>
      </c>
      <c r="N292" s="464">
        <v>1323</v>
      </c>
      <c r="O292" s="468">
        <v>1</v>
      </c>
      <c r="P292" s="468">
        <v>1323</v>
      </c>
      <c r="Q292" s="491">
        <v>0.2</v>
      </c>
      <c r="R292" s="469">
        <v>1323</v>
      </c>
    </row>
    <row r="293" spans="1:18" ht="14.4" customHeight="1" x14ac:dyDescent="0.3">
      <c r="A293" s="463"/>
      <c r="B293" s="464" t="s">
        <v>1140</v>
      </c>
      <c r="C293" s="464" t="s">
        <v>930</v>
      </c>
      <c r="D293" s="464" t="s">
        <v>939</v>
      </c>
      <c r="E293" s="464" t="s">
        <v>1151</v>
      </c>
      <c r="F293" s="464"/>
      <c r="G293" s="468">
        <v>1</v>
      </c>
      <c r="H293" s="468">
        <v>2416</v>
      </c>
      <c r="I293" s="464"/>
      <c r="J293" s="464">
        <v>2416</v>
      </c>
      <c r="K293" s="468"/>
      <c r="L293" s="468"/>
      <c r="M293" s="464"/>
      <c r="N293" s="464"/>
      <c r="O293" s="468"/>
      <c r="P293" s="468"/>
      <c r="Q293" s="491"/>
      <c r="R293" s="469"/>
    </row>
    <row r="294" spans="1:18" ht="14.4" customHeight="1" x14ac:dyDescent="0.3">
      <c r="A294" s="463"/>
      <c r="B294" s="464" t="s">
        <v>1140</v>
      </c>
      <c r="C294" s="464" t="s">
        <v>930</v>
      </c>
      <c r="D294" s="464" t="s">
        <v>939</v>
      </c>
      <c r="E294" s="464" t="s">
        <v>1152</v>
      </c>
      <c r="F294" s="464"/>
      <c r="G294" s="468"/>
      <c r="H294" s="468"/>
      <c r="I294" s="464"/>
      <c r="J294" s="464"/>
      <c r="K294" s="468"/>
      <c r="L294" s="468"/>
      <c r="M294" s="464"/>
      <c r="N294" s="464"/>
      <c r="O294" s="468">
        <v>1</v>
      </c>
      <c r="P294" s="468">
        <v>1933</v>
      </c>
      <c r="Q294" s="491"/>
      <c r="R294" s="469">
        <v>1933</v>
      </c>
    </row>
    <row r="295" spans="1:18" ht="14.4" customHeight="1" x14ac:dyDescent="0.3">
      <c r="A295" s="463"/>
      <c r="B295" s="464" t="s">
        <v>1140</v>
      </c>
      <c r="C295" s="464" t="s">
        <v>930</v>
      </c>
      <c r="D295" s="464" t="s">
        <v>939</v>
      </c>
      <c r="E295" s="464" t="s">
        <v>1153</v>
      </c>
      <c r="F295" s="464"/>
      <c r="G295" s="468"/>
      <c r="H295" s="468"/>
      <c r="I295" s="464"/>
      <c r="J295" s="464"/>
      <c r="K295" s="468"/>
      <c r="L295" s="468"/>
      <c r="M295" s="464"/>
      <c r="N295" s="464"/>
      <c r="O295" s="468">
        <v>2</v>
      </c>
      <c r="P295" s="468">
        <v>1356</v>
      </c>
      <c r="Q295" s="491"/>
      <c r="R295" s="469">
        <v>678</v>
      </c>
    </row>
    <row r="296" spans="1:18" ht="14.4" customHeight="1" x14ac:dyDescent="0.3">
      <c r="A296" s="463"/>
      <c r="B296" s="464" t="s">
        <v>1140</v>
      </c>
      <c r="C296" s="464" t="s">
        <v>930</v>
      </c>
      <c r="D296" s="464" t="s">
        <v>939</v>
      </c>
      <c r="E296" s="464" t="s">
        <v>1154</v>
      </c>
      <c r="F296" s="464"/>
      <c r="G296" s="468">
        <v>11</v>
      </c>
      <c r="H296" s="468">
        <v>5962</v>
      </c>
      <c r="I296" s="464">
        <v>0.55000000000000004</v>
      </c>
      <c r="J296" s="464">
        <v>542</v>
      </c>
      <c r="K296" s="468">
        <v>20</v>
      </c>
      <c r="L296" s="468">
        <v>10840</v>
      </c>
      <c r="M296" s="464">
        <v>1</v>
      </c>
      <c r="N296" s="464">
        <v>542</v>
      </c>
      <c r="O296" s="468">
        <v>18</v>
      </c>
      <c r="P296" s="468">
        <v>9756</v>
      </c>
      <c r="Q296" s="491">
        <v>0.9</v>
      </c>
      <c r="R296" s="469">
        <v>542</v>
      </c>
    </row>
    <row r="297" spans="1:18" ht="14.4" customHeight="1" x14ac:dyDescent="0.3">
      <c r="A297" s="463"/>
      <c r="B297" s="464" t="s">
        <v>1140</v>
      </c>
      <c r="C297" s="464" t="s">
        <v>930</v>
      </c>
      <c r="D297" s="464" t="s">
        <v>939</v>
      </c>
      <c r="E297" s="464" t="s">
        <v>1155</v>
      </c>
      <c r="F297" s="464"/>
      <c r="G297" s="468">
        <v>2</v>
      </c>
      <c r="H297" s="468">
        <v>596</v>
      </c>
      <c r="I297" s="464"/>
      <c r="J297" s="464">
        <v>298</v>
      </c>
      <c r="K297" s="468"/>
      <c r="L297" s="468"/>
      <c r="M297" s="464"/>
      <c r="N297" s="464"/>
      <c r="O297" s="468">
        <v>2</v>
      </c>
      <c r="P297" s="468">
        <v>596</v>
      </c>
      <c r="Q297" s="491"/>
      <c r="R297" s="469">
        <v>298</v>
      </c>
    </row>
    <row r="298" spans="1:18" ht="14.4" customHeight="1" x14ac:dyDescent="0.3">
      <c r="A298" s="463"/>
      <c r="B298" s="464" t="s">
        <v>1140</v>
      </c>
      <c r="C298" s="464" t="s">
        <v>930</v>
      </c>
      <c r="D298" s="464" t="s">
        <v>939</v>
      </c>
      <c r="E298" s="464" t="s">
        <v>1156</v>
      </c>
      <c r="F298" s="464"/>
      <c r="G298" s="468">
        <v>15</v>
      </c>
      <c r="H298" s="468">
        <v>8685</v>
      </c>
      <c r="I298" s="464">
        <v>1.0714285714285714</v>
      </c>
      <c r="J298" s="464">
        <v>579</v>
      </c>
      <c r="K298" s="468">
        <v>14</v>
      </c>
      <c r="L298" s="468">
        <v>8106</v>
      </c>
      <c r="M298" s="464">
        <v>1</v>
      </c>
      <c r="N298" s="464">
        <v>579</v>
      </c>
      <c r="O298" s="468">
        <v>23</v>
      </c>
      <c r="P298" s="468">
        <v>13317</v>
      </c>
      <c r="Q298" s="491">
        <v>1.6428571428571428</v>
      </c>
      <c r="R298" s="469">
        <v>579</v>
      </c>
    </row>
    <row r="299" spans="1:18" ht="14.4" customHeight="1" x14ac:dyDescent="0.3">
      <c r="A299" s="463"/>
      <c r="B299" s="464" t="s">
        <v>1140</v>
      </c>
      <c r="C299" s="464" t="s">
        <v>930</v>
      </c>
      <c r="D299" s="464" t="s">
        <v>939</v>
      </c>
      <c r="E299" s="464" t="s">
        <v>940</v>
      </c>
      <c r="F299" s="464"/>
      <c r="G299" s="468">
        <v>5</v>
      </c>
      <c r="H299" s="468">
        <v>565</v>
      </c>
      <c r="I299" s="464">
        <v>1</v>
      </c>
      <c r="J299" s="464">
        <v>113</v>
      </c>
      <c r="K299" s="468">
        <v>5</v>
      </c>
      <c r="L299" s="468">
        <v>565</v>
      </c>
      <c r="M299" s="464">
        <v>1</v>
      </c>
      <c r="N299" s="464">
        <v>113</v>
      </c>
      <c r="O299" s="468">
        <v>10</v>
      </c>
      <c r="P299" s="468">
        <v>1130</v>
      </c>
      <c r="Q299" s="491">
        <v>2</v>
      </c>
      <c r="R299" s="469">
        <v>113</v>
      </c>
    </row>
    <row r="300" spans="1:18" ht="14.4" customHeight="1" x14ac:dyDescent="0.3">
      <c r="A300" s="463"/>
      <c r="B300" s="464" t="s">
        <v>1140</v>
      </c>
      <c r="C300" s="464" t="s">
        <v>930</v>
      </c>
      <c r="D300" s="464" t="s">
        <v>939</v>
      </c>
      <c r="E300" s="464" t="s">
        <v>941</v>
      </c>
      <c r="F300" s="464"/>
      <c r="G300" s="468">
        <v>3</v>
      </c>
      <c r="H300" s="468">
        <v>396</v>
      </c>
      <c r="I300" s="464"/>
      <c r="J300" s="464">
        <v>132</v>
      </c>
      <c r="K300" s="468"/>
      <c r="L300" s="468"/>
      <c r="M300" s="464"/>
      <c r="N300" s="464"/>
      <c r="O300" s="468">
        <v>2</v>
      </c>
      <c r="P300" s="468">
        <v>264</v>
      </c>
      <c r="Q300" s="491"/>
      <c r="R300" s="469">
        <v>132</v>
      </c>
    </row>
    <row r="301" spans="1:18" ht="14.4" customHeight="1" x14ac:dyDescent="0.3">
      <c r="A301" s="463"/>
      <c r="B301" s="464" t="s">
        <v>1140</v>
      </c>
      <c r="C301" s="464" t="s">
        <v>930</v>
      </c>
      <c r="D301" s="464" t="s">
        <v>939</v>
      </c>
      <c r="E301" s="464" t="s">
        <v>942</v>
      </c>
      <c r="F301" s="464"/>
      <c r="G301" s="468">
        <v>3</v>
      </c>
      <c r="H301" s="468">
        <v>468</v>
      </c>
      <c r="I301" s="464"/>
      <c r="J301" s="464">
        <v>156</v>
      </c>
      <c r="K301" s="468"/>
      <c r="L301" s="468"/>
      <c r="M301" s="464"/>
      <c r="N301" s="464"/>
      <c r="O301" s="468">
        <v>2</v>
      </c>
      <c r="P301" s="468">
        <v>312</v>
      </c>
      <c r="Q301" s="491"/>
      <c r="R301" s="469">
        <v>156</v>
      </c>
    </row>
    <row r="302" spans="1:18" ht="14.4" customHeight="1" x14ac:dyDescent="0.3">
      <c r="A302" s="463"/>
      <c r="B302" s="464" t="s">
        <v>1140</v>
      </c>
      <c r="C302" s="464" t="s">
        <v>930</v>
      </c>
      <c r="D302" s="464" t="s">
        <v>939</v>
      </c>
      <c r="E302" s="464" t="s">
        <v>964</v>
      </c>
      <c r="F302" s="464"/>
      <c r="G302" s="468"/>
      <c r="H302" s="468"/>
      <c r="I302" s="464"/>
      <c r="J302" s="464"/>
      <c r="K302" s="468">
        <v>1</v>
      </c>
      <c r="L302" s="468">
        <v>2000</v>
      </c>
      <c r="M302" s="464">
        <v>1</v>
      </c>
      <c r="N302" s="464">
        <v>2000</v>
      </c>
      <c r="O302" s="468"/>
      <c r="P302" s="468"/>
      <c r="Q302" s="491"/>
      <c r="R302" s="469"/>
    </row>
    <row r="303" spans="1:18" ht="14.4" customHeight="1" x14ac:dyDescent="0.3">
      <c r="A303" s="463"/>
      <c r="B303" s="464" t="s">
        <v>1140</v>
      </c>
      <c r="C303" s="464" t="s">
        <v>930</v>
      </c>
      <c r="D303" s="464" t="s">
        <v>939</v>
      </c>
      <c r="E303" s="464" t="s">
        <v>1157</v>
      </c>
      <c r="F303" s="464"/>
      <c r="G303" s="468">
        <v>3</v>
      </c>
      <c r="H303" s="468">
        <v>3024</v>
      </c>
      <c r="I303" s="464"/>
      <c r="J303" s="464">
        <v>1008</v>
      </c>
      <c r="K303" s="468"/>
      <c r="L303" s="468"/>
      <c r="M303" s="464"/>
      <c r="N303" s="464"/>
      <c r="O303" s="468">
        <v>2</v>
      </c>
      <c r="P303" s="468">
        <v>2016</v>
      </c>
      <c r="Q303" s="491"/>
      <c r="R303" s="469">
        <v>1008</v>
      </c>
    </row>
    <row r="304" spans="1:18" ht="14.4" customHeight="1" x14ac:dyDescent="0.3">
      <c r="A304" s="463"/>
      <c r="B304" s="464" t="s">
        <v>1140</v>
      </c>
      <c r="C304" s="464" t="s">
        <v>930</v>
      </c>
      <c r="D304" s="464" t="s">
        <v>939</v>
      </c>
      <c r="E304" s="464" t="s">
        <v>1158</v>
      </c>
      <c r="F304" s="464"/>
      <c r="G304" s="468">
        <v>50</v>
      </c>
      <c r="H304" s="468">
        <v>10850</v>
      </c>
      <c r="I304" s="464">
        <v>1.2820512820512822</v>
      </c>
      <c r="J304" s="464">
        <v>217</v>
      </c>
      <c r="K304" s="468">
        <v>39</v>
      </c>
      <c r="L304" s="468">
        <v>8463</v>
      </c>
      <c r="M304" s="464">
        <v>1</v>
      </c>
      <c r="N304" s="464">
        <v>217</v>
      </c>
      <c r="O304" s="468">
        <v>44</v>
      </c>
      <c r="P304" s="468">
        <v>9548</v>
      </c>
      <c r="Q304" s="491">
        <v>1.1282051282051282</v>
      </c>
      <c r="R304" s="469">
        <v>217</v>
      </c>
    </row>
    <row r="305" spans="1:18" ht="14.4" customHeight="1" x14ac:dyDescent="0.3">
      <c r="A305" s="463"/>
      <c r="B305" s="464" t="s">
        <v>1140</v>
      </c>
      <c r="C305" s="464" t="s">
        <v>930</v>
      </c>
      <c r="D305" s="464" t="s">
        <v>939</v>
      </c>
      <c r="E305" s="464" t="s">
        <v>1159</v>
      </c>
      <c r="F305" s="464"/>
      <c r="G305" s="468">
        <v>24</v>
      </c>
      <c r="H305" s="468">
        <v>25032</v>
      </c>
      <c r="I305" s="464">
        <v>0.96</v>
      </c>
      <c r="J305" s="464">
        <v>1043</v>
      </c>
      <c r="K305" s="468">
        <v>25</v>
      </c>
      <c r="L305" s="468">
        <v>26075</v>
      </c>
      <c r="M305" s="464">
        <v>1</v>
      </c>
      <c r="N305" s="464">
        <v>1043</v>
      </c>
      <c r="O305" s="468">
        <v>36</v>
      </c>
      <c r="P305" s="468">
        <v>37548</v>
      </c>
      <c r="Q305" s="491">
        <v>1.44</v>
      </c>
      <c r="R305" s="469">
        <v>1043</v>
      </c>
    </row>
    <row r="306" spans="1:18" ht="14.4" customHeight="1" x14ac:dyDescent="0.3">
      <c r="A306" s="463"/>
      <c r="B306" s="464" t="s">
        <v>1140</v>
      </c>
      <c r="C306" s="464" t="s">
        <v>930</v>
      </c>
      <c r="D306" s="464" t="s">
        <v>939</v>
      </c>
      <c r="E306" s="464" t="s">
        <v>1160</v>
      </c>
      <c r="F306" s="464"/>
      <c r="G306" s="468">
        <v>1</v>
      </c>
      <c r="H306" s="468">
        <v>1323</v>
      </c>
      <c r="I306" s="464">
        <v>1</v>
      </c>
      <c r="J306" s="464">
        <v>1323</v>
      </c>
      <c r="K306" s="468">
        <v>1</v>
      </c>
      <c r="L306" s="468">
        <v>1323</v>
      </c>
      <c r="M306" s="464">
        <v>1</v>
      </c>
      <c r="N306" s="464">
        <v>1323</v>
      </c>
      <c r="O306" s="468">
        <v>1</v>
      </c>
      <c r="P306" s="468">
        <v>1323</v>
      </c>
      <c r="Q306" s="491">
        <v>1</v>
      </c>
      <c r="R306" s="469">
        <v>1323</v>
      </c>
    </row>
    <row r="307" spans="1:18" ht="14.4" customHeight="1" x14ac:dyDescent="0.3">
      <c r="A307" s="463"/>
      <c r="B307" s="464" t="s">
        <v>1140</v>
      </c>
      <c r="C307" s="464" t="s">
        <v>930</v>
      </c>
      <c r="D307" s="464" t="s">
        <v>939</v>
      </c>
      <c r="E307" s="464" t="s">
        <v>1161</v>
      </c>
      <c r="F307" s="464"/>
      <c r="G307" s="468">
        <v>4</v>
      </c>
      <c r="H307" s="468">
        <v>2168</v>
      </c>
      <c r="I307" s="464">
        <v>0.5714285714285714</v>
      </c>
      <c r="J307" s="464">
        <v>542</v>
      </c>
      <c r="K307" s="468">
        <v>7</v>
      </c>
      <c r="L307" s="468">
        <v>3794</v>
      </c>
      <c r="M307" s="464">
        <v>1</v>
      </c>
      <c r="N307" s="464">
        <v>542</v>
      </c>
      <c r="O307" s="468">
        <v>1</v>
      </c>
      <c r="P307" s="468">
        <v>542</v>
      </c>
      <c r="Q307" s="491">
        <v>0.14285714285714285</v>
      </c>
      <c r="R307" s="469">
        <v>542</v>
      </c>
    </row>
    <row r="308" spans="1:18" ht="14.4" customHeight="1" x14ac:dyDescent="0.3">
      <c r="A308" s="463"/>
      <c r="B308" s="464" t="s">
        <v>1140</v>
      </c>
      <c r="C308" s="464" t="s">
        <v>930</v>
      </c>
      <c r="D308" s="464" t="s">
        <v>939</v>
      </c>
      <c r="E308" s="464" t="s">
        <v>1162</v>
      </c>
      <c r="F308" s="464"/>
      <c r="G308" s="468">
        <v>5</v>
      </c>
      <c r="H308" s="468">
        <v>1490</v>
      </c>
      <c r="I308" s="464"/>
      <c r="J308" s="464">
        <v>298</v>
      </c>
      <c r="K308" s="468"/>
      <c r="L308" s="468"/>
      <c r="M308" s="464"/>
      <c r="N308" s="464"/>
      <c r="O308" s="468"/>
      <c r="P308" s="468"/>
      <c r="Q308" s="491"/>
      <c r="R308" s="469"/>
    </row>
    <row r="309" spans="1:18" ht="14.4" customHeight="1" x14ac:dyDescent="0.3">
      <c r="A309" s="463"/>
      <c r="B309" s="464" t="s">
        <v>1140</v>
      </c>
      <c r="C309" s="464" t="s">
        <v>930</v>
      </c>
      <c r="D309" s="464" t="s">
        <v>939</v>
      </c>
      <c r="E309" s="464" t="s">
        <v>1163</v>
      </c>
      <c r="F309" s="464"/>
      <c r="G309" s="468">
        <v>18</v>
      </c>
      <c r="H309" s="468">
        <v>10422</v>
      </c>
      <c r="I309" s="464">
        <v>0.9</v>
      </c>
      <c r="J309" s="464">
        <v>579</v>
      </c>
      <c r="K309" s="468">
        <v>20</v>
      </c>
      <c r="L309" s="468">
        <v>11580</v>
      </c>
      <c r="M309" s="464">
        <v>1</v>
      </c>
      <c r="N309" s="464">
        <v>579</v>
      </c>
      <c r="O309" s="468">
        <v>19</v>
      </c>
      <c r="P309" s="468">
        <v>11001</v>
      </c>
      <c r="Q309" s="491">
        <v>0.95</v>
      </c>
      <c r="R309" s="469">
        <v>579</v>
      </c>
    </row>
    <row r="310" spans="1:18" ht="14.4" customHeight="1" x14ac:dyDescent="0.3">
      <c r="A310" s="463"/>
      <c r="B310" s="464" t="s">
        <v>1140</v>
      </c>
      <c r="C310" s="464" t="s">
        <v>930</v>
      </c>
      <c r="D310" s="464" t="s">
        <v>939</v>
      </c>
      <c r="E310" s="464" t="s">
        <v>1164</v>
      </c>
      <c r="F310" s="464"/>
      <c r="G310" s="468">
        <v>1</v>
      </c>
      <c r="H310" s="468">
        <v>2416</v>
      </c>
      <c r="I310" s="464"/>
      <c r="J310" s="464">
        <v>2416</v>
      </c>
      <c r="K310" s="468"/>
      <c r="L310" s="468"/>
      <c r="M310" s="464"/>
      <c r="N310" s="464"/>
      <c r="O310" s="468"/>
      <c r="P310" s="468"/>
      <c r="Q310" s="491"/>
      <c r="R310" s="469"/>
    </row>
    <row r="311" spans="1:18" ht="14.4" customHeight="1" x14ac:dyDescent="0.3">
      <c r="A311" s="463"/>
      <c r="B311" s="464" t="s">
        <v>1140</v>
      </c>
      <c r="C311" s="464" t="s">
        <v>930</v>
      </c>
      <c r="D311" s="464" t="s">
        <v>986</v>
      </c>
      <c r="E311" s="464" t="s">
        <v>992</v>
      </c>
      <c r="F311" s="464" t="s">
        <v>1071</v>
      </c>
      <c r="G311" s="468">
        <v>2</v>
      </c>
      <c r="H311" s="468">
        <v>155.56</v>
      </c>
      <c r="I311" s="464"/>
      <c r="J311" s="464">
        <v>77.78</v>
      </c>
      <c r="K311" s="468"/>
      <c r="L311" s="468"/>
      <c r="M311" s="464"/>
      <c r="N311" s="464"/>
      <c r="O311" s="468"/>
      <c r="P311" s="468"/>
      <c r="Q311" s="491"/>
      <c r="R311" s="469"/>
    </row>
    <row r="312" spans="1:18" ht="14.4" customHeight="1" x14ac:dyDescent="0.3">
      <c r="A312" s="463"/>
      <c r="B312" s="464" t="s">
        <v>1140</v>
      </c>
      <c r="C312" s="464" t="s">
        <v>930</v>
      </c>
      <c r="D312" s="464" t="s">
        <v>986</v>
      </c>
      <c r="E312" s="464" t="s">
        <v>992</v>
      </c>
      <c r="F312" s="464" t="s">
        <v>993</v>
      </c>
      <c r="G312" s="468"/>
      <c r="H312" s="468"/>
      <c r="I312" s="464"/>
      <c r="J312" s="464"/>
      <c r="K312" s="468">
        <v>3</v>
      </c>
      <c r="L312" s="468">
        <v>233.34</v>
      </c>
      <c r="M312" s="464">
        <v>1</v>
      </c>
      <c r="N312" s="464">
        <v>77.78</v>
      </c>
      <c r="O312" s="468">
        <v>6</v>
      </c>
      <c r="P312" s="468">
        <v>466.67</v>
      </c>
      <c r="Q312" s="491">
        <v>1.9999571440815977</v>
      </c>
      <c r="R312" s="469">
        <v>77.778333333333336</v>
      </c>
    </row>
    <row r="313" spans="1:18" ht="14.4" customHeight="1" x14ac:dyDescent="0.3">
      <c r="A313" s="463"/>
      <c r="B313" s="464" t="s">
        <v>1140</v>
      </c>
      <c r="C313" s="464" t="s">
        <v>930</v>
      </c>
      <c r="D313" s="464" t="s">
        <v>986</v>
      </c>
      <c r="E313" s="464" t="s">
        <v>994</v>
      </c>
      <c r="F313" s="464" t="s">
        <v>995</v>
      </c>
      <c r="G313" s="468">
        <v>9</v>
      </c>
      <c r="H313" s="468">
        <v>2250</v>
      </c>
      <c r="I313" s="464">
        <v>1.2857142857142858</v>
      </c>
      <c r="J313" s="464">
        <v>250</v>
      </c>
      <c r="K313" s="468">
        <v>7</v>
      </c>
      <c r="L313" s="468">
        <v>1750</v>
      </c>
      <c r="M313" s="464">
        <v>1</v>
      </c>
      <c r="N313" s="464">
        <v>250</v>
      </c>
      <c r="O313" s="468">
        <v>8</v>
      </c>
      <c r="P313" s="468">
        <v>2000</v>
      </c>
      <c r="Q313" s="491">
        <v>1.1428571428571428</v>
      </c>
      <c r="R313" s="469">
        <v>250</v>
      </c>
    </row>
    <row r="314" spans="1:18" ht="14.4" customHeight="1" x14ac:dyDescent="0.3">
      <c r="A314" s="463"/>
      <c r="B314" s="464" t="s">
        <v>1140</v>
      </c>
      <c r="C314" s="464" t="s">
        <v>930</v>
      </c>
      <c r="D314" s="464" t="s">
        <v>986</v>
      </c>
      <c r="E314" s="464" t="s">
        <v>994</v>
      </c>
      <c r="F314" s="464" t="s">
        <v>996</v>
      </c>
      <c r="G314" s="468">
        <v>2</v>
      </c>
      <c r="H314" s="468">
        <v>500</v>
      </c>
      <c r="I314" s="464"/>
      <c r="J314" s="464">
        <v>250</v>
      </c>
      <c r="K314" s="468"/>
      <c r="L314" s="468"/>
      <c r="M314" s="464"/>
      <c r="N314" s="464"/>
      <c r="O314" s="468">
        <v>3</v>
      </c>
      <c r="P314" s="468">
        <v>750</v>
      </c>
      <c r="Q314" s="491"/>
      <c r="R314" s="469">
        <v>250</v>
      </c>
    </row>
    <row r="315" spans="1:18" ht="14.4" customHeight="1" x14ac:dyDescent="0.3">
      <c r="A315" s="463"/>
      <c r="B315" s="464" t="s">
        <v>1140</v>
      </c>
      <c r="C315" s="464" t="s">
        <v>930</v>
      </c>
      <c r="D315" s="464" t="s">
        <v>986</v>
      </c>
      <c r="E315" s="464" t="s">
        <v>997</v>
      </c>
      <c r="F315" s="464" t="s">
        <v>1165</v>
      </c>
      <c r="G315" s="468">
        <v>132</v>
      </c>
      <c r="H315" s="468">
        <v>39600</v>
      </c>
      <c r="I315" s="464">
        <v>1.0153846153846153</v>
      </c>
      <c r="J315" s="464">
        <v>300</v>
      </c>
      <c r="K315" s="468">
        <v>130</v>
      </c>
      <c r="L315" s="468">
        <v>39000</v>
      </c>
      <c r="M315" s="464">
        <v>1</v>
      </c>
      <c r="N315" s="464">
        <v>300</v>
      </c>
      <c r="O315" s="468">
        <v>129</v>
      </c>
      <c r="P315" s="468">
        <v>38700</v>
      </c>
      <c r="Q315" s="491">
        <v>0.99230769230769234</v>
      </c>
      <c r="R315" s="469">
        <v>300</v>
      </c>
    </row>
    <row r="316" spans="1:18" ht="14.4" customHeight="1" x14ac:dyDescent="0.3">
      <c r="A316" s="463"/>
      <c r="B316" s="464" t="s">
        <v>1140</v>
      </c>
      <c r="C316" s="464" t="s">
        <v>930</v>
      </c>
      <c r="D316" s="464" t="s">
        <v>986</v>
      </c>
      <c r="E316" s="464" t="s">
        <v>997</v>
      </c>
      <c r="F316" s="464" t="s">
        <v>998</v>
      </c>
      <c r="G316" s="468">
        <v>7</v>
      </c>
      <c r="H316" s="468">
        <v>2100</v>
      </c>
      <c r="I316" s="464"/>
      <c r="J316" s="464">
        <v>300</v>
      </c>
      <c r="K316" s="468"/>
      <c r="L316" s="468"/>
      <c r="M316" s="464"/>
      <c r="N316" s="464"/>
      <c r="O316" s="468"/>
      <c r="P316" s="468"/>
      <c r="Q316" s="491"/>
      <c r="R316" s="469"/>
    </row>
    <row r="317" spans="1:18" ht="14.4" customHeight="1" x14ac:dyDescent="0.3">
      <c r="A317" s="463"/>
      <c r="B317" s="464" t="s">
        <v>1140</v>
      </c>
      <c r="C317" s="464" t="s">
        <v>930</v>
      </c>
      <c r="D317" s="464" t="s">
        <v>986</v>
      </c>
      <c r="E317" s="464" t="s">
        <v>1166</v>
      </c>
      <c r="F317" s="464" t="s">
        <v>1167</v>
      </c>
      <c r="G317" s="468">
        <v>87</v>
      </c>
      <c r="H317" s="468">
        <v>58000.009999999995</v>
      </c>
      <c r="I317" s="464">
        <v>1.2253521513588519</v>
      </c>
      <c r="J317" s="464">
        <v>666.66678160919537</v>
      </c>
      <c r="K317" s="468">
        <v>71</v>
      </c>
      <c r="L317" s="468">
        <v>47333.34</v>
      </c>
      <c r="M317" s="464">
        <v>1</v>
      </c>
      <c r="N317" s="464">
        <v>666.66676056338019</v>
      </c>
      <c r="O317" s="468">
        <v>66</v>
      </c>
      <c r="P317" s="468">
        <v>44000</v>
      </c>
      <c r="Q317" s="491">
        <v>0.92957733386234742</v>
      </c>
      <c r="R317" s="469">
        <v>666.66666666666663</v>
      </c>
    </row>
    <row r="318" spans="1:18" ht="14.4" customHeight="1" x14ac:dyDescent="0.3">
      <c r="A318" s="463"/>
      <c r="B318" s="464" t="s">
        <v>1140</v>
      </c>
      <c r="C318" s="464" t="s">
        <v>930</v>
      </c>
      <c r="D318" s="464" t="s">
        <v>986</v>
      </c>
      <c r="E318" s="464" t="s">
        <v>1166</v>
      </c>
      <c r="F318" s="464" t="s">
        <v>1168</v>
      </c>
      <c r="G318" s="468">
        <v>3</v>
      </c>
      <c r="H318" s="468">
        <v>2000</v>
      </c>
      <c r="I318" s="464"/>
      <c r="J318" s="464">
        <v>666.66666666666663</v>
      </c>
      <c r="K318" s="468"/>
      <c r="L318" s="468"/>
      <c r="M318" s="464"/>
      <c r="N318" s="464"/>
      <c r="O318" s="468">
        <v>5</v>
      </c>
      <c r="P318" s="468">
        <v>3333.33</v>
      </c>
      <c r="Q318" s="491"/>
      <c r="R318" s="469">
        <v>666.66599999999994</v>
      </c>
    </row>
    <row r="319" spans="1:18" ht="14.4" customHeight="1" x14ac:dyDescent="0.3">
      <c r="A319" s="463"/>
      <c r="B319" s="464" t="s">
        <v>1140</v>
      </c>
      <c r="C319" s="464" t="s">
        <v>930</v>
      </c>
      <c r="D319" s="464" t="s">
        <v>986</v>
      </c>
      <c r="E319" s="464" t="s">
        <v>1169</v>
      </c>
      <c r="F319" s="464" t="s">
        <v>1170</v>
      </c>
      <c r="G319" s="468">
        <v>78</v>
      </c>
      <c r="H319" s="468">
        <v>18199.990000000002</v>
      </c>
      <c r="I319" s="464">
        <v>0.85714292442255857</v>
      </c>
      <c r="J319" s="464">
        <v>233.33320512820515</v>
      </c>
      <c r="K319" s="468">
        <v>91</v>
      </c>
      <c r="L319" s="468">
        <v>21233.32</v>
      </c>
      <c r="M319" s="464">
        <v>1</v>
      </c>
      <c r="N319" s="464">
        <v>233.33318681318681</v>
      </c>
      <c r="O319" s="468">
        <v>87</v>
      </c>
      <c r="P319" s="468">
        <v>20300</v>
      </c>
      <c r="Q319" s="491">
        <v>0.95604455638590669</v>
      </c>
      <c r="R319" s="469">
        <v>233.33333333333334</v>
      </c>
    </row>
    <row r="320" spans="1:18" ht="14.4" customHeight="1" x14ac:dyDescent="0.3">
      <c r="A320" s="463"/>
      <c r="B320" s="464" t="s">
        <v>1140</v>
      </c>
      <c r="C320" s="464" t="s">
        <v>930</v>
      </c>
      <c r="D320" s="464" t="s">
        <v>986</v>
      </c>
      <c r="E320" s="464" t="s">
        <v>1169</v>
      </c>
      <c r="F320" s="464" t="s">
        <v>1171</v>
      </c>
      <c r="G320" s="468">
        <v>68</v>
      </c>
      <c r="H320" s="468">
        <v>15866.65</v>
      </c>
      <c r="I320" s="464">
        <v>0.99999936974763437</v>
      </c>
      <c r="J320" s="464">
        <v>233.3330882352941</v>
      </c>
      <c r="K320" s="468">
        <v>68</v>
      </c>
      <c r="L320" s="468">
        <v>15866.66</v>
      </c>
      <c r="M320" s="464">
        <v>1</v>
      </c>
      <c r="N320" s="464">
        <v>233.33323529411766</v>
      </c>
      <c r="O320" s="468">
        <v>70</v>
      </c>
      <c r="P320" s="468">
        <v>16333.33</v>
      </c>
      <c r="Q320" s="491">
        <v>1.0294119871478937</v>
      </c>
      <c r="R320" s="469">
        <v>233.33328571428572</v>
      </c>
    </row>
    <row r="321" spans="1:18" ht="14.4" customHeight="1" x14ac:dyDescent="0.3">
      <c r="A321" s="463"/>
      <c r="B321" s="464" t="s">
        <v>1140</v>
      </c>
      <c r="C321" s="464" t="s">
        <v>930</v>
      </c>
      <c r="D321" s="464" t="s">
        <v>986</v>
      </c>
      <c r="E321" s="464" t="s">
        <v>1172</v>
      </c>
      <c r="F321" s="464" t="s">
        <v>1173</v>
      </c>
      <c r="G321" s="468">
        <v>22</v>
      </c>
      <c r="H321" s="468">
        <v>17111.11</v>
      </c>
      <c r="I321" s="464">
        <v>0.51162778876614812</v>
      </c>
      <c r="J321" s="464">
        <v>777.77772727272725</v>
      </c>
      <c r="K321" s="468">
        <v>43</v>
      </c>
      <c r="L321" s="468">
        <v>33444.449999999997</v>
      </c>
      <c r="M321" s="464">
        <v>1</v>
      </c>
      <c r="N321" s="464">
        <v>777.77790697674413</v>
      </c>
      <c r="O321" s="468">
        <v>25</v>
      </c>
      <c r="P321" s="468">
        <v>19444.440000000002</v>
      </c>
      <c r="Q321" s="491">
        <v>0.58139511936958166</v>
      </c>
      <c r="R321" s="469">
        <v>777.77760000000012</v>
      </c>
    </row>
    <row r="322" spans="1:18" ht="14.4" customHeight="1" x14ac:dyDescent="0.3">
      <c r="A322" s="463"/>
      <c r="B322" s="464" t="s">
        <v>1140</v>
      </c>
      <c r="C322" s="464" t="s">
        <v>930</v>
      </c>
      <c r="D322" s="464" t="s">
        <v>986</v>
      </c>
      <c r="E322" s="464" t="s">
        <v>1172</v>
      </c>
      <c r="F322" s="464" t="s">
        <v>1174</v>
      </c>
      <c r="G322" s="468">
        <v>44</v>
      </c>
      <c r="H322" s="468">
        <v>34222.22</v>
      </c>
      <c r="I322" s="464">
        <v>0.83018867009103348</v>
      </c>
      <c r="J322" s="464">
        <v>777.77772727272725</v>
      </c>
      <c r="K322" s="468">
        <v>53</v>
      </c>
      <c r="L322" s="468">
        <v>41222.22</v>
      </c>
      <c r="M322" s="464">
        <v>1</v>
      </c>
      <c r="N322" s="464">
        <v>777.77773584905663</v>
      </c>
      <c r="O322" s="468">
        <v>44</v>
      </c>
      <c r="P322" s="468">
        <v>34222.22</v>
      </c>
      <c r="Q322" s="491">
        <v>0.83018867009103348</v>
      </c>
      <c r="R322" s="469">
        <v>777.77772727272725</v>
      </c>
    </row>
    <row r="323" spans="1:18" ht="14.4" customHeight="1" x14ac:dyDescent="0.3">
      <c r="A323" s="463"/>
      <c r="B323" s="464" t="s">
        <v>1140</v>
      </c>
      <c r="C323" s="464" t="s">
        <v>930</v>
      </c>
      <c r="D323" s="464" t="s">
        <v>986</v>
      </c>
      <c r="E323" s="464" t="s">
        <v>1175</v>
      </c>
      <c r="F323" s="464" t="s">
        <v>1176</v>
      </c>
      <c r="G323" s="468">
        <v>288</v>
      </c>
      <c r="H323" s="468">
        <v>70399.990000000005</v>
      </c>
      <c r="I323" s="464">
        <v>1.1950203968283069</v>
      </c>
      <c r="J323" s="464">
        <v>244.44440972222225</v>
      </c>
      <c r="K323" s="468">
        <v>241</v>
      </c>
      <c r="L323" s="468">
        <v>58911.12</v>
      </c>
      <c r="M323" s="464">
        <v>1</v>
      </c>
      <c r="N323" s="464">
        <v>244.44448132780084</v>
      </c>
      <c r="O323" s="468">
        <v>194</v>
      </c>
      <c r="P323" s="468">
        <v>47422.22</v>
      </c>
      <c r="Q323" s="491">
        <v>0.80497909392997447</v>
      </c>
      <c r="R323" s="469">
        <v>244.44443298969074</v>
      </c>
    </row>
    <row r="324" spans="1:18" ht="14.4" customHeight="1" x14ac:dyDescent="0.3">
      <c r="A324" s="463"/>
      <c r="B324" s="464" t="s">
        <v>1140</v>
      </c>
      <c r="C324" s="464" t="s">
        <v>930</v>
      </c>
      <c r="D324" s="464" t="s">
        <v>986</v>
      </c>
      <c r="E324" s="464" t="s">
        <v>1177</v>
      </c>
      <c r="F324" s="464" t="s">
        <v>1178</v>
      </c>
      <c r="G324" s="468"/>
      <c r="H324" s="468"/>
      <c r="I324" s="464"/>
      <c r="J324" s="464"/>
      <c r="K324" s="468">
        <v>2</v>
      </c>
      <c r="L324" s="468">
        <v>1051.1099999999999</v>
      </c>
      <c r="M324" s="464">
        <v>1</v>
      </c>
      <c r="N324" s="464">
        <v>525.55499999999995</v>
      </c>
      <c r="O324" s="468">
        <v>2</v>
      </c>
      <c r="P324" s="468">
        <v>1051.1099999999999</v>
      </c>
      <c r="Q324" s="491">
        <v>1</v>
      </c>
      <c r="R324" s="469">
        <v>525.55499999999995</v>
      </c>
    </row>
    <row r="325" spans="1:18" ht="14.4" customHeight="1" x14ac:dyDescent="0.3">
      <c r="A325" s="463"/>
      <c r="B325" s="464" t="s">
        <v>1140</v>
      </c>
      <c r="C325" s="464" t="s">
        <v>930</v>
      </c>
      <c r="D325" s="464" t="s">
        <v>986</v>
      </c>
      <c r="E325" s="464" t="s">
        <v>1177</v>
      </c>
      <c r="F325" s="464" t="s">
        <v>1179</v>
      </c>
      <c r="G325" s="468">
        <v>6</v>
      </c>
      <c r="H325" s="468">
        <v>3153.33</v>
      </c>
      <c r="I325" s="464">
        <v>1.9999936575186945</v>
      </c>
      <c r="J325" s="464">
        <v>525.55499999999995</v>
      </c>
      <c r="K325" s="468">
        <v>3</v>
      </c>
      <c r="L325" s="468">
        <v>1576.6699999999998</v>
      </c>
      <c r="M325" s="464">
        <v>1</v>
      </c>
      <c r="N325" s="464">
        <v>525.55666666666662</v>
      </c>
      <c r="O325" s="468">
        <v>4</v>
      </c>
      <c r="P325" s="468">
        <v>2102.2199999999998</v>
      </c>
      <c r="Q325" s="491">
        <v>1.3333291050124629</v>
      </c>
      <c r="R325" s="469">
        <v>525.55499999999995</v>
      </c>
    </row>
    <row r="326" spans="1:18" ht="14.4" customHeight="1" x14ac:dyDescent="0.3">
      <c r="A326" s="463"/>
      <c r="B326" s="464" t="s">
        <v>1140</v>
      </c>
      <c r="C326" s="464" t="s">
        <v>930</v>
      </c>
      <c r="D326" s="464" t="s">
        <v>986</v>
      </c>
      <c r="E326" s="464" t="s">
        <v>1180</v>
      </c>
      <c r="F326" s="464" t="s">
        <v>1181</v>
      </c>
      <c r="G326" s="468"/>
      <c r="H326" s="468"/>
      <c r="I326" s="464"/>
      <c r="J326" s="464"/>
      <c r="K326" s="468"/>
      <c r="L326" s="468"/>
      <c r="M326" s="464"/>
      <c r="N326" s="464"/>
      <c r="O326" s="468">
        <v>3</v>
      </c>
      <c r="P326" s="468">
        <v>3000</v>
      </c>
      <c r="Q326" s="491"/>
      <c r="R326" s="469">
        <v>1000</v>
      </c>
    </row>
    <row r="327" spans="1:18" ht="14.4" customHeight="1" x14ac:dyDescent="0.3">
      <c r="A327" s="463"/>
      <c r="B327" s="464" t="s">
        <v>1140</v>
      </c>
      <c r="C327" s="464" t="s">
        <v>930</v>
      </c>
      <c r="D327" s="464" t="s">
        <v>986</v>
      </c>
      <c r="E327" s="464" t="s">
        <v>1180</v>
      </c>
      <c r="F327" s="464" t="s">
        <v>1182</v>
      </c>
      <c r="G327" s="468"/>
      <c r="H327" s="468"/>
      <c r="I327" s="464"/>
      <c r="J327" s="464"/>
      <c r="K327" s="468"/>
      <c r="L327" s="468"/>
      <c r="M327" s="464"/>
      <c r="N327" s="464"/>
      <c r="O327" s="468">
        <v>2</v>
      </c>
      <c r="P327" s="468">
        <v>2000</v>
      </c>
      <c r="Q327" s="491"/>
      <c r="R327" s="469">
        <v>1000</v>
      </c>
    </row>
    <row r="328" spans="1:18" ht="14.4" customHeight="1" x14ac:dyDescent="0.3">
      <c r="A328" s="463"/>
      <c r="B328" s="464" t="s">
        <v>1140</v>
      </c>
      <c r="C328" s="464" t="s">
        <v>930</v>
      </c>
      <c r="D328" s="464" t="s">
        <v>986</v>
      </c>
      <c r="E328" s="464" t="s">
        <v>1123</v>
      </c>
      <c r="F328" s="464" t="s">
        <v>1183</v>
      </c>
      <c r="G328" s="468">
        <v>1</v>
      </c>
      <c r="H328" s="468">
        <v>0</v>
      </c>
      <c r="I328" s="464"/>
      <c r="J328" s="464">
        <v>0</v>
      </c>
      <c r="K328" s="468"/>
      <c r="L328" s="468"/>
      <c r="M328" s="464"/>
      <c r="N328" s="464"/>
      <c r="O328" s="468"/>
      <c r="P328" s="468"/>
      <c r="Q328" s="491"/>
      <c r="R328" s="469"/>
    </row>
    <row r="329" spans="1:18" ht="14.4" customHeight="1" x14ac:dyDescent="0.3">
      <c r="A329" s="463"/>
      <c r="B329" s="464" t="s">
        <v>1140</v>
      </c>
      <c r="C329" s="464" t="s">
        <v>930</v>
      </c>
      <c r="D329" s="464" t="s">
        <v>986</v>
      </c>
      <c r="E329" s="464" t="s">
        <v>1026</v>
      </c>
      <c r="F329" s="464" t="s">
        <v>1027</v>
      </c>
      <c r="G329" s="468">
        <v>220</v>
      </c>
      <c r="H329" s="468">
        <v>0</v>
      </c>
      <c r="I329" s="464"/>
      <c r="J329" s="464">
        <v>0</v>
      </c>
      <c r="K329" s="468">
        <v>220</v>
      </c>
      <c r="L329" s="468">
        <v>0</v>
      </c>
      <c r="M329" s="464"/>
      <c r="N329" s="464">
        <v>0</v>
      </c>
      <c r="O329" s="468">
        <v>222</v>
      </c>
      <c r="P329" s="468">
        <v>0</v>
      </c>
      <c r="Q329" s="491"/>
      <c r="R329" s="469">
        <v>0</v>
      </c>
    </row>
    <row r="330" spans="1:18" ht="14.4" customHeight="1" x14ac:dyDescent="0.3">
      <c r="A330" s="463"/>
      <c r="B330" s="464" t="s">
        <v>1140</v>
      </c>
      <c r="C330" s="464" t="s">
        <v>930</v>
      </c>
      <c r="D330" s="464" t="s">
        <v>986</v>
      </c>
      <c r="E330" s="464" t="s">
        <v>1029</v>
      </c>
      <c r="F330" s="464" t="s">
        <v>1030</v>
      </c>
      <c r="G330" s="468">
        <v>173</v>
      </c>
      <c r="H330" s="468">
        <v>52861.11</v>
      </c>
      <c r="I330" s="464">
        <v>1.0679014278588743</v>
      </c>
      <c r="J330" s="464">
        <v>305.55554913294799</v>
      </c>
      <c r="K330" s="468">
        <v>162</v>
      </c>
      <c r="L330" s="468">
        <v>49499.990000000005</v>
      </c>
      <c r="M330" s="464">
        <v>1</v>
      </c>
      <c r="N330" s="464">
        <v>305.55549382716055</v>
      </c>
      <c r="O330" s="468">
        <v>152</v>
      </c>
      <c r="P330" s="468">
        <v>46444.45</v>
      </c>
      <c r="Q330" s="491">
        <v>0.9382719067215971</v>
      </c>
      <c r="R330" s="469">
        <v>305.55559210526314</v>
      </c>
    </row>
    <row r="331" spans="1:18" ht="14.4" customHeight="1" x14ac:dyDescent="0.3">
      <c r="A331" s="463"/>
      <c r="B331" s="464" t="s">
        <v>1140</v>
      </c>
      <c r="C331" s="464" t="s">
        <v>930</v>
      </c>
      <c r="D331" s="464" t="s">
        <v>986</v>
      </c>
      <c r="E331" s="464" t="s">
        <v>1029</v>
      </c>
      <c r="F331" s="464" t="s">
        <v>1031</v>
      </c>
      <c r="G331" s="468">
        <v>12</v>
      </c>
      <c r="H331" s="468">
        <v>3666.67</v>
      </c>
      <c r="I331" s="464"/>
      <c r="J331" s="464">
        <v>305.55583333333334</v>
      </c>
      <c r="K331" s="468"/>
      <c r="L331" s="468"/>
      <c r="M331" s="464"/>
      <c r="N331" s="464"/>
      <c r="O331" s="468"/>
      <c r="P331" s="468"/>
      <c r="Q331" s="491"/>
      <c r="R331" s="469"/>
    </row>
    <row r="332" spans="1:18" ht="14.4" customHeight="1" x14ac:dyDescent="0.3">
      <c r="A332" s="463"/>
      <c r="B332" s="464" t="s">
        <v>1140</v>
      </c>
      <c r="C332" s="464" t="s">
        <v>930</v>
      </c>
      <c r="D332" s="464" t="s">
        <v>986</v>
      </c>
      <c r="E332" s="464" t="s">
        <v>1032</v>
      </c>
      <c r="F332" s="464" t="s">
        <v>1033</v>
      </c>
      <c r="G332" s="468">
        <v>485</v>
      </c>
      <c r="H332" s="468">
        <v>16166.66</v>
      </c>
      <c r="I332" s="464">
        <v>1.1047833951670605</v>
      </c>
      <c r="J332" s="464">
        <v>33.333319587628864</v>
      </c>
      <c r="K332" s="468">
        <v>439</v>
      </c>
      <c r="L332" s="468">
        <v>14633.33</v>
      </c>
      <c r="M332" s="464">
        <v>1</v>
      </c>
      <c r="N332" s="464">
        <v>33.333325740318905</v>
      </c>
      <c r="O332" s="468">
        <v>451</v>
      </c>
      <c r="P332" s="468">
        <v>15033.34</v>
      </c>
      <c r="Q332" s="491">
        <v>1.027335541534292</v>
      </c>
      <c r="R332" s="469">
        <v>33.333348115299337</v>
      </c>
    </row>
    <row r="333" spans="1:18" ht="14.4" customHeight="1" x14ac:dyDescent="0.3">
      <c r="A333" s="463"/>
      <c r="B333" s="464" t="s">
        <v>1140</v>
      </c>
      <c r="C333" s="464" t="s">
        <v>930</v>
      </c>
      <c r="D333" s="464" t="s">
        <v>986</v>
      </c>
      <c r="E333" s="464" t="s">
        <v>1035</v>
      </c>
      <c r="F333" s="464" t="s">
        <v>1036</v>
      </c>
      <c r="G333" s="468">
        <v>81</v>
      </c>
      <c r="H333" s="468">
        <v>36900</v>
      </c>
      <c r="I333" s="464">
        <v>1.3278687993655018</v>
      </c>
      <c r="J333" s="464">
        <v>455.55555555555554</v>
      </c>
      <c r="K333" s="468">
        <v>61</v>
      </c>
      <c r="L333" s="468">
        <v>27788.89</v>
      </c>
      <c r="M333" s="464">
        <v>1</v>
      </c>
      <c r="N333" s="464">
        <v>455.55557377049178</v>
      </c>
      <c r="O333" s="468">
        <v>89</v>
      </c>
      <c r="P333" s="468">
        <v>40544.46</v>
      </c>
      <c r="Q333" s="491">
        <v>1.4590168948813718</v>
      </c>
      <c r="R333" s="469">
        <v>455.55573033707861</v>
      </c>
    </row>
    <row r="334" spans="1:18" ht="14.4" customHeight="1" x14ac:dyDescent="0.3">
      <c r="A334" s="463"/>
      <c r="B334" s="464" t="s">
        <v>1140</v>
      </c>
      <c r="C334" s="464" t="s">
        <v>930</v>
      </c>
      <c r="D334" s="464" t="s">
        <v>986</v>
      </c>
      <c r="E334" s="464" t="s">
        <v>1035</v>
      </c>
      <c r="F334" s="464" t="s">
        <v>1037</v>
      </c>
      <c r="G334" s="468">
        <v>93</v>
      </c>
      <c r="H334" s="468">
        <v>42366.66</v>
      </c>
      <c r="I334" s="464">
        <v>1.4090909997984482</v>
      </c>
      <c r="J334" s="464">
        <v>455.55548387096781</v>
      </c>
      <c r="K334" s="468">
        <v>66</v>
      </c>
      <c r="L334" s="468">
        <v>30066.659999999996</v>
      </c>
      <c r="M334" s="464">
        <v>1</v>
      </c>
      <c r="N334" s="464">
        <v>455.5554545454545</v>
      </c>
      <c r="O334" s="468">
        <v>103</v>
      </c>
      <c r="P334" s="468">
        <v>46922.23</v>
      </c>
      <c r="Q334" s="491">
        <v>1.560606665322986</v>
      </c>
      <c r="R334" s="469">
        <v>455.5556310679612</v>
      </c>
    </row>
    <row r="335" spans="1:18" ht="14.4" customHeight="1" x14ac:dyDescent="0.3">
      <c r="A335" s="463"/>
      <c r="B335" s="464" t="s">
        <v>1140</v>
      </c>
      <c r="C335" s="464" t="s">
        <v>930</v>
      </c>
      <c r="D335" s="464" t="s">
        <v>986</v>
      </c>
      <c r="E335" s="464" t="s">
        <v>1038</v>
      </c>
      <c r="F335" s="464" t="s">
        <v>1039</v>
      </c>
      <c r="G335" s="468">
        <v>177</v>
      </c>
      <c r="H335" s="468">
        <v>13766.660000000002</v>
      </c>
      <c r="I335" s="464">
        <v>1.0231213142532265</v>
      </c>
      <c r="J335" s="464">
        <v>77.777740112994366</v>
      </c>
      <c r="K335" s="468">
        <v>173</v>
      </c>
      <c r="L335" s="468">
        <v>13455.55</v>
      </c>
      <c r="M335" s="464">
        <v>1</v>
      </c>
      <c r="N335" s="464">
        <v>77.777745664739882</v>
      </c>
      <c r="O335" s="468">
        <v>170</v>
      </c>
      <c r="P335" s="468">
        <v>13222.220000000001</v>
      </c>
      <c r="Q335" s="491">
        <v>0.98265920010701913</v>
      </c>
      <c r="R335" s="469">
        <v>77.777764705882362</v>
      </c>
    </row>
    <row r="336" spans="1:18" ht="14.4" customHeight="1" x14ac:dyDescent="0.3">
      <c r="A336" s="463"/>
      <c r="B336" s="464" t="s">
        <v>1140</v>
      </c>
      <c r="C336" s="464" t="s">
        <v>930</v>
      </c>
      <c r="D336" s="464" t="s">
        <v>986</v>
      </c>
      <c r="E336" s="464" t="s">
        <v>1038</v>
      </c>
      <c r="F336" s="464" t="s">
        <v>1040</v>
      </c>
      <c r="G336" s="468">
        <v>12</v>
      </c>
      <c r="H336" s="468">
        <v>933.33</v>
      </c>
      <c r="I336" s="464"/>
      <c r="J336" s="464">
        <v>77.777500000000003</v>
      </c>
      <c r="K336" s="468"/>
      <c r="L336" s="468"/>
      <c r="M336" s="464"/>
      <c r="N336" s="464"/>
      <c r="O336" s="468"/>
      <c r="P336" s="468"/>
      <c r="Q336" s="491"/>
      <c r="R336" s="469"/>
    </row>
    <row r="337" spans="1:18" ht="14.4" customHeight="1" x14ac:dyDescent="0.3">
      <c r="A337" s="463"/>
      <c r="B337" s="464" t="s">
        <v>1140</v>
      </c>
      <c r="C337" s="464" t="s">
        <v>930</v>
      </c>
      <c r="D337" s="464" t="s">
        <v>986</v>
      </c>
      <c r="E337" s="464" t="s">
        <v>1184</v>
      </c>
      <c r="F337" s="464" t="s">
        <v>1185</v>
      </c>
      <c r="G337" s="468">
        <v>40</v>
      </c>
      <c r="H337" s="468">
        <v>57777.78</v>
      </c>
      <c r="I337" s="464">
        <v>1.0526314063499178</v>
      </c>
      <c r="J337" s="464">
        <v>1444.4445000000001</v>
      </c>
      <c r="K337" s="468">
        <v>38</v>
      </c>
      <c r="L337" s="468">
        <v>54888.899999999994</v>
      </c>
      <c r="M337" s="464">
        <v>1</v>
      </c>
      <c r="N337" s="464">
        <v>1444.4447368421052</v>
      </c>
      <c r="O337" s="468">
        <v>41</v>
      </c>
      <c r="P337" s="468">
        <v>59222.22</v>
      </c>
      <c r="Q337" s="491">
        <v>1.0789471095248768</v>
      </c>
      <c r="R337" s="469">
        <v>1444.4443902439025</v>
      </c>
    </row>
    <row r="338" spans="1:18" ht="14.4" customHeight="1" x14ac:dyDescent="0.3">
      <c r="A338" s="463"/>
      <c r="B338" s="464" t="s">
        <v>1140</v>
      </c>
      <c r="C338" s="464" t="s">
        <v>930</v>
      </c>
      <c r="D338" s="464" t="s">
        <v>986</v>
      </c>
      <c r="E338" s="464" t="s">
        <v>1184</v>
      </c>
      <c r="F338" s="464" t="s">
        <v>1186</v>
      </c>
      <c r="G338" s="468">
        <v>39</v>
      </c>
      <c r="H338" s="468">
        <v>56333.34</v>
      </c>
      <c r="I338" s="464">
        <v>0.8666669025641387</v>
      </c>
      <c r="J338" s="464">
        <v>1444.4446153846152</v>
      </c>
      <c r="K338" s="468">
        <v>45</v>
      </c>
      <c r="L338" s="468">
        <v>64999.990000000005</v>
      </c>
      <c r="M338" s="464">
        <v>1</v>
      </c>
      <c r="N338" s="464">
        <v>1444.4442222222224</v>
      </c>
      <c r="O338" s="468">
        <v>55</v>
      </c>
      <c r="P338" s="468">
        <v>79444.44</v>
      </c>
      <c r="Q338" s="491">
        <v>1.2222223418803602</v>
      </c>
      <c r="R338" s="469">
        <v>1444.4443636363637</v>
      </c>
    </row>
    <row r="339" spans="1:18" ht="14.4" customHeight="1" x14ac:dyDescent="0.3">
      <c r="A339" s="463"/>
      <c r="B339" s="464" t="s">
        <v>1140</v>
      </c>
      <c r="C339" s="464" t="s">
        <v>930</v>
      </c>
      <c r="D339" s="464" t="s">
        <v>986</v>
      </c>
      <c r="E339" s="464" t="s">
        <v>1043</v>
      </c>
      <c r="F339" s="464" t="s">
        <v>1044</v>
      </c>
      <c r="G339" s="468"/>
      <c r="H339" s="468"/>
      <c r="I339" s="464"/>
      <c r="J339" s="464"/>
      <c r="K339" s="468">
        <v>1</v>
      </c>
      <c r="L339" s="468">
        <v>94.44</v>
      </c>
      <c r="M339" s="464">
        <v>1</v>
      </c>
      <c r="N339" s="464">
        <v>94.44</v>
      </c>
      <c r="O339" s="468"/>
      <c r="P339" s="468"/>
      <c r="Q339" s="491"/>
      <c r="R339" s="469"/>
    </row>
    <row r="340" spans="1:18" ht="14.4" customHeight="1" x14ac:dyDescent="0.3">
      <c r="A340" s="463"/>
      <c r="B340" s="464" t="s">
        <v>1140</v>
      </c>
      <c r="C340" s="464" t="s">
        <v>930</v>
      </c>
      <c r="D340" s="464" t="s">
        <v>986</v>
      </c>
      <c r="E340" s="464" t="s">
        <v>1043</v>
      </c>
      <c r="F340" s="464" t="s">
        <v>1045</v>
      </c>
      <c r="G340" s="468"/>
      <c r="H340" s="468"/>
      <c r="I340" s="464"/>
      <c r="J340" s="464"/>
      <c r="K340" s="468"/>
      <c r="L340" s="468"/>
      <c r="M340" s="464"/>
      <c r="N340" s="464"/>
      <c r="O340" s="468">
        <v>1</v>
      </c>
      <c r="P340" s="468">
        <v>94.44</v>
      </c>
      <c r="Q340" s="491"/>
      <c r="R340" s="469">
        <v>94.44</v>
      </c>
    </row>
    <row r="341" spans="1:18" ht="14.4" customHeight="1" x14ac:dyDescent="0.3">
      <c r="A341" s="463"/>
      <c r="B341" s="464" t="s">
        <v>1140</v>
      </c>
      <c r="C341" s="464" t="s">
        <v>930</v>
      </c>
      <c r="D341" s="464" t="s">
        <v>986</v>
      </c>
      <c r="E341" s="464" t="s">
        <v>1073</v>
      </c>
      <c r="F341" s="464" t="s">
        <v>1074</v>
      </c>
      <c r="G341" s="468"/>
      <c r="H341" s="468"/>
      <c r="I341" s="464"/>
      <c r="J341" s="464"/>
      <c r="K341" s="468"/>
      <c r="L341" s="468"/>
      <c r="M341" s="464"/>
      <c r="N341" s="464"/>
      <c r="O341" s="468">
        <v>5</v>
      </c>
      <c r="P341" s="468">
        <v>483.34000000000003</v>
      </c>
      <c r="Q341" s="491"/>
      <c r="R341" s="469">
        <v>96.668000000000006</v>
      </c>
    </row>
    <row r="342" spans="1:18" ht="14.4" customHeight="1" x14ac:dyDescent="0.3">
      <c r="A342" s="463"/>
      <c r="B342" s="464" t="s">
        <v>1140</v>
      </c>
      <c r="C342" s="464" t="s">
        <v>930</v>
      </c>
      <c r="D342" s="464" t="s">
        <v>986</v>
      </c>
      <c r="E342" s="464" t="s">
        <v>1073</v>
      </c>
      <c r="F342" s="464" t="s">
        <v>1095</v>
      </c>
      <c r="G342" s="468">
        <v>2</v>
      </c>
      <c r="H342" s="468">
        <v>193.34</v>
      </c>
      <c r="I342" s="464"/>
      <c r="J342" s="464">
        <v>96.67</v>
      </c>
      <c r="K342" s="468"/>
      <c r="L342" s="468"/>
      <c r="M342" s="464"/>
      <c r="N342" s="464"/>
      <c r="O342" s="468">
        <v>5</v>
      </c>
      <c r="P342" s="468">
        <v>483.34000000000003</v>
      </c>
      <c r="Q342" s="491"/>
      <c r="R342" s="469">
        <v>96.668000000000006</v>
      </c>
    </row>
    <row r="343" spans="1:18" ht="14.4" customHeight="1" x14ac:dyDescent="0.3">
      <c r="A343" s="463"/>
      <c r="B343" s="464" t="s">
        <v>1140</v>
      </c>
      <c r="C343" s="464" t="s">
        <v>930</v>
      </c>
      <c r="D343" s="464" t="s">
        <v>986</v>
      </c>
      <c r="E343" s="464" t="s">
        <v>1187</v>
      </c>
      <c r="F343" s="464" t="s">
        <v>1188</v>
      </c>
      <c r="G343" s="468">
        <v>52</v>
      </c>
      <c r="H343" s="468">
        <v>18200</v>
      </c>
      <c r="I343" s="464">
        <v>1.04</v>
      </c>
      <c r="J343" s="464">
        <v>350</v>
      </c>
      <c r="K343" s="468">
        <v>50</v>
      </c>
      <c r="L343" s="468">
        <v>17500</v>
      </c>
      <c r="M343" s="464">
        <v>1</v>
      </c>
      <c r="N343" s="464">
        <v>350</v>
      </c>
      <c r="O343" s="468">
        <v>35</v>
      </c>
      <c r="P343" s="468">
        <v>12250</v>
      </c>
      <c r="Q343" s="491">
        <v>0.7</v>
      </c>
      <c r="R343" s="469">
        <v>350</v>
      </c>
    </row>
    <row r="344" spans="1:18" ht="14.4" customHeight="1" x14ac:dyDescent="0.3">
      <c r="A344" s="463"/>
      <c r="B344" s="464" t="s">
        <v>1140</v>
      </c>
      <c r="C344" s="464" t="s">
        <v>930</v>
      </c>
      <c r="D344" s="464" t="s">
        <v>986</v>
      </c>
      <c r="E344" s="464" t="s">
        <v>1187</v>
      </c>
      <c r="F344" s="464" t="s">
        <v>1189</v>
      </c>
      <c r="G344" s="468">
        <v>55</v>
      </c>
      <c r="H344" s="468">
        <v>19250</v>
      </c>
      <c r="I344" s="464">
        <v>1.5714285714285714</v>
      </c>
      <c r="J344" s="464">
        <v>350</v>
      </c>
      <c r="K344" s="468">
        <v>35</v>
      </c>
      <c r="L344" s="468">
        <v>12250</v>
      </c>
      <c r="M344" s="464">
        <v>1</v>
      </c>
      <c r="N344" s="464">
        <v>350</v>
      </c>
      <c r="O344" s="468">
        <v>61</v>
      </c>
      <c r="P344" s="468">
        <v>21350</v>
      </c>
      <c r="Q344" s="491">
        <v>1.7428571428571429</v>
      </c>
      <c r="R344" s="469">
        <v>350</v>
      </c>
    </row>
    <row r="345" spans="1:18" ht="14.4" customHeight="1" x14ac:dyDescent="0.3">
      <c r="A345" s="463"/>
      <c r="B345" s="464" t="s">
        <v>1140</v>
      </c>
      <c r="C345" s="464" t="s">
        <v>930</v>
      </c>
      <c r="D345" s="464" t="s">
        <v>986</v>
      </c>
      <c r="E345" s="464" t="s">
        <v>1190</v>
      </c>
      <c r="F345" s="464" t="s">
        <v>1191</v>
      </c>
      <c r="G345" s="468">
        <v>8</v>
      </c>
      <c r="H345" s="468">
        <v>471.11</v>
      </c>
      <c r="I345" s="464">
        <v>1.3333050319805289</v>
      </c>
      <c r="J345" s="464">
        <v>58.888750000000002</v>
      </c>
      <c r="K345" s="468">
        <v>6</v>
      </c>
      <c r="L345" s="468">
        <v>353.34</v>
      </c>
      <c r="M345" s="464">
        <v>1</v>
      </c>
      <c r="N345" s="464">
        <v>58.889999999999993</v>
      </c>
      <c r="O345" s="468">
        <v>4</v>
      </c>
      <c r="P345" s="468">
        <v>235.56</v>
      </c>
      <c r="Q345" s="491">
        <v>0.66666666666666674</v>
      </c>
      <c r="R345" s="469">
        <v>58.89</v>
      </c>
    </row>
    <row r="346" spans="1:18" ht="14.4" customHeight="1" x14ac:dyDescent="0.3">
      <c r="A346" s="463"/>
      <c r="B346" s="464" t="s">
        <v>1140</v>
      </c>
      <c r="C346" s="464" t="s">
        <v>930</v>
      </c>
      <c r="D346" s="464" t="s">
        <v>986</v>
      </c>
      <c r="E346" s="464" t="s">
        <v>1190</v>
      </c>
      <c r="F346" s="464" t="s">
        <v>1192</v>
      </c>
      <c r="G346" s="468">
        <v>4</v>
      </c>
      <c r="H346" s="468">
        <v>235.56</v>
      </c>
      <c r="I346" s="464">
        <v>4</v>
      </c>
      <c r="J346" s="464">
        <v>58.89</v>
      </c>
      <c r="K346" s="468">
        <v>1</v>
      </c>
      <c r="L346" s="468">
        <v>58.89</v>
      </c>
      <c r="M346" s="464">
        <v>1</v>
      </c>
      <c r="N346" s="464">
        <v>58.89</v>
      </c>
      <c r="O346" s="468">
        <v>6</v>
      </c>
      <c r="P346" s="468">
        <v>353.34000000000003</v>
      </c>
      <c r="Q346" s="491">
        <v>6.0000000000000009</v>
      </c>
      <c r="R346" s="469">
        <v>58.890000000000008</v>
      </c>
    </row>
    <row r="347" spans="1:18" ht="14.4" customHeight="1" x14ac:dyDescent="0.3">
      <c r="A347" s="463"/>
      <c r="B347" s="464" t="s">
        <v>1140</v>
      </c>
      <c r="C347" s="464" t="s">
        <v>930</v>
      </c>
      <c r="D347" s="464" t="s">
        <v>986</v>
      </c>
      <c r="E347" s="464" t="s">
        <v>1193</v>
      </c>
      <c r="F347" s="464" t="s">
        <v>1194</v>
      </c>
      <c r="G347" s="468">
        <v>7</v>
      </c>
      <c r="H347" s="468">
        <v>902.22</v>
      </c>
      <c r="I347" s="464"/>
      <c r="J347" s="464">
        <v>128.88857142857142</v>
      </c>
      <c r="K347" s="468"/>
      <c r="L347" s="468"/>
      <c r="M347" s="464"/>
      <c r="N347" s="464"/>
      <c r="O347" s="468"/>
      <c r="P347" s="468"/>
      <c r="Q347" s="491"/>
      <c r="R347" s="469"/>
    </row>
    <row r="348" spans="1:18" ht="14.4" customHeight="1" x14ac:dyDescent="0.3">
      <c r="A348" s="463"/>
      <c r="B348" s="464" t="s">
        <v>1140</v>
      </c>
      <c r="C348" s="464" t="s">
        <v>930</v>
      </c>
      <c r="D348" s="464" t="s">
        <v>986</v>
      </c>
      <c r="E348" s="464" t="s">
        <v>1193</v>
      </c>
      <c r="F348" s="464" t="s">
        <v>1195</v>
      </c>
      <c r="G348" s="468">
        <v>134</v>
      </c>
      <c r="H348" s="468">
        <v>17271.109999999997</v>
      </c>
      <c r="I348" s="464">
        <v>1.0468754261939641</v>
      </c>
      <c r="J348" s="464">
        <v>128.88888059701489</v>
      </c>
      <c r="K348" s="468">
        <v>128</v>
      </c>
      <c r="L348" s="468">
        <v>16497.77</v>
      </c>
      <c r="M348" s="464">
        <v>1</v>
      </c>
      <c r="N348" s="464">
        <v>128.888828125</v>
      </c>
      <c r="O348" s="468">
        <v>128</v>
      </c>
      <c r="P348" s="468">
        <v>16497.78</v>
      </c>
      <c r="Q348" s="491">
        <v>1.0000006061425271</v>
      </c>
      <c r="R348" s="469">
        <v>128.88890624999999</v>
      </c>
    </row>
    <row r="349" spans="1:18" ht="14.4" customHeight="1" x14ac:dyDescent="0.3">
      <c r="A349" s="463"/>
      <c r="B349" s="464" t="s">
        <v>1140</v>
      </c>
      <c r="C349" s="464" t="s">
        <v>930</v>
      </c>
      <c r="D349" s="464" t="s">
        <v>986</v>
      </c>
      <c r="E349" s="464" t="s">
        <v>1055</v>
      </c>
      <c r="F349" s="464" t="s">
        <v>1056</v>
      </c>
      <c r="G349" s="468">
        <v>175</v>
      </c>
      <c r="H349" s="468">
        <v>8555.5500000000011</v>
      </c>
      <c r="I349" s="464">
        <v>0.91622955349130097</v>
      </c>
      <c r="J349" s="464">
        <v>48.888857142857148</v>
      </c>
      <c r="K349" s="468">
        <v>191</v>
      </c>
      <c r="L349" s="468">
        <v>9337.7800000000007</v>
      </c>
      <c r="M349" s="464">
        <v>1</v>
      </c>
      <c r="N349" s="464">
        <v>48.88890052356021</v>
      </c>
      <c r="O349" s="468">
        <v>205</v>
      </c>
      <c r="P349" s="468">
        <v>10022.220000000001</v>
      </c>
      <c r="Q349" s="491">
        <v>1.0732979359119621</v>
      </c>
      <c r="R349" s="469">
        <v>48.888878048780491</v>
      </c>
    </row>
    <row r="350" spans="1:18" ht="14.4" customHeight="1" x14ac:dyDescent="0.3">
      <c r="A350" s="463"/>
      <c r="B350" s="464" t="s">
        <v>1140</v>
      </c>
      <c r="C350" s="464" t="s">
        <v>930</v>
      </c>
      <c r="D350" s="464" t="s">
        <v>986</v>
      </c>
      <c r="E350" s="464" t="s">
        <v>1055</v>
      </c>
      <c r="F350" s="464" t="s">
        <v>1057</v>
      </c>
      <c r="G350" s="468">
        <v>198</v>
      </c>
      <c r="H350" s="468">
        <v>9680.0000000000018</v>
      </c>
      <c r="I350" s="464">
        <v>1.2941193771649431</v>
      </c>
      <c r="J350" s="464">
        <v>48.8888888888889</v>
      </c>
      <c r="K350" s="468">
        <v>153</v>
      </c>
      <c r="L350" s="468">
        <v>7479.99</v>
      </c>
      <c r="M350" s="464">
        <v>1</v>
      </c>
      <c r="N350" s="464">
        <v>48.888823529411766</v>
      </c>
      <c r="O350" s="468">
        <v>106</v>
      </c>
      <c r="P350" s="468">
        <v>5182.2199999999993</v>
      </c>
      <c r="Q350" s="491">
        <v>0.69281108664583768</v>
      </c>
      <c r="R350" s="469">
        <v>48.888867924528299</v>
      </c>
    </row>
    <row r="351" spans="1:18" ht="14.4" customHeight="1" x14ac:dyDescent="0.3">
      <c r="A351" s="463"/>
      <c r="B351" s="464" t="s">
        <v>1140</v>
      </c>
      <c r="C351" s="464" t="s">
        <v>930</v>
      </c>
      <c r="D351" s="464" t="s">
        <v>986</v>
      </c>
      <c r="E351" s="464" t="s">
        <v>1196</v>
      </c>
      <c r="F351" s="464" t="s">
        <v>1197</v>
      </c>
      <c r="G351" s="468">
        <v>439</v>
      </c>
      <c r="H351" s="468">
        <v>390222.22</v>
      </c>
      <c r="I351" s="464">
        <v>0.93803418269230765</v>
      </c>
      <c r="J351" s="464">
        <v>888.88888382687924</v>
      </c>
      <c r="K351" s="468">
        <v>468</v>
      </c>
      <c r="L351" s="468">
        <v>416000</v>
      </c>
      <c r="M351" s="464">
        <v>1</v>
      </c>
      <c r="N351" s="464">
        <v>888.88888888888891</v>
      </c>
      <c r="O351" s="468">
        <v>466</v>
      </c>
      <c r="P351" s="468">
        <v>414222.22000000003</v>
      </c>
      <c r="Q351" s="491">
        <v>0.99572649038461547</v>
      </c>
      <c r="R351" s="469">
        <v>888.88888412017172</v>
      </c>
    </row>
    <row r="352" spans="1:18" ht="14.4" customHeight="1" x14ac:dyDescent="0.3">
      <c r="A352" s="463"/>
      <c r="B352" s="464" t="s">
        <v>1140</v>
      </c>
      <c r="C352" s="464" t="s">
        <v>930</v>
      </c>
      <c r="D352" s="464" t="s">
        <v>986</v>
      </c>
      <c r="E352" s="464" t="s">
        <v>1196</v>
      </c>
      <c r="F352" s="464" t="s">
        <v>1198</v>
      </c>
      <c r="G352" s="468">
        <v>150</v>
      </c>
      <c r="H352" s="468">
        <v>133333.32999999999</v>
      </c>
      <c r="I352" s="464">
        <v>1.2820512499999999</v>
      </c>
      <c r="J352" s="464">
        <v>888.88886666666656</v>
      </c>
      <c r="K352" s="468">
        <v>117</v>
      </c>
      <c r="L352" s="468">
        <v>104000</v>
      </c>
      <c r="M352" s="464">
        <v>1</v>
      </c>
      <c r="N352" s="464">
        <v>888.88888888888891</v>
      </c>
      <c r="O352" s="468">
        <v>137</v>
      </c>
      <c r="P352" s="468">
        <v>121777.78</v>
      </c>
      <c r="Q352" s="491">
        <v>1.1709401923076923</v>
      </c>
      <c r="R352" s="469">
        <v>888.88890510948909</v>
      </c>
    </row>
    <row r="353" spans="1:18" ht="14.4" customHeight="1" x14ac:dyDescent="0.3">
      <c r="A353" s="463"/>
      <c r="B353" s="464" t="s">
        <v>1140</v>
      </c>
      <c r="C353" s="464" t="s">
        <v>930</v>
      </c>
      <c r="D353" s="464" t="s">
        <v>986</v>
      </c>
      <c r="E353" s="464" t="s">
        <v>1199</v>
      </c>
      <c r="F353" s="464" t="s">
        <v>1200</v>
      </c>
      <c r="G353" s="468">
        <v>6</v>
      </c>
      <c r="H353" s="468">
        <v>2000</v>
      </c>
      <c r="I353" s="464">
        <v>0.3999992000016</v>
      </c>
      <c r="J353" s="464">
        <v>333.33333333333331</v>
      </c>
      <c r="K353" s="468">
        <v>15</v>
      </c>
      <c r="L353" s="468">
        <v>5000.01</v>
      </c>
      <c r="M353" s="464">
        <v>1</v>
      </c>
      <c r="N353" s="464">
        <v>333.334</v>
      </c>
      <c r="O353" s="468">
        <v>2</v>
      </c>
      <c r="P353" s="468">
        <v>666.67</v>
      </c>
      <c r="Q353" s="491">
        <v>0.13333373333253332</v>
      </c>
      <c r="R353" s="469">
        <v>333.33499999999998</v>
      </c>
    </row>
    <row r="354" spans="1:18" ht="14.4" customHeight="1" x14ac:dyDescent="0.3">
      <c r="A354" s="463"/>
      <c r="B354" s="464" t="s">
        <v>1140</v>
      </c>
      <c r="C354" s="464" t="s">
        <v>930</v>
      </c>
      <c r="D354" s="464" t="s">
        <v>986</v>
      </c>
      <c r="E354" s="464" t="s">
        <v>1199</v>
      </c>
      <c r="F354" s="464" t="s">
        <v>1201</v>
      </c>
      <c r="G354" s="468"/>
      <c r="H354" s="468"/>
      <c r="I354" s="464"/>
      <c r="J354" s="464"/>
      <c r="K354" s="468"/>
      <c r="L354" s="468"/>
      <c r="M354" s="464"/>
      <c r="N354" s="464"/>
      <c r="O354" s="468">
        <v>8</v>
      </c>
      <c r="P354" s="468">
        <v>2666.67</v>
      </c>
      <c r="Q354" s="491"/>
      <c r="R354" s="469">
        <v>333.33375000000001</v>
      </c>
    </row>
    <row r="355" spans="1:18" ht="14.4" customHeight="1" x14ac:dyDescent="0.3">
      <c r="A355" s="463"/>
      <c r="B355" s="464" t="s">
        <v>1140</v>
      </c>
      <c r="C355" s="464" t="s">
        <v>930</v>
      </c>
      <c r="D355" s="464" t="s">
        <v>986</v>
      </c>
      <c r="E355" s="464" t="s">
        <v>1062</v>
      </c>
      <c r="F355" s="464" t="s">
        <v>1063</v>
      </c>
      <c r="G355" s="468"/>
      <c r="H355" s="468"/>
      <c r="I355" s="464"/>
      <c r="J355" s="464"/>
      <c r="K355" s="468">
        <v>4</v>
      </c>
      <c r="L355" s="468">
        <v>888.89</v>
      </c>
      <c r="M355" s="464">
        <v>1</v>
      </c>
      <c r="N355" s="464">
        <v>222.2225</v>
      </c>
      <c r="O355" s="468"/>
      <c r="P355" s="468"/>
      <c r="Q355" s="491"/>
      <c r="R355" s="469"/>
    </row>
    <row r="356" spans="1:18" ht="14.4" customHeight="1" x14ac:dyDescent="0.3">
      <c r="A356" s="463"/>
      <c r="B356" s="464" t="s">
        <v>1140</v>
      </c>
      <c r="C356" s="464" t="s">
        <v>930</v>
      </c>
      <c r="D356" s="464" t="s">
        <v>986</v>
      </c>
      <c r="E356" s="464" t="s">
        <v>1062</v>
      </c>
      <c r="F356" s="464" t="s">
        <v>1064</v>
      </c>
      <c r="G356" s="468"/>
      <c r="H356" s="468"/>
      <c r="I356" s="464"/>
      <c r="J356" s="464"/>
      <c r="K356" s="468">
        <v>-3</v>
      </c>
      <c r="L356" s="468">
        <v>-666.67</v>
      </c>
      <c r="M356" s="464">
        <v>1</v>
      </c>
      <c r="N356" s="464">
        <v>222.22333333333333</v>
      </c>
      <c r="O356" s="468"/>
      <c r="P356" s="468"/>
      <c r="Q356" s="491"/>
      <c r="R356" s="469"/>
    </row>
    <row r="357" spans="1:18" ht="14.4" customHeight="1" thickBot="1" x14ac:dyDescent="0.35">
      <c r="A357" s="470"/>
      <c r="B357" s="471" t="s">
        <v>1140</v>
      </c>
      <c r="C357" s="471" t="s">
        <v>930</v>
      </c>
      <c r="D357" s="471" t="s">
        <v>986</v>
      </c>
      <c r="E357" s="471" t="s">
        <v>1202</v>
      </c>
      <c r="F357" s="471" t="s">
        <v>1203</v>
      </c>
      <c r="G357" s="475">
        <v>1</v>
      </c>
      <c r="H357" s="475">
        <v>233.33</v>
      </c>
      <c r="I357" s="471"/>
      <c r="J357" s="471">
        <v>233.33</v>
      </c>
      <c r="K357" s="475"/>
      <c r="L357" s="475"/>
      <c r="M357" s="471"/>
      <c r="N357" s="471"/>
      <c r="O357" s="475"/>
      <c r="P357" s="475"/>
      <c r="Q357" s="483"/>
      <c r="R357" s="476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35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4" customWidth="1"/>
    <col min="2" max="2" width="8.6640625" style="114" bestFit="1" customWidth="1"/>
    <col min="3" max="3" width="6.109375" style="114" customWidth="1"/>
    <col min="4" max="4" width="27.77734375" style="114" customWidth="1"/>
    <col min="5" max="5" width="2.109375" style="114" bestFit="1" customWidth="1"/>
    <col min="6" max="6" width="8" style="114" customWidth="1"/>
    <col min="7" max="7" width="50.88671875" style="114" bestFit="1" customWidth="1" collapsed="1"/>
    <col min="8" max="9" width="11.109375" style="189" hidden="1" customWidth="1" outlineLevel="1"/>
    <col min="10" max="11" width="9.33203125" style="114" hidden="1" customWidth="1"/>
    <col min="12" max="13" width="11.109375" style="189" customWidth="1"/>
    <col min="14" max="15" width="9.33203125" style="114" hidden="1" customWidth="1"/>
    <col min="16" max="17" width="11.109375" style="189" customWidth="1"/>
    <col min="18" max="18" width="11.109375" style="192" customWidth="1"/>
    <col min="19" max="19" width="11.109375" style="189" customWidth="1"/>
    <col min="20" max="16384" width="8.88671875" style="114"/>
  </cols>
  <sheetData>
    <row r="1" spans="1:19" ht="18.600000000000001" customHeight="1" thickBot="1" x14ac:dyDescent="0.4">
      <c r="A1" s="304" t="s">
        <v>1205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4.4" customHeight="1" thickBot="1" x14ac:dyDescent="0.35">
      <c r="A2" s="207" t="s">
        <v>242</v>
      </c>
      <c r="B2" s="179"/>
      <c r="C2" s="179"/>
      <c r="D2" s="179"/>
      <c r="E2" s="96"/>
      <c r="F2" s="96"/>
      <c r="G2" s="96"/>
      <c r="H2" s="205"/>
      <c r="I2" s="205"/>
      <c r="J2" s="96"/>
      <c r="K2" s="96"/>
      <c r="L2" s="205"/>
      <c r="M2" s="205"/>
      <c r="N2" s="96"/>
      <c r="O2" s="96"/>
      <c r="P2" s="205"/>
      <c r="Q2" s="205"/>
      <c r="R2" s="204"/>
      <c r="S2" s="205"/>
    </row>
    <row r="3" spans="1:19" ht="14.4" customHeight="1" thickBot="1" x14ac:dyDescent="0.35">
      <c r="G3" s="73" t="s">
        <v>107</v>
      </c>
      <c r="H3" s="88">
        <f t="shared" ref="H3:Q3" si="0">SUBTOTAL(9,H6:H1048576)</f>
        <v>13917</v>
      </c>
      <c r="I3" s="89">
        <f t="shared" si="0"/>
        <v>3820069.129999999</v>
      </c>
      <c r="J3" s="66"/>
      <c r="K3" s="66"/>
      <c r="L3" s="89">
        <f t="shared" si="0"/>
        <v>15027</v>
      </c>
      <c r="M3" s="89">
        <f t="shared" si="0"/>
        <v>3761401.65</v>
      </c>
      <c r="N3" s="66"/>
      <c r="O3" s="66"/>
      <c r="P3" s="89">
        <f t="shared" si="0"/>
        <v>13242</v>
      </c>
      <c r="Q3" s="89">
        <f t="shared" si="0"/>
        <v>3420215.8099999996</v>
      </c>
      <c r="R3" s="67">
        <f>IF(M3=0,0,Q3/M3)</f>
        <v>0.90929289883200848</v>
      </c>
      <c r="S3" s="90">
        <f>IF(P3=0,0,Q3/P3)</f>
        <v>258.2854410209938</v>
      </c>
    </row>
    <row r="4" spans="1:19" ht="14.4" customHeight="1" x14ac:dyDescent="0.3">
      <c r="A4" s="406" t="s">
        <v>184</v>
      </c>
      <c r="B4" s="406" t="s">
        <v>81</v>
      </c>
      <c r="C4" s="414" t="s">
        <v>0</v>
      </c>
      <c r="D4" s="241" t="s">
        <v>115</v>
      </c>
      <c r="E4" s="408" t="s">
        <v>82</v>
      </c>
      <c r="F4" s="413" t="s">
        <v>57</v>
      </c>
      <c r="G4" s="409" t="s">
        <v>56</v>
      </c>
      <c r="H4" s="410">
        <v>2015</v>
      </c>
      <c r="I4" s="411"/>
      <c r="J4" s="87"/>
      <c r="K4" s="87"/>
      <c r="L4" s="410">
        <v>2017</v>
      </c>
      <c r="M4" s="411"/>
      <c r="N4" s="87"/>
      <c r="O4" s="87"/>
      <c r="P4" s="410">
        <v>2018</v>
      </c>
      <c r="Q4" s="411"/>
      <c r="R4" s="412" t="s">
        <v>2</v>
      </c>
      <c r="S4" s="407" t="s">
        <v>83</v>
      </c>
    </row>
    <row r="5" spans="1:19" ht="14.4" customHeight="1" thickBot="1" x14ac:dyDescent="0.35">
      <c r="A5" s="543"/>
      <c r="B5" s="543"/>
      <c r="C5" s="544"/>
      <c r="D5" s="553"/>
      <c r="E5" s="545"/>
      <c r="F5" s="546"/>
      <c r="G5" s="547"/>
      <c r="H5" s="548" t="s">
        <v>58</v>
      </c>
      <c r="I5" s="549" t="s">
        <v>14</v>
      </c>
      <c r="J5" s="550"/>
      <c r="K5" s="550"/>
      <c r="L5" s="548" t="s">
        <v>58</v>
      </c>
      <c r="M5" s="549" t="s">
        <v>14</v>
      </c>
      <c r="N5" s="550"/>
      <c r="O5" s="550"/>
      <c r="P5" s="548" t="s">
        <v>58</v>
      </c>
      <c r="Q5" s="549" t="s">
        <v>14</v>
      </c>
      <c r="R5" s="551"/>
      <c r="S5" s="552"/>
    </row>
    <row r="6" spans="1:19" ht="14.4" customHeight="1" x14ac:dyDescent="0.3">
      <c r="A6" s="456"/>
      <c r="B6" s="457" t="s">
        <v>938</v>
      </c>
      <c r="C6" s="457" t="s">
        <v>425</v>
      </c>
      <c r="D6" s="457" t="s">
        <v>929</v>
      </c>
      <c r="E6" s="457" t="s">
        <v>939</v>
      </c>
      <c r="F6" s="457" t="s">
        <v>940</v>
      </c>
      <c r="G6" s="457"/>
      <c r="H6" s="461">
        <v>19</v>
      </c>
      <c r="I6" s="461">
        <v>2147</v>
      </c>
      <c r="J6" s="457">
        <v>0.47499999999999998</v>
      </c>
      <c r="K6" s="457">
        <v>113</v>
      </c>
      <c r="L6" s="461">
        <v>40</v>
      </c>
      <c r="M6" s="461">
        <v>4520</v>
      </c>
      <c r="N6" s="457">
        <v>1</v>
      </c>
      <c r="O6" s="457">
        <v>113</v>
      </c>
      <c r="P6" s="461">
        <v>27</v>
      </c>
      <c r="Q6" s="461">
        <v>3051</v>
      </c>
      <c r="R6" s="482">
        <v>0.67500000000000004</v>
      </c>
      <c r="S6" s="462">
        <v>113</v>
      </c>
    </row>
    <row r="7" spans="1:19" ht="14.4" customHeight="1" x14ac:dyDescent="0.3">
      <c r="A7" s="463"/>
      <c r="B7" s="464" t="s">
        <v>938</v>
      </c>
      <c r="C7" s="464" t="s">
        <v>425</v>
      </c>
      <c r="D7" s="464" t="s">
        <v>929</v>
      </c>
      <c r="E7" s="464" t="s">
        <v>939</v>
      </c>
      <c r="F7" s="464" t="s">
        <v>941</v>
      </c>
      <c r="G7" s="464"/>
      <c r="H7" s="468">
        <v>1</v>
      </c>
      <c r="I7" s="468">
        <v>132</v>
      </c>
      <c r="J7" s="464"/>
      <c r="K7" s="464">
        <v>132</v>
      </c>
      <c r="L7" s="468"/>
      <c r="M7" s="468"/>
      <c r="N7" s="464"/>
      <c r="O7" s="464"/>
      <c r="P7" s="468">
        <v>1</v>
      </c>
      <c r="Q7" s="468">
        <v>132</v>
      </c>
      <c r="R7" s="491"/>
      <c r="S7" s="469">
        <v>132</v>
      </c>
    </row>
    <row r="8" spans="1:19" ht="14.4" customHeight="1" x14ac:dyDescent="0.3">
      <c r="A8" s="463"/>
      <c r="B8" s="464" t="s">
        <v>938</v>
      </c>
      <c r="C8" s="464" t="s">
        <v>425</v>
      </c>
      <c r="D8" s="464" t="s">
        <v>929</v>
      </c>
      <c r="E8" s="464" t="s">
        <v>939</v>
      </c>
      <c r="F8" s="464" t="s">
        <v>942</v>
      </c>
      <c r="G8" s="464"/>
      <c r="H8" s="468"/>
      <c r="I8" s="468"/>
      <c r="J8" s="464"/>
      <c r="K8" s="464"/>
      <c r="L8" s="468"/>
      <c r="M8" s="468"/>
      <c r="N8" s="464"/>
      <c r="O8" s="464"/>
      <c r="P8" s="468">
        <v>2</v>
      </c>
      <c r="Q8" s="468">
        <v>312</v>
      </c>
      <c r="R8" s="491"/>
      <c r="S8" s="469">
        <v>156</v>
      </c>
    </row>
    <row r="9" spans="1:19" ht="14.4" customHeight="1" x14ac:dyDescent="0.3">
      <c r="A9" s="463"/>
      <c r="B9" s="464" t="s">
        <v>938</v>
      </c>
      <c r="C9" s="464" t="s">
        <v>425</v>
      </c>
      <c r="D9" s="464" t="s">
        <v>929</v>
      </c>
      <c r="E9" s="464" t="s">
        <v>939</v>
      </c>
      <c r="F9" s="464" t="s">
        <v>943</v>
      </c>
      <c r="G9" s="464"/>
      <c r="H9" s="468">
        <v>3</v>
      </c>
      <c r="I9" s="468">
        <v>657</v>
      </c>
      <c r="J9" s="464">
        <v>3</v>
      </c>
      <c r="K9" s="464">
        <v>219</v>
      </c>
      <c r="L9" s="468">
        <v>1</v>
      </c>
      <c r="M9" s="468">
        <v>219</v>
      </c>
      <c r="N9" s="464">
        <v>1</v>
      </c>
      <c r="O9" s="464">
        <v>219</v>
      </c>
      <c r="P9" s="468">
        <v>1</v>
      </c>
      <c r="Q9" s="468">
        <v>219</v>
      </c>
      <c r="R9" s="491">
        <v>1</v>
      </c>
      <c r="S9" s="469">
        <v>219</v>
      </c>
    </row>
    <row r="10" spans="1:19" ht="14.4" customHeight="1" x14ac:dyDescent="0.3">
      <c r="A10" s="463"/>
      <c r="B10" s="464" t="s">
        <v>938</v>
      </c>
      <c r="C10" s="464" t="s">
        <v>425</v>
      </c>
      <c r="D10" s="464" t="s">
        <v>929</v>
      </c>
      <c r="E10" s="464" t="s">
        <v>939</v>
      </c>
      <c r="F10" s="464" t="s">
        <v>944</v>
      </c>
      <c r="G10" s="464"/>
      <c r="H10" s="468">
        <v>2</v>
      </c>
      <c r="I10" s="468">
        <v>472</v>
      </c>
      <c r="J10" s="464"/>
      <c r="K10" s="464">
        <v>236</v>
      </c>
      <c r="L10" s="468"/>
      <c r="M10" s="468"/>
      <c r="N10" s="464"/>
      <c r="O10" s="464"/>
      <c r="P10" s="468">
        <v>2</v>
      </c>
      <c r="Q10" s="468">
        <v>472</v>
      </c>
      <c r="R10" s="491"/>
      <c r="S10" s="469">
        <v>236</v>
      </c>
    </row>
    <row r="11" spans="1:19" ht="14.4" customHeight="1" x14ac:dyDescent="0.3">
      <c r="A11" s="463"/>
      <c r="B11" s="464" t="s">
        <v>938</v>
      </c>
      <c r="C11" s="464" t="s">
        <v>425</v>
      </c>
      <c r="D11" s="464" t="s">
        <v>929</v>
      </c>
      <c r="E11" s="464" t="s">
        <v>939</v>
      </c>
      <c r="F11" s="464" t="s">
        <v>945</v>
      </c>
      <c r="G11" s="464"/>
      <c r="H11" s="468">
        <v>8</v>
      </c>
      <c r="I11" s="468">
        <v>1248</v>
      </c>
      <c r="J11" s="464">
        <v>1</v>
      </c>
      <c r="K11" s="464">
        <v>156</v>
      </c>
      <c r="L11" s="468">
        <v>8</v>
      </c>
      <c r="M11" s="468">
        <v>1248</v>
      </c>
      <c r="N11" s="464">
        <v>1</v>
      </c>
      <c r="O11" s="464">
        <v>156</v>
      </c>
      <c r="P11" s="468">
        <v>2</v>
      </c>
      <c r="Q11" s="468">
        <v>312</v>
      </c>
      <c r="R11" s="491">
        <v>0.25</v>
      </c>
      <c r="S11" s="469">
        <v>156</v>
      </c>
    </row>
    <row r="12" spans="1:19" ht="14.4" customHeight="1" x14ac:dyDescent="0.3">
      <c r="A12" s="463"/>
      <c r="B12" s="464" t="s">
        <v>938</v>
      </c>
      <c r="C12" s="464" t="s">
        <v>425</v>
      </c>
      <c r="D12" s="464" t="s">
        <v>929</v>
      </c>
      <c r="E12" s="464" t="s">
        <v>939</v>
      </c>
      <c r="F12" s="464" t="s">
        <v>946</v>
      </c>
      <c r="G12" s="464"/>
      <c r="H12" s="468">
        <v>5</v>
      </c>
      <c r="I12" s="468">
        <v>950</v>
      </c>
      <c r="J12" s="464">
        <v>2.5</v>
      </c>
      <c r="K12" s="464">
        <v>190</v>
      </c>
      <c r="L12" s="468">
        <v>2</v>
      </c>
      <c r="M12" s="468">
        <v>380</v>
      </c>
      <c r="N12" s="464">
        <v>1</v>
      </c>
      <c r="O12" s="464">
        <v>190</v>
      </c>
      <c r="P12" s="468">
        <v>3</v>
      </c>
      <c r="Q12" s="468">
        <v>570</v>
      </c>
      <c r="R12" s="491">
        <v>1.5</v>
      </c>
      <c r="S12" s="469">
        <v>190</v>
      </c>
    </row>
    <row r="13" spans="1:19" ht="14.4" customHeight="1" x14ac:dyDescent="0.3">
      <c r="A13" s="463"/>
      <c r="B13" s="464" t="s">
        <v>938</v>
      </c>
      <c r="C13" s="464" t="s">
        <v>425</v>
      </c>
      <c r="D13" s="464" t="s">
        <v>929</v>
      </c>
      <c r="E13" s="464" t="s">
        <v>939</v>
      </c>
      <c r="F13" s="464" t="s">
        <v>947</v>
      </c>
      <c r="G13" s="464"/>
      <c r="H13" s="468">
        <v>9</v>
      </c>
      <c r="I13" s="468">
        <v>5364</v>
      </c>
      <c r="J13" s="464">
        <v>9</v>
      </c>
      <c r="K13" s="464">
        <v>596</v>
      </c>
      <c r="L13" s="468">
        <v>1</v>
      </c>
      <c r="M13" s="468">
        <v>596</v>
      </c>
      <c r="N13" s="464">
        <v>1</v>
      </c>
      <c r="O13" s="464">
        <v>596</v>
      </c>
      <c r="P13" s="468">
        <v>1</v>
      </c>
      <c r="Q13" s="468">
        <v>596</v>
      </c>
      <c r="R13" s="491">
        <v>1</v>
      </c>
      <c r="S13" s="469">
        <v>596</v>
      </c>
    </row>
    <row r="14" spans="1:19" ht="14.4" customHeight="1" x14ac:dyDescent="0.3">
      <c r="A14" s="463"/>
      <c r="B14" s="464" t="s">
        <v>938</v>
      </c>
      <c r="C14" s="464" t="s">
        <v>425</v>
      </c>
      <c r="D14" s="464" t="s">
        <v>929</v>
      </c>
      <c r="E14" s="464" t="s">
        <v>939</v>
      </c>
      <c r="F14" s="464" t="s">
        <v>948</v>
      </c>
      <c r="G14" s="464"/>
      <c r="H14" s="468">
        <v>1</v>
      </c>
      <c r="I14" s="468">
        <v>666</v>
      </c>
      <c r="J14" s="464">
        <v>0.5</v>
      </c>
      <c r="K14" s="464">
        <v>666</v>
      </c>
      <c r="L14" s="468">
        <v>2</v>
      </c>
      <c r="M14" s="468">
        <v>1332</v>
      </c>
      <c r="N14" s="464">
        <v>1</v>
      </c>
      <c r="O14" s="464">
        <v>666</v>
      </c>
      <c r="P14" s="468">
        <v>1</v>
      </c>
      <c r="Q14" s="468">
        <v>666</v>
      </c>
      <c r="R14" s="491">
        <v>0.5</v>
      </c>
      <c r="S14" s="469">
        <v>666</v>
      </c>
    </row>
    <row r="15" spans="1:19" ht="14.4" customHeight="1" x14ac:dyDescent="0.3">
      <c r="A15" s="463"/>
      <c r="B15" s="464" t="s">
        <v>938</v>
      </c>
      <c r="C15" s="464" t="s">
        <v>425</v>
      </c>
      <c r="D15" s="464" t="s">
        <v>929</v>
      </c>
      <c r="E15" s="464" t="s">
        <v>939</v>
      </c>
      <c r="F15" s="464" t="s">
        <v>949</v>
      </c>
      <c r="G15" s="464"/>
      <c r="H15" s="468">
        <v>5</v>
      </c>
      <c r="I15" s="468">
        <v>5860</v>
      </c>
      <c r="J15" s="464">
        <v>1.6666666666666667</v>
      </c>
      <c r="K15" s="464">
        <v>1172</v>
      </c>
      <c r="L15" s="468">
        <v>3</v>
      </c>
      <c r="M15" s="468">
        <v>3516</v>
      </c>
      <c r="N15" s="464">
        <v>1</v>
      </c>
      <c r="O15" s="464">
        <v>1172</v>
      </c>
      <c r="P15" s="468">
        <v>2</v>
      </c>
      <c r="Q15" s="468">
        <v>2344</v>
      </c>
      <c r="R15" s="491">
        <v>0.66666666666666663</v>
      </c>
      <c r="S15" s="469">
        <v>1172</v>
      </c>
    </row>
    <row r="16" spans="1:19" ht="14.4" customHeight="1" x14ac:dyDescent="0.3">
      <c r="A16" s="463"/>
      <c r="B16" s="464" t="s">
        <v>938</v>
      </c>
      <c r="C16" s="464" t="s">
        <v>425</v>
      </c>
      <c r="D16" s="464" t="s">
        <v>929</v>
      </c>
      <c r="E16" s="464" t="s">
        <v>939</v>
      </c>
      <c r="F16" s="464" t="s">
        <v>950</v>
      </c>
      <c r="G16" s="464"/>
      <c r="H16" s="468">
        <v>7</v>
      </c>
      <c r="I16" s="468">
        <v>5600</v>
      </c>
      <c r="J16" s="464">
        <v>0.7</v>
      </c>
      <c r="K16" s="464">
        <v>800</v>
      </c>
      <c r="L16" s="468">
        <v>10</v>
      </c>
      <c r="M16" s="468">
        <v>8000</v>
      </c>
      <c r="N16" s="464">
        <v>1</v>
      </c>
      <c r="O16" s="464">
        <v>800</v>
      </c>
      <c r="P16" s="468">
        <v>5</v>
      </c>
      <c r="Q16" s="468">
        <v>4000</v>
      </c>
      <c r="R16" s="491">
        <v>0.5</v>
      </c>
      <c r="S16" s="469">
        <v>800</v>
      </c>
    </row>
    <row r="17" spans="1:19" ht="14.4" customHeight="1" x14ac:dyDescent="0.3">
      <c r="A17" s="463"/>
      <c r="B17" s="464" t="s">
        <v>938</v>
      </c>
      <c r="C17" s="464" t="s">
        <v>425</v>
      </c>
      <c r="D17" s="464" t="s">
        <v>929</v>
      </c>
      <c r="E17" s="464" t="s">
        <v>939</v>
      </c>
      <c r="F17" s="464" t="s">
        <v>951</v>
      </c>
      <c r="G17" s="464"/>
      <c r="H17" s="468"/>
      <c r="I17" s="468"/>
      <c r="J17" s="464"/>
      <c r="K17" s="464"/>
      <c r="L17" s="468">
        <v>1</v>
      </c>
      <c r="M17" s="468">
        <v>745</v>
      </c>
      <c r="N17" s="464">
        <v>1</v>
      </c>
      <c r="O17" s="464">
        <v>745</v>
      </c>
      <c r="P17" s="468">
        <v>1</v>
      </c>
      <c r="Q17" s="468">
        <v>745</v>
      </c>
      <c r="R17" s="491">
        <v>1</v>
      </c>
      <c r="S17" s="469">
        <v>745</v>
      </c>
    </row>
    <row r="18" spans="1:19" ht="14.4" customHeight="1" x14ac:dyDescent="0.3">
      <c r="A18" s="463"/>
      <c r="B18" s="464" t="s">
        <v>938</v>
      </c>
      <c r="C18" s="464" t="s">
        <v>425</v>
      </c>
      <c r="D18" s="464" t="s">
        <v>929</v>
      </c>
      <c r="E18" s="464" t="s">
        <v>939</v>
      </c>
      <c r="F18" s="464" t="s">
        <v>952</v>
      </c>
      <c r="G18" s="464"/>
      <c r="H18" s="468">
        <v>6</v>
      </c>
      <c r="I18" s="468">
        <v>4470</v>
      </c>
      <c r="J18" s="464">
        <v>0.23076923076923078</v>
      </c>
      <c r="K18" s="464">
        <v>745</v>
      </c>
      <c r="L18" s="468">
        <v>26</v>
      </c>
      <c r="M18" s="468">
        <v>19370</v>
      </c>
      <c r="N18" s="464">
        <v>1</v>
      </c>
      <c r="O18" s="464">
        <v>745</v>
      </c>
      <c r="P18" s="468">
        <v>16</v>
      </c>
      <c r="Q18" s="468">
        <v>11920</v>
      </c>
      <c r="R18" s="491">
        <v>0.61538461538461542</v>
      </c>
      <c r="S18" s="469">
        <v>745</v>
      </c>
    </row>
    <row r="19" spans="1:19" ht="14.4" customHeight="1" x14ac:dyDescent="0.3">
      <c r="A19" s="463"/>
      <c r="B19" s="464" t="s">
        <v>938</v>
      </c>
      <c r="C19" s="464" t="s">
        <v>425</v>
      </c>
      <c r="D19" s="464" t="s">
        <v>929</v>
      </c>
      <c r="E19" s="464" t="s">
        <v>939</v>
      </c>
      <c r="F19" s="464" t="s">
        <v>953</v>
      </c>
      <c r="G19" s="464"/>
      <c r="H19" s="468"/>
      <c r="I19" s="468"/>
      <c r="J19" s="464"/>
      <c r="K19" s="464"/>
      <c r="L19" s="468">
        <v>1</v>
      </c>
      <c r="M19" s="468">
        <v>592</v>
      </c>
      <c r="N19" s="464">
        <v>1</v>
      </c>
      <c r="O19" s="464">
        <v>592</v>
      </c>
      <c r="P19" s="468">
        <v>1</v>
      </c>
      <c r="Q19" s="468">
        <v>592</v>
      </c>
      <c r="R19" s="491">
        <v>1</v>
      </c>
      <c r="S19" s="469">
        <v>592</v>
      </c>
    </row>
    <row r="20" spans="1:19" ht="14.4" customHeight="1" x14ac:dyDescent="0.3">
      <c r="A20" s="463"/>
      <c r="B20" s="464" t="s">
        <v>938</v>
      </c>
      <c r="C20" s="464" t="s">
        <v>425</v>
      </c>
      <c r="D20" s="464" t="s">
        <v>929</v>
      </c>
      <c r="E20" s="464" t="s">
        <v>939</v>
      </c>
      <c r="F20" s="464" t="s">
        <v>954</v>
      </c>
      <c r="G20" s="464"/>
      <c r="H20" s="468">
        <v>28</v>
      </c>
      <c r="I20" s="468">
        <v>15708</v>
      </c>
      <c r="J20" s="464">
        <v>1.4736842105263157</v>
      </c>
      <c r="K20" s="464">
        <v>561</v>
      </c>
      <c r="L20" s="468">
        <v>19</v>
      </c>
      <c r="M20" s="468">
        <v>10659</v>
      </c>
      <c r="N20" s="464">
        <v>1</v>
      </c>
      <c r="O20" s="464">
        <v>561</v>
      </c>
      <c r="P20" s="468">
        <v>14</v>
      </c>
      <c r="Q20" s="468">
        <v>7854</v>
      </c>
      <c r="R20" s="491">
        <v>0.73684210526315785</v>
      </c>
      <c r="S20" s="469">
        <v>561</v>
      </c>
    </row>
    <row r="21" spans="1:19" ht="14.4" customHeight="1" x14ac:dyDescent="0.3">
      <c r="A21" s="463"/>
      <c r="B21" s="464" t="s">
        <v>938</v>
      </c>
      <c r="C21" s="464" t="s">
        <v>425</v>
      </c>
      <c r="D21" s="464" t="s">
        <v>929</v>
      </c>
      <c r="E21" s="464" t="s">
        <v>939</v>
      </c>
      <c r="F21" s="464" t="s">
        <v>955</v>
      </c>
      <c r="G21" s="464"/>
      <c r="H21" s="468">
        <v>7</v>
      </c>
      <c r="I21" s="468">
        <v>3633</v>
      </c>
      <c r="J21" s="464">
        <v>0.5</v>
      </c>
      <c r="K21" s="464">
        <v>519</v>
      </c>
      <c r="L21" s="468">
        <v>14</v>
      </c>
      <c r="M21" s="468">
        <v>7266</v>
      </c>
      <c r="N21" s="464">
        <v>1</v>
      </c>
      <c r="O21" s="464">
        <v>519</v>
      </c>
      <c r="P21" s="468"/>
      <c r="Q21" s="468"/>
      <c r="R21" s="491"/>
      <c r="S21" s="469"/>
    </row>
    <row r="22" spans="1:19" ht="14.4" customHeight="1" x14ac:dyDescent="0.3">
      <c r="A22" s="463"/>
      <c r="B22" s="464" t="s">
        <v>938</v>
      </c>
      <c r="C22" s="464" t="s">
        <v>425</v>
      </c>
      <c r="D22" s="464" t="s">
        <v>929</v>
      </c>
      <c r="E22" s="464" t="s">
        <v>939</v>
      </c>
      <c r="F22" s="464" t="s">
        <v>956</v>
      </c>
      <c r="G22" s="464"/>
      <c r="H22" s="468"/>
      <c r="I22" s="468"/>
      <c r="J22" s="464"/>
      <c r="K22" s="464"/>
      <c r="L22" s="468"/>
      <c r="M22" s="468"/>
      <c r="N22" s="464"/>
      <c r="O22" s="464"/>
      <c r="P22" s="468">
        <v>2</v>
      </c>
      <c r="Q22" s="468">
        <v>642</v>
      </c>
      <c r="R22" s="491"/>
      <c r="S22" s="469">
        <v>321</v>
      </c>
    </row>
    <row r="23" spans="1:19" ht="14.4" customHeight="1" x14ac:dyDescent="0.3">
      <c r="A23" s="463"/>
      <c r="B23" s="464" t="s">
        <v>938</v>
      </c>
      <c r="C23" s="464" t="s">
        <v>425</v>
      </c>
      <c r="D23" s="464" t="s">
        <v>929</v>
      </c>
      <c r="E23" s="464" t="s">
        <v>939</v>
      </c>
      <c r="F23" s="464" t="s">
        <v>957</v>
      </c>
      <c r="G23" s="464"/>
      <c r="H23" s="468"/>
      <c r="I23" s="468"/>
      <c r="J23" s="464"/>
      <c r="K23" s="464"/>
      <c r="L23" s="468">
        <v>2</v>
      </c>
      <c r="M23" s="468">
        <v>642</v>
      </c>
      <c r="N23" s="464">
        <v>1</v>
      </c>
      <c r="O23" s="464">
        <v>321</v>
      </c>
      <c r="P23" s="468">
        <v>1</v>
      </c>
      <c r="Q23" s="468">
        <v>321</v>
      </c>
      <c r="R23" s="491">
        <v>0.5</v>
      </c>
      <c r="S23" s="469">
        <v>321</v>
      </c>
    </row>
    <row r="24" spans="1:19" ht="14.4" customHeight="1" x14ac:dyDescent="0.3">
      <c r="A24" s="463"/>
      <c r="B24" s="464" t="s">
        <v>938</v>
      </c>
      <c r="C24" s="464" t="s">
        <v>425</v>
      </c>
      <c r="D24" s="464" t="s">
        <v>929</v>
      </c>
      <c r="E24" s="464" t="s">
        <v>939</v>
      </c>
      <c r="F24" s="464" t="s">
        <v>958</v>
      </c>
      <c r="G24" s="464"/>
      <c r="H24" s="468">
        <v>6</v>
      </c>
      <c r="I24" s="468">
        <v>1926</v>
      </c>
      <c r="J24" s="464">
        <v>0.5</v>
      </c>
      <c r="K24" s="464">
        <v>321</v>
      </c>
      <c r="L24" s="468">
        <v>12</v>
      </c>
      <c r="M24" s="468">
        <v>3852</v>
      </c>
      <c r="N24" s="464">
        <v>1</v>
      </c>
      <c r="O24" s="464">
        <v>321</v>
      </c>
      <c r="P24" s="468"/>
      <c r="Q24" s="468"/>
      <c r="R24" s="491"/>
      <c r="S24" s="469"/>
    </row>
    <row r="25" spans="1:19" ht="14.4" customHeight="1" x14ac:dyDescent="0.3">
      <c r="A25" s="463"/>
      <c r="B25" s="464" t="s">
        <v>938</v>
      </c>
      <c r="C25" s="464" t="s">
        <v>425</v>
      </c>
      <c r="D25" s="464" t="s">
        <v>929</v>
      </c>
      <c r="E25" s="464" t="s">
        <v>939</v>
      </c>
      <c r="F25" s="464" t="s">
        <v>959</v>
      </c>
      <c r="G25" s="464"/>
      <c r="H25" s="468"/>
      <c r="I25" s="468"/>
      <c r="J25" s="464"/>
      <c r="K25" s="464"/>
      <c r="L25" s="468">
        <v>1</v>
      </c>
      <c r="M25" s="468">
        <v>1230</v>
      </c>
      <c r="N25" s="464">
        <v>1</v>
      </c>
      <c r="O25" s="464">
        <v>1230</v>
      </c>
      <c r="P25" s="468"/>
      <c r="Q25" s="468"/>
      <c r="R25" s="491"/>
      <c r="S25" s="469"/>
    </row>
    <row r="26" spans="1:19" ht="14.4" customHeight="1" x14ac:dyDescent="0.3">
      <c r="A26" s="463"/>
      <c r="B26" s="464" t="s">
        <v>938</v>
      </c>
      <c r="C26" s="464" t="s">
        <v>425</v>
      </c>
      <c r="D26" s="464" t="s">
        <v>929</v>
      </c>
      <c r="E26" s="464" t="s">
        <v>939</v>
      </c>
      <c r="F26" s="464" t="s">
        <v>960</v>
      </c>
      <c r="G26" s="464"/>
      <c r="H26" s="468">
        <v>15</v>
      </c>
      <c r="I26" s="468">
        <v>4230</v>
      </c>
      <c r="J26" s="464">
        <v>1.25</v>
      </c>
      <c r="K26" s="464">
        <v>282</v>
      </c>
      <c r="L26" s="468">
        <v>12</v>
      </c>
      <c r="M26" s="468">
        <v>3384</v>
      </c>
      <c r="N26" s="464">
        <v>1</v>
      </c>
      <c r="O26" s="464">
        <v>282</v>
      </c>
      <c r="P26" s="468">
        <v>18</v>
      </c>
      <c r="Q26" s="468">
        <v>5076</v>
      </c>
      <c r="R26" s="491">
        <v>1.5</v>
      </c>
      <c r="S26" s="469">
        <v>282</v>
      </c>
    </row>
    <row r="27" spans="1:19" ht="14.4" customHeight="1" x14ac:dyDescent="0.3">
      <c r="A27" s="463"/>
      <c r="B27" s="464" t="s">
        <v>938</v>
      </c>
      <c r="C27" s="464" t="s">
        <v>425</v>
      </c>
      <c r="D27" s="464" t="s">
        <v>929</v>
      </c>
      <c r="E27" s="464" t="s">
        <v>939</v>
      </c>
      <c r="F27" s="464" t="s">
        <v>961</v>
      </c>
      <c r="G27" s="464"/>
      <c r="H27" s="468">
        <v>7</v>
      </c>
      <c r="I27" s="468">
        <v>4753</v>
      </c>
      <c r="J27" s="464">
        <v>1</v>
      </c>
      <c r="K27" s="464">
        <v>679</v>
      </c>
      <c r="L27" s="468">
        <v>7</v>
      </c>
      <c r="M27" s="468">
        <v>4753</v>
      </c>
      <c r="N27" s="464">
        <v>1</v>
      </c>
      <c r="O27" s="464">
        <v>679</v>
      </c>
      <c r="P27" s="468">
        <v>5</v>
      </c>
      <c r="Q27" s="468">
        <v>3395</v>
      </c>
      <c r="R27" s="491">
        <v>0.7142857142857143</v>
      </c>
      <c r="S27" s="469">
        <v>679</v>
      </c>
    </row>
    <row r="28" spans="1:19" ht="14.4" customHeight="1" x14ac:dyDescent="0.3">
      <c r="A28" s="463"/>
      <c r="B28" s="464" t="s">
        <v>938</v>
      </c>
      <c r="C28" s="464" t="s">
        <v>425</v>
      </c>
      <c r="D28" s="464" t="s">
        <v>929</v>
      </c>
      <c r="E28" s="464" t="s">
        <v>939</v>
      </c>
      <c r="F28" s="464" t="s">
        <v>962</v>
      </c>
      <c r="G28" s="464"/>
      <c r="H28" s="468">
        <v>1</v>
      </c>
      <c r="I28" s="468">
        <v>929</v>
      </c>
      <c r="J28" s="464">
        <v>0.14285714285714285</v>
      </c>
      <c r="K28" s="464">
        <v>929</v>
      </c>
      <c r="L28" s="468">
        <v>7</v>
      </c>
      <c r="M28" s="468">
        <v>6503</v>
      </c>
      <c r="N28" s="464">
        <v>1</v>
      </c>
      <c r="O28" s="464">
        <v>929</v>
      </c>
      <c r="P28" s="468">
        <v>1</v>
      </c>
      <c r="Q28" s="468">
        <v>929</v>
      </c>
      <c r="R28" s="491">
        <v>0.14285714285714285</v>
      </c>
      <c r="S28" s="469">
        <v>929</v>
      </c>
    </row>
    <row r="29" spans="1:19" ht="14.4" customHeight="1" x14ac:dyDescent="0.3">
      <c r="A29" s="463"/>
      <c r="B29" s="464" t="s">
        <v>938</v>
      </c>
      <c r="C29" s="464" t="s">
        <v>425</v>
      </c>
      <c r="D29" s="464" t="s">
        <v>929</v>
      </c>
      <c r="E29" s="464" t="s">
        <v>939</v>
      </c>
      <c r="F29" s="464" t="s">
        <v>963</v>
      </c>
      <c r="G29" s="464"/>
      <c r="H29" s="468"/>
      <c r="I29" s="468"/>
      <c r="J29" s="464"/>
      <c r="K29" s="464"/>
      <c r="L29" s="468"/>
      <c r="M29" s="468"/>
      <c r="N29" s="464"/>
      <c r="O29" s="464"/>
      <c r="P29" s="468">
        <v>1</v>
      </c>
      <c r="Q29" s="468">
        <v>208</v>
      </c>
      <c r="R29" s="491"/>
      <c r="S29" s="469">
        <v>208</v>
      </c>
    </row>
    <row r="30" spans="1:19" ht="14.4" customHeight="1" x14ac:dyDescent="0.3">
      <c r="A30" s="463"/>
      <c r="B30" s="464" t="s">
        <v>938</v>
      </c>
      <c r="C30" s="464" t="s">
        <v>425</v>
      </c>
      <c r="D30" s="464" t="s">
        <v>929</v>
      </c>
      <c r="E30" s="464" t="s">
        <v>939</v>
      </c>
      <c r="F30" s="464" t="s">
        <v>964</v>
      </c>
      <c r="G30" s="464"/>
      <c r="H30" s="468">
        <v>2</v>
      </c>
      <c r="I30" s="468">
        <v>3480</v>
      </c>
      <c r="J30" s="464">
        <v>0.19333333333333333</v>
      </c>
      <c r="K30" s="464">
        <v>1740</v>
      </c>
      <c r="L30" s="468">
        <v>9</v>
      </c>
      <c r="M30" s="468">
        <v>18000</v>
      </c>
      <c r="N30" s="464">
        <v>1</v>
      </c>
      <c r="O30" s="464">
        <v>2000</v>
      </c>
      <c r="P30" s="468">
        <v>11</v>
      </c>
      <c r="Q30" s="468">
        <v>22000</v>
      </c>
      <c r="R30" s="491">
        <v>1.2222222222222223</v>
      </c>
      <c r="S30" s="469">
        <v>2000</v>
      </c>
    </row>
    <row r="31" spans="1:19" ht="14.4" customHeight="1" x14ac:dyDescent="0.3">
      <c r="A31" s="463"/>
      <c r="B31" s="464" t="s">
        <v>938</v>
      </c>
      <c r="C31" s="464" t="s">
        <v>425</v>
      </c>
      <c r="D31" s="464" t="s">
        <v>929</v>
      </c>
      <c r="E31" s="464" t="s">
        <v>939</v>
      </c>
      <c r="F31" s="464" t="s">
        <v>965</v>
      </c>
      <c r="G31" s="464"/>
      <c r="H31" s="468">
        <v>1</v>
      </c>
      <c r="I31" s="468">
        <v>2024</v>
      </c>
      <c r="J31" s="464">
        <v>1</v>
      </c>
      <c r="K31" s="464">
        <v>2024</v>
      </c>
      <c r="L31" s="468">
        <v>1</v>
      </c>
      <c r="M31" s="468">
        <v>2024</v>
      </c>
      <c r="N31" s="464">
        <v>1</v>
      </c>
      <c r="O31" s="464">
        <v>2024</v>
      </c>
      <c r="P31" s="468">
        <v>2</v>
      </c>
      <c r="Q31" s="468">
        <v>4048</v>
      </c>
      <c r="R31" s="491">
        <v>2</v>
      </c>
      <c r="S31" s="469">
        <v>2024</v>
      </c>
    </row>
    <row r="32" spans="1:19" ht="14.4" customHeight="1" x14ac:dyDescent="0.3">
      <c r="A32" s="463"/>
      <c r="B32" s="464" t="s">
        <v>938</v>
      </c>
      <c r="C32" s="464" t="s">
        <v>425</v>
      </c>
      <c r="D32" s="464" t="s">
        <v>929</v>
      </c>
      <c r="E32" s="464" t="s">
        <v>939</v>
      </c>
      <c r="F32" s="464" t="s">
        <v>966</v>
      </c>
      <c r="G32" s="464"/>
      <c r="H32" s="468">
        <v>1</v>
      </c>
      <c r="I32" s="468">
        <v>2010</v>
      </c>
      <c r="J32" s="464"/>
      <c r="K32" s="464">
        <v>2010</v>
      </c>
      <c r="L32" s="468"/>
      <c r="M32" s="468"/>
      <c r="N32" s="464"/>
      <c r="O32" s="464"/>
      <c r="P32" s="468">
        <v>2</v>
      </c>
      <c r="Q32" s="468">
        <v>4020</v>
      </c>
      <c r="R32" s="491"/>
      <c r="S32" s="469">
        <v>2010</v>
      </c>
    </row>
    <row r="33" spans="1:19" ht="14.4" customHeight="1" x14ac:dyDescent="0.3">
      <c r="A33" s="463"/>
      <c r="B33" s="464" t="s">
        <v>938</v>
      </c>
      <c r="C33" s="464" t="s">
        <v>425</v>
      </c>
      <c r="D33" s="464" t="s">
        <v>929</v>
      </c>
      <c r="E33" s="464" t="s">
        <v>939</v>
      </c>
      <c r="F33" s="464" t="s">
        <v>967</v>
      </c>
      <c r="G33" s="464"/>
      <c r="H33" s="468">
        <v>1</v>
      </c>
      <c r="I33" s="468">
        <v>1246</v>
      </c>
      <c r="J33" s="464"/>
      <c r="K33" s="464">
        <v>1246</v>
      </c>
      <c r="L33" s="468"/>
      <c r="M33" s="468"/>
      <c r="N33" s="464"/>
      <c r="O33" s="464"/>
      <c r="P33" s="468">
        <v>1</v>
      </c>
      <c r="Q33" s="468">
        <v>1246</v>
      </c>
      <c r="R33" s="491"/>
      <c r="S33" s="469">
        <v>1246</v>
      </c>
    </row>
    <row r="34" spans="1:19" ht="14.4" customHeight="1" x14ac:dyDescent="0.3">
      <c r="A34" s="463"/>
      <c r="B34" s="464" t="s">
        <v>938</v>
      </c>
      <c r="C34" s="464" t="s">
        <v>425</v>
      </c>
      <c r="D34" s="464" t="s">
        <v>929</v>
      </c>
      <c r="E34" s="464" t="s">
        <v>939</v>
      </c>
      <c r="F34" s="464" t="s">
        <v>968</v>
      </c>
      <c r="G34" s="464"/>
      <c r="H34" s="468"/>
      <c r="I34" s="468"/>
      <c r="J34" s="464"/>
      <c r="K34" s="464"/>
      <c r="L34" s="468"/>
      <c r="M34" s="468"/>
      <c r="N34" s="464"/>
      <c r="O34" s="464"/>
      <c r="P34" s="468">
        <v>1</v>
      </c>
      <c r="Q34" s="468">
        <v>1345</v>
      </c>
      <c r="R34" s="491"/>
      <c r="S34" s="469">
        <v>1345</v>
      </c>
    </row>
    <row r="35" spans="1:19" ht="14.4" customHeight="1" x14ac:dyDescent="0.3">
      <c r="A35" s="463"/>
      <c r="B35" s="464" t="s">
        <v>938</v>
      </c>
      <c r="C35" s="464" t="s">
        <v>425</v>
      </c>
      <c r="D35" s="464" t="s">
        <v>929</v>
      </c>
      <c r="E35" s="464" t="s">
        <v>939</v>
      </c>
      <c r="F35" s="464" t="s">
        <v>969</v>
      </c>
      <c r="G35" s="464"/>
      <c r="H35" s="468">
        <v>10</v>
      </c>
      <c r="I35" s="468">
        <v>35540</v>
      </c>
      <c r="J35" s="464">
        <v>0.75940170940170937</v>
      </c>
      <c r="K35" s="464">
        <v>3554</v>
      </c>
      <c r="L35" s="468">
        <v>12</v>
      </c>
      <c r="M35" s="468">
        <v>46800</v>
      </c>
      <c r="N35" s="464">
        <v>1</v>
      </c>
      <c r="O35" s="464">
        <v>3900</v>
      </c>
      <c r="P35" s="468">
        <v>8</v>
      </c>
      <c r="Q35" s="468">
        <v>31200</v>
      </c>
      <c r="R35" s="491">
        <v>0.66666666666666663</v>
      </c>
      <c r="S35" s="469">
        <v>3900</v>
      </c>
    </row>
    <row r="36" spans="1:19" ht="14.4" customHeight="1" x14ac:dyDescent="0.3">
      <c r="A36" s="463"/>
      <c r="B36" s="464" t="s">
        <v>938</v>
      </c>
      <c r="C36" s="464" t="s">
        <v>425</v>
      </c>
      <c r="D36" s="464" t="s">
        <v>929</v>
      </c>
      <c r="E36" s="464" t="s">
        <v>939</v>
      </c>
      <c r="F36" s="464" t="s">
        <v>970</v>
      </c>
      <c r="G36" s="464"/>
      <c r="H36" s="468">
        <v>8</v>
      </c>
      <c r="I36" s="468">
        <v>28936</v>
      </c>
      <c r="J36" s="464">
        <v>0.82438746438746435</v>
      </c>
      <c r="K36" s="464">
        <v>3617</v>
      </c>
      <c r="L36" s="468">
        <v>9</v>
      </c>
      <c r="M36" s="468">
        <v>35100</v>
      </c>
      <c r="N36" s="464">
        <v>1</v>
      </c>
      <c r="O36" s="464">
        <v>3900</v>
      </c>
      <c r="P36" s="468">
        <v>3</v>
      </c>
      <c r="Q36" s="468">
        <v>11700</v>
      </c>
      <c r="R36" s="491">
        <v>0.33333333333333331</v>
      </c>
      <c r="S36" s="469">
        <v>3900</v>
      </c>
    </row>
    <row r="37" spans="1:19" ht="14.4" customHeight="1" x14ac:dyDescent="0.3">
      <c r="A37" s="463"/>
      <c r="B37" s="464" t="s">
        <v>938</v>
      </c>
      <c r="C37" s="464" t="s">
        <v>425</v>
      </c>
      <c r="D37" s="464" t="s">
        <v>929</v>
      </c>
      <c r="E37" s="464" t="s">
        <v>939</v>
      </c>
      <c r="F37" s="464" t="s">
        <v>971</v>
      </c>
      <c r="G37" s="464"/>
      <c r="H37" s="468"/>
      <c r="I37" s="468"/>
      <c r="J37" s="464"/>
      <c r="K37" s="464"/>
      <c r="L37" s="468">
        <v>3</v>
      </c>
      <c r="M37" s="468">
        <v>492</v>
      </c>
      <c r="N37" s="464">
        <v>1</v>
      </c>
      <c r="O37" s="464">
        <v>164</v>
      </c>
      <c r="P37" s="468">
        <v>1</v>
      </c>
      <c r="Q37" s="468">
        <v>164</v>
      </c>
      <c r="R37" s="491">
        <v>0.33333333333333331</v>
      </c>
      <c r="S37" s="469">
        <v>164</v>
      </c>
    </row>
    <row r="38" spans="1:19" ht="14.4" customHeight="1" x14ac:dyDescent="0.3">
      <c r="A38" s="463"/>
      <c r="B38" s="464" t="s">
        <v>938</v>
      </c>
      <c r="C38" s="464" t="s">
        <v>425</v>
      </c>
      <c r="D38" s="464" t="s">
        <v>929</v>
      </c>
      <c r="E38" s="464" t="s">
        <v>939</v>
      </c>
      <c r="F38" s="464" t="s">
        <v>972</v>
      </c>
      <c r="G38" s="464"/>
      <c r="H38" s="468">
        <v>6</v>
      </c>
      <c r="I38" s="468">
        <v>1350</v>
      </c>
      <c r="J38" s="464">
        <v>0.5</v>
      </c>
      <c r="K38" s="464">
        <v>225</v>
      </c>
      <c r="L38" s="468">
        <v>12</v>
      </c>
      <c r="M38" s="468">
        <v>2700</v>
      </c>
      <c r="N38" s="464">
        <v>1</v>
      </c>
      <c r="O38" s="464">
        <v>225</v>
      </c>
      <c r="P38" s="468">
        <v>10</v>
      </c>
      <c r="Q38" s="468">
        <v>2250</v>
      </c>
      <c r="R38" s="491">
        <v>0.83333333333333337</v>
      </c>
      <c r="S38" s="469">
        <v>225</v>
      </c>
    </row>
    <row r="39" spans="1:19" ht="14.4" customHeight="1" x14ac:dyDescent="0.3">
      <c r="A39" s="463"/>
      <c r="B39" s="464" t="s">
        <v>938</v>
      </c>
      <c r="C39" s="464" t="s">
        <v>425</v>
      </c>
      <c r="D39" s="464" t="s">
        <v>929</v>
      </c>
      <c r="E39" s="464" t="s">
        <v>939</v>
      </c>
      <c r="F39" s="464" t="s">
        <v>973</v>
      </c>
      <c r="G39" s="464"/>
      <c r="H39" s="468">
        <v>4</v>
      </c>
      <c r="I39" s="468">
        <v>1452</v>
      </c>
      <c r="J39" s="464">
        <v>0.8</v>
      </c>
      <c r="K39" s="464">
        <v>363</v>
      </c>
      <c r="L39" s="468">
        <v>5</v>
      </c>
      <c r="M39" s="468">
        <v>1815</v>
      </c>
      <c r="N39" s="464">
        <v>1</v>
      </c>
      <c r="O39" s="464">
        <v>363</v>
      </c>
      <c r="P39" s="468">
        <v>3</v>
      </c>
      <c r="Q39" s="468">
        <v>1089</v>
      </c>
      <c r="R39" s="491">
        <v>0.6</v>
      </c>
      <c r="S39" s="469">
        <v>363</v>
      </c>
    </row>
    <row r="40" spans="1:19" ht="14.4" customHeight="1" x14ac:dyDescent="0.3">
      <c r="A40" s="463"/>
      <c r="B40" s="464" t="s">
        <v>938</v>
      </c>
      <c r="C40" s="464" t="s">
        <v>425</v>
      </c>
      <c r="D40" s="464" t="s">
        <v>929</v>
      </c>
      <c r="E40" s="464" t="s">
        <v>939</v>
      </c>
      <c r="F40" s="464" t="s">
        <v>974</v>
      </c>
      <c r="G40" s="464"/>
      <c r="H40" s="468">
        <v>5</v>
      </c>
      <c r="I40" s="468">
        <v>2935</v>
      </c>
      <c r="J40" s="464">
        <v>0.83333333333333337</v>
      </c>
      <c r="K40" s="464">
        <v>587</v>
      </c>
      <c r="L40" s="468">
        <v>6</v>
      </c>
      <c r="M40" s="468">
        <v>3522</v>
      </c>
      <c r="N40" s="464">
        <v>1</v>
      </c>
      <c r="O40" s="464">
        <v>587</v>
      </c>
      <c r="P40" s="468">
        <v>6</v>
      </c>
      <c r="Q40" s="468">
        <v>3522</v>
      </c>
      <c r="R40" s="491">
        <v>1</v>
      </c>
      <c r="S40" s="469">
        <v>587</v>
      </c>
    </row>
    <row r="41" spans="1:19" ht="14.4" customHeight="1" x14ac:dyDescent="0.3">
      <c r="A41" s="463"/>
      <c r="B41" s="464" t="s">
        <v>938</v>
      </c>
      <c r="C41" s="464" t="s">
        <v>425</v>
      </c>
      <c r="D41" s="464" t="s">
        <v>929</v>
      </c>
      <c r="E41" s="464" t="s">
        <v>939</v>
      </c>
      <c r="F41" s="464" t="s">
        <v>975</v>
      </c>
      <c r="G41" s="464"/>
      <c r="H41" s="468">
        <v>1</v>
      </c>
      <c r="I41" s="468">
        <v>600</v>
      </c>
      <c r="J41" s="464">
        <v>1</v>
      </c>
      <c r="K41" s="464">
        <v>600</v>
      </c>
      <c r="L41" s="468">
        <v>1</v>
      </c>
      <c r="M41" s="468">
        <v>600</v>
      </c>
      <c r="N41" s="464">
        <v>1</v>
      </c>
      <c r="O41" s="464">
        <v>600</v>
      </c>
      <c r="P41" s="468">
        <v>3</v>
      </c>
      <c r="Q41" s="468">
        <v>1800</v>
      </c>
      <c r="R41" s="491">
        <v>3</v>
      </c>
      <c r="S41" s="469">
        <v>600</v>
      </c>
    </row>
    <row r="42" spans="1:19" ht="14.4" customHeight="1" x14ac:dyDescent="0.3">
      <c r="A42" s="463"/>
      <c r="B42" s="464" t="s">
        <v>938</v>
      </c>
      <c r="C42" s="464" t="s">
        <v>425</v>
      </c>
      <c r="D42" s="464" t="s">
        <v>929</v>
      </c>
      <c r="E42" s="464" t="s">
        <v>939</v>
      </c>
      <c r="F42" s="464" t="s">
        <v>976</v>
      </c>
      <c r="G42" s="464"/>
      <c r="H42" s="468"/>
      <c r="I42" s="468"/>
      <c r="J42" s="464"/>
      <c r="K42" s="464"/>
      <c r="L42" s="468">
        <v>1</v>
      </c>
      <c r="M42" s="468">
        <v>745</v>
      </c>
      <c r="N42" s="464">
        <v>1</v>
      </c>
      <c r="O42" s="464">
        <v>745</v>
      </c>
      <c r="P42" s="468"/>
      <c r="Q42" s="468"/>
      <c r="R42" s="491"/>
      <c r="S42" s="469"/>
    </row>
    <row r="43" spans="1:19" ht="14.4" customHeight="1" x14ac:dyDescent="0.3">
      <c r="A43" s="463"/>
      <c r="B43" s="464" t="s">
        <v>938</v>
      </c>
      <c r="C43" s="464" t="s">
        <v>425</v>
      </c>
      <c r="D43" s="464" t="s">
        <v>929</v>
      </c>
      <c r="E43" s="464" t="s">
        <v>939</v>
      </c>
      <c r="F43" s="464" t="s">
        <v>977</v>
      </c>
      <c r="G43" s="464"/>
      <c r="H43" s="468">
        <v>1</v>
      </c>
      <c r="I43" s="468">
        <v>561</v>
      </c>
      <c r="J43" s="464">
        <v>0.5</v>
      </c>
      <c r="K43" s="464">
        <v>561</v>
      </c>
      <c r="L43" s="468">
        <v>2</v>
      </c>
      <c r="M43" s="468">
        <v>1122</v>
      </c>
      <c r="N43" s="464">
        <v>1</v>
      </c>
      <c r="O43" s="464">
        <v>561</v>
      </c>
      <c r="P43" s="468">
        <v>2</v>
      </c>
      <c r="Q43" s="468">
        <v>1122</v>
      </c>
      <c r="R43" s="491">
        <v>1</v>
      </c>
      <c r="S43" s="469">
        <v>561</v>
      </c>
    </row>
    <row r="44" spans="1:19" ht="14.4" customHeight="1" x14ac:dyDescent="0.3">
      <c r="A44" s="463"/>
      <c r="B44" s="464" t="s">
        <v>938</v>
      </c>
      <c r="C44" s="464" t="s">
        <v>425</v>
      </c>
      <c r="D44" s="464" t="s">
        <v>929</v>
      </c>
      <c r="E44" s="464" t="s">
        <v>939</v>
      </c>
      <c r="F44" s="464" t="s">
        <v>978</v>
      </c>
      <c r="G44" s="464"/>
      <c r="H44" s="468"/>
      <c r="I44" s="468"/>
      <c r="J44" s="464"/>
      <c r="K44" s="464"/>
      <c r="L44" s="468"/>
      <c r="M44" s="468"/>
      <c r="N44" s="464"/>
      <c r="O44" s="464"/>
      <c r="P44" s="468">
        <v>1</v>
      </c>
      <c r="Q44" s="468">
        <v>1122</v>
      </c>
      <c r="R44" s="491"/>
      <c r="S44" s="469">
        <v>1122</v>
      </c>
    </row>
    <row r="45" spans="1:19" ht="14.4" customHeight="1" x14ac:dyDescent="0.3">
      <c r="A45" s="463"/>
      <c r="B45" s="464" t="s">
        <v>938</v>
      </c>
      <c r="C45" s="464" t="s">
        <v>425</v>
      </c>
      <c r="D45" s="464" t="s">
        <v>929</v>
      </c>
      <c r="E45" s="464" t="s">
        <v>939</v>
      </c>
      <c r="F45" s="464" t="s">
        <v>979</v>
      </c>
      <c r="G45" s="464"/>
      <c r="H45" s="468"/>
      <c r="I45" s="468"/>
      <c r="J45" s="464"/>
      <c r="K45" s="464"/>
      <c r="L45" s="468">
        <v>2</v>
      </c>
      <c r="M45" s="468">
        <v>1734</v>
      </c>
      <c r="N45" s="464">
        <v>1</v>
      </c>
      <c r="O45" s="464">
        <v>867</v>
      </c>
      <c r="P45" s="468"/>
      <c r="Q45" s="468"/>
      <c r="R45" s="491"/>
      <c r="S45" s="469"/>
    </row>
    <row r="46" spans="1:19" ht="14.4" customHeight="1" x14ac:dyDescent="0.3">
      <c r="A46" s="463"/>
      <c r="B46" s="464" t="s">
        <v>938</v>
      </c>
      <c r="C46" s="464" t="s">
        <v>425</v>
      </c>
      <c r="D46" s="464" t="s">
        <v>929</v>
      </c>
      <c r="E46" s="464" t="s">
        <v>939</v>
      </c>
      <c r="F46" s="464" t="s">
        <v>980</v>
      </c>
      <c r="G46" s="464"/>
      <c r="H46" s="468"/>
      <c r="I46" s="468"/>
      <c r="J46" s="464"/>
      <c r="K46" s="464"/>
      <c r="L46" s="468"/>
      <c r="M46" s="468"/>
      <c r="N46" s="464"/>
      <c r="O46" s="464"/>
      <c r="P46" s="468">
        <v>2</v>
      </c>
      <c r="Q46" s="468">
        <v>1100</v>
      </c>
      <c r="R46" s="491"/>
      <c r="S46" s="469">
        <v>550</v>
      </c>
    </row>
    <row r="47" spans="1:19" ht="14.4" customHeight="1" x14ac:dyDescent="0.3">
      <c r="A47" s="463"/>
      <c r="B47" s="464" t="s">
        <v>938</v>
      </c>
      <c r="C47" s="464" t="s">
        <v>425</v>
      </c>
      <c r="D47" s="464" t="s">
        <v>929</v>
      </c>
      <c r="E47" s="464" t="s">
        <v>939</v>
      </c>
      <c r="F47" s="464" t="s">
        <v>981</v>
      </c>
      <c r="G47" s="464"/>
      <c r="H47" s="468">
        <v>1</v>
      </c>
      <c r="I47" s="468">
        <v>519</v>
      </c>
      <c r="J47" s="464"/>
      <c r="K47" s="464">
        <v>519</v>
      </c>
      <c r="L47" s="468"/>
      <c r="M47" s="468"/>
      <c r="N47" s="464"/>
      <c r="O47" s="464"/>
      <c r="P47" s="468"/>
      <c r="Q47" s="468"/>
      <c r="R47" s="491"/>
      <c r="S47" s="469"/>
    </row>
    <row r="48" spans="1:19" ht="14.4" customHeight="1" x14ac:dyDescent="0.3">
      <c r="A48" s="463"/>
      <c r="B48" s="464" t="s">
        <v>938</v>
      </c>
      <c r="C48" s="464" t="s">
        <v>425</v>
      </c>
      <c r="D48" s="464" t="s">
        <v>929</v>
      </c>
      <c r="E48" s="464" t="s">
        <v>939</v>
      </c>
      <c r="F48" s="464" t="s">
        <v>982</v>
      </c>
      <c r="G48" s="464"/>
      <c r="H48" s="468"/>
      <c r="I48" s="468"/>
      <c r="J48" s="464"/>
      <c r="K48" s="464"/>
      <c r="L48" s="468">
        <v>2</v>
      </c>
      <c r="M48" s="468">
        <v>2652</v>
      </c>
      <c r="N48" s="464">
        <v>1</v>
      </c>
      <c r="O48" s="464">
        <v>1326</v>
      </c>
      <c r="P48" s="468"/>
      <c r="Q48" s="468"/>
      <c r="R48" s="491"/>
      <c r="S48" s="469"/>
    </row>
    <row r="49" spans="1:19" ht="14.4" customHeight="1" x14ac:dyDescent="0.3">
      <c r="A49" s="463"/>
      <c r="B49" s="464" t="s">
        <v>938</v>
      </c>
      <c r="C49" s="464" t="s">
        <v>425</v>
      </c>
      <c r="D49" s="464" t="s">
        <v>929</v>
      </c>
      <c r="E49" s="464" t="s">
        <v>939</v>
      </c>
      <c r="F49" s="464" t="s">
        <v>983</v>
      </c>
      <c r="G49" s="464"/>
      <c r="H49" s="468"/>
      <c r="I49" s="468"/>
      <c r="J49" s="464"/>
      <c r="K49" s="464"/>
      <c r="L49" s="468"/>
      <c r="M49" s="468"/>
      <c r="N49" s="464"/>
      <c r="O49" s="464"/>
      <c r="P49" s="468">
        <v>2</v>
      </c>
      <c r="Q49" s="468">
        <v>810</v>
      </c>
      <c r="R49" s="491"/>
      <c r="S49" s="469">
        <v>405</v>
      </c>
    </row>
    <row r="50" spans="1:19" ht="14.4" customHeight="1" x14ac:dyDescent="0.3">
      <c r="A50" s="463"/>
      <c r="B50" s="464" t="s">
        <v>938</v>
      </c>
      <c r="C50" s="464" t="s">
        <v>425</v>
      </c>
      <c r="D50" s="464" t="s">
        <v>929</v>
      </c>
      <c r="E50" s="464" t="s">
        <v>939</v>
      </c>
      <c r="F50" s="464" t="s">
        <v>984</v>
      </c>
      <c r="G50" s="464"/>
      <c r="H50" s="468"/>
      <c r="I50" s="468"/>
      <c r="J50" s="464"/>
      <c r="K50" s="464"/>
      <c r="L50" s="468">
        <v>6</v>
      </c>
      <c r="M50" s="468">
        <v>3300</v>
      </c>
      <c r="N50" s="464">
        <v>1</v>
      </c>
      <c r="O50" s="464">
        <v>550</v>
      </c>
      <c r="P50" s="468">
        <v>2</v>
      </c>
      <c r="Q50" s="468">
        <v>1100</v>
      </c>
      <c r="R50" s="491">
        <v>0.33333333333333331</v>
      </c>
      <c r="S50" s="469">
        <v>550</v>
      </c>
    </row>
    <row r="51" spans="1:19" ht="14.4" customHeight="1" x14ac:dyDescent="0.3">
      <c r="A51" s="463"/>
      <c r="B51" s="464" t="s">
        <v>938</v>
      </c>
      <c r="C51" s="464" t="s">
        <v>425</v>
      </c>
      <c r="D51" s="464" t="s">
        <v>929</v>
      </c>
      <c r="E51" s="464" t="s">
        <v>939</v>
      </c>
      <c r="F51" s="464" t="s">
        <v>985</v>
      </c>
      <c r="G51" s="464"/>
      <c r="H51" s="468"/>
      <c r="I51" s="468"/>
      <c r="J51" s="464"/>
      <c r="K51" s="464"/>
      <c r="L51" s="468">
        <v>4</v>
      </c>
      <c r="M51" s="468">
        <v>0</v>
      </c>
      <c r="N51" s="464"/>
      <c r="O51" s="464">
        <v>0</v>
      </c>
      <c r="P51" s="468"/>
      <c r="Q51" s="468"/>
      <c r="R51" s="491"/>
      <c r="S51" s="469"/>
    </row>
    <row r="52" spans="1:19" ht="14.4" customHeight="1" x14ac:dyDescent="0.3">
      <c r="A52" s="463"/>
      <c r="B52" s="464" t="s">
        <v>938</v>
      </c>
      <c r="C52" s="464" t="s">
        <v>425</v>
      </c>
      <c r="D52" s="464" t="s">
        <v>929</v>
      </c>
      <c r="E52" s="464" t="s">
        <v>986</v>
      </c>
      <c r="F52" s="464" t="s">
        <v>987</v>
      </c>
      <c r="G52" s="464" t="s">
        <v>988</v>
      </c>
      <c r="H52" s="468">
        <v>1</v>
      </c>
      <c r="I52" s="468">
        <v>475.56</v>
      </c>
      <c r="J52" s="464"/>
      <c r="K52" s="464">
        <v>475.56</v>
      </c>
      <c r="L52" s="468"/>
      <c r="M52" s="468"/>
      <c r="N52" s="464"/>
      <c r="O52" s="464"/>
      <c r="P52" s="468"/>
      <c r="Q52" s="468"/>
      <c r="R52" s="491"/>
      <c r="S52" s="469"/>
    </row>
    <row r="53" spans="1:19" ht="14.4" customHeight="1" x14ac:dyDescent="0.3">
      <c r="A53" s="463"/>
      <c r="B53" s="464" t="s">
        <v>938</v>
      </c>
      <c r="C53" s="464" t="s">
        <v>425</v>
      </c>
      <c r="D53" s="464" t="s">
        <v>929</v>
      </c>
      <c r="E53" s="464" t="s">
        <v>986</v>
      </c>
      <c r="F53" s="464" t="s">
        <v>989</v>
      </c>
      <c r="G53" s="464" t="s">
        <v>990</v>
      </c>
      <c r="H53" s="468">
        <v>14</v>
      </c>
      <c r="I53" s="468">
        <v>6377.7800000000007</v>
      </c>
      <c r="J53" s="464">
        <v>1.5944450000000001</v>
      </c>
      <c r="K53" s="464">
        <v>455.55571428571432</v>
      </c>
      <c r="L53" s="468">
        <v>8</v>
      </c>
      <c r="M53" s="468">
        <v>4000</v>
      </c>
      <c r="N53" s="464">
        <v>1</v>
      </c>
      <c r="O53" s="464">
        <v>500</v>
      </c>
      <c r="P53" s="468"/>
      <c r="Q53" s="468"/>
      <c r="R53" s="491"/>
      <c r="S53" s="469"/>
    </row>
    <row r="54" spans="1:19" ht="14.4" customHeight="1" x14ac:dyDescent="0.3">
      <c r="A54" s="463"/>
      <c r="B54" s="464" t="s">
        <v>938</v>
      </c>
      <c r="C54" s="464" t="s">
        <v>425</v>
      </c>
      <c r="D54" s="464" t="s">
        <v>929</v>
      </c>
      <c r="E54" s="464" t="s">
        <v>986</v>
      </c>
      <c r="F54" s="464" t="s">
        <v>989</v>
      </c>
      <c r="G54" s="464" t="s">
        <v>991</v>
      </c>
      <c r="H54" s="468">
        <v>4</v>
      </c>
      <c r="I54" s="468">
        <v>1822.23</v>
      </c>
      <c r="J54" s="464">
        <v>0.91111500000000001</v>
      </c>
      <c r="K54" s="464">
        <v>455.5575</v>
      </c>
      <c r="L54" s="468">
        <v>4</v>
      </c>
      <c r="M54" s="468">
        <v>2000</v>
      </c>
      <c r="N54" s="464">
        <v>1</v>
      </c>
      <c r="O54" s="464">
        <v>500</v>
      </c>
      <c r="P54" s="468">
        <v>1</v>
      </c>
      <c r="Q54" s="468">
        <v>500</v>
      </c>
      <c r="R54" s="491">
        <v>0.25</v>
      </c>
      <c r="S54" s="469">
        <v>500</v>
      </c>
    </row>
    <row r="55" spans="1:19" ht="14.4" customHeight="1" x14ac:dyDescent="0.3">
      <c r="A55" s="463"/>
      <c r="B55" s="464" t="s">
        <v>938</v>
      </c>
      <c r="C55" s="464" t="s">
        <v>425</v>
      </c>
      <c r="D55" s="464" t="s">
        <v>929</v>
      </c>
      <c r="E55" s="464" t="s">
        <v>986</v>
      </c>
      <c r="F55" s="464" t="s">
        <v>992</v>
      </c>
      <c r="G55" s="464" t="s">
        <v>993</v>
      </c>
      <c r="H55" s="468">
        <v>212</v>
      </c>
      <c r="I55" s="468">
        <v>16488.879999999997</v>
      </c>
      <c r="J55" s="464">
        <v>0.7653430608282511</v>
      </c>
      <c r="K55" s="464">
        <v>77.777735849056597</v>
      </c>
      <c r="L55" s="468">
        <v>277</v>
      </c>
      <c r="M55" s="468">
        <v>21544.43</v>
      </c>
      <c r="N55" s="464">
        <v>1</v>
      </c>
      <c r="O55" s="464">
        <v>77.777725631768959</v>
      </c>
      <c r="P55" s="468">
        <v>208</v>
      </c>
      <c r="Q55" s="468">
        <v>16177.769999999999</v>
      </c>
      <c r="R55" s="491">
        <v>0.75090266950668916</v>
      </c>
      <c r="S55" s="469">
        <v>77.777740384615385</v>
      </c>
    </row>
    <row r="56" spans="1:19" ht="14.4" customHeight="1" x14ac:dyDescent="0.3">
      <c r="A56" s="463"/>
      <c r="B56" s="464" t="s">
        <v>938</v>
      </c>
      <c r="C56" s="464" t="s">
        <v>425</v>
      </c>
      <c r="D56" s="464" t="s">
        <v>929</v>
      </c>
      <c r="E56" s="464" t="s">
        <v>986</v>
      </c>
      <c r="F56" s="464" t="s">
        <v>994</v>
      </c>
      <c r="G56" s="464" t="s">
        <v>995</v>
      </c>
      <c r="H56" s="468"/>
      <c r="I56" s="468"/>
      <c r="J56" s="464"/>
      <c r="K56" s="464"/>
      <c r="L56" s="468">
        <v>7</v>
      </c>
      <c r="M56" s="468">
        <v>1750</v>
      </c>
      <c r="N56" s="464">
        <v>1</v>
      </c>
      <c r="O56" s="464">
        <v>250</v>
      </c>
      <c r="P56" s="468"/>
      <c r="Q56" s="468"/>
      <c r="R56" s="491"/>
      <c r="S56" s="469"/>
    </row>
    <row r="57" spans="1:19" ht="14.4" customHeight="1" x14ac:dyDescent="0.3">
      <c r="A57" s="463"/>
      <c r="B57" s="464" t="s">
        <v>938</v>
      </c>
      <c r="C57" s="464" t="s">
        <v>425</v>
      </c>
      <c r="D57" s="464" t="s">
        <v>929</v>
      </c>
      <c r="E57" s="464" t="s">
        <v>986</v>
      </c>
      <c r="F57" s="464" t="s">
        <v>994</v>
      </c>
      <c r="G57" s="464" t="s">
        <v>996</v>
      </c>
      <c r="H57" s="468"/>
      <c r="I57" s="468"/>
      <c r="J57" s="464"/>
      <c r="K57" s="464"/>
      <c r="L57" s="468">
        <v>1</v>
      </c>
      <c r="M57" s="468">
        <v>250</v>
      </c>
      <c r="N57" s="464">
        <v>1</v>
      </c>
      <c r="O57" s="464">
        <v>250</v>
      </c>
      <c r="P57" s="468">
        <v>4</v>
      </c>
      <c r="Q57" s="468">
        <v>1000</v>
      </c>
      <c r="R57" s="491">
        <v>4</v>
      </c>
      <c r="S57" s="469">
        <v>250</v>
      </c>
    </row>
    <row r="58" spans="1:19" ht="14.4" customHeight="1" x14ac:dyDescent="0.3">
      <c r="A58" s="463"/>
      <c r="B58" s="464" t="s">
        <v>938</v>
      </c>
      <c r="C58" s="464" t="s">
        <v>425</v>
      </c>
      <c r="D58" s="464" t="s">
        <v>929</v>
      </c>
      <c r="E58" s="464" t="s">
        <v>986</v>
      </c>
      <c r="F58" s="464" t="s">
        <v>997</v>
      </c>
      <c r="G58" s="464" t="s">
        <v>998</v>
      </c>
      <c r="H58" s="468">
        <v>1</v>
      </c>
      <c r="I58" s="468">
        <v>300</v>
      </c>
      <c r="J58" s="464"/>
      <c r="K58" s="464">
        <v>300</v>
      </c>
      <c r="L58" s="468"/>
      <c r="M58" s="468"/>
      <c r="N58" s="464"/>
      <c r="O58" s="464"/>
      <c r="P58" s="468"/>
      <c r="Q58" s="468"/>
      <c r="R58" s="491"/>
      <c r="S58" s="469"/>
    </row>
    <row r="59" spans="1:19" ht="14.4" customHeight="1" x14ac:dyDescent="0.3">
      <c r="A59" s="463"/>
      <c r="B59" s="464" t="s">
        <v>938</v>
      </c>
      <c r="C59" s="464" t="s">
        <v>425</v>
      </c>
      <c r="D59" s="464" t="s">
        <v>929</v>
      </c>
      <c r="E59" s="464" t="s">
        <v>986</v>
      </c>
      <c r="F59" s="464" t="s">
        <v>999</v>
      </c>
      <c r="G59" s="464" t="s">
        <v>1000</v>
      </c>
      <c r="H59" s="468">
        <v>75</v>
      </c>
      <c r="I59" s="468">
        <v>8750</v>
      </c>
      <c r="J59" s="464">
        <v>0.89285805393678974</v>
      </c>
      <c r="K59" s="464">
        <v>116.66666666666667</v>
      </c>
      <c r="L59" s="468">
        <v>84</v>
      </c>
      <c r="M59" s="468">
        <v>9799.99</v>
      </c>
      <c r="N59" s="464">
        <v>1</v>
      </c>
      <c r="O59" s="464">
        <v>116.66654761904762</v>
      </c>
      <c r="P59" s="468">
        <v>42</v>
      </c>
      <c r="Q59" s="468">
        <v>4900.01</v>
      </c>
      <c r="R59" s="491">
        <v>0.50000153061380681</v>
      </c>
      <c r="S59" s="469">
        <v>116.66690476190476</v>
      </c>
    </row>
    <row r="60" spans="1:19" ht="14.4" customHeight="1" x14ac:dyDescent="0.3">
      <c r="A60" s="463"/>
      <c r="B60" s="464" t="s">
        <v>938</v>
      </c>
      <c r="C60" s="464" t="s">
        <v>425</v>
      </c>
      <c r="D60" s="464" t="s">
        <v>929</v>
      </c>
      <c r="E60" s="464" t="s">
        <v>986</v>
      </c>
      <c r="F60" s="464" t="s">
        <v>999</v>
      </c>
      <c r="G60" s="464" t="s">
        <v>1001</v>
      </c>
      <c r="H60" s="468"/>
      <c r="I60" s="468"/>
      <c r="J60" s="464"/>
      <c r="K60" s="464"/>
      <c r="L60" s="468"/>
      <c r="M60" s="468"/>
      <c r="N60" s="464"/>
      <c r="O60" s="464"/>
      <c r="P60" s="468">
        <v>2</v>
      </c>
      <c r="Q60" s="468">
        <v>233.33</v>
      </c>
      <c r="R60" s="491"/>
      <c r="S60" s="469">
        <v>116.66500000000001</v>
      </c>
    </row>
    <row r="61" spans="1:19" ht="14.4" customHeight="1" x14ac:dyDescent="0.3">
      <c r="A61" s="463"/>
      <c r="B61" s="464" t="s">
        <v>938</v>
      </c>
      <c r="C61" s="464" t="s">
        <v>425</v>
      </c>
      <c r="D61" s="464" t="s">
        <v>929</v>
      </c>
      <c r="E61" s="464" t="s">
        <v>986</v>
      </c>
      <c r="F61" s="464" t="s">
        <v>1002</v>
      </c>
      <c r="G61" s="464" t="s">
        <v>1003</v>
      </c>
      <c r="H61" s="468">
        <v>11</v>
      </c>
      <c r="I61" s="468">
        <v>3300</v>
      </c>
      <c r="J61" s="464">
        <v>0.84615384615384615</v>
      </c>
      <c r="K61" s="464">
        <v>300</v>
      </c>
      <c r="L61" s="468">
        <v>13</v>
      </c>
      <c r="M61" s="468">
        <v>3900</v>
      </c>
      <c r="N61" s="464">
        <v>1</v>
      </c>
      <c r="O61" s="464">
        <v>300</v>
      </c>
      <c r="P61" s="468">
        <v>17</v>
      </c>
      <c r="Q61" s="468">
        <v>5100</v>
      </c>
      <c r="R61" s="491">
        <v>1.3076923076923077</v>
      </c>
      <c r="S61" s="469">
        <v>300</v>
      </c>
    </row>
    <row r="62" spans="1:19" ht="14.4" customHeight="1" x14ac:dyDescent="0.3">
      <c r="A62" s="463"/>
      <c r="B62" s="464" t="s">
        <v>938</v>
      </c>
      <c r="C62" s="464" t="s">
        <v>425</v>
      </c>
      <c r="D62" s="464" t="s">
        <v>929</v>
      </c>
      <c r="E62" s="464" t="s">
        <v>986</v>
      </c>
      <c r="F62" s="464" t="s">
        <v>1002</v>
      </c>
      <c r="G62" s="464" t="s">
        <v>1004</v>
      </c>
      <c r="H62" s="468">
        <v>21</v>
      </c>
      <c r="I62" s="468">
        <v>6300</v>
      </c>
      <c r="J62" s="464">
        <v>1.2352941176470589</v>
      </c>
      <c r="K62" s="464">
        <v>300</v>
      </c>
      <c r="L62" s="468">
        <v>17</v>
      </c>
      <c r="M62" s="468">
        <v>5100</v>
      </c>
      <c r="N62" s="464">
        <v>1</v>
      </c>
      <c r="O62" s="464">
        <v>300</v>
      </c>
      <c r="P62" s="468">
        <v>37</v>
      </c>
      <c r="Q62" s="468">
        <v>11100</v>
      </c>
      <c r="R62" s="491">
        <v>2.1764705882352939</v>
      </c>
      <c r="S62" s="469">
        <v>300</v>
      </c>
    </row>
    <row r="63" spans="1:19" ht="14.4" customHeight="1" x14ac:dyDescent="0.3">
      <c r="A63" s="463"/>
      <c r="B63" s="464" t="s">
        <v>938</v>
      </c>
      <c r="C63" s="464" t="s">
        <v>425</v>
      </c>
      <c r="D63" s="464" t="s">
        <v>929</v>
      </c>
      <c r="E63" s="464" t="s">
        <v>986</v>
      </c>
      <c r="F63" s="464" t="s">
        <v>1005</v>
      </c>
      <c r="G63" s="464" t="s">
        <v>1006</v>
      </c>
      <c r="H63" s="468">
        <v>2</v>
      </c>
      <c r="I63" s="468">
        <v>588.88</v>
      </c>
      <c r="J63" s="464"/>
      <c r="K63" s="464">
        <v>294.44</v>
      </c>
      <c r="L63" s="468"/>
      <c r="M63" s="468"/>
      <c r="N63" s="464"/>
      <c r="O63" s="464"/>
      <c r="P63" s="468">
        <v>2</v>
      </c>
      <c r="Q63" s="468">
        <v>588.89</v>
      </c>
      <c r="R63" s="491"/>
      <c r="S63" s="469">
        <v>294.44499999999999</v>
      </c>
    </row>
    <row r="64" spans="1:19" ht="14.4" customHeight="1" x14ac:dyDescent="0.3">
      <c r="A64" s="463"/>
      <c r="B64" s="464" t="s">
        <v>938</v>
      </c>
      <c r="C64" s="464" t="s">
        <v>425</v>
      </c>
      <c r="D64" s="464" t="s">
        <v>929</v>
      </c>
      <c r="E64" s="464" t="s">
        <v>986</v>
      </c>
      <c r="F64" s="464" t="s">
        <v>1005</v>
      </c>
      <c r="G64" s="464" t="s">
        <v>1007</v>
      </c>
      <c r="H64" s="468">
        <v>2</v>
      </c>
      <c r="I64" s="468">
        <v>588.88</v>
      </c>
      <c r="J64" s="464">
        <v>2</v>
      </c>
      <c r="K64" s="464">
        <v>294.44</v>
      </c>
      <c r="L64" s="468">
        <v>1</v>
      </c>
      <c r="M64" s="468">
        <v>294.44</v>
      </c>
      <c r="N64" s="464">
        <v>1</v>
      </c>
      <c r="O64" s="464">
        <v>294.44</v>
      </c>
      <c r="P64" s="468">
        <v>8</v>
      </c>
      <c r="Q64" s="468">
        <v>2355.56</v>
      </c>
      <c r="R64" s="491">
        <v>8.0001358511071867</v>
      </c>
      <c r="S64" s="469">
        <v>294.44499999999999</v>
      </c>
    </row>
    <row r="65" spans="1:19" ht="14.4" customHeight="1" x14ac:dyDescent="0.3">
      <c r="A65" s="463"/>
      <c r="B65" s="464" t="s">
        <v>938</v>
      </c>
      <c r="C65" s="464" t="s">
        <v>425</v>
      </c>
      <c r="D65" s="464" t="s">
        <v>929</v>
      </c>
      <c r="E65" s="464" t="s">
        <v>986</v>
      </c>
      <c r="F65" s="464" t="s">
        <v>1008</v>
      </c>
      <c r="G65" s="464" t="s">
        <v>990</v>
      </c>
      <c r="H65" s="468">
        <v>44</v>
      </c>
      <c r="I65" s="468">
        <v>16426.669999999998</v>
      </c>
      <c r="J65" s="464">
        <v>1.7095283638380707</v>
      </c>
      <c r="K65" s="464">
        <v>373.33340909090907</v>
      </c>
      <c r="L65" s="468">
        <v>23</v>
      </c>
      <c r="M65" s="468">
        <v>9608.89</v>
      </c>
      <c r="N65" s="464">
        <v>1</v>
      </c>
      <c r="O65" s="464">
        <v>417.77782608695651</v>
      </c>
      <c r="P65" s="468">
        <v>36</v>
      </c>
      <c r="Q65" s="468">
        <v>15040.010000000002</v>
      </c>
      <c r="R65" s="491">
        <v>1.5652182510154662</v>
      </c>
      <c r="S65" s="469">
        <v>417.77805555555562</v>
      </c>
    </row>
    <row r="66" spans="1:19" ht="14.4" customHeight="1" x14ac:dyDescent="0.3">
      <c r="A66" s="463"/>
      <c r="B66" s="464" t="s">
        <v>938</v>
      </c>
      <c r="C66" s="464" t="s">
        <v>425</v>
      </c>
      <c r="D66" s="464" t="s">
        <v>929</v>
      </c>
      <c r="E66" s="464" t="s">
        <v>986</v>
      </c>
      <c r="F66" s="464" t="s">
        <v>1008</v>
      </c>
      <c r="G66" s="464" t="s">
        <v>991</v>
      </c>
      <c r="H66" s="468">
        <v>124</v>
      </c>
      <c r="I66" s="468">
        <v>46293.329999999994</v>
      </c>
      <c r="J66" s="464">
        <v>3.2590723329660771</v>
      </c>
      <c r="K66" s="464">
        <v>373.33330645161288</v>
      </c>
      <c r="L66" s="468">
        <v>34</v>
      </c>
      <c r="M66" s="468">
        <v>14204.45</v>
      </c>
      <c r="N66" s="464">
        <v>1</v>
      </c>
      <c r="O66" s="464">
        <v>417.77794117647062</v>
      </c>
      <c r="P66" s="468">
        <v>35</v>
      </c>
      <c r="Q66" s="468">
        <v>14622.22</v>
      </c>
      <c r="R66" s="491">
        <v>1.0294112056433018</v>
      </c>
      <c r="S66" s="469">
        <v>417.77771428571424</v>
      </c>
    </row>
    <row r="67" spans="1:19" ht="14.4" customHeight="1" x14ac:dyDescent="0.3">
      <c r="A67" s="463"/>
      <c r="B67" s="464" t="s">
        <v>938</v>
      </c>
      <c r="C67" s="464" t="s">
        <v>425</v>
      </c>
      <c r="D67" s="464" t="s">
        <v>929</v>
      </c>
      <c r="E67" s="464" t="s">
        <v>986</v>
      </c>
      <c r="F67" s="464" t="s">
        <v>1009</v>
      </c>
      <c r="G67" s="464" t="s">
        <v>1010</v>
      </c>
      <c r="H67" s="468">
        <v>71</v>
      </c>
      <c r="I67" s="468">
        <v>14988.9</v>
      </c>
      <c r="J67" s="464">
        <v>1.6136373667897888</v>
      </c>
      <c r="K67" s="464">
        <v>211.1112676056338</v>
      </c>
      <c r="L67" s="468">
        <v>44</v>
      </c>
      <c r="M67" s="468">
        <v>9288.89</v>
      </c>
      <c r="N67" s="464">
        <v>1</v>
      </c>
      <c r="O67" s="464">
        <v>211.11113636363635</v>
      </c>
      <c r="P67" s="468">
        <v>34</v>
      </c>
      <c r="Q67" s="468">
        <v>7177.7900000000009</v>
      </c>
      <c r="R67" s="491">
        <v>0.7727284960851083</v>
      </c>
      <c r="S67" s="469">
        <v>211.11147058823531</v>
      </c>
    </row>
    <row r="68" spans="1:19" ht="14.4" customHeight="1" x14ac:dyDescent="0.3">
      <c r="A68" s="463"/>
      <c r="B68" s="464" t="s">
        <v>938</v>
      </c>
      <c r="C68" s="464" t="s">
        <v>425</v>
      </c>
      <c r="D68" s="464" t="s">
        <v>929</v>
      </c>
      <c r="E68" s="464" t="s">
        <v>986</v>
      </c>
      <c r="F68" s="464" t="s">
        <v>1009</v>
      </c>
      <c r="G68" s="464" t="s">
        <v>1011</v>
      </c>
      <c r="H68" s="468"/>
      <c r="I68" s="468"/>
      <c r="J68" s="464"/>
      <c r="K68" s="464"/>
      <c r="L68" s="468"/>
      <c r="M68" s="468"/>
      <c r="N68" s="464"/>
      <c r="O68" s="464"/>
      <c r="P68" s="468">
        <v>2</v>
      </c>
      <c r="Q68" s="468">
        <v>422.22</v>
      </c>
      <c r="R68" s="491"/>
      <c r="S68" s="469">
        <v>211.11</v>
      </c>
    </row>
    <row r="69" spans="1:19" ht="14.4" customHeight="1" x14ac:dyDescent="0.3">
      <c r="A69" s="463"/>
      <c r="B69" s="464" t="s">
        <v>938</v>
      </c>
      <c r="C69" s="464" t="s">
        <v>425</v>
      </c>
      <c r="D69" s="464" t="s">
        <v>929</v>
      </c>
      <c r="E69" s="464" t="s">
        <v>986</v>
      </c>
      <c r="F69" s="464" t="s">
        <v>1012</v>
      </c>
      <c r="G69" s="464" t="s">
        <v>1013</v>
      </c>
      <c r="H69" s="468">
        <v>20</v>
      </c>
      <c r="I69" s="468">
        <v>11666.66</v>
      </c>
      <c r="J69" s="464">
        <v>0.86956515257895783</v>
      </c>
      <c r="K69" s="464">
        <v>583.33299999999997</v>
      </c>
      <c r="L69" s="468">
        <v>23</v>
      </c>
      <c r="M69" s="468">
        <v>13416.66</v>
      </c>
      <c r="N69" s="464">
        <v>1</v>
      </c>
      <c r="O69" s="464">
        <v>583.33304347826083</v>
      </c>
      <c r="P69" s="468">
        <v>5</v>
      </c>
      <c r="Q69" s="468">
        <v>2916.67</v>
      </c>
      <c r="R69" s="491">
        <v>0.21739166081573208</v>
      </c>
      <c r="S69" s="469">
        <v>583.33400000000006</v>
      </c>
    </row>
    <row r="70" spans="1:19" ht="14.4" customHeight="1" x14ac:dyDescent="0.3">
      <c r="A70" s="463"/>
      <c r="B70" s="464" t="s">
        <v>938</v>
      </c>
      <c r="C70" s="464" t="s">
        <v>425</v>
      </c>
      <c r="D70" s="464" t="s">
        <v>929</v>
      </c>
      <c r="E70" s="464" t="s">
        <v>986</v>
      </c>
      <c r="F70" s="464" t="s">
        <v>1014</v>
      </c>
      <c r="G70" s="464" t="s">
        <v>1015</v>
      </c>
      <c r="H70" s="468">
        <v>7</v>
      </c>
      <c r="I70" s="468">
        <v>3266.66</v>
      </c>
      <c r="J70" s="464">
        <v>0.77777433863252698</v>
      </c>
      <c r="K70" s="464">
        <v>466.66571428571427</v>
      </c>
      <c r="L70" s="468">
        <v>9</v>
      </c>
      <c r="M70" s="468">
        <v>4200.01</v>
      </c>
      <c r="N70" s="464">
        <v>1</v>
      </c>
      <c r="O70" s="464">
        <v>466.66777777777781</v>
      </c>
      <c r="P70" s="468">
        <v>11</v>
      </c>
      <c r="Q70" s="468">
        <v>5133.34</v>
      </c>
      <c r="R70" s="491">
        <v>1.2222208994740489</v>
      </c>
      <c r="S70" s="469">
        <v>466.66727272727275</v>
      </c>
    </row>
    <row r="71" spans="1:19" ht="14.4" customHeight="1" x14ac:dyDescent="0.3">
      <c r="A71" s="463"/>
      <c r="B71" s="464" t="s">
        <v>938</v>
      </c>
      <c r="C71" s="464" t="s">
        <v>425</v>
      </c>
      <c r="D71" s="464" t="s">
        <v>929</v>
      </c>
      <c r="E71" s="464" t="s">
        <v>986</v>
      </c>
      <c r="F71" s="464" t="s">
        <v>1014</v>
      </c>
      <c r="G71" s="464" t="s">
        <v>1016</v>
      </c>
      <c r="H71" s="468">
        <v>18</v>
      </c>
      <c r="I71" s="468">
        <v>8400</v>
      </c>
      <c r="J71" s="464">
        <v>1.1249994977680813</v>
      </c>
      <c r="K71" s="464">
        <v>466.66666666666669</v>
      </c>
      <c r="L71" s="468">
        <v>16</v>
      </c>
      <c r="M71" s="468">
        <v>7466.67</v>
      </c>
      <c r="N71" s="464">
        <v>1</v>
      </c>
      <c r="O71" s="464">
        <v>466.666875</v>
      </c>
      <c r="P71" s="468">
        <v>29</v>
      </c>
      <c r="Q71" s="468">
        <v>13533.34</v>
      </c>
      <c r="R71" s="491">
        <v>1.8125000837053198</v>
      </c>
      <c r="S71" s="469">
        <v>466.66689655172416</v>
      </c>
    </row>
    <row r="72" spans="1:19" ht="14.4" customHeight="1" x14ac:dyDescent="0.3">
      <c r="A72" s="463"/>
      <c r="B72" s="464" t="s">
        <v>938</v>
      </c>
      <c r="C72" s="464" t="s">
        <v>425</v>
      </c>
      <c r="D72" s="464" t="s">
        <v>929</v>
      </c>
      <c r="E72" s="464" t="s">
        <v>986</v>
      </c>
      <c r="F72" s="464" t="s">
        <v>1017</v>
      </c>
      <c r="G72" s="464" t="s">
        <v>1018</v>
      </c>
      <c r="H72" s="468">
        <v>3</v>
      </c>
      <c r="I72" s="468">
        <v>150</v>
      </c>
      <c r="J72" s="464">
        <v>0.5</v>
      </c>
      <c r="K72" s="464">
        <v>50</v>
      </c>
      <c r="L72" s="468">
        <v>6</v>
      </c>
      <c r="M72" s="468">
        <v>300</v>
      </c>
      <c r="N72" s="464">
        <v>1</v>
      </c>
      <c r="O72" s="464">
        <v>50</v>
      </c>
      <c r="P72" s="468">
        <v>11</v>
      </c>
      <c r="Q72" s="468">
        <v>550</v>
      </c>
      <c r="R72" s="491">
        <v>1.8333333333333333</v>
      </c>
      <c r="S72" s="469">
        <v>50</v>
      </c>
    </row>
    <row r="73" spans="1:19" ht="14.4" customHeight="1" x14ac:dyDescent="0.3">
      <c r="A73" s="463"/>
      <c r="B73" s="464" t="s">
        <v>938</v>
      </c>
      <c r="C73" s="464" t="s">
        <v>425</v>
      </c>
      <c r="D73" s="464" t="s">
        <v>929</v>
      </c>
      <c r="E73" s="464" t="s">
        <v>986</v>
      </c>
      <c r="F73" s="464" t="s">
        <v>1017</v>
      </c>
      <c r="G73" s="464" t="s">
        <v>1019</v>
      </c>
      <c r="H73" s="468">
        <v>11</v>
      </c>
      <c r="I73" s="468">
        <v>550</v>
      </c>
      <c r="J73" s="464">
        <v>1.375</v>
      </c>
      <c r="K73" s="464">
        <v>50</v>
      </c>
      <c r="L73" s="468">
        <v>8</v>
      </c>
      <c r="M73" s="468">
        <v>400</v>
      </c>
      <c r="N73" s="464">
        <v>1</v>
      </c>
      <c r="O73" s="464">
        <v>50</v>
      </c>
      <c r="P73" s="468">
        <v>16</v>
      </c>
      <c r="Q73" s="468">
        <v>800</v>
      </c>
      <c r="R73" s="491">
        <v>2</v>
      </c>
      <c r="S73" s="469">
        <v>50</v>
      </c>
    </row>
    <row r="74" spans="1:19" ht="14.4" customHeight="1" x14ac:dyDescent="0.3">
      <c r="A74" s="463"/>
      <c r="B74" s="464" t="s">
        <v>938</v>
      </c>
      <c r="C74" s="464" t="s">
        <v>425</v>
      </c>
      <c r="D74" s="464" t="s">
        <v>929</v>
      </c>
      <c r="E74" s="464" t="s">
        <v>986</v>
      </c>
      <c r="F74" s="464" t="s">
        <v>1020</v>
      </c>
      <c r="G74" s="464" t="s">
        <v>1021</v>
      </c>
      <c r="H74" s="468">
        <v>9</v>
      </c>
      <c r="I74" s="468">
        <v>909.99</v>
      </c>
      <c r="J74" s="464">
        <v>0.42856739178554443</v>
      </c>
      <c r="K74" s="464">
        <v>101.11</v>
      </c>
      <c r="L74" s="468">
        <v>21</v>
      </c>
      <c r="M74" s="468">
        <v>2123.33</v>
      </c>
      <c r="N74" s="464">
        <v>1</v>
      </c>
      <c r="O74" s="464">
        <v>101.11095238095238</v>
      </c>
      <c r="P74" s="468">
        <v>14</v>
      </c>
      <c r="Q74" s="468">
        <v>1415.55</v>
      </c>
      <c r="R74" s="491">
        <v>0.66666509680548947</v>
      </c>
      <c r="S74" s="469">
        <v>101.11071428571428</v>
      </c>
    </row>
    <row r="75" spans="1:19" ht="14.4" customHeight="1" x14ac:dyDescent="0.3">
      <c r="A75" s="463"/>
      <c r="B75" s="464" t="s">
        <v>938</v>
      </c>
      <c r="C75" s="464" t="s">
        <v>425</v>
      </c>
      <c r="D75" s="464" t="s">
        <v>929</v>
      </c>
      <c r="E75" s="464" t="s">
        <v>986</v>
      </c>
      <c r="F75" s="464" t="s">
        <v>1020</v>
      </c>
      <c r="G75" s="464" t="s">
        <v>1022</v>
      </c>
      <c r="H75" s="468">
        <v>31</v>
      </c>
      <c r="I75" s="468">
        <v>3134.44</v>
      </c>
      <c r="J75" s="464">
        <v>1.2399971516508557</v>
      </c>
      <c r="K75" s="464">
        <v>101.11096774193548</v>
      </c>
      <c r="L75" s="468">
        <v>25</v>
      </c>
      <c r="M75" s="468">
        <v>2527.7800000000002</v>
      </c>
      <c r="N75" s="464">
        <v>1</v>
      </c>
      <c r="O75" s="464">
        <v>101.11120000000001</v>
      </c>
      <c r="P75" s="468">
        <v>35</v>
      </c>
      <c r="Q75" s="468">
        <v>3538.87</v>
      </c>
      <c r="R75" s="491">
        <v>1.3999912967109478</v>
      </c>
      <c r="S75" s="469">
        <v>101.11057142857142</v>
      </c>
    </row>
    <row r="76" spans="1:19" ht="14.4" customHeight="1" x14ac:dyDescent="0.3">
      <c r="A76" s="463"/>
      <c r="B76" s="464" t="s">
        <v>938</v>
      </c>
      <c r="C76" s="464" t="s">
        <v>425</v>
      </c>
      <c r="D76" s="464" t="s">
        <v>929</v>
      </c>
      <c r="E76" s="464" t="s">
        <v>986</v>
      </c>
      <c r="F76" s="464" t="s">
        <v>1023</v>
      </c>
      <c r="G76" s="464" t="s">
        <v>1024</v>
      </c>
      <c r="H76" s="468">
        <v>3</v>
      </c>
      <c r="I76" s="468">
        <v>230</v>
      </c>
      <c r="J76" s="464">
        <v>0.10344843095716785</v>
      </c>
      <c r="K76" s="464">
        <v>76.666666666666671</v>
      </c>
      <c r="L76" s="468">
        <v>29</v>
      </c>
      <c r="M76" s="468">
        <v>2223.33</v>
      </c>
      <c r="N76" s="464">
        <v>1</v>
      </c>
      <c r="O76" s="464">
        <v>76.666551724137932</v>
      </c>
      <c r="P76" s="468">
        <v>11</v>
      </c>
      <c r="Q76" s="468">
        <v>843.33</v>
      </c>
      <c r="R76" s="491">
        <v>0.37930941425699294</v>
      </c>
      <c r="S76" s="469">
        <v>76.666363636363641</v>
      </c>
    </row>
    <row r="77" spans="1:19" ht="14.4" customHeight="1" x14ac:dyDescent="0.3">
      <c r="A77" s="463"/>
      <c r="B77" s="464" t="s">
        <v>938</v>
      </c>
      <c r="C77" s="464" t="s">
        <v>425</v>
      </c>
      <c r="D77" s="464" t="s">
        <v>929</v>
      </c>
      <c r="E77" s="464" t="s">
        <v>986</v>
      </c>
      <c r="F77" s="464" t="s">
        <v>1023</v>
      </c>
      <c r="G77" s="464" t="s">
        <v>1025</v>
      </c>
      <c r="H77" s="468">
        <v>7</v>
      </c>
      <c r="I77" s="468">
        <v>536.68000000000006</v>
      </c>
      <c r="J77" s="464">
        <v>2.3333913043478263</v>
      </c>
      <c r="K77" s="464">
        <v>76.66857142857144</v>
      </c>
      <c r="L77" s="468">
        <v>3</v>
      </c>
      <c r="M77" s="468">
        <v>230</v>
      </c>
      <c r="N77" s="464">
        <v>1</v>
      </c>
      <c r="O77" s="464">
        <v>76.666666666666671</v>
      </c>
      <c r="P77" s="468">
        <v>2</v>
      </c>
      <c r="Q77" s="468">
        <v>153.34</v>
      </c>
      <c r="R77" s="491">
        <v>0.66669565217391302</v>
      </c>
      <c r="S77" s="469">
        <v>76.67</v>
      </c>
    </row>
    <row r="78" spans="1:19" ht="14.4" customHeight="1" x14ac:dyDescent="0.3">
      <c r="A78" s="463"/>
      <c r="B78" s="464" t="s">
        <v>938</v>
      </c>
      <c r="C78" s="464" t="s">
        <v>425</v>
      </c>
      <c r="D78" s="464" t="s">
        <v>929</v>
      </c>
      <c r="E78" s="464" t="s">
        <v>986</v>
      </c>
      <c r="F78" s="464" t="s">
        <v>1026</v>
      </c>
      <c r="G78" s="464" t="s">
        <v>1027</v>
      </c>
      <c r="H78" s="468">
        <v>135</v>
      </c>
      <c r="I78" s="468">
        <v>0</v>
      </c>
      <c r="J78" s="464"/>
      <c r="K78" s="464">
        <v>0</v>
      </c>
      <c r="L78" s="468">
        <v>200</v>
      </c>
      <c r="M78" s="468">
        <v>0</v>
      </c>
      <c r="N78" s="464"/>
      <c r="O78" s="464">
        <v>0</v>
      </c>
      <c r="P78" s="468">
        <v>137</v>
      </c>
      <c r="Q78" s="468">
        <v>0</v>
      </c>
      <c r="R78" s="491"/>
      <c r="S78" s="469">
        <v>0</v>
      </c>
    </row>
    <row r="79" spans="1:19" ht="14.4" customHeight="1" x14ac:dyDescent="0.3">
      <c r="A79" s="463"/>
      <c r="B79" s="464" t="s">
        <v>938</v>
      </c>
      <c r="C79" s="464" t="s">
        <v>425</v>
      </c>
      <c r="D79" s="464" t="s">
        <v>929</v>
      </c>
      <c r="E79" s="464" t="s">
        <v>986</v>
      </c>
      <c r="F79" s="464" t="s">
        <v>1026</v>
      </c>
      <c r="G79" s="464" t="s">
        <v>1028</v>
      </c>
      <c r="H79" s="468"/>
      <c r="I79" s="468"/>
      <c r="J79" s="464"/>
      <c r="K79" s="464"/>
      <c r="L79" s="468"/>
      <c r="M79" s="468"/>
      <c r="N79" s="464"/>
      <c r="O79" s="464"/>
      <c r="P79" s="468">
        <v>3</v>
      </c>
      <c r="Q79" s="468">
        <v>0</v>
      </c>
      <c r="R79" s="491"/>
      <c r="S79" s="469">
        <v>0</v>
      </c>
    </row>
    <row r="80" spans="1:19" ht="14.4" customHeight="1" x14ac:dyDescent="0.3">
      <c r="A80" s="463"/>
      <c r="B80" s="464" t="s">
        <v>938</v>
      </c>
      <c r="C80" s="464" t="s">
        <v>425</v>
      </c>
      <c r="D80" s="464" t="s">
        <v>929</v>
      </c>
      <c r="E80" s="464" t="s">
        <v>986</v>
      </c>
      <c r="F80" s="464" t="s">
        <v>1029</v>
      </c>
      <c r="G80" s="464" t="s">
        <v>1030</v>
      </c>
      <c r="H80" s="468">
        <v>79</v>
      </c>
      <c r="I80" s="468">
        <v>24138.89</v>
      </c>
      <c r="J80" s="464">
        <v>1.1126763355034746</v>
      </c>
      <c r="K80" s="464">
        <v>305.55556962025315</v>
      </c>
      <c r="L80" s="468">
        <v>71</v>
      </c>
      <c r="M80" s="468">
        <v>21694.44</v>
      </c>
      <c r="N80" s="464">
        <v>1</v>
      </c>
      <c r="O80" s="464">
        <v>305.55549295774648</v>
      </c>
      <c r="P80" s="468">
        <v>68</v>
      </c>
      <c r="Q80" s="468">
        <v>20777.78</v>
      </c>
      <c r="R80" s="491">
        <v>0.95774677751534498</v>
      </c>
      <c r="S80" s="469">
        <v>305.55558823529412</v>
      </c>
    </row>
    <row r="81" spans="1:19" ht="14.4" customHeight="1" x14ac:dyDescent="0.3">
      <c r="A81" s="463"/>
      <c r="B81" s="464" t="s">
        <v>938</v>
      </c>
      <c r="C81" s="464" t="s">
        <v>425</v>
      </c>
      <c r="D81" s="464" t="s">
        <v>929</v>
      </c>
      <c r="E81" s="464" t="s">
        <v>986</v>
      </c>
      <c r="F81" s="464" t="s">
        <v>1029</v>
      </c>
      <c r="G81" s="464" t="s">
        <v>1031</v>
      </c>
      <c r="H81" s="468">
        <v>6</v>
      </c>
      <c r="I81" s="468">
        <v>1833.34</v>
      </c>
      <c r="J81" s="464"/>
      <c r="K81" s="464">
        <v>305.55666666666667</v>
      </c>
      <c r="L81" s="468"/>
      <c r="M81" s="468"/>
      <c r="N81" s="464"/>
      <c r="O81" s="464"/>
      <c r="P81" s="468"/>
      <c r="Q81" s="468"/>
      <c r="R81" s="491"/>
      <c r="S81" s="469"/>
    </row>
    <row r="82" spans="1:19" ht="14.4" customHeight="1" x14ac:dyDescent="0.3">
      <c r="A82" s="463"/>
      <c r="B82" s="464" t="s">
        <v>938</v>
      </c>
      <c r="C82" s="464" t="s">
        <v>425</v>
      </c>
      <c r="D82" s="464" t="s">
        <v>929</v>
      </c>
      <c r="E82" s="464" t="s">
        <v>986</v>
      </c>
      <c r="F82" s="464" t="s">
        <v>1032</v>
      </c>
      <c r="G82" s="464" t="s">
        <v>1033</v>
      </c>
      <c r="H82" s="468">
        <v>32</v>
      </c>
      <c r="I82" s="468">
        <v>1066.6699999999998</v>
      </c>
      <c r="J82" s="464">
        <v>0.42105283933463322</v>
      </c>
      <c r="K82" s="464">
        <v>33.333437499999995</v>
      </c>
      <c r="L82" s="468">
        <v>76</v>
      </c>
      <c r="M82" s="468">
        <v>2533.34</v>
      </c>
      <c r="N82" s="464">
        <v>1</v>
      </c>
      <c r="O82" s="464">
        <v>33.333421052631579</v>
      </c>
      <c r="P82" s="468">
        <v>27</v>
      </c>
      <c r="Q82" s="468">
        <v>900</v>
      </c>
      <c r="R82" s="491">
        <v>0.35526222299415</v>
      </c>
      <c r="S82" s="469">
        <v>33.333333333333336</v>
      </c>
    </row>
    <row r="83" spans="1:19" ht="14.4" customHeight="1" x14ac:dyDescent="0.3">
      <c r="A83" s="463"/>
      <c r="B83" s="464" t="s">
        <v>938</v>
      </c>
      <c r="C83" s="464" t="s">
        <v>425</v>
      </c>
      <c r="D83" s="464" t="s">
        <v>929</v>
      </c>
      <c r="E83" s="464" t="s">
        <v>986</v>
      </c>
      <c r="F83" s="464" t="s">
        <v>1032</v>
      </c>
      <c r="G83" s="464" t="s">
        <v>1034</v>
      </c>
      <c r="H83" s="468">
        <v>2</v>
      </c>
      <c r="I83" s="468">
        <v>66.67</v>
      </c>
      <c r="J83" s="464">
        <v>2.0003000300030003</v>
      </c>
      <c r="K83" s="464">
        <v>33.335000000000001</v>
      </c>
      <c r="L83" s="468">
        <v>1</v>
      </c>
      <c r="M83" s="468">
        <v>33.33</v>
      </c>
      <c r="N83" s="464">
        <v>1</v>
      </c>
      <c r="O83" s="464">
        <v>33.33</v>
      </c>
      <c r="P83" s="468">
        <v>1</v>
      </c>
      <c r="Q83" s="468">
        <v>33.33</v>
      </c>
      <c r="R83" s="491">
        <v>1</v>
      </c>
      <c r="S83" s="469">
        <v>33.33</v>
      </c>
    </row>
    <row r="84" spans="1:19" ht="14.4" customHeight="1" x14ac:dyDescent="0.3">
      <c r="A84" s="463"/>
      <c r="B84" s="464" t="s">
        <v>938</v>
      </c>
      <c r="C84" s="464" t="s">
        <v>425</v>
      </c>
      <c r="D84" s="464" t="s">
        <v>929</v>
      </c>
      <c r="E84" s="464" t="s">
        <v>986</v>
      </c>
      <c r="F84" s="464" t="s">
        <v>1035</v>
      </c>
      <c r="G84" s="464" t="s">
        <v>1036</v>
      </c>
      <c r="H84" s="468">
        <v>37</v>
      </c>
      <c r="I84" s="468">
        <v>16855.57</v>
      </c>
      <c r="J84" s="464">
        <v>1.6086936188894614</v>
      </c>
      <c r="K84" s="464">
        <v>455.55594594594595</v>
      </c>
      <c r="L84" s="468">
        <v>23</v>
      </c>
      <c r="M84" s="468">
        <v>10477.800000000001</v>
      </c>
      <c r="N84" s="464">
        <v>1</v>
      </c>
      <c r="O84" s="464">
        <v>455.55652173913046</v>
      </c>
      <c r="P84" s="468">
        <v>31</v>
      </c>
      <c r="Q84" s="468">
        <v>14122.230000000001</v>
      </c>
      <c r="R84" s="491">
        <v>1.3478239706808681</v>
      </c>
      <c r="S84" s="469">
        <v>455.55580645161297</v>
      </c>
    </row>
    <row r="85" spans="1:19" ht="14.4" customHeight="1" x14ac:dyDescent="0.3">
      <c r="A85" s="463"/>
      <c r="B85" s="464" t="s">
        <v>938</v>
      </c>
      <c r="C85" s="464" t="s">
        <v>425</v>
      </c>
      <c r="D85" s="464" t="s">
        <v>929</v>
      </c>
      <c r="E85" s="464" t="s">
        <v>986</v>
      </c>
      <c r="F85" s="464" t="s">
        <v>1035</v>
      </c>
      <c r="G85" s="464" t="s">
        <v>1037</v>
      </c>
      <c r="H85" s="468">
        <v>65</v>
      </c>
      <c r="I85" s="468">
        <v>29611.11</v>
      </c>
      <c r="J85" s="464">
        <v>1.1403506880165997</v>
      </c>
      <c r="K85" s="464">
        <v>455.55553846153845</v>
      </c>
      <c r="L85" s="468">
        <v>57</v>
      </c>
      <c r="M85" s="468">
        <v>25966.670000000002</v>
      </c>
      <c r="N85" s="464">
        <v>1</v>
      </c>
      <c r="O85" s="464">
        <v>455.55561403508773</v>
      </c>
      <c r="P85" s="468">
        <v>43</v>
      </c>
      <c r="Q85" s="468">
        <v>19588.899999999998</v>
      </c>
      <c r="R85" s="491">
        <v>0.7543862959709503</v>
      </c>
      <c r="S85" s="469">
        <v>455.55581395348833</v>
      </c>
    </row>
    <row r="86" spans="1:19" ht="14.4" customHeight="1" x14ac:dyDescent="0.3">
      <c r="A86" s="463"/>
      <c r="B86" s="464" t="s">
        <v>938</v>
      </c>
      <c r="C86" s="464" t="s">
        <v>425</v>
      </c>
      <c r="D86" s="464" t="s">
        <v>929</v>
      </c>
      <c r="E86" s="464" t="s">
        <v>986</v>
      </c>
      <c r="F86" s="464" t="s">
        <v>1038</v>
      </c>
      <c r="G86" s="464" t="s">
        <v>1039</v>
      </c>
      <c r="H86" s="468">
        <v>79</v>
      </c>
      <c r="I86" s="468">
        <v>6144.4500000000007</v>
      </c>
      <c r="J86" s="464">
        <v>1.0675677084419239</v>
      </c>
      <c r="K86" s="464">
        <v>77.777848101265832</v>
      </c>
      <c r="L86" s="468">
        <v>74</v>
      </c>
      <c r="M86" s="468">
        <v>5755.56</v>
      </c>
      <c r="N86" s="464">
        <v>1</v>
      </c>
      <c r="O86" s="464">
        <v>77.777837837837836</v>
      </c>
      <c r="P86" s="468">
        <v>69</v>
      </c>
      <c r="Q86" s="468">
        <v>5366.6799999999994</v>
      </c>
      <c r="R86" s="491">
        <v>0.93243402900847161</v>
      </c>
      <c r="S86" s="469">
        <v>77.777971014492749</v>
      </c>
    </row>
    <row r="87" spans="1:19" ht="14.4" customHeight="1" x14ac:dyDescent="0.3">
      <c r="A87" s="463"/>
      <c r="B87" s="464" t="s">
        <v>938</v>
      </c>
      <c r="C87" s="464" t="s">
        <v>425</v>
      </c>
      <c r="D87" s="464" t="s">
        <v>929</v>
      </c>
      <c r="E87" s="464" t="s">
        <v>986</v>
      </c>
      <c r="F87" s="464" t="s">
        <v>1038</v>
      </c>
      <c r="G87" s="464" t="s">
        <v>1040</v>
      </c>
      <c r="H87" s="468">
        <v>7</v>
      </c>
      <c r="I87" s="468">
        <v>544.45000000000005</v>
      </c>
      <c r="J87" s="464"/>
      <c r="K87" s="464">
        <v>77.778571428571439</v>
      </c>
      <c r="L87" s="468"/>
      <c r="M87" s="468"/>
      <c r="N87" s="464"/>
      <c r="O87" s="464"/>
      <c r="P87" s="468"/>
      <c r="Q87" s="468"/>
      <c r="R87" s="491"/>
      <c r="S87" s="469"/>
    </row>
    <row r="88" spans="1:19" ht="14.4" customHeight="1" x14ac:dyDescent="0.3">
      <c r="A88" s="463"/>
      <c r="B88" s="464" t="s">
        <v>938</v>
      </c>
      <c r="C88" s="464" t="s">
        <v>425</v>
      </c>
      <c r="D88" s="464" t="s">
        <v>929</v>
      </c>
      <c r="E88" s="464" t="s">
        <v>986</v>
      </c>
      <c r="F88" s="464" t="s">
        <v>1041</v>
      </c>
      <c r="G88" s="464" t="s">
        <v>1042</v>
      </c>
      <c r="H88" s="468"/>
      <c r="I88" s="468"/>
      <c r="J88" s="464"/>
      <c r="K88" s="464"/>
      <c r="L88" s="468">
        <v>12</v>
      </c>
      <c r="M88" s="468">
        <v>3240</v>
      </c>
      <c r="N88" s="464">
        <v>1</v>
      </c>
      <c r="O88" s="464">
        <v>270</v>
      </c>
      <c r="P88" s="468"/>
      <c r="Q88" s="468"/>
      <c r="R88" s="491"/>
      <c r="S88" s="469"/>
    </row>
    <row r="89" spans="1:19" ht="14.4" customHeight="1" x14ac:dyDescent="0.3">
      <c r="A89" s="463"/>
      <c r="B89" s="464" t="s">
        <v>938</v>
      </c>
      <c r="C89" s="464" t="s">
        <v>425</v>
      </c>
      <c r="D89" s="464" t="s">
        <v>929</v>
      </c>
      <c r="E89" s="464" t="s">
        <v>986</v>
      </c>
      <c r="F89" s="464" t="s">
        <v>1043</v>
      </c>
      <c r="G89" s="464" t="s">
        <v>1044</v>
      </c>
      <c r="H89" s="468">
        <v>41</v>
      </c>
      <c r="I89" s="468">
        <v>3872.2200000000003</v>
      </c>
      <c r="J89" s="464">
        <v>0.38317718167028847</v>
      </c>
      <c r="K89" s="464">
        <v>94.444390243902447</v>
      </c>
      <c r="L89" s="468">
        <v>107</v>
      </c>
      <c r="M89" s="468">
        <v>10105.56</v>
      </c>
      <c r="N89" s="464">
        <v>1</v>
      </c>
      <c r="O89" s="464">
        <v>94.444485981308404</v>
      </c>
      <c r="P89" s="468">
        <v>32</v>
      </c>
      <c r="Q89" s="468">
        <v>3022.2199999999993</v>
      </c>
      <c r="R89" s="491">
        <v>0.29906506913026093</v>
      </c>
      <c r="S89" s="469">
        <v>94.44437499999998</v>
      </c>
    </row>
    <row r="90" spans="1:19" ht="14.4" customHeight="1" x14ac:dyDescent="0.3">
      <c r="A90" s="463"/>
      <c r="B90" s="464" t="s">
        <v>938</v>
      </c>
      <c r="C90" s="464" t="s">
        <v>425</v>
      </c>
      <c r="D90" s="464" t="s">
        <v>929</v>
      </c>
      <c r="E90" s="464" t="s">
        <v>986</v>
      </c>
      <c r="F90" s="464" t="s">
        <v>1043</v>
      </c>
      <c r="G90" s="464" t="s">
        <v>1045</v>
      </c>
      <c r="H90" s="468">
        <v>91</v>
      </c>
      <c r="I90" s="468">
        <v>8594.4499999999989</v>
      </c>
      <c r="J90" s="464">
        <v>0.99999883645976595</v>
      </c>
      <c r="K90" s="464">
        <v>94.444505494505478</v>
      </c>
      <c r="L90" s="468">
        <v>91</v>
      </c>
      <c r="M90" s="468">
        <v>8594.4599999999991</v>
      </c>
      <c r="N90" s="464">
        <v>1</v>
      </c>
      <c r="O90" s="464">
        <v>94.444615384615375</v>
      </c>
      <c r="P90" s="468">
        <v>78</v>
      </c>
      <c r="Q90" s="468">
        <v>7366.6599999999989</v>
      </c>
      <c r="R90" s="491">
        <v>0.85714053006238899</v>
      </c>
      <c r="S90" s="469">
        <v>94.444358974358963</v>
      </c>
    </row>
    <row r="91" spans="1:19" ht="14.4" customHeight="1" x14ac:dyDescent="0.3">
      <c r="A91" s="463"/>
      <c r="B91" s="464" t="s">
        <v>938</v>
      </c>
      <c r="C91" s="464" t="s">
        <v>425</v>
      </c>
      <c r="D91" s="464" t="s">
        <v>929</v>
      </c>
      <c r="E91" s="464" t="s">
        <v>986</v>
      </c>
      <c r="F91" s="464" t="s">
        <v>1046</v>
      </c>
      <c r="G91" s="464" t="s">
        <v>1047</v>
      </c>
      <c r="H91" s="468">
        <v>2</v>
      </c>
      <c r="I91" s="468">
        <v>86.67</v>
      </c>
      <c r="J91" s="464">
        <v>1</v>
      </c>
      <c r="K91" s="464">
        <v>43.335000000000001</v>
      </c>
      <c r="L91" s="468">
        <v>2</v>
      </c>
      <c r="M91" s="468">
        <v>86.67</v>
      </c>
      <c r="N91" s="464">
        <v>1</v>
      </c>
      <c r="O91" s="464">
        <v>43.335000000000001</v>
      </c>
      <c r="P91" s="468"/>
      <c r="Q91" s="468"/>
      <c r="R91" s="491"/>
      <c r="S91" s="469"/>
    </row>
    <row r="92" spans="1:19" ht="14.4" customHeight="1" x14ac:dyDescent="0.3">
      <c r="A92" s="463"/>
      <c r="B92" s="464" t="s">
        <v>938</v>
      </c>
      <c r="C92" s="464" t="s">
        <v>425</v>
      </c>
      <c r="D92" s="464" t="s">
        <v>929</v>
      </c>
      <c r="E92" s="464" t="s">
        <v>986</v>
      </c>
      <c r="F92" s="464" t="s">
        <v>1046</v>
      </c>
      <c r="G92" s="464" t="s">
        <v>1048</v>
      </c>
      <c r="H92" s="468">
        <v>32</v>
      </c>
      <c r="I92" s="468">
        <v>1386.67</v>
      </c>
      <c r="J92" s="464">
        <v>0.69565151956013527</v>
      </c>
      <c r="K92" s="464">
        <v>43.333437500000002</v>
      </c>
      <c r="L92" s="468">
        <v>46</v>
      </c>
      <c r="M92" s="468">
        <v>1993.3400000000001</v>
      </c>
      <c r="N92" s="464">
        <v>1</v>
      </c>
      <c r="O92" s="464">
        <v>43.333478260869569</v>
      </c>
      <c r="P92" s="468">
        <v>45</v>
      </c>
      <c r="Q92" s="468">
        <v>1950</v>
      </c>
      <c r="R92" s="491">
        <v>0.97825759780067623</v>
      </c>
      <c r="S92" s="469">
        <v>43.333333333333336</v>
      </c>
    </row>
    <row r="93" spans="1:19" ht="14.4" customHeight="1" x14ac:dyDescent="0.3">
      <c r="A93" s="463"/>
      <c r="B93" s="464" t="s">
        <v>938</v>
      </c>
      <c r="C93" s="464" t="s">
        <v>425</v>
      </c>
      <c r="D93" s="464" t="s">
        <v>929</v>
      </c>
      <c r="E93" s="464" t="s">
        <v>986</v>
      </c>
      <c r="F93" s="464" t="s">
        <v>1049</v>
      </c>
      <c r="G93" s="464" t="s">
        <v>1050</v>
      </c>
      <c r="H93" s="468">
        <v>1</v>
      </c>
      <c r="I93" s="468">
        <v>195.56</v>
      </c>
      <c r="J93" s="464"/>
      <c r="K93" s="464">
        <v>195.56</v>
      </c>
      <c r="L93" s="468"/>
      <c r="M93" s="468"/>
      <c r="N93" s="464"/>
      <c r="O93" s="464"/>
      <c r="P93" s="468"/>
      <c r="Q93" s="468"/>
      <c r="R93" s="491"/>
      <c r="S93" s="469"/>
    </row>
    <row r="94" spans="1:19" ht="14.4" customHeight="1" x14ac:dyDescent="0.3">
      <c r="A94" s="463"/>
      <c r="B94" s="464" t="s">
        <v>938</v>
      </c>
      <c r="C94" s="464" t="s">
        <v>425</v>
      </c>
      <c r="D94" s="464" t="s">
        <v>929</v>
      </c>
      <c r="E94" s="464" t="s">
        <v>986</v>
      </c>
      <c r="F94" s="464" t="s">
        <v>1049</v>
      </c>
      <c r="G94" s="464" t="s">
        <v>1051</v>
      </c>
      <c r="H94" s="468">
        <v>2</v>
      </c>
      <c r="I94" s="468">
        <v>391.11</v>
      </c>
      <c r="J94" s="464">
        <v>1.9999488647985273</v>
      </c>
      <c r="K94" s="464">
        <v>195.55500000000001</v>
      </c>
      <c r="L94" s="468">
        <v>1</v>
      </c>
      <c r="M94" s="468">
        <v>195.56</v>
      </c>
      <c r="N94" s="464">
        <v>1</v>
      </c>
      <c r="O94" s="464">
        <v>195.56</v>
      </c>
      <c r="P94" s="468"/>
      <c r="Q94" s="468"/>
      <c r="R94" s="491"/>
      <c r="S94" s="469"/>
    </row>
    <row r="95" spans="1:19" ht="14.4" customHeight="1" x14ac:dyDescent="0.3">
      <c r="A95" s="463"/>
      <c r="B95" s="464" t="s">
        <v>938</v>
      </c>
      <c r="C95" s="464" t="s">
        <v>425</v>
      </c>
      <c r="D95" s="464" t="s">
        <v>929</v>
      </c>
      <c r="E95" s="464" t="s">
        <v>986</v>
      </c>
      <c r="F95" s="464" t="s">
        <v>1052</v>
      </c>
      <c r="G95" s="464" t="s">
        <v>1053</v>
      </c>
      <c r="H95" s="468"/>
      <c r="I95" s="468"/>
      <c r="J95" s="464"/>
      <c r="K95" s="464"/>
      <c r="L95" s="468"/>
      <c r="M95" s="468"/>
      <c r="N95" s="464"/>
      <c r="O95" s="464"/>
      <c r="P95" s="468">
        <v>1</v>
      </c>
      <c r="Q95" s="468">
        <v>116.67</v>
      </c>
      <c r="R95" s="491"/>
      <c r="S95" s="469">
        <v>116.67</v>
      </c>
    </row>
    <row r="96" spans="1:19" ht="14.4" customHeight="1" x14ac:dyDescent="0.3">
      <c r="A96" s="463"/>
      <c r="B96" s="464" t="s">
        <v>938</v>
      </c>
      <c r="C96" s="464" t="s">
        <v>425</v>
      </c>
      <c r="D96" s="464" t="s">
        <v>929</v>
      </c>
      <c r="E96" s="464" t="s">
        <v>986</v>
      </c>
      <c r="F96" s="464" t="s">
        <v>1052</v>
      </c>
      <c r="G96" s="464" t="s">
        <v>1054</v>
      </c>
      <c r="H96" s="468"/>
      <c r="I96" s="468"/>
      <c r="J96" s="464"/>
      <c r="K96" s="464"/>
      <c r="L96" s="468">
        <v>1</v>
      </c>
      <c r="M96" s="468">
        <v>116.67</v>
      </c>
      <c r="N96" s="464">
        <v>1</v>
      </c>
      <c r="O96" s="464">
        <v>116.67</v>
      </c>
      <c r="P96" s="468"/>
      <c r="Q96" s="468"/>
      <c r="R96" s="491"/>
      <c r="S96" s="469"/>
    </row>
    <row r="97" spans="1:19" ht="14.4" customHeight="1" x14ac:dyDescent="0.3">
      <c r="A97" s="463"/>
      <c r="B97" s="464" t="s">
        <v>938</v>
      </c>
      <c r="C97" s="464" t="s">
        <v>425</v>
      </c>
      <c r="D97" s="464" t="s">
        <v>929</v>
      </c>
      <c r="E97" s="464" t="s">
        <v>986</v>
      </c>
      <c r="F97" s="464" t="s">
        <v>1055</v>
      </c>
      <c r="G97" s="464" t="s">
        <v>1056</v>
      </c>
      <c r="H97" s="468"/>
      <c r="I97" s="468"/>
      <c r="J97" s="464"/>
      <c r="K97" s="464"/>
      <c r="L97" s="468">
        <v>6</v>
      </c>
      <c r="M97" s="468">
        <v>293.33</v>
      </c>
      <c r="N97" s="464">
        <v>1</v>
      </c>
      <c r="O97" s="464">
        <v>48.888333333333328</v>
      </c>
      <c r="P97" s="468"/>
      <c r="Q97" s="468"/>
      <c r="R97" s="491"/>
      <c r="S97" s="469"/>
    </row>
    <row r="98" spans="1:19" ht="14.4" customHeight="1" x14ac:dyDescent="0.3">
      <c r="A98" s="463"/>
      <c r="B98" s="464" t="s">
        <v>938</v>
      </c>
      <c r="C98" s="464" t="s">
        <v>425</v>
      </c>
      <c r="D98" s="464" t="s">
        <v>929</v>
      </c>
      <c r="E98" s="464" t="s">
        <v>986</v>
      </c>
      <c r="F98" s="464" t="s">
        <v>1055</v>
      </c>
      <c r="G98" s="464" t="s">
        <v>1057</v>
      </c>
      <c r="H98" s="468">
        <v>2</v>
      </c>
      <c r="I98" s="468">
        <v>97.78</v>
      </c>
      <c r="J98" s="464">
        <v>0.2857142857142857</v>
      </c>
      <c r="K98" s="464">
        <v>48.89</v>
      </c>
      <c r="L98" s="468">
        <v>7</v>
      </c>
      <c r="M98" s="468">
        <v>342.23</v>
      </c>
      <c r="N98" s="464">
        <v>1</v>
      </c>
      <c r="O98" s="464">
        <v>48.89</v>
      </c>
      <c r="P98" s="468">
        <v>3</v>
      </c>
      <c r="Q98" s="468">
        <v>146.66999999999999</v>
      </c>
      <c r="R98" s="491">
        <v>0.42857142857142849</v>
      </c>
      <c r="S98" s="469">
        <v>48.889999999999993</v>
      </c>
    </row>
    <row r="99" spans="1:19" ht="14.4" customHeight="1" x14ac:dyDescent="0.3">
      <c r="A99" s="463"/>
      <c r="B99" s="464" t="s">
        <v>938</v>
      </c>
      <c r="C99" s="464" t="s">
        <v>425</v>
      </c>
      <c r="D99" s="464" t="s">
        <v>929</v>
      </c>
      <c r="E99" s="464" t="s">
        <v>986</v>
      </c>
      <c r="F99" s="464" t="s">
        <v>1058</v>
      </c>
      <c r="G99" s="464" t="s">
        <v>1059</v>
      </c>
      <c r="H99" s="468"/>
      <c r="I99" s="468"/>
      <c r="J99" s="464"/>
      <c r="K99" s="464"/>
      <c r="L99" s="468">
        <v>1</v>
      </c>
      <c r="M99" s="468">
        <v>344.44</v>
      </c>
      <c r="N99" s="464">
        <v>1</v>
      </c>
      <c r="O99" s="464">
        <v>344.44</v>
      </c>
      <c r="P99" s="468">
        <v>1</v>
      </c>
      <c r="Q99" s="468">
        <v>344.44</v>
      </c>
      <c r="R99" s="491">
        <v>1</v>
      </c>
      <c r="S99" s="469">
        <v>344.44</v>
      </c>
    </row>
    <row r="100" spans="1:19" ht="14.4" customHeight="1" x14ac:dyDescent="0.3">
      <c r="A100" s="463"/>
      <c r="B100" s="464" t="s">
        <v>938</v>
      </c>
      <c r="C100" s="464" t="s">
        <v>425</v>
      </c>
      <c r="D100" s="464" t="s">
        <v>929</v>
      </c>
      <c r="E100" s="464" t="s">
        <v>986</v>
      </c>
      <c r="F100" s="464" t="s">
        <v>1060</v>
      </c>
      <c r="G100" s="464" t="s">
        <v>1061</v>
      </c>
      <c r="H100" s="468">
        <v>1</v>
      </c>
      <c r="I100" s="468">
        <v>292.22000000000003</v>
      </c>
      <c r="J100" s="464"/>
      <c r="K100" s="464">
        <v>292.22000000000003</v>
      </c>
      <c r="L100" s="468"/>
      <c r="M100" s="468"/>
      <c r="N100" s="464"/>
      <c r="O100" s="464"/>
      <c r="P100" s="468"/>
      <c r="Q100" s="468"/>
      <c r="R100" s="491"/>
      <c r="S100" s="469"/>
    </row>
    <row r="101" spans="1:19" ht="14.4" customHeight="1" x14ac:dyDescent="0.3">
      <c r="A101" s="463"/>
      <c r="B101" s="464" t="s">
        <v>938</v>
      </c>
      <c r="C101" s="464" t="s">
        <v>425</v>
      </c>
      <c r="D101" s="464" t="s">
        <v>929</v>
      </c>
      <c r="E101" s="464" t="s">
        <v>986</v>
      </c>
      <c r="F101" s="464" t="s">
        <v>1062</v>
      </c>
      <c r="G101" s="464" t="s">
        <v>1063</v>
      </c>
      <c r="H101" s="468"/>
      <c r="I101" s="468"/>
      <c r="J101" s="464"/>
      <c r="K101" s="464"/>
      <c r="L101" s="468">
        <v>2</v>
      </c>
      <c r="M101" s="468">
        <v>444.44</v>
      </c>
      <c r="N101" s="464">
        <v>1</v>
      </c>
      <c r="O101" s="464">
        <v>222.22</v>
      </c>
      <c r="P101" s="468">
        <v>3</v>
      </c>
      <c r="Q101" s="468">
        <v>666.66</v>
      </c>
      <c r="R101" s="491">
        <v>1.5</v>
      </c>
      <c r="S101" s="469">
        <v>222.22</v>
      </c>
    </row>
    <row r="102" spans="1:19" ht="14.4" customHeight="1" x14ac:dyDescent="0.3">
      <c r="A102" s="463"/>
      <c r="B102" s="464" t="s">
        <v>938</v>
      </c>
      <c r="C102" s="464" t="s">
        <v>425</v>
      </c>
      <c r="D102" s="464" t="s">
        <v>929</v>
      </c>
      <c r="E102" s="464" t="s">
        <v>986</v>
      </c>
      <c r="F102" s="464" t="s">
        <v>1062</v>
      </c>
      <c r="G102" s="464" t="s">
        <v>1064</v>
      </c>
      <c r="H102" s="468"/>
      <c r="I102" s="468"/>
      <c r="J102" s="464"/>
      <c r="K102" s="464"/>
      <c r="L102" s="468">
        <v>12</v>
      </c>
      <c r="M102" s="468">
        <v>2666.6599999999994</v>
      </c>
      <c r="N102" s="464">
        <v>1</v>
      </c>
      <c r="O102" s="464">
        <v>222.22166666666661</v>
      </c>
      <c r="P102" s="468">
        <v>3</v>
      </c>
      <c r="Q102" s="468">
        <v>666.66</v>
      </c>
      <c r="R102" s="491">
        <v>0.24999812499531254</v>
      </c>
      <c r="S102" s="469">
        <v>222.22</v>
      </c>
    </row>
    <row r="103" spans="1:19" ht="14.4" customHeight="1" x14ac:dyDescent="0.3">
      <c r="A103" s="463"/>
      <c r="B103" s="464" t="s">
        <v>938</v>
      </c>
      <c r="C103" s="464" t="s">
        <v>425</v>
      </c>
      <c r="D103" s="464" t="s">
        <v>929</v>
      </c>
      <c r="E103" s="464" t="s">
        <v>986</v>
      </c>
      <c r="F103" s="464" t="s">
        <v>1065</v>
      </c>
      <c r="G103" s="464" t="s">
        <v>1066</v>
      </c>
      <c r="H103" s="468"/>
      <c r="I103" s="468"/>
      <c r="J103" s="464"/>
      <c r="K103" s="464"/>
      <c r="L103" s="468"/>
      <c r="M103" s="468"/>
      <c r="N103" s="464"/>
      <c r="O103" s="464"/>
      <c r="P103" s="468">
        <v>2</v>
      </c>
      <c r="Q103" s="468">
        <v>233.33</v>
      </c>
      <c r="R103" s="491"/>
      <c r="S103" s="469">
        <v>116.66500000000001</v>
      </c>
    </row>
    <row r="104" spans="1:19" ht="14.4" customHeight="1" x14ac:dyDescent="0.3">
      <c r="A104" s="463"/>
      <c r="B104" s="464" t="s">
        <v>938</v>
      </c>
      <c r="C104" s="464" t="s">
        <v>931</v>
      </c>
      <c r="D104" s="464" t="s">
        <v>929</v>
      </c>
      <c r="E104" s="464" t="s">
        <v>939</v>
      </c>
      <c r="F104" s="464" t="s">
        <v>940</v>
      </c>
      <c r="G104" s="464"/>
      <c r="H104" s="468">
        <v>2</v>
      </c>
      <c r="I104" s="468">
        <v>226</v>
      </c>
      <c r="J104" s="464"/>
      <c r="K104" s="464">
        <v>113</v>
      </c>
      <c r="L104" s="468"/>
      <c r="M104" s="468"/>
      <c r="N104" s="464"/>
      <c r="O104" s="464"/>
      <c r="P104" s="468"/>
      <c r="Q104" s="468"/>
      <c r="R104" s="491"/>
      <c r="S104" s="469"/>
    </row>
    <row r="105" spans="1:19" ht="14.4" customHeight="1" x14ac:dyDescent="0.3">
      <c r="A105" s="463"/>
      <c r="B105" s="464" t="s">
        <v>938</v>
      </c>
      <c r="C105" s="464" t="s">
        <v>931</v>
      </c>
      <c r="D105" s="464" t="s">
        <v>929</v>
      </c>
      <c r="E105" s="464" t="s">
        <v>986</v>
      </c>
      <c r="F105" s="464" t="s">
        <v>987</v>
      </c>
      <c r="G105" s="464" t="s">
        <v>1067</v>
      </c>
      <c r="H105" s="468">
        <v>4</v>
      </c>
      <c r="I105" s="468">
        <v>1902.24</v>
      </c>
      <c r="J105" s="464">
        <v>0.93450450981548083</v>
      </c>
      <c r="K105" s="464">
        <v>475.56</v>
      </c>
      <c r="L105" s="468">
        <v>4</v>
      </c>
      <c r="M105" s="468">
        <v>2035.56</v>
      </c>
      <c r="N105" s="464">
        <v>1</v>
      </c>
      <c r="O105" s="464">
        <v>508.89</v>
      </c>
      <c r="P105" s="468">
        <v>3</v>
      </c>
      <c r="Q105" s="468">
        <v>1526.67</v>
      </c>
      <c r="R105" s="491">
        <v>0.75000000000000011</v>
      </c>
      <c r="S105" s="469">
        <v>508.89000000000004</v>
      </c>
    </row>
    <row r="106" spans="1:19" ht="14.4" customHeight="1" x14ac:dyDescent="0.3">
      <c r="A106" s="463"/>
      <c r="B106" s="464" t="s">
        <v>938</v>
      </c>
      <c r="C106" s="464" t="s">
        <v>931</v>
      </c>
      <c r="D106" s="464" t="s">
        <v>929</v>
      </c>
      <c r="E106" s="464" t="s">
        <v>986</v>
      </c>
      <c r="F106" s="464" t="s">
        <v>987</v>
      </c>
      <c r="G106" s="464" t="s">
        <v>988</v>
      </c>
      <c r="H106" s="468">
        <v>5</v>
      </c>
      <c r="I106" s="468">
        <v>2377.7800000000002</v>
      </c>
      <c r="J106" s="464">
        <v>1.5574944159510569</v>
      </c>
      <c r="K106" s="464">
        <v>475.55600000000004</v>
      </c>
      <c r="L106" s="468">
        <v>3</v>
      </c>
      <c r="M106" s="468">
        <v>1526.67</v>
      </c>
      <c r="N106" s="464">
        <v>1</v>
      </c>
      <c r="O106" s="464">
        <v>508.89000000000004</v>
      </c>
      <c r="P106" s="468">
        <v>8</v>
      </c>
      <c r="Q106" s="468">
        <v>4071.1099999999997</v>
      </c>
      <c r="R106" s="491">
        <v>2.6666601164626274</v>
      </c>
      <c r="S106" s="469">
        <v>508.88874999999996</v>
      </c>
    </row>
    <row r="107" spans="1:19" ht="14.4" customHeight="1" x14ac:dyDescent="0.3">
      <c r="A107" s="463"/>
      <c r="B107" s="464" t="s">
        <v>938</v>
      </c>
      <c r="C107" s="464" t="s">
        <v>931</v>
      </c>
      <c r="D107" s="464" t="s">
        <v>929</v>
      </c>
      <c r="E107" s="464" t="s">
        <v>986</v>
      </c>
      <c r="F107" s="464" t="s">
        <v>989</v>
      </c>
      <c r="G107" s="464" t="s">
        <v>990</v>
      </c>
      <c r="H107" s="468">
        <v>43</v>
      </c>
      <c r="I107" s="468">
        <v>19588.879999999997</v>
      </c>
      <c r="J107" s="464">
        <v>1.3992057142857142</v>
      </c>
      <c r="K107" s="464">
        <v>455.55534883720924</v>
      </c>
      <c r="L107" s="468">
        <v>28</v>
      </c>
      <c r="M107" s="468">
        <v>14000</v>
      </c>
      <c r="N107" s="464">
        <v>1</v>
      </c>
      <c r="O107" s="464">
        <v>500</v>
      </c>
      <c r="P107" s="468">
        <v>47</v>
      </c>
      <c r="Q107" s="468">
        <v>23500</v>
      </c>
      <c r="R107" s="491">
        <v>1.6785714285714286</v>
      </c>
      <c r="S107" s="469">
        <v>500</v>
      </c>
    </row>
    <row r="108" spans="1:19" ht="14.4" customHeight="1" x14ac:dyDescent="0.3">
      <c r="A108" s="463"/>
      <c r="B108" s="464" t="s">
        <v>938</v>
      </c>
      <c r="C108" s="464" t="s">
        <v>931</v>
      </c>
      <c r="D108" s="464" t="s">
        <v>929</v>
      </c>
      <c r="E108" s="464" t="s">
        <v>986</v>
      </c>
      <c r="F108" s="464" t="s">
        <v>989</v>
      </c>
      <c r="G108" s="464" t="s">
        <v>991</v>
      </c>
      <c r="H108" s="468">
        <v>97</v>
      </c>
      <c r="I108" s="468">
        <v>44188.880000000005</v>
      </c>
      <c r="J108" s="464">
        <v>1.2808371014492754</v>
      </c>
      <c r="K108" s="464">
        <v>455.5554639175258</v>
      </c>
      <c r="L108" s="468">
        <v>69</v>
      </c>
      <c r="M108" s="468">
        <v>34500</v>
      </c>
      <c r="N108" s="464">
        <v>1</v>
      </c>
      <c r="O108" s="464">
        <v>500</v>
      </c>
      <c r="P108" s="468">
        <v>45</v>
      </c>
      <c r="Q108" s="468">
        <v>22500</v>
      </c>
      <c r="R108" s="491">
        <v>0.65217391304347827</v>
      </c>
      <c r="S108" s="469">
        <v>500</v>
      </c>
    </row>
    <row r="109" spans="1:19" ht="14.4" customHeight="1" x14ac:dyDescent="0.3">
      <c r="A109" s="463"/>
      <c r="B109" s="464" t="s">
        <v>938</v>
      </c>
      <c r="C109" s="464" t="s">
        <v>931</v>
      </c>
      <c r="D109" s="464" t="s">
        <v>929</v>
      </c>
      <c r="E109" s="464" t="s">
        <v>986</v>
      </c>
      <c r="F109" s="464" t="s">
        <v>1068</v>
      </c>
      <c r="G109" s="464" t="s">
        <v>1069</v>
      </c>
      <c r="H109" s="468">
        <v>6</v>
      </c>
      <c r="I109" s="468">
        <v>633.33000000000004</v>
      </c>
      <c r="J109" s="464">
        <v>1.1999886316268142</v>
      </c>
      <c r="K109" s="464">
        <v>105.55500000000001</v>
      </c>
      <c r="L109" s="468">
        <v>5</v>
      </c>
      <c r="M109" s="468">
        <v>527.78</v>
      </c>
      <c r="N109" s="464">
        <v>1</v>
      </c>
      <c r="O109" s="464">
        <v>105.556</v>
      </c>
      <c r="P109" s="468">
        <v>15</v>
      </c>
      <c r="Q109" s="468">
        <v>1583.34</v>
      </c>
      <c r="R109" s="491">
        <v>3</v>
      </c>
      <c r="S109" s="469">
        <v>105.556</v>
      </c>
    </row>
    <row r="110" spans="1:19" ht="14.4" customHeight="1" x14ac:dyDescent="0.3">
      <c r="A110" s="463"/>
      <c r="B110" s="464" t="s">
        <v>938</v>
      </c>
      <c r="C110" s="464" t="s">
        <v>931</v>
      </c>
      <c r="D110" s="464" t="s">
        <v>929</v>
      </c>
      <c r="E110" s="464" t="s">
        <v>986</v>
      </c>
      <c r="F110" s="464" t="s">
        <v>1068</v>
      </c>
      <c r="G110" s="464" t="s">
        <v>1070</v>
      </c>
      <c r="H110" s="468">
        <v>21</v>
      </c>
      <c r="I110" s="468">
        <v>2216.6799999999998</v>
      </c>
      <c r="J110" s="464">
        <v>1.6153969480112518</v>
      </c>
      <c r="K110" s="464">
        <v>105.55619047619047</v>
      </c>
      <c r="L110" s="468">
        <v>13</v>
      </c>
      <c r="M110" s="468">
        <v>1372.22</v>
      </c>
      <c r="N110" s="464">
        <v>1</v>
      </c>
      <c r="O110" s="464">
        <v>105.55538461538461</v>
      </c>
      <c r="P110" s="468">
        <v>13</v>
      </c>
      <c r="Q110" s="468">
        <v>1372.22</v>
      </c>
      <c r="R110" s="491">
        <v>1</v>
      </c>
      <c r="S110" s="469">
        <v>105.55538461538461</v>
      </c>
    </row>
    <row r="111" spans="1:19" ht="14.4" customHeight="1" x14ac:dyDescent="0.3">
      <c r="A111" s="463"/>
      <c r="B111" s="464" t="s">
        <v>938</v>
      </c>
      <c r="C111" s="464" t="s">
        <v>931</v>
      </c>
      <c r="D111" s="464" t="s">
        <v>929</v>
      </c>
      <c r="E111" s="464" t="s">
        <v>986</v>
      </c>
      <c r="F111" s="464" t="s">
        <v>992</v>
      </c>
      <c r="G111" s="464" t="s">
        <v>1071</v>
      </c>
      <c r="H111" s="468"/>
      <c r="I111" s="468"/>
      <c r="J111" s="464"/>
      <c r="K111" s="464"/>
      <c r="L111" s="468"/>
      <c r="M111" s="468"/>
      <c r="N111" s="464"/>
      <c r="O111" s="464"/>
      <c r="P111" s="468">
        <v>9</v>
      </c>
      <c r="Q111" s="468">
        <v>700</v>
      </c>
      <c r="R111" s="491"/>
      <c r="S111" s="469">
        <v>77.777777777777771</v>
      </c>
    </row>
    <row r="112" spans="1:19" ht="14.4" customHeight="1" x14ac:dyDescent="0.3">
      <c r="A112" s="463"/>
      <c r="B112" s="464" t="s">
        <v>938</v>
      </c>
      <c r="C112" s="464" t="s">
        <v>931</v>
      </c>
      <c r="D112" s="464" t="s">
        <v>929</v>
      </c>
      <c r="E112" s="464" t="s">
        <v>986</v>
      </c>
      <c r="F112" s="464" t="s">
        <v>992</v>
      </c>
      <c r="G112" s="464" t="s">
        <v>993</v>
      </c>
      <c r="H112" s="468">
        <v>995</v>
      </c>
      <c r="I112" s="468">
        <v>77388.88</v>
      </c>
      <c r="J112" s="464">
        <v>1.1761226176105446</v>
      </c>
      <c r="K112" s="464">
        <v>77.777768844221114</v>
      </c>
      <c r="L112" s="468">
        <v>846</v>
      </c>
      <c r="M112" s="468">
        <v>65800.009999999995</v>
      </c>
      <c r="N112" s="464">
        <v>1</v>
      </c>
      <c r="O112" s="464">
        <v>77.77778959810874</v>
      </c>
      <c r="P112" s="468">
        <v>903</v>
      </c>
      <c r="Q112" s="468">
        <v>70233.33</v>
      </c>
      <c r="R112" s="491">
        <v>1.0673756736511135</v>
      </c>
      <c r="S112" s="469">
        <v>77.777774086378741</v>
      </c>
    </row>
    <row r="113" spans="1:19" ht="14.4" customHeight="1" x14ac:dyDescent="0.3">
      <c r="A113" s="463"/>
      <c r="B113" s="464" t="s">
        <v>938</v>
      </c>
      <c r="C113" s="464" t="s">
        <v>931</v>
      </c>
      <c r="D113" s="464" t="s">
        <v>929</v>
      </c>
      <c r="E113" s="464" t="s">
        <v>986</v>
      </c>
      <c r="F113" s="464" t="s">
        <v>994</v>
      </c>
      <c r="G113" s="464" t="s">
        <v>995</v>
      </c>
      <c r="H113" s="468">
        <v>1</v>
      </c>
      <c r="I113" s="468">
        <v>250</v>
      </c>
      <c r="J113" s="464"/>
      <c r="K113" s="464">
        <v>250</v>
      </c>
      <c r="L113" s="468"/>
      <c r="M113" s="468"/>
      <c r="N113" s="464"/>
      <c r="O113" s="464"/>
      <c r="P113" s="468">
        <v>2</v>
      </c>
      <c r="Q113" s="468">
        <v>500</v>
      </c>
      <c r="R113" s="491"/>
      <c r="S113" s="469">
        <v>250</v>
      </c>
    </row>
    <row r="114" spans="1:19" ht="14.4" customHeight="1" x14ac:dyDescent="0.3">
      <c r="A114" s="463"/>
      <c r="B114" s="464" t="s">
        <v>938</v>
      </c>
      <c r="C114" s="464" t="s">
        <v>931</v>
      </c>
      <c r="D114" s="464" t="s">
        <v>929</v>
      </c>
      <c r="E114" s="464" t="s">
        <v>986</v>
      </c>
      <c r="F114" s="464" t="s">
        <v>994</v>
      </c>
      <c r="G114" s="464" t="s">
        <v>996</v>
      </c>
      <c r="H114" s="468"/>
      <c r="I114" s="468"/>
      <c r="J114" s="464"/>
      <c r="K114" s="464"/>
      <c r="L114" s="468"/>
      <c r="M114" s="468"/>
      <c r="N114" s="464"/>
      <c r="O114" s="464"/>
      <c r="P114" s="468">
        <v>4</v>
      </c>
      <c r="Q114" s="468">
        <v>1000</v>
      </c>
      <c r="R114" s="491"/>
      <c r="S114" s="469">
        <v>250</v>
      </c>
    </row>
    <row r="115" spans="1:19" ht="14.4" customHeight="1" x14ac:dyDescent="0.3">
      <c r="A115" s="463"/>
      <c r="B115" s="464" t="s">
        <v>938</v>
      </c>
      <c r="C115" s="464" t="s">
        <v>931</v>
      </c>
      <c r="D115" s="464" t="s">
        <v>929</v>
      </c>
      <c r="E115" s="464" t="s">
        <v>986</v>
      </c>
      <c r="F115" s="464" t="s">
        <v>999</v>
      </c>
      <c r="G115" s="464" t="s">
        <v>1000</v>
      </c>
      <c r="H115" s="468">
        <v>304</v>
      </c>
      <c r="I115" s="468">
        <v>35466.67</v>
      </c>
      <c r="J115" s="464">
        <v>1.1343287066798946</v>
      </c>
      <c r="K115" s="464">
        <v>116.66667763157893</v>
      </c>
      <c r="L115" s="468">
        <v>268</v>
      </c>
      <c r="M115" s="468">
        <v>31266.660000000003</v>
      </c>
      <c r="N115" s="464">
        <v>1</v>
      </c>
      <c r="O115" s="464">
        <v>116.6666417910448</v>
      </c>
      <c r="P115" s="468">
        <v>275</v>
      </c>
      <c r="Q115" s="468">
        <v>32083.33</v>
      </c>
      <c r="R115" s="491">
        <v>1.0261195151640756</v>
      </c>
      <c r="S115" s="469">
        <v>116.66665454545455</v>
      </c>
    </row>
    <row r="116" spans="1:19" ht="14.4" customHeight="1" x14ac:dyDescent="0.3">
      <c r="A116" s="463"/>
      <c r="B116" s="464" t="s">
        <v>938</v>
      </c>
      <c r="C116" s="464" t="s">
        <v>931</v>
      </c>
      <c r="D116" s="464" t="s">
        <v>929</v>
      </c>
      <c r="E116" s="464" t="s">
        <v>986</v>
      </c>
      <c r="F116" s="464" t="s">
        <v>1002</v>
      </c>
      <c r="G116" s="464" t="s">
        <v>1003</v>
      </c>
      <c r="H116" s="468">
        <v>153</v>
      </c>
      <c r="I116" s="468">
        <v>45900</v>
      </c>
      <c r="J116" s="464">
        <v>1.2338709677419355</v>
      </c>
      <c r="K116" s="464">
        <v>300</v>
      </c>
      <c r="L116" s="468">
        <v>124</v>
      </c>
      <c r="M116" s="468">
        <v>37200</v>
      </c>
      <c r="N116" s="464">
        <v>1</v>
      </c>
      <c r="O116" s="464">
        <v>300</v>
      </c>
      <c r="P116" s="468">
        <v>143</v>
      </c>
      <c r="Q116" s="468">
        <v>42900</v>
      </c>
      <c r="R116" s="491">
        <v>1.153225806451613</v>
      </c>
      <c r="S116" s="469">
        <v>300</v>
      </c>
    </row>
    <row r="117" spans="1:19" ht="14.4" customHeight="1" x14ac:dyDescent="0.3">
      <c r="A117" s="463"/>
      <c r="B117" s="464" t="s">
        <v>938</v>
      </c>
      <c r="C117" s="464" t="s">
        <v>931</v>
      </c>
      <c r="D117" s="464" t="s">
        <v>929</v>
      </c>
      <c r="E117" s="464" t="s">
        <v>986</v>
      </c>
      <c r="F117" s="464" t="s">
        <v>1002</v>
      </c>
      <c r="G117" s="464" t="s">
        <v>1004</v>
      </c>
      <c r="H117" s="468">
        <v>215</v>
      </c>
      <c r="I117" s="468">
        <v>64500</v>
      </c>
      <c r="J117" s="464">
        <v>1.5034965034965035</v>
      </c>
      <c r="K117" s="464">
        <v>300</v>
      </c>
      <c r="L117" s="468">
        <v>143</v>
      </c>
      <c r="M117" s="468">
        <v>42900</v>
      </c>
      <c r="N117" s="464">
        <v>1</v>
      </c>
      <c r="O117" s="464">
        <v>300</v>
      </c>
      <c r="P117" s="468">
        <v>167</v>
      </c>
      <c r="Q117" s="468">
        <v>50100</v>
      </c>
      <c r="R117" s="491">
        <v>1.1678321678321679</v>
      </c>
      <c r="S117" s="469">
        <v>300</v>
      </c>
    </row>
    <row r="118" spans="1:19" ht="14.4" customHeight="1" x14ac:dyDescent="0.3">
      <c r="A118" s="463"/>
      <c r="B118" s="464" t="s">
        <v>938</v>
      </c>
      <c r="C118" s="464" t="s">
        <v>931</v>
      </c>
      <c r="D118" s="464" t="s">
        <v>929</v>
      </c>
      <c r="E118" s="464" t="s">
        <v>986</v>
      </c>
      <c r="F118" s="464" t="s">
        <v>1005</v>
      </c>
      <c r="G118" s="464" t="s">
        <v>1006</v>
      </c>
      <c r="H118" s="468">
        <v>60</v>
      </c>
      <c r="I118" s="468">
        <v>17666.669999999998</v>
      </c>
      <c r="J118" s="464">
        <v>2.0000011320758988</v>
      </c>
      <c r="K118" s="464">
        <v>294.44449999999995</v>
      </c>
      <c r="L118" s="468">
        <v>30</v>
      </c>
      <c r="M118" s="468">
        <v>8833.33</v>
      </c>
      <c r="N118" s="464">
        <v>1</v>
      </c>
      <c r="O118" s="464">
        <v>294.4443333333333</v>
      </c>
      <c r="P118" s="468">
        <v>36</v>
      </c>
      <c r="Q118" s="468">
        <v>10600</v>
      </c>
      <c r="R118" s="491">
        <v>1.2000004528303596</v>
      </c>
      <c r="S118" s="469">
        <v>294.44444444444446</v>
      </c>
    </row>
    <row r="119" spans="1:19" ht="14.4" customHeight="1" x14ac:dyDescent="0.3">
      <c r="A119" s="463"/>
      <c r="B119" s="464" t="s">
        <v>938</v>
      </c>
      <c r="C119" s="464" t="s">
        <v>931</v>
      </c>
      <c r="D119" s="464" t="s">
        <v>929</v>
      </c>
      <c r="E119" s="464" t="s">
        <v>986</v>
      </c>
      <c r="F119" s="464" t="s">
        <v>1005</v>
      </c>
      <c r="G119" s="464" t="s">
        <v>1007</v>
      </c>
      <c r="H119" s="468">
        <v>55</v>
      </c>
      <c r="I119" s="468">
        <v>16194.440000000002</v>
      </c>
      <c r="J119" s="464">
        <v>3.0555604821895894</v>
      </c>
      <c r="K119" s="464">
        <v>294.44436363636368</v>
      </c>
      <c r="L119" s="468">
        <v>18</v>
      </c>
      <c r="M119" s="468">
        <v>5299.99</v>
      </c>
      <c r="N119" s="464">
        <v>1</v>
      </c>
      <c r="O119" s="464">
        <v>294.44388888888886</v>
      </c>
      <c r="P119" s="468">
        <v>43</v>
      </c>
      <c r="Q119" s="468">
        <v>12661.099999999999</v>
      </c>
      <c r="R119" s="491">
        <v>2.388891299794905</v>
      </c>
      <c r="S119" s="469">
        <v>294.44418604651162</v>
      </c>
    </row>
    <row r="120" spans="1:19" ht="14.4" customHeight="1" x14ac:dyDescent="0.3">
      <c r="A120" s="463"/>
      <c r="B120" s="464" t="s">
        <v>938</v>
      </c>
      <c r="C120" s="464" t="s">
        <v>931</v>
      </c>
      <c r="D120" s="464" t="s">
        <v>929</v>
      </c>
      <c r="E120" s="464" t="s">
        <v>986</v>
      </c>
      <c r="F120" s="464" t="s">
        <v>1008</v>
      </c>
      <c r="G120" s="464" t="s">
        <v>990</v>
      </c>
      <c r="H120" s="468">
        <v>60</v>
      </c>
      <c r="I120" s="468">
        <v>22399.989999999998</v>
      </c>
      <c r="J120" s="464">
        <v>1.2185682686857189</v>
      </c>
      <c r="K120" s="464">
        <v>373.33316666666661</v>
      </c>
      <c r="L120" s="468">
        <v>44</v>
      </c>
      <c r="M120" s="468">
        <v>18382.22</v>
      </c>
      <c r="N120" s="464">
        <v>1</v>
      </c>
      <c r="O120" s="464">
        <v>417.7777272727273</v>
      </c>
      <c r="P120" s="468">
        <v>36</v>
      </c>
      <c r="Q120" s="468">
        <v>15039.990000000002</v>
      </c>
      <c r="R120" s="491">
        <v>0.81818137308769023</v>
      </c>
      <c r="S120" s="469">
        <v>417.77750000000003</v>
      </c>
    </row>
    <row r="121" spans="1:19" ht="14.4" customHeight="1" x14ac:dyDescent="0.3">
      <c r="A121" s="463"/>
      <c r="B121" s="464" t="s">
        <v>938</v>
      </c>
      <c r="C121" s="464" t="s">
        <v>931</v>
      </c>
      <c r="D121" s="464" t="s">
        <v>929</v>
      </c>
      <c r="E121" s="464" t="s">
        <v>986</v>
      </c>
      <c r="F121" s="464" t="s">
        <v>1008</v>
      </c>
      <c r="G121" s="464" t="s">
        <v>991</v>
      </c>
      <c r="H121" s="468">
        <v>180</v>
      </c>
      <c r="I121" s="468">
        <v>67200</v>
      </c>
      <c r="J121" s="464">
        <v>1.3404256210389376</v>
      </c>
      <c r="K121" s="464">
        <v>373.33333333333331</v>
      </c>
      <c r="L121" s="468">
        <v>120</v>
      </c>
      <c r="M121" s="468">
        <v>50133.33</v>
      </c>
      <c r="N121" s="464">
        <v>1</v>
      </c>
      <c r="O121" s="464">
        <v>417.77775000000003</v>
      </c>
      <c r="P121" s="468">
        <v>104</v>
      </c>
      <c r="Q121" s="468">
        <v>43448.89</v>
      </c>
      <c r="R121" s="491">
        <v>0.86666674645390596</v>
      </c>
      <c r="S121" s="469">
        <v>417.77778846153848</v>
      </c>
    </row>
    <row r="122" spans="1:19" ht="14.4" customHeight="1" x14ac:dyDescent="0.3">
      <c r="A122" s="463"/>
      <c r="B122" s="464" t="s">
        <v>938</v>
      </c>
      <c r="C122" s="464" t="s">
        <v>931</v>
      </c>
      <c r="D122" s="464" t="s">
        <v>929</v>
      </c>
      <c r="E122" s="464" t="s">
        <v>986</v>
      </c>
      <c r="F122" s="464" t="s">
        <v>1009</v>
      </c>
      <c r="G122" s="464" t="s">
        <v>1010</v>
      </c>
      <c r="H122" s="468">
        <v>10</v>
      </c>
      <c r="I122" s="468">
        <v>2111.11</v>
      </c>
      <c r="J122" s="464">
        <v>0.41666699561446796</v>
      </c>
      <c r="K122" s="464">
        <v>211.11100000000002</v>
      </c>
      <c r="L122" s="468">
        <v>24</v>
      </c>
      <c r="M122" s="468">
        <v>5066.66</v>
      </c>
      <c r="N122" s="464">
        <v>1</v>
      </c>
      <c r="O122" s="464">
        <v>211.11083333333332</v>
      </c>
      <c r="P122" s="468">
        <v>14</v>
      </c>
      <c r="Q122" s="468">
        <v>2955.56</v>
      </c>
      <c r="R122" s="491">
        <v>0.58333497807233958</v>
      </c>
      <c r="S122" s="469">
        <v>211.11142857142858</v>
      </c>
    </row>
    <row r="123" spans="1:19" ht="14.4" customHeight="1" x14ac:dyDescent="0.3">
      <c r="A123" s="463"/>
      <c r="B123" s="464" t="s">
        <v>938</v>
      </c>
      <c r="C123" s="464" t="s">
        <v>931</v>
      </c>
      <c r="D123" s="464" t="s">
        <v>929</v>
      </c>
      <c r="E123" s="464" t="s">
        <v>986</v>
      </c>
      <c r="F123" s="464" t="s">
        <v>1009</v>
      </c>
      <c r="G123" s="464" t="s">
        <v>1011</v>
      </c>
      <c r="H123" s="468">
        <v>6</v>
      </c>
      <c r="I123" s="468">
        <v>1266.67</v>
      </c>
      <c r="J123" s="464"/>
      <c r="K123" s="464">
        <v>211.11166666666668</v>
      </c>
      <c r="L123" s="468"/>
      <c r="M123" s="468"/>
      <c r="N123" s="464"/>
      <c r="O123" s="464"/>
      <c r="P123" s="468">
        <v>4</v>
      </c>
      <c r="Q123" s="468">
        <v>844.44</v>
      </c>
      <c r="R123" s="491"/>
      <c r="S123" s="469">
        <v>211.11</v>
      </c>
    </row>
    <row r="124" spans="1:19" ht="14.4" customHeight="1" x14ac:dyDescent="0.3">
      <c r="A124" s="463"/>
      <c r="B124" s="464" t="s">
        <v>938</v>
      </c>
      <c r="C124" s="464" t="s">
        <v>931</v>
      </c>
      <c r="D124" s="464" t="s">
        <v>929</v>
      </c>
      <c r="E124" s="464" t="s">
        <v>986</v>
      </c>
      <c r="F124" s="464" t="s">
        <v>1012</v>
      </c>
      <c r="G124" s="464" t="s">
        <v>1013</v>
      </c>
      <c r="H124" s="468">
        <v>10</v>
      </c>
      <c r="I124" s="468">
        <v>5833.34</v>
      </c>
      <c r="J124" s="464">
        <v>0.7142871137037663</v>
      </c>
      <c r="K124" s="464">
        <v>583.33400000000006</v>
      </c>
      <c r="L124" s="468">
        <v>14</v>
      </c>
      <c r="M124" s="468">
        <v>8166.66</v>
      </c>
      <c r="N124" s="464">
        <v>1</v>
      </c>
      <c r="O124" s="464">
        <v>583.33285714285716</v>
      </c>
      <c r="P124" s="468">
        <v>12</v>
      </c>
      <c r="Q124" s="468">
        <v>6999.99</v>
      </c>
      <c r="R124" s="491">
        <v>0.85714233236108761</v>
      </c>
      <c r="S124" s="469">
        <v>583.33249999999998</v>
      </c>
    </row>
    <row r="125" spans="1:19" ht="14.4" customHeight="1" x14ac:dyDescent="0.3">
      <c r="A125" s="463"/>
      <c r="B125" s="464" t="s">
        <v>938</v>
      </c>
      <c r="C125" s="464" t="s">
        <v>931</v>
      </c>
      <c r="D125" s="464" t="s">
        <v>929</v>
      </c>
      <c r="E125" s="464" t="s">
        <v>986</v>
      </c>
      <c r="F125" s="464" t="s">
        <v>1014</v>
      </c>
      <c r="G125" s="464" t="s">
        <v>1015</v>
      </c>
      <c r="H125" s="468">
        <v>23</v>
      </c>
      <c r="I125" s="468">
        <v>10733.34</v>
      </c>
      <c r="J125" s="464">
        <v>1.6428590014586744</v>
      </c>
      <c r="K125" s="464">
        <v>466.66695652173911</v>
      </c>
      <c r="L125" s="468">
        <v>14</v>
      </c>
      <c r="M125" s="468">
        <v>6533.33</v>
      </c>
      <c r="N125" s="464">
        <v>1</v>
      </c>
      <c r="O125" s="464">
        <v>466.66642857142858</v>
      </c>
      <c r="P125" s="468">
        <v>10</v>
      </c>
      <c r="Q125" s="468">
        <v>4666.67</v>
      </c>
      <c r="R125" s="491">
        <v>0.71428658892172903</v>
      </c>
      <c r="S125" s="469">
        <v>466.66700000000003</v>
      </c>
    </row>
    <row r="126" spans="1:19" ht="14.4" customHeight="1" x14ac:dyDescent="0.3">
      <c r="A126" s="463"/>
      <c r="B126" s="464" t="s">
        <v>938</v>
      </c>
      <c r="C126" s="464" t="s">
        <v>931</v>
      </c>
      <c r="D126" s="464" t="s">
        <v>929</v>
      </c>
      <c r="E126" s="464" t="s">
        <v>986</v>
      </c>
      <c r="F126" s="464" t="s">
        <v>1014</v>
      </c>
      <c r="G126" s="464" t="s">
        <v>1016</v>
      </c>
      <c r="H126" s="468">
        <v>48</v>
      </c>
      <c r="I126" s="468">
        <v>22400</v>
      </c>
      <c r="J126" s="464">
        <v>3.2</v>
      </c>
      <c r="K126" s="464">
        <v>466.66666666666669</v>
      </c>
      <c r="L126" s="468">
        <v>15</v>
      </c>
      <c r="M126" s="468">
        <v>7000</v>
      </c>
      <c r="N126" s="464">
        <v>1</v>
      </c>
      <c r="O126" s="464">
        <v>466.66666666666669</v>
      </c>
      <c r="P126" s="468">
        <v>18</v>
      </c>
      <c r="Q126" s="468">
        <v>8399.99</v>
      </c>
      <c r="R126" s="491">
        <v>1.1999985714285715</v>
      </c>
      <c r="S126" s="469">
        <v>466.66611111111109</v>
      </c>
    </row>
    <row r="127" spans="1:19" ht="14.4" customHeight="1" x14ac:dyDescent="0.3">
      <c r="A127" s="463"/>
      <c r="B127" s="464" t="s">
        <v>938</v>
      </c>
      <c r="C127" s="464" t="s">
        <v>931</v>
      </c>
      <c r="D127" s="464" t="s">
        <v>929</v>
      </c>
      <c r="E127" s="464" t="s">
        <v>986</v>
      </c>
      <c r="F127" s="464" t="s">
        <v>1017</v>
      </c>
      <c r="G127" s="464" t="s">
        <v>1018</v>
      </c>
      <c r="H127" s="468">
        <v>6</v>
      </c>
      <c r="I127" s="468">
        <v>300</v>
      </c>
      <c r="J127" s="464">
        <v>1</v>
      </c>
      <c r="K127" s="464">
        <v>50</v>
      </c>
      <c r="L127" s="468">
        <v>6</v>
      </c>
      <c r="M127" s="468">
        <v>300</v>
      </c>
      <c r="N127" s="464">
        <v>1</v>
      </c>
      <c r="O127" s="464">
        <v>50</v>
      </c>
      <c r="P127" s="468">
        <v>1</v>
      </c>
      <c r="Q127" s="468">
        <v>50</v>
      </c>
      <c r="R127" s="491">
        <v>0.16666666666666666</v>
      </c>
      <c r="S127" s="469">
        <v>50</v>
      </c>
    </row>
    <row r="128" spans="1:19" ht="14.4" customHeight="1" x14ac:dyDescent="0.3">
      <c r="A128" s="463"/>
      <c r="B128" s="464" t="s">
        <v>938</v>
      </c>
      <c r="C128" s="464" t="s">
        <v>931</v>
      </c>
      <c r="D128" s="464" t="s">
        <v>929</v>
      </c>
      <c r="E128" s="464" t="s">
        <v>986</v>
      </c>
      <c r="F128" s="464" t="s">
        <v>1017</v>
      </c>
      <c r="G128" s="464" t="s">
        <v>1019</v>
      </c>
      <c r="H128" s="468">
        <v>10</v>
      </c>
      <c r="I128" s="468">
        <v>500</v>
      </c>
      <c r="J128" s="464">
        <v>1.4285714285714286</v>
      </c>
      <c r="K128" s="464">
        <v>50</v>
      </c>
      <c r="L128" s="468">
        <v>7</v>
      </c>
      <c r="M128" s="468">
        <v>350</v>
      </c>
      <c r="N128" s="464">
        <v>1</v>
      </c>
      <c r="O128" s="464">
        <v>50</v>
      </c>
      <c r="P128" s="468">
        <v>10</v>
      </c>
      <c r="Q128" s="468">
        <v>500</v>
      </c>
      <c r="R128" s="491">
        <v>1.4285714285714286</v>
      </c>
      <c r="S128" s="469">
        <v>50</v>
      </c>
    </row>
    <row r="129" spans="1:19" ht="14.4" customHeight="1" x14ac:dyDescent="0.3">
      <c r="A129" s="463"/>
      <c r="B129" s="464" t="s">
        <v>938</v>
      </c>
      <c r="C129" s="464" t="s">
        <v>931</v>
      </c>
      <c r="D129" s="464" t="s">
        <v>929</v>
      </c>
      <c r="E129" s="464" t="s">
        <v>986</v>
      </c>
      <c r="F129" s="464" t="s">
        <v>1020</v>
      </c>
      <c r="G129" s="464" t="s">
        <v>1021</v>
      </c>
      <c r="H129" s="468">
        <v>2</v>
      </c>
      <c r="I129" s="468">
        <v>202.22</v>
      </c>
      <c r="J129" s="464">
        <v>2</v>
      </c>
      <c r="K129" s="464">
        <v>101.11</v>
      </c>
      <c r="L129" s="468">
        <v>1</v>
      </c>
      <c r="M129" s="468">
        <v>101.11</v>
      </c>
      <c r="N129" s="464">
        <v>1</v>
      </c>
      <c r="O129" s="464">
        <v>101.11</v>
      </c>
      <c r="P129" s="468"/>
      <c r="Q129" s="468"/>
      <c r="R129" s="491"/>
      <c r="S129" s="469"/>
    </row>
    <row r="130" spans="1:19" ht="14.4" customHeight="1" x14ac:dyDescent="0.3">
      <c r="A130" s="463"/>
      <c r="B130" s="464" t="s">
        <v>938</v>
      </c>
      <c r="C130" s="464" t="s">
        <v>931</v>
      </c>
      <c r="D130" s="464" t="s">
        <v>929</v>
      </c>
      <c r="E130" s="464" t="s">
        <v>986</v>
      </c>
      <c r="F130" s="464" t="s">
        <v>1020</v>
      </c>
      <c r="G130" s="464" t="s">
        <v>1022</v>
      </c>
      <c r="H130" s="468">
        <v>2</v>
      </c>
      <c r="I130" s="468">
        <v>202.22</v>
      </c>
      <c r="J130" s="464">
        <v>0.66666666666666674</v>
      </c>
      <c r="K130" s="464">
        <v>101.11</v>
      </c>
      <c r="L130" s="468">
        <v>3</v>
      </c>
      <c r="M130" s="468">
        <v>303.33</v>
      </c>
      <c r="N130" s="464">
        <v>1</v>
      </c>
      <c r="O130" s="464">
        <v>101.11</v>
      </c>
      <c r="P130" s="468"/>
      <c r="Q130" s="468"/>
      <c r="R130" s="491"/>
      <c r="S130" s="469"/>
    </row>
    <row r="131" spans="1:19" ht="14.4" customHeight="1" x14ac:dyDescent="0.3">
      <c r="A131" s="463"/>
      <c r="B131" s="464" t="s">
        <v>938</v>
      </c>
      <c r="C131" s="464" t="s">
        <v>931</v>
      </c>
      <c r="D131" s="464" t="s">
        <v>929</v>
      </c>
      <c r="E131" s="464" t="s">
        <v>986</v>
      </c>
      <c r="F131" s="464" t="s">
        <v>1023</v>
      </c>
      <c r="G131" s="464" t="s">
        <v>1024</v>
      </c>
      <c r="H131" s="468">
        <v>4</v>
      </c>
      <c r="I131" s="468">
        <v>306.67</v>
      </c>
      <c r="J131" s="464"/>
      <c r="K131" s="464">
        <v>76.667500000000004</v>
      </c>
      <c r="L131" s="468"/>
      <c r="M131" s="468"/>
      <c r="N131" s="464"/>
      <c r="O131" s="464"/>
      <c r="P131" s="468"/>
      <c r="Q131" s="468"/>
      <c r="R131" s="491"/>
      <c r="S131" s="469"/>
    </row>
    <row r="132" spans="1:19" ht="14.4" customHeight="1" x14ac:dyDescent="0.3">
      <c r="A132" s="463"/>
      <c r="B132" s="464" t="s">
        <v>938</v>
      </c>
      <c r="C132" s="464" t="s">
        <v>931</v>
      </c>
      <c r="D132" s="464" t="s">
        <v>929</v>
      </c>
      <c r="E132" s="464" t="s">
        <v>986</v>
      </c>
      <c r="F132" s="464" t="s">
        <v>1026</v>
      </c>
      <c r="G132" s="464" t="s">
        <v>1028</v>
      </c>
      <c r="H132" s="468">
        <v>1</v>
      </c>
      <c r="I132" s="468">
        <v>0</v>
      </c>
      <c r="J132" s="464"/>
      <c r="K132" s="464">
        <v>0</v>
      </c>
      <c r="L132" s="468"/>
      <c r="M132" s="468"/>
      <c r="N132" s="464"/>
      <c r="O132" s="464"/>
      <c r="P132" s="468"/>
      <c r="Q132" s="468"/>
      <c r="R132" s="491"/>
      <c r="S132" s="469"/>
    </row>
    <row r="133" spans="1:19" ht="14.4" customHeight="1" x14ac:dyDescent="0.3">
      <c r="A133" s="463"/>
      <c r="B133" s="464" t="s">
        <v>938</v>
      </c>
      <c r="C133" s="464" t="s">
        <v>931</v>
      </c>
      <c r="D133" s="464" t="s">
        <v>929</v>
      </c>
      <c r="E133" s="464" t="s">
        <v>986</v>
      </c>
      <c r="F133" s="464" t="s">
        <v>1029</v>
      </c>
      <c r="G133" s="464" t="s">
        <v>1030</v>
      </c>
      <c r="H133" s="468">
        <v>148</v>
      </c>
      <c r="I133" s="468">
        <v>45222.229999999996</v>
      </c>
      <c r="J133" s="464">
        <v>1.3214292706403239</v>
      </c>
      <c r="K133" s="464">
        <v>305.55560810810806</v>
      </c>
      <c r="L133" s="468">
        <v>112</v>
      </c>
      <c r="M133" s="468">
        <v>34222.21</v>
      </c>
      <c r="N133" s="464">
        <v>1</v>
      </c>
      <c r="O133" s="464">
        <v>305.55544642857143</v>
      </c>
      <c r="P133" s="468">
        <v>102</v>
      </c>
      <c r="Q133" s="468">
        <v>31166.680000000004</v>
      </c>
      <c r="R133" s="491">
        <v>0.91071500058003285</v>
      </c>
      <c r="S133" s="469">
        <v>305.55568627450987</v>
      </c>
    </row>
    <row r="134" spans="1:19" ht="14.4" customHeight="1" x14ac:dyDescent="0.3">
      <c r="A134" s="463"/>
      <c r="B134" s="464" t="s">
        <v>938</v>
      </c>
      <c r="C134" s="464" t="s">
        <v>931</v>
      </c>
      <c r="D134" s="464" t="s">
        <v>929</v>
      </c>
      <c r="E134" s="464" t="s">
        <v>986</v>
      </c>
      <c r="F134" s="464" t="s">
        <v>1029</v>
      </c>
      <c r="G134" s="464" t="s">
        <v>1031</v>
      </c>
      <c r="H134" s="468"/>
      <c r="I134" s="468"/>
      <c r="J134" s="464"/>
      <c r="K134" s="464"/>
      <c r="L134" s="468">
        <v>1</v>
      </c>
      <c r="M134" s="468">
        <v>305.56</v>
      </c>
      <c r="N134" s="464">
        <v>1</v>
      </c>
      <c r="O134" s="464">
        <v>305.56</v>
      </c>
      <c r="P134" s="468">
        <v>5</v>
      </c>
      <c r="Q134" s="468">
        <v>1527.78</v>
      </c>
      <c r="R134" s="491">
        <v>4.9999345464065978</v>
      </c>
      <c r="S134" s="469">
        <v>305.55599999999998</v>
      </c>
    </row>
    <row r="135" spans="1:19" ht="14.4" customHeight="1" x14ac:dyDescent="0.3">
      <c r="A135" s="463"/>
      <c r="B135" s="464" t="s">
        <v>938</v>
      </c>
      <c r="C135" s="464" t="s">
        <v>931</v>
      </c>
      <c r="D135" s="464" t="s">
        <v>929</v>
      </c>
      <c r="E135" s="464" t="s">
        <v>986</v>
      </c>
      <c r="F135" s="464" t="s">
        <v>1032</v>
      </c>
      <c r="G135" s="464" t="s">
        <v>1033</v>
      </c>
      <c r="H135" s="468">
        <v>112</v>
      </c>
      <c r="I135" s="468">
        <v>3733.33</v>
      </c>
      <c r="J135" s="464">
        <v>0.95726410256410255</v>
      </c>
      <c r="K135" s="464">
        <v>33.333303571428573</v>
      </c>
      <c r="L135" s="468">
        <v>117</v>
      </c>
      <c r="M135" s="468">
        <v>3900</v>
      </c>
      <c r="N135" s="464">
        <v>1</v>
      </c>
      <c r="O135" s="464">
        <v>33.333333333333336</v>
      </c>
      <c r="P135" s="468">
        <v>95</v>
      </c>
      <c r="Q135" s="468">
        <v>3166.67</v>
      </c>
      <c r="R135" s="491">
        <v>0.81196666666666673</v>
      </c>
      <c r="S135" s="469">
        <v>33.333368421052633</v>
      </c>
    </row>
    <row r="136" spans="1:19" ht="14.4" customHeight="1" x14ac:dyDescent="0.3">
      <c r="A136" s="463"/>
      <c r="B136" s="464" t="s">
        <v>938</v>
      </c>
      <c r="C136" s="464" t="s">
        <v>931</v>
      </c>
      <c r="D136" s="464" t="s">
        <v>929</v>
      </c>
      <c r="E136" s="464" t="s">
        <v>986</v>
      </c>
      <c r="F136" s="464" t="s">
        <v>1032</v>
      </c>
      <c r="G136" s="464" t="s">
        <v>1034</v>
      </c>
      <c r="H136" s="468">
        <v>4</v>
      </c>
      <c r="I136" s="468">
        <v>133.33000000000001</v>
      </c>
      <c r="J136" s="464">
        <v>1.3333000000000002</v>
      </c>
      <c r="K136" s="464">
        <v>33.332500000000003</v>
      </c>
      <c r="L136" s="468">
        <v>3</v>
      </c>
      <c r="M136" s="468">
        <v>100</v>
      </c>
      <c r="N136" s="464">
        <v>1</v>
      </c>
      <c r="O136" s="464">
        <v>33.333333333333336</v>
      </c>
      <c r="P136" s="468"/>
      <c r="Q136" s="468"/>
      <c r="R136" s="491"/>
      <c r="S136" s="469"/>
    </row>
    <row r="137" spans="1:19" ht="14.4" customHeight="1" x14ac:dyDescent="0.3">
      <c r="A137" s="463"/>
      <c r="B137" s="464" t="s">
        <v>938</v>
      </c>
      <c r="C137" s="464" t="s">
        <v>931</v>
      </c>
      <c r="D137" s="464" t="s">
        <v>929</v>
      </c>
      <c r="E137" s="464" t="s">
        <v>986</v>
      </c>
      <c r="F137" s="464" t="s">
        <v>1035</v>
      </c>
      <c r="G137" s="464" t="s">
        <v>1036</v>
      </c>
      <c r="H137" s="468">
        <v>66</v>
      </c>
      <c r="I137" s="468">
        <v>30066.670000000002</v>
      </c>
      <c r="J137" s="464">
        <v>1.1186440993266558</v>
      </c>
      <c r="K137" s="464">
        <v>455.55560606060607</v>
      </c>
      <c r="L137" s="468">
        <v>59</v>
      </c>
      <c r="M137" s="468">
        <v>26877.78</v>
      </c>
      <c r="N137" s="464">
        <v>1</v>
      </c>
      <c r="O137" s="464">
        <v>455.55559322033895</v>
      </c>
      <c r="P137" s="468">
        <v>64</v>
      </c>
      <c r="Q137" s="468">
        <v>29155.550000000003</v>
      </c>
      <c r="R137" s="491">
        <v>1.0847454663294367</v>
      </c>
      <c r="S137" s="469">
        <v>455.55546875000005</v>
      </c>
    </row>
    <row r="138" spans="1:19" ht="14.4" customHeight="1" x14ac:dyDescent="0.3">
      <c r="A138" s="463"/>
      <c r="B138" s="464" t="s">
        <v>938</v>
      </c>
      <c r="C138" s="464" t="s">
        <v>931</v>
      </c>
      <c r="D138" s="464" t="s">
        <v>929</v>
      </c>
      <c r="E138" s="464" t="s">
        <v>986</v>
      </c>
      <c r="F138" s="464" t="s">
        <v>1035</v>
      </c>
      <c r="G138" s="464" t="s">
        <v>1037</v>
      </c>
      <c r="H138" s="468">
        <v>94</v>
      </c>
      <c r="I138" s="468">
        <v>42822.210000000006</v>
      </c>
      <c r="J138" s="464">
        <v>1.2533332201625795</v>
      </c>
      <c r="K138" s="464">
        <v>455.55542553191498</v>
      </c>
      <c r="L138" s="468">
        <v>75</v>
      </c>
      <c r="M138" s="468">
        <v>34166.660000000003</v>
      </c>
      <c r="N138" s="464">
        <v>1</v>
      </c>
      <c r="O138" s="464">
        <v>455.55546666666669</v>
      </c>
      <c r="P138" s="468">
        <v>88</v>
      </c>
      <c r="Q138" s="468">
        <v>40088.89</v>
      </c>
      <c r="R138" s="491">
        <v>1.1733335947967989</v>
      </c>
      <c r="S138" s="469">
        <v>455.55556818181816</v>
      </c>
    </row>
    <row r="139" spans="1:19" ht="14.4" customHeight="1" x14ac:dyDescent="0.3">
      <c r="A139" s="463"/>
      <c r="B139" s="464" t="s">
        <v>938</v>
      </c>
      <c r="C139" s="464" t="s">
        <v>931</v>
      </c>
      <c r="D139" s="464" t="s">
        <v>929</v>
      </c>
      <c r="E139" s="464" t="s">
        <v>986</v>
      </c>
      <c r="F139" s="464" t="s">
        <v>1038</v>
      </c>
      <c r="G139" s="464" t="s">
        <v>1039</v>
      </c>
      <c r="H139" s="468">
        <v>143</v>
      </c>
      <c r="I139" s="468">
        <v>11122.23</v>
      </c>
      <c r="J139" s="464">
        <v>1.2767867699983124</v>
      </c>
      <c r="K139" s="464">
        <v>77.777832167832159</v>
      </c>
      <c r="L139" s="468">
        <v>112</v>
      </c>
      <c r="M139" s="468">
        <v>8711.11</v>
      </c>
      <c r="N139" s="464">
        <v>1</v>
      </c>
      <c r="O139" s="464">
        <v>77.777767857142862</v>
      </c>
      <c r="P139" s="468">
        <v>103</v>
      </c>
      <c r="Q139" s="468">
        <v>8011.1100000000006</v>
      </c>
      <c r="R139" s="491">
        <v>0.91964284689322029</v>
      </c>
      <c r="S139" s="469">
        <v>77.777766990291269</v>
      </c>
    </row>
    <row r="140" spans="1:19" ht="14.4" customHeight="1" x14ac:dyDescent="0.3">
      <c r="A140" s="463"/>
      <c r="B140" s="464" t="s">
        <v>938</v>
      </c>
      <c r="C140" s="464" t="s">
        <v>931</v>
      </c>
      <c r="D140" s="464" t="s">
        <v>929</v>
      </c>
      <c r="E140" s="464" t="s">
        <v>986</v>
      </c>
      <c r="F140" s="464" t="s">
        <v>1038</v>
      </c>
      <c r="G140" s="464" t="s">
        <v>1040</v>
      </c>
      <c r="H140" s="468">
        <v>3</v>
      </c>
      <c r="I140" s="468">
        <v>233.33</v>
      </c>
      <c r="J140" s="464">
        <v>2.999871432244793</v>
      </c>
      <c r="K140" s="464">
        <v>77.776666666666671</v>
      </c>
      <c r="L140" s="468">
        <v>1</v>
      </c>
      <c r="M140" s="468">
        <v>77.78</v>
      </c>
      <c r="N140" s="464">
        <v>1</v>
      </c>
      <c r="O140" s="464">
        <v>77.78</v>
      </c>
      <c r="P140" s="468">
        <v>5</v>
      </c>
      <c r="Q140" s="468">
        <v>388.89</v>
      </c>
      <c r="R140" s="491">
        <v>4.9998714322447926</v>
      </c>
      <c r="S140" s="469">
        <v>77.777999999999992</v>
      </c>
    </row>
    <row r="141" spans="1:19" ht="14.4" customHeight="1" x14ac:dyDescent="0.3">
      <c r="A141" s="463"/>
      <c r="B141" s="464" t="s">
        <v>938</v>
      </c>
      <c r="C141" s="464" t="s">
        <v>931</v>
      </c>
      <c r="D141" s="464" t="s">
        <v>929</v>
      </c>
      <c r="E141" s="464" t="s">
        <v>986</v>
      </c>
      <c r="F141" s="464" t="s">
        <v>1041</v>
      </c>
      <c r="G141" s="464" t="s">
        <v>1042</v>
      </c>
      <c r="H141" s="468">
        <v>1</v>
      </c>
      <c r="I141" s="468">
        <v>270</v>
      </c>
      <c r="J141" s="464"/>
      <c r="K141" s="464">
        <v>270</v>
      </c>
      <c r="L141" s="468"/>
      <c r="M141" s="468"/>
      <c r="N141" s="464"/>
      <c r="O141" s="464"/>
      <c r="P141" s="468"/>
      <c r="Q141" s="468"/>
      <c r="R141" s="491"/>
      <c r="S141" s="469"/>
    </row>
    <row r="142" spans="1:19" ht="14.4" customHeight="1" x14ac:dyDescent="0.3">
      <c r="A142" s="463"/>
      <c r="B142" s="464" t="s">
        <v>938</v>
      </c>
      <c r="C142" s="464" t="s">
        <v>931</v>
      </c>
      <c r="D142" s="464" t="s">
        <v>929</v>
      </c>
      <c r="E142" s="464" t="s">
        <v>986</v>
      </c>
      <c r="F142" s="464" t="s">
        <v>1041</v>
      </c>
      <c r="G142" s="464" t="s">
        <v>1072</v>
      </c>
      <c r="H142" s="468">
        <v>2</v>
      </c>
      <c r="I142" s="468">
        <v>540</v>
      </c>
      <c r="J142" s="464"/>
      <c r="K142" s="464">
        <v>270</v>
      </c>
      <c r="L142" s="468"/>
      <c r="M142" s="468"/>
      <c r="N142" s="464"/>
      <c r="O142" s="464"/>
      <c r="P142" s="468"/>
      <c r="Q142" s="468"/>
      <c r="R142" s="491"/>
      <c r="S142" s="469"/>
    </row>
    <row r="143" spans="1:19" ht="14.4" customHeight="1" x14ac:dyDescent="0.3">
      <c r="A143" s="463"/>
      <c r="B143" s="464" t="s">
        <v>938</v>
      </c>
      <c r="C143" s="464" t="s">
        <v>931</v>
      </c>
      <c r="D143" s="464" t="s">
        <v>929</v>
      </c>
      <c r="E143" s="464" t="s">
        <v>986</v>
      </c>
      <c r="F143" s="464" t="s">
        <v>1043</v>
      </c>
      <c r="G143" s="464" t="s">
        <v>1044</v>
      </c>
      <c r="H143" s="468">
        <v>90</v>
      </c>
      <c r="I143" s="468">
        <v>8500</v>
      </c>
      <c r="J143" s="464">
        <v>1.2676066840154798</v>
      </c>
      <c r="K143" s="464">
        <v>94.444444444444443</v>
      </c>
      <c r="L143" s="468">
        <v>71</v>
      </c>
      <c r="M143" s="468">
        <v>6705.5499999999993</v>
      </c>
      <c r="N143" s="464">
        <v>1</v>
      </c>
      <c r="O143" s="464">
        <v>94.444366197183086</v>
      </c>
      <c r="P143" s="468">
        <v>133</v>
      </c>
      <c r="Q143" s="468">
        <v>12561.11</v>
      </c>
      <c r="R143" s="491">
        <v>1.8732408229004336</v>
      </c>
      <c r="S143" s="469">
        <v>94.444436090225565</v>
      </c>
    </row>
    <row r="144" spans="1:19" ht="14.4" customHeight="1" x14ac:dyDescent="0.3">
      <c r="A144" s="463"/>
      <c r="B144" s="464" t="s">
        <v>938</v>
      </c>
      <c r="C144" s="464" t="s">
        <v>931</v>
      </c>
      <c r="D144" s="464" t="s">
        <v>929</v>
      </c>
      <c r="E144" s="464" t="s">
        <v>986</v>
      </c>
      <c r="F144" s="464" t="s">
        <v>1043</v>
      </c>
      <c r="G144" s="464" t="s">
        <v>1045</v>
      </c>
      <c r="H144" s="468">
        <v>138</v>
      </c>
      <c r="I144" s="468">
        <v>13033.35</v>
      </c>
      <c r="J144" s="464">
        <v>1.3018873013209313</v>
      </c>
      <c r="K144" s="464">
        <v>94.4445652173913</v>
      </c>
      <c r="L144" s="468">
        <v>106</v>
      </c>
      <c r="M144" s="468">
        <v>10011.119999999999</v>
      </c>
      <c r="N144" s="464">
        <v>1</v>
      </c>
      <c r="O144" s="464">
        <v>94.444528301886777</v>
      </c>
      <c r="P144" s="468">
        <v>155</v>
      </c>
      <c r="Q144" s="468">
        <v>14638.89</v>
      </c>
      <c r="R144" s="491">
        <v>1.4622629635844941</v>
      </c>
      <c r="S144" s="469">
        <v>94.444451612903222</v>
      </c>
    </row>
    <row r="145" spans="1:19" ht="14.4" customHeight="1" x14ac:dyDescent="0.3">
      <c r="A145" s="463"/>
      <c r="B145" s="464" t="s">
        <v>938</v>
      </c>
      <c r="C145" s="464" t="s">
        <v>931</v>
      </c>
      <c r="D145" s="464" t="s">
        <v>929</v>
      </c>
      <c r="E145" s="464" t="s">
        <v>986</v>
      </c>
      <c r="F145" s="464" t="s">
        <v>1073</v>
      </c>
      <c r="G145" s="464" t="s">
        <v>1074</v>
      </c>
      <c r="H145" s="468"/>
      <c r="I145" s="468"/>
      <c r="J145" s="464"/>
      <c r="K145" s="464"/>
      <c r="L145" s="468"/>
      <c r="M145" s="468"/>
      <c r="N145" s="464"/>
      <c r="O145" s="464"/>
      <c r="P145" s="468">
        <v>1</v>
      </c>
      <c r="Q145" s="468">
        <v>96.67</v>
      </c>
      <c r="R145" s="491"/>
      <c r="S145" s="469">
        <v>96.67</v>
      </c>
    </row>
    <row r="146" spans="1:19" ht="14.4" customHeight="1" x14ac:dyDescent="0.3">
      <c r="A146" s="463"/>
      <c r="B146" s="464" t="s">
        <v>938</v>
      </c>
      <c r="C146" s="464" t="s">
        <v>931</v>
      </c>
      <c r="D146" s="464" t="s">
        <v>929</v>
      </c>
      <c r="E146" s="464" t="s">
        <v>986</v>
      </c>
      <c r="F146" s="464" t="s">
        <v>1049</v>
      </c>
      <c r="G146" s="464" t="s">
        <v>1050</v>
      </c>
      <c r="H146" s="468"/>
      <c r="I146" s="468"/>
      <c r="J146" s="464"/>
      <c r="K146" s="464"/>
      <c r="L146" s="468"/>
      <c r="M146" s="468"/>
      <c r="N146" s="464"/>
      <c r="O146" s="464"/>
      <c r="P146" s="468">
        <v>1</v>
      </c>
      <c r="Q146" s="468">
        <v>433.33</v>
      </c>
      <c r="R146" s="491"/>
      <c r="S146" s="469">
        <v>433.33</v>
      </c>
    </row>
    <row r="147" spans="1:19" ht="14.4" customHeight="1" x14ac:dyDescent="0.3">
      <c r="A147" s="463"/>
      <c r="B147" s="464" t="s">
        <v>938</v>
      </c>
      <c r="C147" s="464" t="s">
        <v>931</v>
      </c>
      <c r="D147" s="464" t="s">
        <v>929</v>
      </c>
      <c r="E147" s="464" t="s">
        <v>986</v>
      </c>
      <c r="F147" s="464" t="s">
        <v>1075</v>
      </c>
      <c r="G147" s="464" t="s">
        <v>1076</v>
      </c>
      <c r="H147" s="468"/>
      <c r="I147" s="468"/>
      <c r="J147" s="464"/>
      <c r="K147" s="464"/>
      <c r="L147" s="468"/>
      <c r="M147" s="468"/>
      <c r="N147" s="464"/>
      <c r="O147" s="464"/>
      <c r="P147" s="468">
        <v>3</v>
      </c>
      <c r="Q147" s="468">
        <v>226.67000000000002</v>
      </c>
      <c r="R147" s="491"/>
      <c r="S147" s="469">
        <v>75.556666666666672</v>
      </c>
    </row>
    <row r="148" spans="1:19" ht="14.4" customHeight="1" x14ac:dyDescent="0.3">
      <c r="A148" s="463"/>
      <c r="B148" s="464" t="s">
        <v>938</v>
      </c>
      <c r="C148" s="464" t="s">
        <v>931</v>
      </c>
      <c r="D148" s="464" t="s">
        <v>929</v>
      </c>
      <c r="E148" s="464" t="s">
        <v>986</v>
      </c>
      <c r="F148" s="464" t="s">
        <v>1052</v>
      </c>
      <c r="G148" s="464" t="s">
        <v>1053</v>
      </c>
      <c r="H148" s="468"/>
      <c r="I148" s="468"/>
      <c r="J148" s="464"/>
      <c r="K148" s="464"/>
      <c r="L148" s="468">
        <v>2</v>
      </c>
      <c r="M148" s="468">
        <v>233.33</v>
      </c>
      <c r="N148" s="464">
        <v>1</v>
      </c>
      <c r="O148" s="464">
        <v>116.66500000000001</v>
      </c>
      <c r="P148" s="468"/>
      <c r="Q148" s="468"/>
      <c r="R148" s="491"/>
      <c r="S148" s="469"/>
    </row>
    <row r="149" spans="1:19" ht="14.4" customHeight="1" x14ac:dyDescent="0.3">
      <c r="A149" s="463"/>
      <c r="B149" s="464" t="s">
        <v>938</v>
      </c>
      <c r="C149" s="464" t="s">
        <v>931</v>
      </c>
      <c r="D149" s="464" t="s">
        <v>929</v>
      </c>
      <c r="E149" s="464" t="s">
        <v>986</v>
      </c>
      <c r="F149" s="464" t="s">
        <v>1052</v>
      </c>
      <c r="G149" s="464" t="s">
        <v>1054</v>
      </c>
      <c r="H149" s="468">
        <v>4</v>
      </c>
      <c r="I149" s="468">
        <v>466.66</v>
      </c>
      <c r="J149" s="464">
        <v>3.999828576326391</v>
      </c>
      <c r="K149" s="464">
        <v>116.66500000000001</v>
      </c>
      <c r="L149" s="468">
        <v>1</v>
      </c>
      <c r="M149" s="468">
        <v>116.67</v>
      </c>
      <c r="N149" s="464">
        <v>1</v>
      </c>
      <c r="O149" s="464">
        <v>116.67</v>
      </c>
      <c r="P149" s="468">
        <v>5</v>
      </c>
      <c r="Q149" s="468">
        <v>583.33000000000004</v>
      </c>
      <c r="R149" s="491">
        <v>4.999828576326391</v>
      </c>
      <c r="S149" s="469">
        <v>116.66600000000001</v>
      </c>
    </row>
    <row r="150" spans="1:19" ht="14.4" customHeight="1" x14ac:dyDescent="0.3">
      <c r="A150" s="463"/>
      <c r="B150" s="464" t="s">
        <v>938</v>
      </c>
      <c r="C150" s="464" t="s">
        <v>931</v>
      </c>
      <c r="D150" s="464" t="s">
        <v>929</v>
      </c>
      <c r="E150" s="464" t="s">
        <v>986</v>
      </c>
      <c r="F150" s="464" t="s">
        <v>1055</v>
      </c>
      <c r="G150" s="464" t="s">
        <v>1056</v>
      </c>
      <c r="H150" s="468"/>
      <c r="I150" s="468"/>
      <c r="J150" s="464"/>
      <c r="K150" s="464"/>
      <c r="L150" s="468">
        <v>1</v>
      </c>
      <c r="M150" s="468">
        <v>48.89</v>
      </c>
      <c r="N150" s="464">
        <v>1</v>
      </c>
      <c r="O150" s="464">
        <v>48.89</v>
      </c>
      <c r="P150" s="468"/>
      <c r="Q150" s="468"/>
      <c r="R150" s="491"/>
      <c r="S150" s="469"/>
    </row>
    <row r="151" spans="1:19" ht="14.4" customHeight="1" x14ac:dyDescent="0.3">
      <c r="A151" s="463"/>
      <c r="B151" s="464" t="s">
        <v>938</v>
      </c>
      <c r="C151" s="464" t="s">
        <v>931</v>
      </c>
      <c r="D151" s="464" t="s">
        <v>929</v>
      </c>
      <c r="E151" s="464" t="s">
        <v>986</v>
      </c>
      <c r="F151" s="464" t="s">
        <v>1055</v>
      </c>
      <c r="G151" s="464" t="s">
        <v>1057</v>
      </c>
      <c r="H151" s="468">
        <v>3</v>
      </c>
      <c r="I151" s="468">
        <v>146.66999999999999</v>
      </c>
      <c r="J151" s="464">
        <v>0.37500958809542068</v>
      </c>
      <c r="K151" s="464">
        <v>48.889999999999993</v>
      </c>
      <c r="L151" s="468">
        <v>8</v>
      </c>
      <c r="M151" s="468">
        <v>391.11</v>
      </c>
      <c r="N151" s="464">
        <v>1</v>
      </c>
      <c r="O151" s="464">
        <v>48.888750000000002</v>
      </c>
      <c r="P151" s="468">
        <v>4</v>
      </c>
      <c r="Q151" s="468">
        <v>195.56</v>
      </c>
      <c r="R151" s="491">
        <v>0.50001278412722761</v>
      </c>
      <c r="S151" s="469">
        <v>48.89</v>
      </c>
    </row>
    <row r="152" spans="1:19" ht="14.4" customHeight="1" x14ac:dyDescent="0.3">
      <c r="A152" s="463"/>
      <c r="B152" s="464" t="s">
        <v>938</v>
      </c>
      <c r="C152" s="464" t="s">
        <v>931</v>
      </c>
      <c r="D152" s="464" t="s">
        <v>929</v>
      </c>
      <c r="E152" s="464" t="s">
        <v>986</v>
      </c>
      <c r="F152" s="464" t="s">
        <v>1060</v>
      </c>
      <c r="G152" s="464" t="s">
        <v>1061</v>
      </c>
      <c r="H152" s="468">
        <v>1</v>
      </c>
      <c r="I152" s="468">
        <v>292.22000000000003</v>
      </c>
      <c r="J152" s="464">
        <v>1</v>
      </c>
      <c r="K152" s="464">
        <v>292.22000000000003</v>
      </c>
      <c r="L152" s="468">
        <v>1</v>
      </c>
      <c r="M152" s="468">
        <v>292.22000000000003</v>
      </c>
      <c r="N152" s="464">
        <v>1</v>
      </c>
      <c r="O152" s="464">
        <v>292.22000000000003</v>
      </c>
      <c r="P152" s="468"/>
      <c r="Q152" s="468"/>
      <c r="R152" s="491"/>
      <c r="S152" s="469"/>
    </row>
    <row r="153" spans="1:19" ht="14.4" customHeight="1" x14ac:dyDescent="0.3">
      <c r="A153" s="463"/>
      <c r="B153" s="464" t="s">
        <v>938</v>
      </c>
      <c r="C153" s="464" t="s">
        <v>931</v>
      </c>
      <c r="D153" s="464" t="s">
        <v>929</v>
      </c>
      <c r="E153" s="464" t="s">
        <v>986</v>
      </c>
      <c r="F153" s="464" t="s">
        <v>1060</v>
      </c>
      <c r="G153" s="464" t="s">
        <v>1077</v>
      </c>
      <c r="H153" s="468"/>
      <c r="I153" s="468"/>
      <c r="J153" s="464"/>
      <c r="K153" s="464"/>
      <c r="L153" s="468">
        <v>1</v>
      </c>
      <c r="M153" s="468">
        <v>292.22000000000003</v>
      </c>
      <c r="N153" s="464">
        <v>1</v>
      </c>
      <c r="O153" s="464">
        <v>292.22000000000003</v>
      </c>
      <c r="P153" s="468"/>
      <c r="Q153" s="468"/>
      <c r="R153" s="491"/>
      <c r="S153" s="469"/>
    </row>
    <row r="154" spans="1:19" ht="14.4" customHeight="1" x14ac:dyDescent="0.3">
      <c r="A154" s="463"/>
      <c r="B154" s="464" t="s">
        <v>938</v>
      </c>
      <c r="C154" s="464" t="s">
        <v>931</v>
      </c>
      <c r="D154" s="464" t="s">
        <v>929</v>
      </c>
      <c r="E154" s="464" t="s">
        <v>986</v>
      </c>
      <c r="F154" s="464" t="s">
        <v>1078</v>
      </c>
      <c r="G154" s="464" t="s">
        <v>1079</v>
      </c>
      <c r="H154" s="468"/>
      <c r="I154" s="468"/>
      <c r="J154" s="464"/>
      <c r="K154" s="464"/>
      <c r="L154" s="468"/>
      <c r="M154" s="468"/>
      <c r="N154" s="464"/>
      <c r="O154" s="464"/>
      <c r="P154" s="468">
        <v>3</v>
      </c>
      <c r="Q154" s="468">
        <v>1076.67</v>
      </c>
      <c r="R154" s="491"/>
      <c r="S154" s="469">
        <v>358.89000000000004</v>
      </c>
    </row>
    <row r="155" spans="1:19" ht="14.4" customHeight="1" x14ac:dyDescent="0.3">
      <c r="A155" s="463"/>
      <c r="B155" s="464" t="s">
        <v>938</v>
      </c>
      <c r="C155" s="464" t="s">
        <v>931</v>
      </c>
      <c r="D155" s="464" t="s">
        <v>929</v>
      </c>
      <c r="E155" s="464" t="s">
        <v>986</v>
      </c>
      <c r="F155" s="464" t="s">
        <v>1080</v>
      </c>
      <c r="G155" s="464" t="s">
        <v>1081</v>
      </c>
      <c r="H155" s="468"/>
      <c r="I155" s="468"/>
      <c r="J155" s="464"/>
      <c r="K155" s="464"/>
      <c r="L155" s="468"/>
      <c r="M155" s="468"/>
      <c r="N155" s="464"/>
      <c r="O155" s="464"/>
      <c r="P155" s="468">
        <v>1</v>
      </c>
      <c r="Q155" s="468">
        <v>550</v>
      </c>
      <c r="R155" s="491"/>
      <c r="S155" s="469">
        <v>550</v>
      </c>
    </row>
    <row r="156" spans="1:19" ht="14.4" customHeight="1" x14ac:dyDescent="0.3">
      <c r="A156" s="463"/>
      <c r="B156" s="464" t="s">
        <v>938</v>
      </c>
      <c r="C156" s="464" t="s">
        <v>932</v>
      </c>
      <c r="D156" s="464" t="s">
        <v>929</v>
      </c>
      <c r="E156" s="464" t="s">
        <v>939</v>
      </c>
      <c r="F156" s="464" t="s">
        <v>1082</v>
      </c>
      <c r="G156" s="464"/>
      <c r="H156" s="468"/>
      <c r="I156" s="468"/>
      <c r="J156" s="464"/>
      <c r="K156" s="464"/>
      <c r="L156" s="468">
        <v>1</v>
      </c>
      <c r="M156" s="468">
        <v>1657</v>
      </c>
      <c r="N156" s="464">
        <v>1</v>
      </c>
      <c r="O156" s="464">
        <v>1657</v>
      </c>
      <c r="P156" s="468">
        <v>1</v>
      </c>
      <c r="Q156" s="468">
        <v>1657</v>
      </c>
      <c r="R156" s="491">
        <v>1</v>
      </c>
      <c r="S156" s="469">
        <v>1657</v>
      </c>
    </row>
    <row r="157" spans="1:19" ht="14.4" customHeight="1" x14ac:dyDescent="0.3">
      <c r="A157" s="463"/>
      <c r="B157" s="464" t="s">
        <v>938</v>
      </c>
      <c r="C157" s="464" t="s">
        <v>932</v>
      </c>
      <c r="D157" s="464" t="s">
        <v>929</v>
      </c>
      <c r="E157" s="464" t="s">
        <v>939</v>
      </c>
      <c r="F157" s="464" t="s">
        <v>1083</v>
      </c>
      <c r="G157" s="464"/>
      <c r="H157" s="468"/>
      <c r="I157" s="468"/>
      <c r="J157" s="464"/>
      <c r="K157" s="464"/>
      <c r="L157" s="468"/>
      <c r="M157" s="468"/>
      <c r="N157" s="464"/>
      <c r="O157" s="464"/>
      <c r="P157" s="468">
        <v>1</v>
      </c>
      <c r="Q157" s="468">
        <v>1179</v>
      </c>
      <c r="R157" s="491"/>
      <c r="S157" s="469">
        <v>1179</v>
      </c>
    </row>
    <row r="158" spans="1:19" ht="14.4" customHeight="1" x14ac:dyDescent="0.3">
      <c r="A158" s="463"/>
      <c r="B158" s="464" t="s">
        <v>938</v>
      </c>
      <c r="C158" s="464" t="s">
        <v>932</v>
      </c>
      <c r="D158" s="464" t="s">
        <v>929</v>
      </c>
      <c r="E158" s="464" t="s">
        <v>939</v>
      </c>
      <c r="F158" s="464" t="s">
        <v>1084</v>
      </c>
      <c r="G158" s="464"/>
      <c r="H158" s="468"/>
      <c r="I158" s="468"/>
      <c r="J158" s="464"/>
      <c r="K158" s="464"/>
      <c r="L158" s="468">
        <v>1</v>
      </c>
      <c r="M158" s="468">
        <v>1281</v>
      </c>
      <c r="N158" s="464">
        <v>1</v>
      </c>
      <c r="O158" s="464">
        <v>1281</v>
      </c>
      <c r="P158" s="468"/>
      <c r="Q158" s="468"/>
      <c r="R158" s="491"/>
      <c r="S158" s="469"/>
    </row>
    <row r="159" spans="1:19" ht="14.4" customHeight="1" x14ac:dyDescent="0.3">
      <c r="A159" s="463"/>
      <c r="B159" s="464" t="s">
        <v>938</v>
      </c>
      <c r="C159" s="464" t="s">
        <v>932</v>
      </c>
      <c r="D159" s="464" t="s">
        <v>929</v>
      </c>
      <c r="E159" s="464" t="s">
        <v>939</v>
      </c>
      <c r="F159" s="464" t="s">
        <v>943</v>
      </c>
      <c r="G159" s="464"/>
      <c r="H159" s="468"/>
      <c r="I159" s="468"/>
      <c r="J159" s="464"/>
      <c r="K159" s="464"/>
      <c r="L159" s="468">
        <v>1</v>
      </c>
      <c r="M159" s="468">
        <v>219</v>
      </c>
      <c r="N159" s="464">
        <v>1</v>
      </c>
      <c r="O159" s="464">
        <v>219</v>
      </c>
      <c r="P159" s="468"/>
      <c r="Q159" s="468"/>
      <c r="R159" s="491"/>
      <c r="S159" s="469"/>
    </row>
    <row r="160" spans="1:19" ht="14.4" customHeight="1" x14ac:dyDescent="0.3">
      <c r="A160" s="463"/>
      <c r="B160" s="464" t="s">
        <v>938</v>
      </c>
      <c r="C160" s="464" t="s">
        <v>932</v>
      </c>
      <c r="D160" s="464" t="s">
        <v>929</v>
      </c>
      <c r="E160" s="464" t="s">
        <v>939</v>
      </c>
      <c r="F160" s="464" t="s">
        <v>964</v>
      </c>
      <c r="G160" s="464"/>
      <c r="H160" s="468"/>
      <c r="I160" s="468"/>
      <c r="J160" s="464"/>
      <c r="K160" s="464"/>
      <c r="L160" s="468">
        <v>1</v>
      </c>
      <c r="M160" s="468">
        <v>2000</v>
      </c>
      <c r="N160" s="464">
        <v>1</v>
      </c>
      <c r="O160" s="464">
        <v>2000</v>
      </c>
      <c r="P160" s="468"/>
      <c r="Q160" s="468"/>
      <c r="R160" s="491"/>
      <c r="S160" s="469"/>
    </row>
    <row r="161" spans="1:19" ht="14.4" customHeight="1" x14ac:dyDescent="0.3">
      <c r="A161" s="463"/>
      <c r="B161" s="464" t="s">
        <v>938</v>
      </c>
      <c r="C161" s="464" t="s">
        <v>932</v>
      </c>
      <c r="D161" s="464" t="s">
        <v>929</v>
      </c>
      <c r="E161" s="464" t="s">
        <v>986</v>
      </c>
      <c r="F161" s="464" t="s">
        <v>987</v>
      </c>
      <c r="G161" s="464" t="s">
        <v>1067</v>
      </c>
      <c r="H161" s="468"/>
      <c r="I161" s="468"/>
      <c r="J161" s="464"/>
      <c r="K161" s="464"/>
      <c r="L161" s="468">
        <v>2</v>
      </c>
      <c r="M161" s="468">
        <v>1017.78</v>
      </c>
      <c r="N161" s="464">
        <v>1</v>
      </c>
      <c r="O161" s="464">
        <v>508.89</v>
      </c>
      <c r="P161" s="468">
        <v>1</v>
      </c>
      <c r="Q161" s="468">
        <v>508.89</v>
      </c>
      <c r="R161" s="491">
        <v>0.5</v>
      </c>
      <c r="S161" s="469">
        <v>508.89</v>
      </c>
    </row>
    <row r="162" spans="1:19" ht="14.4" customHeight="1" x14ac:dyDescent="0.3">
      <c r="A162" s="463"/>
      <c r="B162" s="464" t="s">
        <v>938</v>
      </c>
      <c r="C162" s="464" t="s">
        <v>932</v>
      </c>
      <c r="D162" s="464" t="s">
        <v>929</v>
      </c>
      <c r="E162" s="464" t="s">
        <v>986</v>
      </c>
      <c r="F162" s="464" t="s">
        <v>987</v>
      </c>
      <c r="G162" s="464" t="s">
        <v>988</v>
      </c>
      <c r="H162" s="468">
        <v>20</v>
      </c>
      <c r="I162" s="468">
        <v>9511.11</v>
      </c>
      <c r="J162" s="464">
        <v>1.2459958550254542</v>
      </c>
      <c r="K162" s="464">
        <v>475.55550000000005</v>
      </c>
      <c r="L162" s="468">
        <v>15</v>
      </c>
      <c r="M162" s="468">
        <v>7633.34</v>
      </c>
      <c r="N162" s="464">
        <v>1</v>
      </c>
      <c r="O162" s="464">
        <v>508.88933333333335</v>
      </c>
      <c r="P162" s="468">
        <v>6</v>
      </c>
      <c r="Q162" s="468">
        <v>3053.3399999999997</v>
      </c>
      <c r="R162" s="491">
        <v>0.40000052401700953</v>
      </c>
      <c r="S162" s="469">
        <v>508.88999999999993</v>
      </c>
    </row>
    <row r="163" spans="1:19" ht="14.4" customHeight="1" x14ac:dyDescent="0.3">
      <c r="A163" s="463"/>
      <c r="B163" s="464" t="s">
        <v>938</v>
      </c>
      <c r="C163" s="464" t="s">
        <v>932</v>
      </c>
      <c r="D163" s="464" t="s">
        <v>929</v>
      </c>
      <c r="E163" s="464" t="s">
        <v>986</v>
      </c>
      <c r="F163" s="464" t="s">
        <v>989</v>
      </c>
      <c r="G163" s="464" t="s">
        <v>990</v>
      </c>
      <c r="H163" s="468">
        <v>17</v>
      </c>
      <c r="I163" s="468">
        <v>7744.45</v>
      </c>
      <c r="J163" s="464">
        <v>0.53410000000000002</v>
      </c>
      <c r="K163" s="464">
        <v>455.55588235294118</v>
      </c>
      <c r="L163" s="468">
        <v>29</v>
      </c>
      <c r="M163" s="468">
        <v>14500</v>
      </c>
      <c r="N163" s="464">
        <v>1</v>
      </c>
      <c r="O163" s="464">
        <v>500</v>
      </c>
      <c r="P163" s="468">
        <v>8</v>
      </c>
      <c r="Q163" s="468">
        <v>4000</v>
      </c>
      <c r="R163" s="491">
        <v>0.27586206896551724</v>
      </c>
      <c r="S163" s="469">
        <v>500</v>
      </c>
    </row>
    <row r="164" spans="1:19" ht="14.4" customHeight="1" x14ac:dyDescent="0.3">
      <c r="A164" s="463"/>
      <c r="B164" s="464" t="s">
        <v>938</v>
      </c>
      <c r="C164" s="464" t="s">
        <v>932</v>
      </c>
      <c r="D164" s="464" t="s">
        <v>929</v>
      </c>
      <c r="E164" s="464" t="s">
        <v>986</v>
      </c>
      <c r="F164" s="464" t="s">
        <v>989</v>
      </c>
      <c r="G164" s="464" t="s">
        <v>991</v>
      </c>
      <c r="H164" s="468">
        <v>44</v>
      </c>
      <c r="I164" s="468">
        <v>20044.45</v>
      </c>
      <c r="J164" s="464">
        <v>3.0837615384615384</v>
      </c>
      <c r="K164" s="464">
        <v>455.55568181818182</v>
      </c>
      <c r="L164" s="468">
        <v>13</v>
      </c>
      <c r="M164" s="468">
        <v>6500</v>
      </c>
      <c r="N164" s="464">
        <v>1</v>
      </c>
      <c r="O164" s="464">
        <v>500</v>
      </c>
      <c r="P164" s="468">
        <v>18</v>
      </c>
      <c r="Q164" s="468">
        <v>9000</v>
      </c>
      <c r="R164" s="491">
        <v>1.3846153846153846</v>
      </c>
      <c r="S164" s="469">
        <v>500</v>
      </c>
    </row>
    <row r="165" spans="1:19" ht="14.4" customHeight="1" x14ac:dyDescent="0.3">
      <c r="A165" s="463"/>
      <c r="B165" s="464" t="s">
        <v>938</v>
      </c>
      <c r="C165" s="464" t="s">
        <v>932</v>
      </c>
      <c r="D165" s="464" t="s">
        <v>929</v>
      </c>
      <c r="E165" s="464" t="s">
        <v>986</v>
      </c>
      <c r="F165" s="464" t="s">
        <v>1068</v>
      </c>
      <c r="G165" s="464" t="s">
        <v>1069</v>
      </c>
      <c r="H165" s="468">
        <v>30</v>
      </c>
      <c r="I165" s="468">
        <v>3166.66</v>
      </c>
      <c r="J165" s="464">
        <v>0.57692279663610802</v>
      </c>
      <c r="K165" s="464">
        <v>105.55533333333332</v>
      </c>
      <c r="L165" s="468">
        <v>52</v>
      </c>
      <c r="M165" s="468">
        <v>5488.8799999999992</v>
      </c>
      <c r="N165" s="464">
        <v>1</v>
      </c>
      <c r="O165" s="464">
        <v>105.5553846153846</v>
      </c>
      <c r="P165" s="468">
        <v>52</v>
      </c>
      <c r="Q165" s="468">
        <v>5488.89</v>
      </c>
      <c r="R165" s="491">
        <v>1.0000018218652988</v>
      </c>
      <c r="S165" s="469">
        <v>105.55557692307693</v>
      </c>
    </row>
    <row r="166" spans="1:19" ht="14.4" customHeight="1" x14ac:dyDescent="0.3">
      <c r="A166" s="463"/>
      <c r="B166" s="464" t="s">
        <v>938</v>
      </c>
      <c r="C166" s="464" t="s">
        <v>932</v>
      </c>
      <c r="D166" s="464" t="s">
        <v>929</v>
      </c>
      <c r="E166" s="464" t="s">
        <v>986</v>
      </c>
      <c r="F166" s="464" t="s">
        <v>1068</v>
      </c>
      <c r="G166" s="464" t="s">
        <v>1070</v>
      </c>
      <c r="H166" s="468">
        <v>155</v>
      </c>
      <c r="I166" s="468">
        <v>16361.12</v>
      </c>
      <c r="J166" s="464">
        <v>1.1151079283789853</v>
      </c>
      <c r="K166" s="464">
        <v>105.55561290322581</v>
      </c>
      <c r="L166" s="468">
        <v>139</v>
      </c>
      <c r="M166" s="468">
        <v>14672.23</v>
      </c>
      <c r="N166" s="464">
        <v>1</v>
      </c>
      <c r="O166" s="464">
        <v>105.55561151079137</v>
      </c>
      <c r="P166" s="468">
        <v>106</v>
      </c>
      <c r="Q166" s="468">
        <v>11188.89</v>
      </c>
      <c r="R166" s="491">
        <v>0.76258959953599414</v>
      </c>
      <c r="S166" s="469">
        <v>105.55556603773584</v>
      </c>
    </row>
    <row r="167" spans="1:19" ht="14.4" customHeight="1" x14ac:dyDescent="0.3">
      <c r="A167" s="463"/>
      <c r="B167" s="464" t="s">
        <v>938</v>
      </c>
      <c r="C167" s="464" t="s">
        <v>932</v>
      </c>
      <c r="D167" s="464" t="s">
        <v>929</v>
      </c>
      <c r="E167" s="464" t="s">
        <v>986</v>
      </c>
      <c r="F167" s="464" t="s">
        <v>992</v>
      </c>
      <c r="G167" s="464" t="s">
        <v>1071</v>
      </c>
      <c r="H167" s="468"/>
      <c r="I167" s="468"/>
      <c r="J167" s="464"/>
      <c r="K167" s="464"/>
      <c r="L167" s="468">
        <v>8</v>
      </c>
      <c r="M167" s="468">
        <v>622.22</v>
      </c>
      <c r="N167" s="464">
        <v>1</v>
      </c>
      <c r="O167" s="464">
        <v>77.777500000000003</v>
      </c>
      <c r="P167" s="468">
        <v>4</v>
      </c>
      <c r="Q167" s="468">
        <v>311.11</v>
      </c>
      <c r="R167" s="491">
        <v>0.5</v>
      </c>
      <c r="S167" s="469">
        <v>77.777500000000003</v>
      </c>
    </row>
    <row r="168" spans="1:19" ht="14.4" customHeight="1" x14ac:dyDescent="0.3">
      <c r="A168" s="463"/>
      <c r="B168" s="464" t="s">
        <v>938</v>
      </c>
      <c r="C168" s="464" t="s">
        <v>932</v>
      </c>
      <c r="D168" s="464" t="s">
        <v>929</v>
      </c>
      <c r="E168" s="464" t="s">
        <v>986</v>
      </c>
      <c r="F168" s="464" t="s">
        <v>992</v>
      </c>
      <c r="G168" s="464" t="s">
        <v>993</v>
      </c>
      <c r="H168" s="468">
        <v>69</v>
      </c>
      <c r="I168" s="468">
        <v>5366.67</v>
      </c>
      <c r="J168" s="464">
        <v>0.58474662145597456</v>
      </c>
      <c r="K168" s="464">
        <v>77.777826086956523</v>
      </c>
      <c r="L168" s="468">
        <v>118</v>
      </c>
      <c r="M168" s="468">
        <v>9177.77</v>
      </c>
      <c r="N168" s="464">
        <v>1</v>
      </c>
      <c r="O168" s="464">
        <v>77.777711864406783</v>
      </c>
      <c r="P168" s="468">
        <v>132</v>
      </c>
      <c r="Q168" s="468">
        <v>10266.670000000002</v>
      </c>
      <c r="R168" s="491">
        <v>1.1186453789972948</v>
      </c>
      <c r="S168" s="469">
        <v>77.777803030303048</v>
      </c>
    </row>
    <row r="169" spans="1:19" ht="14.4" customHeight="1" x14ac:dyDescent="0.3">
      <c r="A169" s="463"/>
      <c r="B169" s="464" t="s">
        <v>938</v>
      </c>
      <c r="C169" s="464" t="s">
        <v>932</v>
      </c>
      <c r="D169" s="464" t="s">
        <v>929</v>
      </c>
      <c r="E169" s="464" t="s">
        <v>986</v>
      </c>
      <c r="F169" s="464" t="s">
        <v>999</v>
      </c>
      <c r="G169" s="464" t="s">
        <v>1000</v>
      </c>
      <c r="H169" s="468">
        <v>57</v>
      </c>
      <c r="I169" s="468">
        <v>6650</v>
      </c>
      <c r="J169" s="464">
        <v>0.62637342971006915</v>
      </c>
      <c r="K169" s="464">
        <v>116.66666666666667</v>
      </c>
      <c r="L169" s="468">
        <v>91</v>
      </c>
      <c r="M169" s="468">
        <v>10616.67</v>
      </c>
      <c r="N169" s="464">
        <v>1</v>
      </c>
      <c r="O169" s="464">
        <v>116.6667032967033</v>
      </c>
      <c r="P169" s="468">
        <v>98</v>
      </c>
      <c r="Q169" s="468">
        <v>11433.32</v>
      </c>
      <c r="R169" s="491">
        <v>1.0769214829131921</v>
      </c>
      <c r="S169" s="469">
        <v>116.6665306122449</v>
      </c>
    </row>
    <row r="170" spans="1:19" ht="14.4" customHeight="1" x14ac:dyDescent="0.3">
      <c r="A170" s="463"/>
      <c r="B170" s="464" t="s">
        <v>938</v>
      </c>
      <c r="C170" s="464" t="s">
        <v>932</v>
      </c>
      <c r="D170" s="464" t="s">
        <v>929</v>
      </c>
      <c r="E170" s="464" t="s">
        <v>986</v>
      </c>
      <c r="F170" s="464" t="s">
        <v>999</v>
      </c>
      <c r="G170" s="464" t="s">
        <v>1001</v>
      </c>
      <c r="H170" s="468">
        <v>4</v>
      </c>
      <c r="I170" s="468">
        <v>466.67</v>
      </c>
      <c r="J170" s="464">
        <v>1</v>
      </c>
      <c r="K170" s="464">
        <v>116.6675</v>
      </c>
      <c r="L170" s="468">
        <v>4</v>
      </c>
      <c r="M170" s="468">
        <v>466.67</v>
      </c>
      <c r="N170" s="464">
        <v>1</v>
      </c>
      <c r="O170" s="464">
        <v>116.6675</v>
      </c>
      <c r="P170" s="468">
        <v>3</v>
      </c>
      <c r="Q170" s="468">
        <v>350</v>
      </c>
      <c r="R170" s="491">
        <v>0.74999464289540785</v>
      </c>
      <c r="S170" s="469">
        <v>116.66666666666667</v>
      </c>
    </row>
    <row r="171" spans="1:19" ht="14.4" customHeight="1" x14ac:dyDescent="0.3">
      <c r="A171" s="463"/>
      <c r="B171" s="464" t="s">
        <v>938</v>
      </c>
      <c r="C171" s="464" t="s">
        <v>932</v>
      </c>
      <c r="D171" s="464" t="s">
        <v>929</v>
      </c>
      <c r="E171" s="464" t="s">
        <v>986</v>
      </c>
      <c r="F171" s="464" t="s">
        <v>1085</v>
      </c>
      <c r="G171" s="464" t="s">
        <v>1086</v>
      </c>
      <c r="H171" s="468">
        <v>2</v>
      </c>
      <c r="I171" s="468">
        <v>777.78</v>
      </c>
      <c r="J171" s="464">
        <v>0.25</v>
      </c>
      <c r="K171" s="464">
        <v>388.89</v>
      </c>
      <c r="L171" s="468">
        <v>8</v>
      </c>
      <c r="M171" s="468">
        <v>3111.12</v>
      </c>
      <c r="N171" s="464">
        <v>1</v>
      </c>
      <c r="O171" s="464">
        <v>388.89</v>
      </c>
      <c r="P171" s="468">
        <v>9</v>
      </c>
      <c r="Q171" s="468">
        <v>3500.0099999999998</v>
      </c>
      <c r="R171" s="491">
        <v>1.125</v>
      </c>
      <c r="S171" s="469">
        <v>388.89</v>
      </c>
    </row>
    <row r="172" spans="1:19" ht="14.4" customHeight="1" x14ac:dyDescent="0.3">
      <c r="A172" s="463"/>
      <c r="B172" s="464" t="s">
        <v>938</v>
      </c>
      <c r="C172" s="464" t="s">
        <v>932</v>
      </c>
      <c r="D172" s="464" t="s">
        <v>929</v>
      </c>
      <c r="E172" s="464" t="s">
        <v>986</v>
      </c>
      <c r="F172" s="464" t="s">
        <v>1085</v>
      </c>
      <c r="G172" s="464" t="s">
        <v>1087</v>
      </c>
      <c r="H172" s="468">
        <v>14</v>
      </c>
      <c r="I172" s="468">
        <v>5444.45</v>
      </c>
      <c r="J172" s="464">
        <v>0.82352914483476314</v>
      </c>
      <c r="K172" s="464">
        <v>388.88928571428568</v>
      </c>
      <c r="L172" s="468">
        <v>17</v>
      </c>
      <c r="M172" s="468">
        <v>6611.1200000000008</v>
      </c>
      <c r="N172" s="464">
        <v>1</v>
      </c>
      <c r="O172" s="464">
        <v>388.88941176470593</v>
      </c>
      <c r="P172" s="468">
        <v>6</v>
      </c>
      <c r="Q172" s="468">
        <v>2333.33</v>
      </c>
      <c r="R172" s="491">
        <v>0.35294019772746521</v>
      </c>
      <c r="S172" s="469">
        <v>388.88833333333332</v>
      </c>
    </row>
    <row r="173" spans="1:19" ht="14.4" customHeight="1" x14ac:dyDescent="0.3">
      <c r="A173" s="463"/>
      <c r="B173" s="464" t="s">
        <v>938</v>
      </c>
      <c r="C173" s="464" t="s">
        <v>932</v>
      </c>
      <c r="D173" s="464" t="s">
        <v>929</v>
      </c>
      <c r="E173" s="464" t="s">
        <v>986</v>
      </c>
      <c r="F173" s="464" t="s">
        <v>1002</v>
      </c>
      <c r="G173" s="464" t="s">
        <v>1003</v>
      </c>
      <c r="H173" s="468">
        <v>14</v>
      </c>
      <c r="I173" s="468">
        <v>4200</v>
      </c>
      <c r="J173" s="464">
        <v>0.2413793103448276</v>
      </c>
      <c r="K173" s="464">
        <v>300</v>
      </c>
      <c r="L173" s="468">
        <v>58</v>
      </c>
      <c r="M173" s="468">
        <v>17400</v>
      </c>
      <c r="N173" s="464">
        <v>1</v>
      </c>
      <c r="O173" s="464">
        <v>300</v>
      </c>
      <c r="P173" s="468">
        <v>40</v>
      </c>
      <c r="Q173" s="468">
        <v>12000</v>
      </c>
      <c r="R173" s="491">
        <v>0.68965517241379315</v>
      </c>
      <c r="S173" s="469">
        <v>300</v>
      </c>
    </row>
    <row r="174" spans="1:19" ht="14.4" customHeight="1" x14ac:dyDescent="0.3">
      <c r="A174" s="463"/>
      <c r="B174" s="464" t="s">
        <v>938</v>
      </c>
      <c r="C174" s="464" t="s">
        <v>932</v>
      </c>
      <c r="D174" s="464" t="s">
        <v>929</v>
      </c>
      <c r="E174" s="464" t="s">
        <v>986</v>
      </c>
      <c r="F174" s="464" t="s">
        <v>1002</v>
      </c>
      <c r="G174" s="464" t="s">
        <v>1004</v>
      </c>
      <c r="H174" s="468">
        <v>156</v>
      </c>
      <c r="I174" s="468">
        <v>46800</v>
      </c>
      <c r="J174" s="464">
        <v>1.2380952380952381</v>
      </c>
      <c r="K174" s="464">
        <v>300</v>
      </c>
      <c r="L174" s="468">
        <v>126</v>
      </c>
      <c r="M174" s="468">
        <v>37800</v>
      </c>
      <c r="N174" s="464">
        <v>1</v>
      </c>
      <c r="O174" s="464">
        <v>300</v>
      </c>
      <c r="P174" s="468">
        <v>67</v>
      </c>
      <c r="Q174" s="468">
        <v>20100</v>
      </c>
      <c r="R174" s="491">
        <v>0.53174603174603174</v>
      </c>
      <c r="S174" s="469">
        <v>300</v>
      </c>
    </row>
    <row r="175" spans="1:19" ht="14.4" customHeight="1" x14ac:dyDescent="0.3">
      <c r="A175" s="463"/>
      <c r="B175" s="464" t="s">
        <v>938</v>
      </c>
      <c r="C175" s="464" t="s">
        <v>932</v>
      </c>
      <c r="D175" s="464" t="s">
        <v>929</v>
      </c>
      <c r="E175" s="464" t="s">
        <v>986</v>
      </c>
      <c r="F175" s="464" t="s">
        <v>1005</v>
      </c>
      <c r="G175" s="464" t="s">
        <v>1007</v>
      </c>
      <c r="H175" s="468">
        <v>4</v>
      </c>
      <c r="I175" s="468">
        <v>1177.77</v>
      </c>
      <c r="J175" s="464">
        <v>1.3333295597341877</v>
      </c>
      <c r="K175" s="464">
        <v>294.4425</v>
      </c>
      <c r="L175" s="468">
        <v>3</v>
      </c>
      <c r="M175" s="468">
        <v>883.33</v>
      </c>
      <c r="N175" s="464">
        <v>1</v>
      </c>
      <c r="O175" s="464">
        <v>294.44333333333333</v>
      </c>
      <c r="P175" s="468"/>
      <c r="Q175" s="468"/>
      <c r="R175" s="491"/>
      <c r="S175" s="469"/>
    </row>
    <row r="176" spans="1:19" ht="14.4" customHeight="1" x14ac:dyDescent="0.3">
      <c r="A176" s="463"/>
      <c r="B176" s="464" t="s">
        <v>938</v>
      </c>
      <c r="C176" s="464" t="s">
        <v>932</v>
      </c>
      <c r="D176" s="464" t="s">
        <v>929</v>
      </c>
      <c r="E176" s="464" t="s">
        <v>986</v>
      </c>
      <c r="F176" s="464" t="s">
        <v>1088</v>
      </c>
      <c r="G176" s="464" t="s">
        <v>1089</v>
      </c>
      <c r="H176" s="468">
        <v>1</v>
      </c>
      <c r="I176" s="468">
        <v>33.33</v>
      </c>
      <c r="J176" s="464"/>
      <c r="K176" s="464">
        <v>33.33</v>
      </c>
      <c r="L176" s="468"/>
      <c r="M176" s="468"/>
      <c r="N176" s="464"/>
      <c r="O176" s="464"/>
      <c r="P176" s="468"/>
      <c r="Q176" s="468"/>
      <c r="R176" s="491"/>
      <c r="S176" s="469"/>
    </row>
    <row r="177" spans="1:19" ht="14.4" customHeight="1" x14ac:dyDescent="0.3">
      <c r="A177" s="463"/>
      <c r="B177" s="464" t="s">
        <v>938</v>
      </c>
      <c r="C177" s="464" t="s">
        <v>932</v>
      </c>
      <c r="D177" s="464" t="s">
        <v>929</v>
      </c>
      <c r="E177" s="464" t="s">
        <v>986</v>
      </c>
      <c r="F177" s="464" t="s">
        <v>1088</v>
      </c>
      <c r="G177" s="464" t="s">
        <v>1090</v>
      </c>
      <c r="H177" s="468"/>
      <c r="I177" s="468"/>
      <c r="J177" s="464"/>
      <c r="K177" s="464"/>
      <c r="L177" s="468">
        <v>1</v>
      </c>
      <c r="M177" s="468">
        <v>33.33</v>
      </c>
      <c r="N177" s="464">
        <v>1</v>
      </c>
      <c r="O177" s="464">
        <v>33.33</v>
      </c>
      <c r="P177" s="468">
        <v>5</v>
      </c>
      <c r="Q177" s="468">
        <v>166.67000000000002</v>
      </c>
      <c r="R177" s="491">
        <v>5.0006000600060014</v>
      </c>
      <c r="S177" s="469">
        <v>33.334000000000003</v>
      </c>
    </row>
    <row r="178" spans="1:19" ht="14.4" customHeight="1" x14ac:dyDescent="0.3">
      <c r="A178" s="463"/>
      <c r="B178" s="464" t="s">
        <v>938</v>
      </c>
      <c r="C178" s="464" t="s">
        <v>932</v>
      </c>
      <c r="D178" s="464" t="s">
        <v>929</v>
      </c>
      <c r="E178" s="464" t="s">
        <v>986</v>
      </c>
      <c r="F178" s="464" t="s">
        <v>1008</v>
      </c>
      <c r="G178" s="464" t="s">
        <v>990</v>
      </c>
      <c r="H178" s="468">
        <v>20</v>
      </c>
      <c r="I178" s="468">
        <v>7466.67</v>
      </c>
      <c r="J178" s="464">
        <v>0.57652741734106183</v>
      </c>
      <c r="K178" s="464">
        <v>373.33350000000002</v>
      </c>
      <c r="L178" s="468">
        <v>31</v>
      </c>
      <c r="M178" s="468">
        <v>12951.11</v>
      </c>
      <c r="N178" s="464">
        <v>1</v>
      </c>
      <c r="O178" s="464">
        <v>417.7777419354839</v>
      </c>
      <c r="P178" s="468">
        <v>44</v>
      </c>
      <c r="Q178" s="468">
        <v>18382.22</v>
      </c>
      <c r="R178" s="491">
        <v>1.4193547888945426</v>
      </c>
      <c r="S178" s="469">
        <v>417.7777272727273</v>
      </c>
    </row>
    <row r="179" spans="1:19" ht="14.4" customHeight="1" x14ac:dyDescent="0.3">
      <c r="A179" s="463"/>
      <c r="B179" s="464" t="s">
        <v>938</v>
      </c>
      <c r="C179" s="464" t="s">
        <v>932</v>
      </c>
      <c r="D179" s="464" t="s">
        <v>929</v>
      </c>
      <c r="E179" s="464" t="s">
        <v>986</v>
      </c>
      <c r="F179" s="464" t="s">
        <v>1008</v>
      </c>
      <c r="G179" s="464" t="s">
        <v>991</v>
      </c>
      <c r="H179" s="468">
        <v>218</v>
      </c>
      <c r="I179" s="468">
        <v>81386.67</v>
      </c>
      <c r="J179" s="464">
        <v>0.95494368136171459</v>
      </c>
      <c r="K179" s="464">
        <v>373.33334862385323</v>
      </c>
      <c r="L179" s="468">
        <v>204</v>
      </c>
      <c r="M179" s="468">
        <v>85226.67</v>
      </c>
      <c r="N179" s="464">
        <v>1</v>
      </c>
      <c r="O179" s="464">
        <v>417.77779411764703</v>
      </c>
      <c r="P179" s="468">
        <v>210</v>
      </c>
      <c r="Q179" s="468">
        <v>87733.33</v>
      </c>
      <c r="R179" s="491">
        <v>1.0294116853327719</v>
      </c>
      <c r="S179" s="469">
        <v>417.77776190476192</v>
      </c>
    </row>
    <row r="180" spans="1:19" ht="14.4" customHeight="1" x14ac:dyDescent="0.3">
      <c r="A180" s="463"/>
      <c r="B180" s="464" t="s">
        <v>938</v>
      </c>
      <c r="C180" s="464" t="s">
        <v>932</v>
      </c>
      <c r="D180" s="464" t="s">
        <v>929</v>
      </c>
      <c r="E180" s="464" t="s">
        <v>986</v>
      </c>
      <c r="F180" s="464" t="s">
        <v>1009</v>
      </c>
      <c r="G180" s="464" t="s">
        <v>1010</v>
      </c>
      <c r="H180" s="468">
        <v>8</v>
      </c>
      <c r="I180" s="468">
        <v>1688.89</v>
      </c>
      <c r="J180" s="464">
        <v>0.38095377730459345</v>
      </c>
      <c r="K180" s="464">
        <v>211.11125000000001</v>
      </c>
      <c r="L180" s="468">
        <v>21</v>
      </c>
      <c r="M180" s="468">
        <v>4433.32</v>
      </c>
      <c r="N180" s="464">
        <v>1</v>
      </c>
      <c r="O180" s="464">
        <v>211.11047619047616</v>
      </c>
      <c r="P180" s="468">
        <v>20</v>
      </c>
      <c r="Q180" s="468">
        <v>4222.2299999999996</v>
      </c>
      <c r="R180" s="491">
        <v>0.95238557108442423</v>
      </c>
      <c r="S180" s="469">
        <v>211.11149999999998</v>
      </c>
    </row>
    <row r="181" spans="1:19" ht="14.4" customHeight="1" x14ac:dyDescent="0.3">
      <c r="A181" s="463"/>
      <c r="B181" s="464" t="s">
        <v>938</v>
      </c>
      <c r="C181" s="464" t="s">
        <v>932</v>
      </c>
      <c r="D181" s="464" t="s">
        <v>929</v>
      </c>
      <c r="E181" s="464" t="s">
        <v>986</v>
      </c>
      <c r="F181" s="464" t="s">
        <v>1009</v>
      </c>
      <c r="G181" s="464" t="s">
        <v>1011</v>
      </c>
      <c r="H181" s="468">
        <v>7</v>
      </c>
      <c r="I181" s="468">
        <v>1477.77</v>
      </c>
      <c r="J181" s="464">
        <v>6.9999999999999991</v>
      </c>
      <c r="K181" s="464">
        <v>211.10999999999999</v>
      </c>
      <c r="L181" s="468">
        <v>1</v>
      </c>
      <c r="M181" s="468">
        <v>211.11</v>
      </c>
      <c r="N181" s="464">
        <v>1</v>
      </c>
      <c r="O181" s="464">
        <v>211.11</v>
      </c>
      <c r="P181" s="468">
        <v>7</v>
      </c>
      <c r="Q181" s="468">
        <v>1477.78</v>
      </c>
      <c r="R181" s="491">
        <v>7.0000473686703613</v>
      </c>
      <c r="S181" s="469">
        <v>211.11142857142858</v>
      </c>
    </row>
    <row r="182" spans="1:19" ht="14.4" customHeight="1" x14ac:dyDescent="0.3">
      <c r="A182" s="463"/>
      <c r="B182" s="464" t="s">
        <v>938</v>
      </c>
      <c r="C182" s="464" t="s">
        <v>932</v>
      </c>
      <c r="D182" s="464" t="s">
        <v>929</v>
      </c>
      <c r="E182" s="464" t="s">
        <v>986</v>
      </c>
      <c r="F182" s="464" t="s">
        <v>1012</v>
      </c>
      <c r="G182" s="464" t="s">
        <v>1013</v>
      </c>
      <c r="H182" s="468">
        <v>6</v>
      </c>
      <c r="I182" s="468">
        <v>3500</v>
      </c>
      <c r="J182" s="464">
        <v>0.599999314286498</v>
      </c>
      <c r="K182" s="464">
        <v>583.33333333333337</v>
      </c>
      <c r="L182" s="468">
        <v>10</v>
      </c>
      <c r="M182" s="468">
        <v>5833.34</v>
      </c>
      <c r="N182" s="464">
        <v>1</v>
      </c>
      <c r="O182" s="464">
        <v>583.33400000000006</v>
      </c>
      <c r="P182" s="468">
        <v>9</v>
      </c>
      <c r="Q182" s="468">
        <v>5249.99</v>
      </c>
      <c r="R182" s="491">
        <v>0.89999725714599177</v>
      </c>
      <c r="S182" s="469">
        <v>583.33222222222219</v>
      </c>
    </row>
    <row r="183" spans="1:19" ht="14.4" customHeight="1" x14ac:dyDescent="0.3">
      <c r="A183" s="463"/>
      <c r="B183" s="464" t="s">
        <v>938</v>
      </c>
      <c r="C183" s="464" t="s">
        <v>932</v>
      </c>
      <c r="D183" s="464" t="s">
        <v>929</v>
      </c>
      <c r="E183" s="464" t="s">
        <v>986</v>
      </c>
      <c r="F183" s="464" t="s">
        <v>1014</v>
      </c>
      <c r="G183" s="464" t="s">
        <v>1015</v>
      </c>
      <c r="H183" s="468">
        <v>5</v>
      </c>
      <c r="I183" s="468">
        <v>2333.34</v>
      </c>
      <c r="J183" s="464">
        <v>2.4999892857908157</v>
      </c>
      <c r="K183" s="464">
        <v>466.66800000000001</v>
      </c>
      <c r="L183" s="468">
        <v>2</v>
      </c>
      <c r="M183" s="468">
        <v>933.34</v>
      </c>
      <c r="N183" s="464">
        <v>1</v>
      </c>
      <c r="O183" s="464">
        <v>466.67</v>
      </c>
      <c r="P183" s="468">
        <v>2</v>
      </c>
      <c r="Q183" s="468">
        <v>933.34</v>
      </c>
      <c r="R183" s="491">
        <v>1</v>
      </c>
      <c r="S183" s="469">
        <v>466.67</v>
      </c>
    </row>
    <row r="184" spans="1:19" ht="14.4" customHeight="1" x14ac:dyDescent="0.3">
      <c r="A184" s="463"/>
      <c r="B184" s="464" t="s">
        <v>938</v>
      </c>
      <c r="C184" s="464" t="s">
        <v>932</v>
      </c>
      <c r="D184" s="464" t="s">
        <v>929</v>
      </c>
      <c r="E184" s="464" t="s">
        <v>986</v>
      </c>
      <c r="F184" s="464" t="s">
        <v>1014</v>
      </c>
      <c r="G184" s="464" t="s">
        <v>1016</v>
      </c>
      <c r="H184" s="468">
        <v>5</v>
      </c>
      <c r="I184" s="468">
        <v>2333.34</v>
      </c>
      <c r="J184" s="464">
        <v>1.6666714285714286</v>
      </c>
      <c r="K184" s="464">
        <v>466.66800000000001</v>
      </c>
      <c r="L184" s="468">
        <v>3</v>
      </c>
      <c r="M184" s="468">
        <v>1400</v>
      </c>
      <c r="N184" s="464">
        <v>1</v>
      </c>
      <c r="O184" s="464">
        <v>466.66666666666669</v>
      </c>
      <c r="P184" s="468">
        <v>4</v>
      </c>
      <c r="Q184" s="468">
        <v>1866.66</v>
      </c>
      <c r="R184" s="491">
        <v>1.3333285714285714</v>
      </c>
      <c r="S184" s="469">
        <v>466.66500000000002</v>
      </c>
    </row>
    <row r="185" spans="1:19" ht="14.4" customHeight="1" x14ac:dyDescent="0.3">
      <c r="A185" s="463"/>
      <c r="B185" s="464" t="s">
        <v>938</v>
      </c>
      <c r="C185" s="464" t="s">
        <v>932</v>
      </c>
      <c r="D185" s="464" t="s">
        <v>929</v>
      </c>
      <c r="E185" s="464" t="s">
        <v>986</v>
      </c>
      <c r="F185" s="464" t="s">
        <v>1091</v>
      </c>
      <c r="G185" s="464" t="s">
        <v>1015</v>
      </c>
      <c r="H185" s="468"/>
      <c r="I185" s="468"/>
      <c r="J185" s="464"/>
      <c r="K185" s="464"/>
      <c r="L185" s="468"/>
      <c r="M185" s="468"/>
      <c r="N185" s="464"/>
      <c r="O185" s="464"/>
      <c r="P185" s="468">
        <v>2</v>
      </c>
      <c r="Q185" s="468">
        <v>2000</v>
      </c>
      <c r="R185" s="491"/>
      <c r="S185" s="469">
        <v>1000</v>
      </c>
    </row>
    <row r="186" spans="1:19" ht="14.4" customHeight="1" x14ac:dyDescent="0.3">
      <c r="A186" s="463"/>
      <c r="B186" s="464" t="s">
        <v>938</v>
      </c>
      <c r="C186" s="464" t="s">
        <v>932</v>
      </c>
      <c r="D186" s="464" t="s">
        <v>929</v>
      </c>
      <c r="E186" s="464" t="s">
        <v>986</v>
      </c>
      <c r="F186" s="464" t="s">
        <v>1091</v>
      </c>
      <c r="G186" s="464" t="s">
        <v>1016</v>
      </c>
      <c r="H186" s="468">
        <v>1</v>
      </c>
      <c r="I186" s="468">
        <v>1000</v>
      </c>
      <c r="J186" s="464"/>
      <c r="K186" s="464">
        <v>1000</v>
      </c>
      <c r="L186" s="468"/>
      <c r="M186" s="468"/>
      <c r="N186" s="464"/>
      <c r="O186" s="464"/>
      <c r="P186" s="468"/>
      <c r="Q186" s="468"/>
      <c r="R186" s="491"/>
      <c r="S186" s="469"/>
    </row>
    <row r="187" spans="1:19" ht="14.4" customHeight="1" x14ac:dyDescent="0.3">
      <c r="A187" s="463"/>
      <c r="B187" s="464" t="s">
        <v>938</v>
      </c>
      <c r="C187" s="464" t="s">
        <v>932</v>
      </c>
      <c r="D187" s="464" t="s">
        <v>929</v>
      </c>
      <c r="E187" s="464" t="s">
        <v>986</v>
      </c>
      <c r="F187" s="464" t="s">
        <v>1017</v>
      </c>
      <c r="G187" s="464" t="s">
        <v>1018</v>
      </c>
      <c r="H187" s="468">
        <v>14</v>
      </c>
      <c r="I187" s="468">
        <v>700</v>
      </c>
      <c r="J187" s="464">
        <v>0.82352941176470584</v>
      </c>
      <c r="K187" s="464">
        <v>50</v>
      </c>
      <c r="L187" s="468">
        <v>17</v>
      </c>
      <c r="M187" s="468">
        <v>850</v>
      </c>
      <c r="N187" s="464">
        <v>1</v>
      </c>
      <c r="O187" s="464">
        <v>50</v>
      </c>
      <c r="P187" s="468">
        <v>23</v>
      </c>
      <c r="Q187" s="468">
        <v>1150</v>
      </c>
      <c r="R187" s="491">
        <v>1.3529411764705883</v>
      </c>
      <c r="S187" s="469">
        <v>50</v>
      </c>
    </row>
    <row r="188" spans="1:19" ht="14.4" customHeight="1" x14ac:dyDescent="0.3">
      <c r="A188" s="463"/>
      <c r="B188" s="464" t="s">
        <v>938</v>
      </c>
      <c r="C188" s="464" t="s">
        <v>932</v>
      </c>
      <c r="D188" s="464" t="s">
        <v>929</v>
      </c>
      <c r="E188" s="464" t="s">
        <v>986</v>
      </c>
      <c r="F188" s="464" t="s">
        <v>1017</v>
      </c>
      <c r="G188" s="464" t="s">
        <v>1019</v>
      </c>
      <c r="H188" s="468">
        <v>26</v>
      </c>
      <c r="I188" s="468">
        <v>1300</v>
      </c>
      <c r="J188" s="464">
        <v>0.8666666666666667</v>
      </c>
      <c r="K188" s="464">
        <v>50</v>
      </c>
      <c r="L188" s="468">
        <v>30</v>
      </c>
      <c r="M188" s="468">
        <v>1500</v>
      </c>
      <c r="N188" s="464">
        <v>1</v>
      </c>
      <c r="O188" s="464">
        <v>50</v>
      </c>
      <c r="P188" s="468">
        <v>33</v>
      </c>
      <c r="Q188" s="468">
        <v>1650</v>
      </c>
      <c r="R188" s="491">
        <v>1.1000000000000001</v>
      </c>
      <c r="S188" s="469">
        <v>50</v>
      </c>
    </row>
    <row r="189" spans="1:19" ht="14.4" customHeight="1" x14ac:dyDescent="0.3">
      <c r="A189" s="463"/>
      <c r="B189" s="464" t="s">
        <v>938</v>
      </c>
      <c r="C189" s="464" t="s">
        <v>932</v>
      </c>
      <c r="D189" s="464" t="s">
        <v>929</v>
      </c>
      <c r="E189" s="464" t="s">
        <v>986</v>
      </c>
      <c r="F189" s="464" t="s">
        <v>1026</v>
      </c>
      <c r="G189" s="464" t="s">
        <v>1028</v>
      </c>
      <c r="H189" s="468"/>
      <c r="I189" s="468"/>
      <c r="J189" s="464"/>
      <c r="K189" s="464"/>
      <c r="L189" s="468">
        <v>2</v>
      </c>
      <c r="M189" s="468">
        <v>0</v>
      </c>
      <c r="N189" s="464"/>
      <c r="O189" s="464">
        <v>0</v>
      </c>
      <c r="P189" s="468">
        <v>3</v>
      </c>
      <c r="Q189" s="468">
        <v>0</v>
      </c>
      <c r="R189" s="491"/>
      <c r="S189" s="469">
        <v>0</v>
      </c>
    </row>
    <row r="190" spans="1:19" ht="14.4" customHeight="1" x14ac:dyDescent="0.3">
      <c r="A190" s="463"/>
      <c r="B190" s="464" t="s">
        <v>938</v>
      </c>
      <c r="C190" s="464" t="s">
        <v>932</v>
      </c>
      <c r="D190" s="464" t="s">
        <v>929</v>
      </c>
      <c r="E190" s="464" t="s">
        <v>986</v>
      </c>
      <c r="F190" s="464" t="s">
        <v>1029</v>
      </c>
      <c r="G190" s="464" t="s">
        <v>1030</v>
      </c>
      <c r="H190" s="468">
        <v>85</v>
      </c>
      <c r="I190" s="468">
        <v>25972.21</v>
      </c>
      <c r="J190" s="464">
        <v>0.67999975912724475</v>
      </c>
      <c r="K190" s="464">
        <v>305.55541176470587</v>
      </c>
      <c r="L190" s="468">
        <v>125</v>
      </c>
      <c r="M190" s="468">
        <v>38194.439999999995</v>
      </c>
      <c r="N190" s="464">
        <v>1</v>
      </c>
      <c r="O190" s="464">
        <v>305.55551999999994</v>
      </c>
      <c r="P190" s="468">
        <v>122</v>
      </c>
      <c r="Q190" s="468">
        <v>37277.769999999997</v>
      </c>
      <c r="R190" s="491">
        <v>0.975999909934535</v>
      </c>
      <c r="S190" s="469">
        <v>305.55549180327864</v>
      </c>
    </row>
    <row r="191" spans="1:19" ht="14.4" customHeight="1" x14ac:dyDescent="0.3">
      <c r="A191" s="463"/>
      <c r="B191" s="464" t="s">
        <v>938</v>
      </c>
      <c r="C191" s="464" t="s">
        <v>932</v>
      </c>
      <c r="D191" s="464" t="s">
        <v>929</v>
      </c>
      <c r="E191" s="464" t="s">
        <v>986</v>
      </c>
      <c r="F191" s="464" t="s">
        <v>1029</v>
      </c>
      <c r="G191" s="464" t="s">
        <v>1031</v>
      </c>
      <c r="H191" s="468">
        <v>6</v>
      </c>
      <c r="I191" s="468">
        <v>1833.33</v>
      </c>
      <c r="J191" s="464">
        <v>1.199996072732985</v>
      </c>
      <c r="K191" s="464">
        <v>305.55500000000001</v>
      </c>
      <c r="L191" s="468">
        <v>5</v>
      </c>
      <c r="M191" s="468">
        <v>1527.78</v>
      </c>
      <c r="N191" s="464">
        <v>1</v>
      </c>
      <c r="O191" s="464">
        <v>305.55599999999998</v>
      </c>
      <c r="P191" s="468"/>
      <c r="Q191" s="468"/>
      <c r="R191" s="491"/>
      <c r="S191" s="469"/>
    </row>
    <row r="192" spans="1:19" ht="14.4" customHeight="1" x14ac:dyDescent="0.3">
      <c r="A192" s="463"/>
      <c r="B192" s="464" t="s">
        <v>938</v>
      </c>
      <c r="C192" s="464" t="s">
        <v>932</v>
      </c>
      <c r="D192" s="464" t="s">
        <v>929</v>
      </c>
      <c r="E192" s="464" t="s">
        <v>986</v>
      </c>
      <c r="F192" s="464" t="s">
        <v>1032</v>
      </c>
      <c r="G192" s="464" t="s">
        <v>1033</v>
      </c>
      <c r="H192" s="468">
        <v>7</v>
      </c>
      <c r="I192" s="468">
        <v>233.33</v>
      </c>
      <c r="J192" s="464">
        <v>0.58332499999999998</v>
      </c>
      <c r="K192" s="464">
        <v>33.332857142857144</v>
      </c>
      <c r="L192" s="468">
        <v>12</v>
      </c>
      <c r="M192" s="468">
        <v>400</v>
      </c>
      <c r="N192" s="464">
        <v>1</v>
      </c>
      <c r="O192" s="464">
        <v>33.333333333333336</v>
      </c>
      <c r="P192" s="468">
        <v>8</v>
      </c>
      <c r="Q192" s="468">
        <v>266.66999999999996</v>
      </c>
      <c r="R192" s="491">
        <v>0.66667499999999991</v>
      </c>
      <c r="S192" s="469">
        <v>33.333749999999995</v>
      </c>
    </row>
    <row r="193" spans="1:19" ht="14.4" customHeight="1" x14ac:dyDescent="0.3">
      <c r="A193" s="463"/>
      <c r="B193" s="464" t="s">
        <v>938</v>
      </c>
      <c r="C193" s="464" t="s">
        <v>932</v>
      </c>
      <c r="D193" s="464" t="s">
        <v>929</v>
      </c>
      <c r="E193" s="464" t="s">
        <v>986</v>
      </c>
      <c r="F193" s="464" t="s">
        <v>1032</v>
      </c>
      <c r="G193" s="464" t="s">
        <v>1034</v>
      </c>
      <c r="H193" s="468">
        <v>5</v>
      </c>
      <c r="I193" s="468">
        <v>166.67000000000002</v>
      </c>
      <c r="J193" s="464">
        <v>0.41667500000000002</v>
      </c>
      <c r="K193" s="464">
        <v>33.334000000000003</v>
      </c>
      <c r="L193" s="468">
        <v>12</v>
      </c>
      <c r="M193" s="468">
        <v>400</v>
      </c>
      <c r="N193" s="464">
        <v>1</v>
      </c>
      <c r="O193" s="464">
        <v>33.333333333333336</v>
      </c>
      <c r="P193" s="468">
        <v>23</v>
      </c>
      <c r="Q193" s="468">
        <v>766.67000000000007</v>
      </c>
      <c r="R193" s="491">
        <v>1.9166750000000001</v>
      </c>
      <c r="S193" s="469">
        <v>33.333478260869569</v>
      </c>
    </row>
    <row r="194" spans="1:19" ht="14.4" customHeight="1" x14ac:dyDescent="0.3">
      <c r="A194" s="463"/>
      <c r="B194" s="464" t="s">
        <v>938</v>
      </c>
      <c r="C194" s="464" t="s">
        <v>932</v>
      </c>
      <c r="D194" s="464" t="s">
        <v>929</v>
      </c>
      <c r="E194" s="464" t="s">
        <v>986</v>
      </c>
      <c r="F194" s="464" t="s">
        <v>1035</v>
      </c>
      <c r="G194" s="464" t="s">
        <v>1036</v>
      </c>
      <c r="H194" s="468">
        <v>113</v>
      </c>
      <c r="I194" s="468">
        <v>51477.78</v>
      </c>
      <c r="J194" s="464">
        <v>0.86259556950603211</v>
      </c>
      <c r="K194" s="464">
        <v>455.55557522123894</v>
      </c>
      <c r="L194" s="468">
        <v>131</v>
      </c>
      <c r="M194" s="468">
        <v>59677.770000000004</v>
      </c>
      <c r="N194" s="464">
        <v>1</v>
      </c>
      <c r="O194" s="464">
        <v>455.55549618320612</v>
      </c>
      <c r="P194" s="468">
        <v>153</v>
      </c>
      <c r="Q194" s="468">
        <v>69700</v>
      </c>
      <c r="R194" s="491">
        <v>1.1679390835146821</v>
      </c>
      <c r="S194" s="469">
        <v>455.55555555555554</v>
      </c>
    </row>
    <row r="195" spans="1:19" ht="14.4" customHeight="1" x14ac:dyDescent="0.3">
      <c r="A195" s="463"/>
      <c r="B195" s="464" t="s">
        <v>938</v>
      </c>
      <c r="C195" s="464" t="s">
        <v>932</v>
      </c>
      <c r="D195" s="464" t="s">
        <v>929</v>
      </c>
      <c r="E195" s="464" t="s">
        <v>986</v>
      </c>
      <c r="F195" s="464" t="s">
        <v>1035</v>
      </c>
      <c r="G195" s="464" t="s">
        <v>1037</v>
      </c>
      <c r="H195" s="468">
        <v>159</v>
      </c>
      <c r="I195" s="468">
        <v>72433.34</v>
      </c>
      <c r="J195" s="464">
        <v>0.70982145525797824</v>
      </c>
      <c r="K195" s="464">
        <v>455.55559748427669</v>
      </c>
      <c r="L195" s="468">
        <v>224</v>
      </c>
      <c r="M195" s="468">
        <v>102044.45</v>
      </c>
      <c r="N195" s="464">
        <v>1</v>
      </c>
      <c r="O195" s="464">
        <v>455.55558035714284</v>
      </c>
      <c r="P195" s="468">
        <v>192</v>
      </c>
      <c r="Q195" s="468">
        <v>87466.67</v>
      </c>
      <c r="R195" s="491">
        <v>0.85714284314335565</v>
      </c>
      <c r="S195" s="469">
        <v>455.55557291666668</v>
      </c>
    </row>
    <row r="196" spans="1:19" ht="14.4" customHeight="1" x14ac:dyDescent="0.3">
      <c r="A196" s="463"/>
      <c r="B196" s="464" t="s">
        <v>938</v>
      </c>
      <c r="C196" s="464" t="s">
        <v>932</v>
      </c>
      <c r="D196" s="464" t="s">
        <v>929</v>
      </c>
      <c r="E196" s="464" t="s">
        <v>986</v>
      </c>
      <c r="F196" s="464" t="s">
        <v>1038</v>
      </c>
      <c r="G196" s="464" t="s">
        <v>1039</v>
      </c>
      <c r="H196" s="468">
        <v>119</v>
      </c>
      <c r="I196" s="468">
        <v>9255.56</v>
      </c>
      <c r="J196" s="464">
        <v>0.74375002511159594</v>
      </c>
      <c r="K196" s="464">
        <v>77.777815126050413</v>
      </c>
      <c r="L196" s="468">
        <v>160</v>
      </c>
      <c r="M196" s="468">
        <v>12444.449999999999</v>
      </c>
      <c r="N196" s="464">
        <v>1</v>
      </c>
      <c r="O196" s="464">
        <v>77.777812499999996</v>
      </c>
      <c r="P196" s="468">
        <v>169</v>
      </c>
      <c r="Q196" s="468">
        <v>13144.45</v>
      </c>
      <c r="R196" s="491">
        <v>1.0562499748884042</v>
      </c>
      <c r="S196" s="469">
        <v>77.777810650887574</v>
      </c>
    </row>
    <row r="197" spans="1:19" ht="14.4" customHeight="1" x14ac:dyDescent="0.3">
      <c r="A197" s="463"/>
      <c r="B197" s="464" t="s">
        <v>938</v>
      </c>
      <c r="C197" s="464" t="s">
        <v>932</v>
      </c>
      <c r="D197" s="464" t="s">
        <v>929</v>
      </c>
      <c r="E197" s="464" t="s">
        <v>986</v>
      </c>
      <c r="F197" s="464" t="s">
        <v>1092</v>
      </c>
      <c r="G197" s="464" t="s">
        <v>1093</v>
      </c>
      <c r="H197" s="468">
        <v>5</v>
      </c>
      <c r="I197" s="468">
        <v>3500</v>
      </c>
      <c r="J197" s="464">
        <v>0.625</v>
      </c>
      <c r="K197" s="464">
        <v>700</v>
      </c>
      <c r="L197" s="468">
        <v>8</v>
      </c>
      <c r="M197" s="468">
        <v>5600</v>
      </c>
      <c r="N197" s="464">
        <v>1</v>
      </c>
      <c r="O197" s="464">
        <v>700</v>
      </c>
      <c r="P197" s="468">
        <v>13</v>
      </c>
      <c r="Q197" s="468">
        <v>9100</v>
      </c>
      <c r="R197" s="491">
        <v>1.625</v>
      </c>
      <c r="S197" s="469">
        <v>700</v>
      </c>
    </row>
    <row r="198" spans="1:19" ht="14.4" customHeight="1" x14ac:dyDescent="0.3">
      <c r="A198" s="463"/>
      <c r="B198" s="464" t="s">
        <v>938</v>
      </c>
      <c r="C198" s="464" t="s">
        <v>932</v>
      </c>
      <c r="D198" s="464" t="s">
        <v>929</v>
      </c>
      <c r="E198" s="464" t="s">
        <v>986</v>
      </c>
      <c r="F198" s="464" t="s">
        <v>1092</v>
      </c>
      <c r="G198" s="464" t="s">
        <v>1094</v>
      </c>
      <c r="H198" s="468">
        <v>14</v>
      </c>
      <c r="I198" s="468">
        <v>9800</v>
      </c>
      <c r="J198" s="464">
        <v>1.1666666666666667</v>
      </c>
      <c r="K198" s="464">
        <v>700</v>
      </c>
      <c r="L198" s="468">
        <v>12</v>
      </c>
      <c r="M198" s="468">
        <v>8400</v>
      </c>
      <c r="N198" s="464">
        <v>1</v>
      </c>
      <c r="O198" s="464">
        <v>700</v>
      </c>
      <c r="P198" s="468">
        <v>7</v>
      </c>
      <c r="Q198" s="468">
        <v>4900</v>
      </c>
      <c r="R198" s="491">
        <v>0.58333333333333337</v>
      </c>
      <c r="S198" s="469">
        <v>700</v>
      </c>
    </row>
    <row r="199" spans="1:19" ht="14.4" customHeight="1" x14ac:dyDescent="0.3">
      <c r="A199" s="463"/>
      <c r="B199" s="464" t="s">
        <v>938</v>
      </c>
      <c r="C199" s="464" t="s">
        <v>932</v>
      </c>
      <c r="D199" s="464" t="s">
        <v>929</v>
      </c>
      <c r="E199" s="464" t="s">
        <v>986</v>
      </c>
      <c r="F199" s="464" t="s">
        <v>1043</v>
      </c>
      <c r="G199" s="464" t="s">
        <v>1044</v>
      </c>
      <c r="H199" s="468">
        <v>33</v>
      </c>
      <c r="I199" s="468">
        <v>3116.6499999999996</v>
      </c>
      <c r="J199" s="464">
        <v>0.39285520708201982</v>
      </c>
      <c r="K199" s="464">
        <v>94.443939393939388</v>
      </c>
      <c r="L199" s="468">
        <v>84</v>
      </c>
      <c r="M199" s="468">
        <v>7933.3299999999981</v>
      </c>
      <c r="N199" s="464">
        <v>1</v>
      </c>
      <c r="O199" s="464">
        <v>94.444404761904735</v>
      </c>
      <c r="P199" s="468">
        <v>90</v>
      </c>
      <c r="Q199" s="468">
        <v>8499.9999999999982</v>
      </c>
      <c r="R199" s="491">
        <v>1.0714290216088327</v>
      </c>
      <c r="S199" s="469">
        <v>94.444444444444429</v>
      </c>
    </row>
    <row r="200" spans="1:19" ht="14.4" customHeight="1" x14ac:dyDescent="0.3">
      <c r="A200" s="463"/>
      <c r="B200" s="464" t="s">
        <v>938</v>
      </c>
      <c r="C200" s="464" t="s">
        <v>932</v>
      </c>
      <c r="D200" s="464" t="s">
        <v>929</v>
      </c>
      <c r="E200" s="464" t="s">
        <v>986</v>
      </c>
      <c r="F200" s="464" t="s">
        <v>1043</v>
      </c>
      <c r="G200" s="464" t="s">
        <v>1045</v>
      </c>
      <c r="H200" s="468">
        <v>132</v>
      </c>
      <c r="I200" s="468">
        <v>12466.67</v>
      </c>
      <c r="J200" s="464">
        <v>0.89795963936605994</v>
      </c>
      <c r="K200" s="464">
        <v>94.444469696969691</v>
      </c>
      <c r="L200" s="468">
        <v>147</v>
      </c>
      <c r="M200" s="468">
        <v>13883.33</v>
      </c>
      <c r="N200" s="464">
        <v>1</v>
      </c>
      <c r="O200" s="464">
        <v>94.444421768707485</v>
      </c>
      <c r="P200" s="468">
        <v>125</v>
      </c>
      <c r="Q200" s="468">
        <v>11805.55</v>
      </c>
      <c r="R200" s="491">
        <v>0.8503399400576086</v>
      </c>
      <c r="S200" s="469">
        <v>94.444399999999987</v>
      </c>
    </row>
    <row r="201" spans="1:19" ht="14.4" customHeight="1" x14ac:dyDescent="0.3">
      <c r="A201" s="463"/>
      <c r="B201" s="464" t="s">
        <v>938</v>
      </c>
      <c r="C201" s="464" t="s">
        <v>932</v>
      </c>
      <c r="D201" s="464" t="s">
        <v>929</v>
      </c>
      <c r="E201" s="464" t="s">
        <v>986</v>
      </c>
      <c r="F201" s="464" t="s">
        <v>1046</v>
      </c>
      <c r="G201" s="464" t="s">
        <v>1047</v>
      </c>
      <c r="H201" s="468">
        <v>1</v>
      </c>
      <c r="I201" s="468">
        <v>43.33</v>
      </c>
      <c r="J201" s="464"/>
      <c r="K201" s="464">
        <v>43.33</v>
      </c>
      <c r="L201" s="468"/>
      <c r="M201" s="468"/>
      <c r="N201" s="464"/>
      <c r="O201" s="464"/>
      <c r="P201" s="468"/>
      <c r="Q201" s="468"/>
      <c r="R201" s="491"/>
      <c r="S201" s="469"/>
    </row>
    <row r="202" spans="1:19" ht="14.4" customHeight="1" x14ac:dyDescent="0.3">
      <c r="A202" s="463"/>
      <c r="B202" s="464" t="s">
        <v>938</v>
      </c>
      <c r="C202" s="464" t="s">
        <v>932</v>
      </c>
      <c r="D202" s="464" t="s">
        <v>929</v>
      </c>
      <c r="E202" s="464" t="s">
        <v>986</v>
      </c>
      <c r="F202" s="464" t="s">
        <v>1073</v>
      </c>
      <c r="G202" s="464" t="s">
        <v>1074</v>
      </c>
      <c r="H202" s="468">
        <v>38</v>
      </c>
      <c r="I202" s="468">
        <v>3673.34</v>
      </c>
      <c r="J202" s="464">
        <v>0.56716491653890044</v>
      </c>
      <c r="K202" s="464">
        <v>96.666842105263157</v>
      </c>
      <c r="L202" s="468">
        <v>67</v>
      </c>
      <c r="M202" s="468">
        <v>6476.67</v>
      </c>
      <c r="N202" s="464">
        <v>1</v>
      </c>
      <c r="O202" s="464">
        <v>96.66671641791045</v>
      </c>
      <c r="P202" s="468">
        <v>64</v>
      </c>
      <c r="Q202" s="468">
        <v>6186.67</v>
      </c>
      <c r="R202" s="491">
        <v>0.95522390364184062</v>
      </c>
      <c r="S202" s="469">
        <v>96.666718750000001</v>
      </c>
    </row>
    <row r="203" spans="1:19" ht="14.4" customHeight="1" x14ac:dyDescent="0.3">
      <c r="A203" s="463"/>
      <c r="B203" s="464" t="s">
        <v>938</v>
      </c>
      <c r="C203" s="464" t="s">
        <v>932</v>
      </c>
      <c r="D203" s="464" t="s">
        <v>929</v>
      </c>
      <c r="E203" s="464" t="s">
        <v>986</v>
      </c>
      <c r="F203" s="464" t="s">
        <v>1073</v>
      </c>
      <c r="G203" s="464" t="s">
        <v>1095</v>
      </c>
      <c r="H203" s="468">
        <v>126</v>
      </c>
      <c r="I203" s="468">
        <v>12180</v>
      </c>
      <c r="J203" s="464">
        <v>0.78749983028020898</v>
      </c>
      <c r="K203" s="464">
        <v>96.666666666666671</v>
      </c>
      <c r="L203" s="468">
        <v>160</v>
      </c>
      <c r="M203" s="468">
        <v>15466.67</v>
      </c>
      <c r="N203" s="464">
        <v>1</v>
      </c>
      <c r="O203" s="464">
        <v>96.666687499999995</v>
      </c>
      <c r="P203" s="468">
        <v>118</v>
      </c>
      <c r="Q203" s="468">
        <v>11406.66</v>
      </c>
      <c r="R203" s="491">
        <v>0.73749941002167885</v>
      </c>
      <c r="S203" s="469">
        <v>96.66661016949152</v>
      </c>
    </row>
    <row r="204" spans="1:19" ht="14.4" customHeight="1" x14ac:dyDescent="0.3">
      <c r="A204" s="463"/>
      <c r="B204" s="464" t="s">
        <v>938</v>
      </c>
      <c r="C204" s="464" t="s">
        <v>932</v>
      </c>
      <c r="D204" s="464" t="s">
        <v>929</v>
      </c>
      <c r="E204" s="464" t="s">
        <v>986</v>
      </c>
      <c r="F204" s="464" t="s">
        <v>1049</v>
      </c>
      <c r="G204" s="464" t="s">
        <v>1050</v>
      </c>
      <c r="H204" s="468">
        <v>32</v>
      </c>
      <c r="I204" s="468">
        <v>6257.79</v>
      </c>
      <c r="J204" s="464">
        <v>0.43243331022983034</v>
      </c>
      <c r="K204" s="464">
        <v>195.5559375</v>
      </c>
      <c r="L204" s="468">
        <v>74</v>
      </c>
      <c r="M204" s="468">
        <v>14471.11</v>
      </c>
      <c r="N204" s="464">
        <v>1</v>
      </c>
      <c r="O204" s="464">
        <v>195.55554054054056</v>
      </c>
      <c r="P204" s="468">
        <v>36</v>
      </c>
      <c r="Q204" s="468">
        <v>15599.99</v>
      </c>
      <c r="R204" s="491">
        <v>1.0780092197488651</v>
      </c>
      <c r="S204" s="469">
        <v>433.33305555555557</v>
      </c>
    </row>
    <row r="205" spans="1:19" ht="14.4" customHeight="1" x14ac:dyDescent="0.3">
      <c r="A205" s="463"/>
      <c r="B205" s="464" t="s">
        <v>938</v>
      </c>
      <c r="C205" s="464" t="s">
        <v>932</v>
      </c>
      <c r="D205" s="464" t="s">
        <v>929</v>
      </c>
      <c r="E205" s="464" t="s">
        <v>986</v>
      </c>
      <c r="F205" s="464" t="s">
        <v>1049</v>
      </c>
      <c r="G205" s="464" t="s">
        <v>1051</v>
      </c>
      <c r="H205" s="468">
        <v>187</v>
      </c>
      <c r="I205" s="468">
        <v>36568.89</v>
      </c>
      <c r="J205" s="464">
        <v>1.4384617079074919</v>
      </c>
      <c r="K205" s="464">
        <v>195.55556149732621</v>
      </c>
      <c r="L205" s="468">
        <v>130</v>
      </c>
      <c r="M205" s="468">
        <v>25422.22</v>
      </c>
      <c r="N205" s="464">
        <v>1</v>
      </c>
      <c r="O205" s="464">
        <v>195.55553846153848</v>
      </c>
      <c r="P205" s="468">
        <v>128</v>
      </c>
      <c r="Q205" s="468">
        <v>55466.66</v>
      </c>
      <c r="R205" s="491">
        <v>2.1818181102987859</v>
      </c>
      <c r="S205" s="469">
        <v>433.33328125000003</v>
      </c>
    </row>
    <row r="206" spans="1:19" ht="14.4" customHeight="1" x14ac:dyDescent="0.3">
      <c r="A206" s="463"/>
      <c r="B206" s="464" t="s">
        <v>938</v>
      </c>
      <c r="C206" s="464" t="s">
        <v>932</v>
      </c>
      <c r="D206" s="464" t="s">
        <v>929</v>
      </c>
      <c r="E206" s="464" t="s">
        <v>986</v>
      </c>
      <c r="F206" s="464" t="s">
        <v>1075</v>
      </c>
      <c r="G206" s="464" t="s">
        <v>1076</v>
      </c>
      <c r="H206" s="468">
        <v>52</v>
      </c>
      <c r="I206" s="468">
        <v>3928.9</v>
      </c>
      <c r="J206" s="464">
        <v>0.64197817316694961</v>
      </c>
      <c r="K206" s="464">
        <v>75.555769230769229</v>
      </c>
      <c r="L206" s="468">
        <v>81</v>
      </c>
      <c r="M206" s="468">
        <v>6119.99</v>
      </c>
      <c r="N206" s="464">
        <v>1</v>
      </c>
      <c r="O206" s="464">
        <v>75.555432098765436</v>
      </c>
      <c r="P206" s="468">
        <v>85</v>
      </c>
      <c r="Q206" s="468">
        <v>6422.22</v>
      </c>
      <c r="R206" s="491">
        <v>1.0493840676210255</v>
      </c>
      <c r="S206" s="469">
        <v>75.555529411764709</v>
      </c>
    </row>
    <row r="207" spans="1:19" ht="14.4" customHeight="1" x14ac:dyDescent="0.3">
      <c r="A207" s="463"/>
      <c r="B207" s="464" t="s">
        <v>938</v>
      </c>
      <c r="C207" s="464" t="s">
        <v>932</v>
      </c>
      <c r="D207" s="464" t="s">
        <v>929</v>
      </c>
      <c r="E207" s="464" t="s">
        <v>986</v>
      </c>
      <c r="F207" s="464" t="s">
        <v>1075</v>
      </c>
      <c r="G207" s="464" t="s">
        <v>1096</v>
      </c>
      <c r="H207" s="468">
        <v>187</v>
      </c>
      <c r="I207" s="468">
        <v>14128.880000000001</v>
      </c>
      <c r="J207" s="464">
        <v>0.94444321895506755</v>
      </c>
      <c r="K207" s="464">
        <v>75.555508021390381</v>
      </c>
      <c r="L207" s="468">
        <v>198</v>
      </c>
      <c r="M207" s="468">
        <v>14960.01</v>
      </c>
      <c r="N207" s="464">
        <v>1</v>
      </c>
      <c r="O207" s="464">
        <v>75.555606060606067</v>
      </c>
      <c r="P207" s="468">
        <v>134</v>
      </c>
      <c r="Q207" s="468">
        <v>10124.43</v>
      </c>
      <c r="R207" s="491">
        <v>0.67676625884608366</v>
      </c>
      <c r="S207" s="469">
        <v>75.555447761194031</v>
      </c>
    </row>
    <row r="208" spans="1:19" ht="14.4" customHeight="1" x14ac:dyDescent="0.3">
      <c r="A208" s="463"/>
      <c r="B208" s="464" t="s">
        <v>938</v>
      </c>
      <c r="C208" s="464" t="s">
        <v>932</v>
      </c>
      <c r="D208" s="464" t="s">
        <v>929</v>
      </c>
      <c r="E208" s="464" t="s">
        <v>986</v>
      </c>
      <c r="F208" s="464" t="s">
        <v>1097</v>
      </c>
      <c r="G208" s="464" t="s">
        <v>1098</v>
      </c>
      <c r="H208" s="468">
        <v>14</v>
      </c>
      <c r="I208" s="468">
        <v>17966.669999999998</v>
      </c>
      <c r="J208" s="464">
        <v>0.50000013914658059</v>
      </c>
      <c r="K208" s="464">
        <v>1283.3335714285713</v>
      </c>
      <c r="L208" s="468">
        <v>28</v>
      </c>
      <c r="M208" s="468">
        <v>35933.33</v>
      </c>
      <c r="N208" s="464">
        <v>1</v>
      </c>
      <c r="O208" s="464">
        <v>1283.3332142857143</v>
      </c>
      <c r="P208" s="468">
        <v>30</v>
      </c>
      <c r="Q208" s="468">
        <v>38500</v>
      </c>
      <c r="R208" s="491">
        <v>1.0714286708189862</v>
      </c>
      <c r="S208" s="469">
        <v>1283.3333333333333</v>
      </c>
    </row>
    <row r="209" spans="1:19" ht="14.4" customHeight="1" x14ac:dyDescent="0.3">
      <c r="A209" s="463"/>
      <c r="B209" s="464" t="s">
        <v>938</v>
      </c>
      <c r="C209" s="464" t="s">
        <v>932</v>
      </c>
      <c r="D209" s="464" t="s">
        <v>929</v>
      </c>
      <c r="E209" s="464" t="s">
        <v>986</v>
      </c>
      <c r="F209" s="464" t="s">
        <v>1099</v>
      </c>
      <c r="G209" s="464" t="s">
        <v>1100</v>
      </c>
      <c r="H209" s="468"/>
      <c r="I209" s="468"/>
      <c r="J209" s="464"/>
      <c r="K209" s="464"/>
      <c r="L209" s="468"/>
      <c r="M209" s="468"/>
      <c r="N209" s="464"/>
      <c r="O209" s="464"/>
      <c r="P209" s="468">
        <v>1</v>
      </c>
      <c r="Q209" s="468">
        <v>466.67</v>
      </c>
      <c r="R209" s="491"/>
      <c r="S209" s="469">
        <v>466.67</v>
      </c>
    </row>
    <row r="210" spans="1:19" ht="14.4" customHeight="1" x14ac:dyDescent="0.3">
      <c r="A210" s="463"/>
      <c r="B210" s="464" t="s">
        <v>938</v>
      </c>
      <c r="C210" s="464" t="s">
        <v>932</v>
      </c>
      <c r="D210" s="464" t="s">
        <v>929</v>
      </c>
      <c r="E210" s="464" t="s">
        <v>986</v>
      </c>
      <c r="F210" s="464" t="s">
        <v>1052</v>
      </c>
      <c r="G210" s="464" t="s">
        <v>1053</v>
      </c>
      <c r="H210" s="468"/>
      <c r="I210" s="468"/>
      <c r="J210" s="464"/>
      <c r="K210" s="464"/>
      <c r="L210" s="468"/>
      <c r="M210" s="468"/>
      <c r="N210" s="464"/>
      <c r="O210" s="464"/>
      <c r="P210" s="468">
        <v>1</v>
      </c>
      <c r="Q210" s="468">
        <v>116.67</v>
      </c>
      <c r="R210" s="491"/>
      <c r="S210" s="469">
        <v>116.67</v>
      </c>
    </row>
    <row r="211" spans="1:19" ht="14.4" customHeight="1" x14ac:dyDescent="0.3">
      <c r="A211" s="463"/>
      <c r="B211" s="464" t="s">
        <v>938</v>
      </c>
      <c r="C211" s="464" t="s">
        <v>932</v>
      </c>
      <c r="D211" s="464" t="s">
        <v>929</v>
      </c>
      <c r="E211" s="464" t="s">
        <v>986</v>
      </c>
      <c r="F211" s="464" t="s">
        <v>1052</v>
      </c>
      <c r="G211" s="464" t="s">
        <v>1054</v>
      </c>
      <c r="H211" s="468"/>
      <c r="I211" s="468"/>
      <c r="J211" s="464"/>
      <c r="K211" s="464"/>
      <c r="L211" s="468">
        <v>1</v>
      </c>
      <c r="M211" s="468">
        <v>116.67</v>
      </c>
      <c r="N211" s="464">
        <v>1</v>
      </c>
      <c r="O211" s="464">
        <v>116.67</v>
      </c>
      <c r="P211" s="468"/>
      <c r="Q211" s="468"/>
      <c r="R211" s="491"/>
      <c r="S211" s="469"/>
    </row>
    <row r="212" spans="1:19" ht="14.4" customHeight="1" x14ac:dyDescent="0.3">
      <c r="A212" s="463"/>
      <c r="B212" s="464" t="s">
        <v>938</v>
      </c>
      <c r="C212" s="464" t="s">
        <v>932</v>
      </c>
      <c r="D212" s="464" t="s">
        <v>929</v>
      </c>
      <c r="E212" s="464" t="s">
        <v>986</v>
      </c>
      <c r="F212" s="464" t="s">
        <v>1058</v>
      </c>
      <c r="G212" s="464" t="s">
        <v>1101</v>
      </c>
      <c r="H212" s="468"/>
      <c r="I212" s="468"/>
      <c r="J212" s="464"/>
      <c r="K212" s="464"/>
      <c r="L212" s="468"/>
      <c r="M212" s="468"/>
      <c r="N212" s="464"/>
      <c r="O212" s="464"/>
      <c r="P212" s="468">
        <v>2</v>
      </c>
      <c r="Q212" s="468">
        <v>688.88</v>
      </c>
      <c r="R212" s="491"/>
      <c r="S212" s="469">
        <v>344.44</v>
      </c>
    </row>
    <row r="213" spans="1:19" ht="14.4" customHeight="1" x14ac:dyDescent="0.3">
      <c r="A213" s="463"/>
      <c r="B213" s="464" t="s">
        <v>938</v>
      </c>
      <c r="C213" s="464" t="s">
        <v>932</v>
      </c>
      <c r="D213" s="464" t="s">
        <v>929</v>
      </c>
      <c r="E213" s="464" t="s">
        <v>986</v>
      </c>
      <c r="F213" s="464" t="s">
        <v>1058</v>
      </c>
      <c r="G213" s="464" t="s">
        <v>1059</v>
      </c>
      <c r="H213" s="468">
        <v>1</v>
      </c>
      <c r="I213" s="468">
        <v>344.44</v>
      </c>
      <c r="J213" s="464"/>
      <c r="K213" s="464">
        <v>344.44</v>
      </c>
      <c r="L213" s="468"/>
      <c r="M213" s="468"/>
      <c r="N213" s="464"/>
      <c r="O213" s="464"/>
      <c r="P213" s="468">
        <v>-1</v>
      </c>
      <c r="Q213" s="468">
        <v>-344.44</v>
      </c>
      <c r="R213" s="491"/>
      <c r="S213" s="469">
        <v>344.44</v>
      </c>
    </row>
    <row r="214" spans="1:19" ht="14.4" customHeight="1" x14ac:dyDescent="0.3">
      <c r="A214" s="463"/>
      <c r="B214" s="464" t="s">
        <v>938</v>
      </c>
      <c r="C214" s="464" t="s">
        <v>932</v>
      </c>
      <c r="D214" s="464" t="s">
        <v>929</v>
      </c>
      <c r="E214" s="464" t="s">
        <v>986</v>
      </c>
      <c r="F214" s="464" t="s">
        <v>1102</v>
      </c>
      <c r="G214" s="464" t="s">
        <v>1103</v>
      </c>
      <c r="H214" s="468">
        <v>1</v>
      </c>
      <c r="I214" s="468">
        <v>466.67</v>
      </c>
      <c r="J214" s="464"/>
      <c r="K214" s="464">
        <v>466.67</v>
      </c>
      <c r="L214" s="468"/>
      <c r="M214" s="468"/>
      <c r="N214" s="464"/>
      <c r="O214" s="464"/>
      <c r="P214" s="468"/>
      <c r="Q214" s="468"/>
      <c r="R214" s="491"/>
      <c r="S214" s="469"/>
    </row>
    <row r="215" spans="1:19" ht="14.4" customHeight="1" x14ac:dyDescent="0.3">
      <c r="A215" s="463"/>
      <c r="B215" s="464" t="s">
        <v>938</v>
      </c>
      <c r="C215" s="464" t="s">
        <v>932</v>
      </c>
      <c r="D215" s="464" t="s">
        <v>929</v>
      </c>
      <c r="E215" s="464" t="s">
        <v>986</v>
      </c>
      <c r="F215" s="464" t="s">
        <v>1104</v>
      </c>
      <c r="G215" s="464" t="s">
        <v>1105</v>
      </c>
      <c r="H215" s="468"/>
      <c r="I215" s="468"/>
      <c r="J215" s="464"/>
      <c r="K215" s="464"/>
      <c r="L215" s="468"/>
      <c r="M215" s="468"/>
      <c r="N215" s="464"/>
      <c r="O215" s="464"/>
      <c r="P215" s="468">
        <v>12</v>
      </c>
      <c r="Q215" s="468">
        <v>1400</v>
      </c>
      <c r="R215" s="491"/>
      <c r="S215" s="469">
        <v>116.66666666666667</v>
      </c>
    </row>
    <row r="216" spans="1:19" ht="14.4" customHeight="1" x14ac:dyDescent="0.3">
      <c r="A216" s="463"/>
      <c r="B216" s="464" t="s">
        <v>938</v>
      </c>
      <c r="C216" s="464" t="s">
        <v>932</v>
      </c>
      <c r="D216" s="464" t="s">
        <v>929</v>
      </c>
      <c r="E216" s="464" t="s">
        <v>986</v>
      </c>
      <c r="F216" s="464" t="s">
        <v>1104</v>
      </c>
      <c r="G216" s="464" t="s">
        <v>1106</v>
      </c>
      <c r="H216" s="468">
        <v>5</v>
      </c>
      <c r="I216" s="468">
        <v>583.34</v>
      </c>
      <c r="J216" s="464"/>
      <c r="K216" s="464">
        <v>116.66800000000001</v>
      </c>
      <c r="L216" s="468"/>
      <c r="M216" s="468"/>
      <c r="N216" s="464"/>
      <c r="O216" s="464"/>
      <c r="P216" s="468">
        <v>96</v>
      </c>
      <c r="Q216" s="468">
        <v>11200</v>
      </c>
      <c r="R216" s="491"/>
      <c r="S216" s="469">
        <v>116.66666666666667</v>
      </c>
    </row>
    <row r="217" spans="1:19" ht="14.4" customHeight="1" x14ac:dyDescent="0.3">
      <c r="A217" s="463"/>
      <c r="B217" s="464" t="s">
        <v>938</v>
      </c>
      <c r="C217" s="464" t="s">
        <v>932</v>
      </c>
      <c r="D217" s="464" t="s">
        <v>929</v>
      </c>
      <c r="E217" s="464" t="s">
        <v>986</v>
      </c>
      <c r="F217" s="464" t="s">
        <v>1080</v>
      </c>
      <c r="G217" s="464" t="s">
        <v>1081</v>
      </c>
      <c r="H217" s="468"/>
      <c r="I217" s="468"/>
      <c r="J217" s="464"/>
      <c r="K217" s="464"/>
      <c r="L217" s="468"/>
      <c r="M217" s="468"/>
      <c r="N217" s="464"/>
      <c r="O217" s="464"/>
      <c r="P217" s="468">
        <v>3</v>
      </c>
      <c r="Q217" s="468">
        <v>1650</v>
      </c>
      <c r="R217" s="491"/>
      <c r="S217" s="469">
        <v>550</v>
      </c>
    </row>
    <row r="218" spans="1:19" ht="14.4" customHeight="1" x14ac:dyDescent="0.3">
      <c r="A218" s="463"/>
      <c r="B218" s="464" t="s">
        <v>938</v>
      </c>
      <c r="C218" s="464" t="s">
        <v>932</v>
      </c>
      <c r="D218" s="464" t="s">
        <v>929</v>
      </c>
      <c r="E218" s="464" t="s">
        <v>986</v>
      </c>
      <c r="F218" s="464" t="s">
        <v>1080</v>
      </c>
      <c r="G218" s="464" t="s">
        <v>1107</v>
      </c>
      <c r="H218" s="468"/>
      <c r="I218" s="468"/>
      <c r="J218" s="464"/>
      <c r="K218" s="464"/>
      <c r="L218" s="468"/>
      <c r="M218" s="468"/>
      <c r="N218" s="464"/>
      <c r="O218" s="464"/>
      <c r="P218" s="468">
        <v>29</v>
      </c>
      <c r="Q218" s="468">
        <v>15950</v>
      </c>
      <c r="R218" s="491"/>
      <c r="S218" s="469">
        <v>550</v>
      </c>
    </row>
    <row r="219" spans="1:19" ht="14.4" customHeight="1" x14ac:dyDescent="0.3">
      <c r="A219" s="463"/>
      <c r="B219" s="464" t="s">
        <v>938</v>
      </c>
      <c r="C219" s="464" t="s">
        <v>933</v>
      </c>
      <c r="D219" s="464" t="s">
        <v>929</v>
      </c>
      <c r="E219" s="464" t="s">
        <v>986</v>
      </c>
      <c r="F219" s="464" t="s">
        <v>992</v>
      </c>
      <c r="G219" s="464" t="s">
        <v>1071</v>
      </c>
      <c r="H219" s="468">
        <v>3</v>
      </c>
      <c r="I219" s="468">
        <v>233.34</v>
      </c>
      <c r="J219" s="464"/>
      <c r="K219" s="464">
        <v>77.78</v>
      </c>
      <c r="L219" s="468"/>
      <c r="M219" s="468"/>
      <c r="N219" s="464"/>
      <c r="O219" s="464"/>
      <c r="P219" s="468">
        <v>7</v>
      </c>
      <c r="Q219" s="468">
        <v>544.44000000000005</v>
      </c>
      <c r="R219" s="491"/>
      <c r="S219" s="469">
        <v>77.777142857142863</v>
      </c>
    </row>
    <row r="220" spans="1:19" ht="14.4" customHeight="1" x14ac:dyDescent="0.3">
      <c r="A220" s="463"/>
      <c r="B220" s="464" t="s">
        <v>938</v>
      </c>
      <c r="C220" s="464" t="s">
        <v>933</v>
      </c>
      <c r="D220" s="464" t="s">
        <v>929</v>
      </c>
      <c r="E220" s="464" t="s">
        <v>986</v>
      </c>
      <c r="F220" s="464" t="s">
        <v>992</v>
      </c>
      <c r="G220" s="464" t="s">
        <v>993</v>
      </c>
      <c r="H220" s="468">
        <v>58</v>
      </c>
      <c r="I220" s="468">
        <v>4511.1200000000008</v>
      </c>
      <c r="J220" s="464">
        <v>0.47541071716502153</v>
      </c>
      <c r="K220" s="464">
        <v>77.777931034482776</v>
      </c>
      <c r="L220" s="468">
        <v>122</v>
      </c>
      <c r="M220" s="468">
        <v>9488.89</v>
      </c>
      <c r="N220" s="464">
        <v>1</v>
      </c>
      <c r="O220" s="464">
        <v>77.777786885245902</v>
      </c>
      <c r="P220" s="468">
        <v>184</v>
      </c>
      <c r="Q220" s="468">
        <v>14311.12</v>
      </c>
      <c r="R220" s="491">
        <v>1.5081974814757049</v>
      </c>
      <c r="S220" s="469">
        <v>77.777826086956523</v>
      </c>
    </row>
    <row r="221" spans="1:19" ht="14.4" customHeight="1" x14ac:dyDescent="0.3">
      <c r="A221" s="463"/>
      <c r="B221" s="464" t="s">
        <v>938</v>
      </c>
      <c r="C221" s="464" t="s">
        <v>933</v>
      </c>
      <c r="D221" s="464" t="s">
        <v>929</v>
      </c>
      <c r="E221" s="464" t="s">
        <v>986</v>
      </c>
      <c r="F221" s="464" t="s">
        <v>994</v>
      </c>
      <c r="G221" s="464" t="s">
        <v>995</v>
      </c>
      <c r="H221" s="468"/>
      <c r="I221" s="468"/>
      <c r="J221" s="464"/>
      <c r="K221" s="464"/>
      <c r="L221" s="468">
        <v>4</v>
      </c>
      <c r="M221" s="468">
        <v>1000</v>
      </c>
      <c r="N221" s="464">
        <v>1</v>
      </c>
      <c r="O221" s="464">
        <v>250</v>
      </c>
      <c r="P221" s="468">
        <v>3</v>
      </c>
      <c r="Q221" s="468">
        <v>750</v>
      </c>
      <c r="R221" s="491">
        <v>0.75</v>
      </c>
      <c r="S221" s="469">
        <v>250</v>
      </c>
    </row>
    <row r="222" spans="1:19" ht="14.4" customHeight="1" x14ac:dyDescent="0.3">
      <c r="A222" s="463"/>
      <c r="B222" s="464" t="s">
        <v>938</v>
      </c>
      <c r="C222" s="464" t="s">
        <v>933</v>
      </c>
      <c r="D222" s="464" t="s">
        <v>929</v>
      </c>
      <c r="E222" s="464" t="s">
        <v>986</v>
      </c>
      <c r="F222" s="464" t="s">
        <v>994</v>
      </c>
      <c r="G222" s="464" t="s">
        <v>996</v>
      </c>
      <c r="H222" s="468">
        <v>1</v>
      </c>
      <c r="I222" s="468">
        <v>250</v>
      </c>
      <c r="J222" s="464"/>
      <c r="K222" s="464">
        <v>250</v>
      </c>
      <c r="L222" s="468"/>
      <c r="M222" s="468"/>
      <c r="N222" s="464"/>
      <c r="O222" s="464"/>
      <c r="P222" s="468">
        <v>4</v>
      </c>
      <c r="Q222" s="468">
        <v>1000</v>
      </c>
      <c r="R222" s="491"/>
      <c r="S222" s="469">
        <v>250</v>
      </c>
    </row>
    <row r="223" spans="1:19" ht="14.4" customHeight="1" x14ac:dyDescent="0.3">
      <c r="A223" s="463"/>
      <c r="B223" s="464" t="s">
        <v>938</v>
      </c>
      <c r="C223" s="464" t="s">
        <v>933</v>
      </c>
      <c r="D223" s="464" t="s">
        <v>929</v>
      </c>
      <c r="E223" s="464" t="s">
        <v>986</v>
      </c>
      <c r="F223" s="464" t="s">
        <v>997</v>
      </c>
      <c r="G223" s="464" t="s">
        <v>998</v>
      </c>
      <c r="H223" s="468">
        <v>2</v>
      </c>
      <c r="I223" s="468">
        <v>600</v>
      </c>
      <c r="J223" s="464"/>
      <c r="K223" s="464">
        <v>300</v>
      </c>
      <c r="L223" s="468"/>
      <c r="M223" s="468"/>
      <c r="N223" s="464"/>
      <c r="O223" s="464"/>
      <c r="P223" s="468"/>
      <c r="Q223" s="468"/>
      <c r="R223" s="491"/>
      <c r="S223" s="469"/>
    </row>
    <row r="224" spans="1:19" ht="14.4" customHeight="1" x14ac:dyDescent="0.3">
      <c r="A224" s="463"/>
      <c r="B224" s="464" t="s">
        <v>938</v>
      </c>
      <c r="C224" s="464" t="s">
        <v>933</v>
      </c>
      <c r="D224" s="464" t="s">
        <v>929</v>
      </c>
      <c r="E224" s="464" t="s">
        <v>986</v>
      </c>
      <c r="F224" s="464" t="s">
        <v>999</v>
      </c>
      <c r="G224" s="464" t="s">
        <v>1000</v>
      </c>
      <c r="H224" s="468">
        <v>57</v>
      </c>
      <c r="I224" s="468">
        <v>6650</v>
      </c>
      <c r="J224" s="464">
        <v>0.45967731343840706</v>
      </c>
      <c r="K224" s="464">
        <v>116.66666666666667</v>
      </c>
      <c r="L224" s="468">
        <v>124</v>
      </c>
      <c r="M224" s="468">
        <v>14466.67</v>
      </c>
      <c r="N224" s="464">
        <v>1</v>
      </c>
      <c r="O224" s="464">
        <v>116.6666935483871</v>
      </c>
      <c r="P224" s="468">
        <v>81</v>
      </c>
      <c r="Q224" s="468">
        <v>9449.99</v>
      </c>
      <c r="R224" s="491">
        <v>0.65322496469470859</v>
      </c>
      <c r="S224" s="469">
        <v>116.66654320987654</v>
      </c>
    </row>
    <row r="225" spans="1:19" ht="14.4" customHeight="1" x14ac:dyDescent="0.3">
      <c r="A225" s="463"/>
      <c r="B225" s="464" t="s">
        <v>938</v>
      </c>
      <c r="C225" s="464" t="s">
        <v>933</v>
      </c>
      <c r="D225" s="464" t="s">
        <v>929</v>
      </c>
      <c r="E225" s="464" t="s">
        <v>986</v>
      </c>
      <c r="F225" s="464" t="s">
        <v>999</v>
      </c>
      <c r="G225" s="464" t="s">
        <v>1001</v>
      </c>
      <c r="H225" s="468">
        <v>1</v>
      </c>
      <c r="I225" s="468">
        <v>116.67</v>
      </c>
      <c r="J225" s="464">
        <v>0.50002142887755541</v>
      </c>
      <c r="K225" s="464">
        <v>116.67</v>
      </c>
      <c r="L225" s="468">
        <v>2</v>
      </c>
      <c r="M225" s="468">
        <v>233.33</v>
      </c>
      <c r="N225" s="464">
        <v>1</v>
      </c>
      <c r="O225" s="464">
        <v>116.66500000000001</v>
      </c>
      <c r="P225" s="468">
        <v>13</v>
      </c>
      <c r="Q225" s="468">
        <v>1516.67</v>
      </c>
      <c r="R225" s="491">
        <v>6.5001071443877771</v>
      </c>
      <c r="S225" s="469">
        <v>116.66692307692308</v>
      </c>
    </row>
    <row r="226" spans="1:19" ht="14.4" customHeight="1" x14ac:dyDescent="0.3">
      <c r="A226" s="463"/>
      <c r="B226" s="464" t="s">
        <v>938</v>
      </c>
      <c r="C226" s="464" t="s">
        <v>933</v>
      </c>
      <c r="D226" s="464" t="s">
        <v>929</v>
      </c>
      <c r="E226" s="464" t="s">
        <v>986</v>
      </c>
      <c r="F226" s="464" t="s">
        <v>1002</v>
      </c>
      <c r="G226" s="464" t="s">
        <v>1003</v>
      </c>
      <c r="H226" s="468"/>
      <c r="I226" s="468"/>
      <c r="J226" s="464"/>
      <c r="K226" s="464"/>
      <c r="L226" s="468">
        <v>8</v>
      </c>
      <c r="M226" s="468">
        <v>2400</v>
      </c>
      <c r="N226" s="464">
        <v>1</v>
      </c>
      <c r="O226" s="464">
        <v>300</v>
      </c>
      <c r="P226" s="468">
        <v>3</v>
      </c>
      <c r="Q226" s="468">
        <v>900</v>
      </c>
      <c r="R226" s="491">
        <v>0.375</v>
      </c>
      <c r="S226" s="469">
        <v>300</v>
      </c>
    </row>
    <row r="227" spans="1:19" ht="14.4" customHeight="1" x14ac:dyDescent="0.3">
      <c r="A227" s="463"/>
      <c r="B227" s="464" t="s">
        <v>938</v>
      </c>
      <c r="C227" s="464" t="s">
        <v>933</v>
      </c>
      <c r="D227" s="464" t="s">
        <v>929</v>
      </c>
      <c r="E227" s="464" t="s">
        <v>986</v>
      </c>
      <c r="F227" s="464" t="s">
        <v>1002</v>
      </c>
      <c r="G227" s="464" t="s">
        <v>1004</v>
      </c>
      <c r="H227" s="468">
        <v>2</v>
      </c>
      <c r="I227" s="468">
        <v>600</v>
      </c>
      <c r="J227" s="464">
        <v>0.2</v>
      </c>
      <c r="K227" s="464">
        <v>300</v>
      </c>
      <c r="L227" s="468">
        <v>10</v>
      </c>
      <c r="M227" s="468">
        <v>3000</v>
      </c>
      <c r="N227" s="464">
        <v>1</v>
      </c>
      <c r="O227" s="464">
        <v>300</v>
      </c>
      <c r="P227" s="468">
        <v>5</v>
      </c>
      <c r="Q227" s="468">
        <v>1500</v>
      </c>
      <c r="R227" s="491">
        <v>0.5</v>
      </c>
      <c r="S227" s="469">
        <v>300</v>
      </c>
    </row>
    <row r="228" spans="1:19" ht="14.4" customHeight="1" x14ac:dyDescent="0.3">
      <c r="A228" s="463"/>
      <c r="B228" s="464" t="s">
        <v>938</v>
      </c>
      <c r="C228" s="464" t="s">
        <v>933</v>
      </c>
      <c r="D228" s="464" t="s">
        <v>929</v>
      </c>
      <c r="E228" s="464" t="s">
        <v>986</v>
      </c>
      <c r="F228" s="464" t="s">
        <v>1005</v>
      </c>
      <c r="G228" s="464" t="s">
        <v>1006</v>
      </c>
      <c r="H228" s="468"/>
      <c r="I228" s="468"/>
      <c r="J228" s="464"/>
      <c r="K228" s="464"/>
      <c r="L228" s="468">
        <v>3</v>
      </c>
      <c r="M228" s="468">
        <v>883.33</v>
      </c>
      <c r="N228" s="464">
        <v>1</v>
      </c>
      <c r="O228" s="464">
        <v>294.44333333333333</v>
      </c>
      <c r="P228" s="468"/>
      <c r="Q228" s="468"/>
      <c r="R228" s="491"/>
      <c r="S228" s="469"/>
    </row>
    <row r="229" spans="1:19" ht="14.4" customHeight="1" x14ac:dyDescent="0.3">
      <c r="A229" s="463"/>
      <c r="B229" s="464" t="s">
        <v>938</v>
      </c>
      <c r="C229" s="464" t="s">
        <v>933</v>
      </c>
      <c r="D229" s="464" t="s">
        <v>929</v>
      </c>
      <c r="E229" s="464" t="s">
        <v>986</v>
      </c>
      <c r="F229" s="464" t="s">
        <v>1005</v>
      </c>
      <c r="G229" s="464" t="s">
        <v>1007</v>
      </c>
      <c r="H229" s="468">
        <v>1</v>
      </c>
      <c r="I229" s="468">
        <v>294.44</v>
      </c>
      <c r="J229" s="464"/>
      <c r="K229" s="464">
        <v>294.44</v>
      </c>
      <c r="L229" s="468"/>
      <c r="M229" s="468"/>
      <c r="N229" s="464"/>
      <c r="O229" s="464"/>
      <c r="P229" s="468"/>
      <c r="Q229" s="468"/>
      <c r="R229" s="491"/>
      <c r="S229" s="469"/>
    </row>
    <row r="230" spans="1:19" ht="14.4" customHeight="1" x14ac:dyDescent="0.3">
      <c r="A230" s="463"/>
      <c r="B230" s="464" t="s">
        <v>938</v>
      </c>
      <c r="C230" s="464" t="s">
        <v>933</v>
      </c>
      <c r="D230" s="464" t="s">
        <v>929</v>
      </c>
      <c r="E230" s="464" t="s">
        <v>986</v>
      </c>
      <c r="F230" s="464" t="s">
        <v>1108</v>
      </c>
      <c r="G230" s="464" t="s">
        <v>1109</v>
      </c>
      <c r="H230" s="468">
        <v>293</v>
      </c>
      <c r="I230" s="468">
        <v>227888.88</v>
      </c>
      <c r="J230" s="464">
        <v>1.6553672472332808</v>
      </c>
      <c r="K230" s="464">
        <v>777.77774744027306</v>
      </c>
      <c r="L230" s="468">
        <v>177</v>
      </c>
      <c r="M230" s="468">
        <v>137666.66</v>
      </c>
      <c r="N230" s="464">
        <v>1</v>
      </c>
      <c r="O230" s="464">
        <v>777.77774011299437</v>
      </c>
      <c r="P230" s="468">
        <v>67</v>
      </c>
      <c r="Q230" s="468">
        <v>52111.11</v>
      </c>
      <c r="R230" s="491">
        <v>0.37853108370610572</v>
      </c>
      <c r="S230" s="469">
        <v>777.77776119402984</v>
      </c>
    </row>
    <row r="231" spans="1:19" ht="14.4" customHeight="1" x14ac:dyDescent="0.3">
      <c r="A231" s="463"/>
      <c r="B231" s="464" t="s">
        <v>938</v>
      </c>
      <c r="C231" s="464" t="s">
        <v>933</v>
      </c>
      <c r="D231" s="464" t="s">
        <v>929</v>
      </c>
      <c r="E231" s="464" t="s">
        <v>986</v>
      </c>
      <c r="F231" s="464" t="s">
        <v>1108</v>
      </c>
      <c r="G231" s="464" t="s">
        <v>1110</v>
      </c>
      <c r="H231" s="468">
        <v>383</v>
      </c>
      <c r="I231" s="468">
        <v>297888.89</v>
      </c>
      <c r="J231" s="464">
        <v>1.6872246334241754</v>
      </c>
      <c r="K231" s="464">
        <v>777.77778067885117</v>
      </c>
      <c r="L231" s="468">
        <v>227</v>
      </c>
      <c r="M231" s="468">
        <v>176555.56</v>
      </c>
      <c r="N231" s="464">
        <v>1</v>
      </c>
      <c r="O231" s="464">
        <v>777.77779735682816</v>
      </c>
      <c r="P231" s="468">
        <v>141</v>
      </c>
      <c r="Q231" s="468">
        <v>109666.67</v>
      </c>
      <c r="R231" s="491">
        <v>0.62114537769300493</v>
      </c>
      <c r="S231" s="469">
        <v>777.77780141843971</v>
      </c>
    </row>
    <row r="232" spans="1:19" ht="14.4" customHeight="1" x14ac:dyDescent="0.3">
      <c r="A232" s="463"/>
      <c r="B232" s="464" t="s">
        <v>938</v>
      </c>
      <c r="C232" s="464" t="s">
        <v>933</v>
      </c>
      <c r="D232" s="464" t="s">
        <v>929</v>
      </c>
      <c r="E232" s="464" t="s">
        <v>986</v>
      </c>
      <c r="F232" s="464" t="s">
        <v>1111</v>
      </c>
      <c r="G232" s="464" t="s">
        <v>1112</v>
      </c>
      <c r="H232" s="468">
        <v>136</v>
      </c>
      <c r="I232" s="468">
        <v>12693.33</v>
      </c>
      <c r="J232" s="464">
        <v>0.24862878706858355</v>
      </c>
      <c r="K232" s="464">
        <v>93.333308823529407</v>
      </c>
      <c r="L232" s="468">
        <v>547</v>
      </c>
      <c r="M232" s="468">
        <v>51053.340000000004</v>
      </c>
      <c r="N232" s="464">
        <v>1</v>
      </c>
      <c r="O232" s="464">
        <v>93.333345521023773</v>
      </c>
      <c r="P232" s="468">
        <v>175</v>
      </c>
      <c r="Q232" s="468">
        <v>16333.34</v>
      </c>
      <c r="R232" s="491">
        <v>0.31992696266297171</v>
      </c>
      <c r="S232" s="469">
        <v>93.333371428571425</v>
      </c>
    </row>
    <row r="233" spans="1:19" ht="14.4" customHeight="1" x14ac:dyDescent="0.3">
      <c r="A233" s="463"/>
      <c r="B233" s="464" t="s">
        <v>938</v>
      </c>
      <c r="C233" s="464" t="s">
        <v>933</v>
      </c>
      <c r="D233" s="464" t="s">
        <v>929</v>
      </c>
      <c r="E233" s="464" t="s">
        <v>986</v>
      </c>
      <c r="F233" s="464" t="s">
        <v>1111</v>
      </c>
      <c r="G233" s="464" t="s">
        <v>1113</v>
      </c>
      <c r="H233" s="468">
        <v>360</v>
      </c>
      <c r="I233" s="468">
        <v>33600</v>
      </c>
      <c r="J233" s="464">
        <v>0.3757828529836823</v>
      </c>
      <c r="K233" s="464">
        <v>93.333333333333329</v>
      </c>
      <c r="L233" s="468">
        <v>958</v>
      </c>
      <c r="M233" s="468">
        <v>89413.34</v>
      </c>
      <c r="N233" s="464">
        <v>1</v>
      </c>
      <c r="O233" s="464">
        <v>93.333340292275565</v>
      </c>
      <c r="P233" s="468">
        <v>473</v>
      </c>
      <c r="Q233" s="468">
        <v>44146.66</v>
      </c>
      <c r="R233" s="491">
        <v>0.49373684061013723</v>
      </c>
      <c r="S233" s="469">
        <v>93.333319238900643</v>
      </c>
    </row>
    <row r="234" spans="1:19" ht="14.4" customHeight="1" x14ac:dyDescent="0.3">
      <c r="A234" s="463"/>
      <c r="B234" s="464" t="s">
        <v>938</v>
      </c>
      <c r="C234" s="464" t="s">
        <v>933</v>
      </c>
      <c r="D234" s="464" t="s">
        <v>929</v>
      </c>
      <c r="E234" s="464" t="s">
        <v>986</v>
      </c>
      <c r="F234" s="464" t="s">
        <v>1114</v>
      </c>
      <c r="G234" s="464" t="s">
        <v>1115</v>
      </c>
      <c r="H234" s="468">
        <v>4</v>
      </c>
      <c r="I234" s="468">
        <v>2666.67</v>
      </c>
      <c r="J234" s="464">
        <v>0.44444500000000003</v>
      </c>
      <c r="K234" s="464">
        <v>666.66750000000002</v>
      </c>
      <c r="L234" s="468">
        <v>9</v>
      </c>
      <c r="M234" s="468">
        <v>6000</v>
      </c>
      <c r="N234" s="464">
        <v>1</v>
      </c>
      <c r="O234" s="464">
        <v>666.66666666666663</v>
      </c>
      <c r="P234" s="468">
        <v>7</v>
      </c>
      <c r="Q234" s="468">
        <v>4666.67</v>
      </c>
      <c r="R234" s="491">
        <v>0.77777833333333335</v>
      </c>
      <c r="S234" s="469">
        <v>666.66714285714284</v>
      </c>
    </row>
    <row r="235" spans="1:19" ht="14.4" customHeight="1" x14ac:dyDescent="0.3">
      <c r="A235" s="463"/>
      <c r="B235" s="464" t="s">
        <v>938</v>
      </c>
      <c r="C235" s="464" t="s">
        <v>933</v>
      </c>
      <c r="D235" s="464" t="s">
        <v>929</v>
      </c>
      <c r="E235" s="464" t="s">
        <v>986</v>
      </c>
      <c r="F235" s="464" t="s">
        <v>1114</v>
      </c>
      <c r="G235" s="464" t="s">
        <v>1116</v>
      </c>
      <c r="H235" s="468">
        <v>7</v>
      </c>
      <c r="I235" s="468">
        <v>4666.67</v>
      </c>
      <c r="J235" s="464">
        <v>0.70000014999992499</v>
      </c>
      <c r="K235" s="464">
        <v>666.66714285714284</v>
      </c>
      <c r="L235" s="468">
        <v>10</v>
      </c>
      <c r="M235" s="468">
        <v>6666.67</v>
      </c>
      <c r="N235" s="464">
        <v>1</v>
      </c>
      <c r="O235" s="464">
        <v>666.66700000000003</v>
      </c>
      <c r="P235" s="468">
        <v>14</v>
      </c>
      <c r="Q235" s="468">
        <v>9333.34</v>
      </c>
      <c r="R235" s="491">
        <v>1.40000029999985</v>
      </c>
      <c r="S235" s="469">
        <v>666.66714285714284</v>
      </c>
    </row>
    <row r="236" spans="1:19" ht="14.4" customHeight="1" x14ac:dyDescent="0.3">
      <c r="A236" s="463"/>
      <c r="B236" s="464" t="s">
        <v>938</v>
      </c>
      <c r="C236" s="464" t="s">
        <v>933</v>
      </c>
      <c r="D236" s="464" t="s">
        <v>929</v>
      </c>
      <c r="E236" s="464" t="s">
        <v>986</v>
      </c>
      <c r="F236" s="464" t="s">
        <v>1117</v>
      </c>
      <c r="G236" s="464" t="s">
        <v>1118</v>
      </c>
      <c r="H236" s="468">
        <v>37</v>
      </c>
      <c r="I236" s="468">
        <v>28777.789999999994</v>
      </c>
      <c r="J236" s="464">
        <v>1.233332976190731</v>
      </c>
      <c r="K236" s="464">
        <v>777.77810810810797</v>
      </c>
      <c r="L236" s="468">
        <v>30</v>
      </c>
      <c r="M236" s="468">
        <v>23333.35</v>
      </c>
      <c r="N236" s="464">
        <v>1</v>
      </c>
      <c r="O236" s="464">
        <v>777.77833333333331</v>
      </c>
      <c r="P236" s="468">
        <v>17</v>
      </c>
      <c r="Q236" s="468">
        <v>13222.22</v>
      </c>
      <c r="R236" s="491">
        <v>0.56666616666702385</v>
      </c>
      <c r="S236" s="469">
        <v>777.7776470588235</v>
      </c>
    </row>
    <row r="237" spans="1:19" ht="14.4" customHeight="1" x14ac:dyDescent="0.3">
      <c r="A237" s="463"/>
      <c r="B237" s="464" t="s">
        <v>938</v>
      </c>
      <c r="C237" s="464" t="s">
        <v>933</v>
      </c>
      <c r="D237" s="464" t="s">
        <v>929</v>
      </c>
      <c r="E237" s="464" t="s">
        <v>986</v>
      </c>
      <c r="F237" s="464" t="s">
        <v>1117</v>
      </c>
      <c r="G237" s="464" t="s">
        <v>1119</v>
      </c>
      <c r="H237" s="468">
        <v>51</v>
      </c>
      <c r="I237" s="468">
        <v>39666.67</v>
      </c>
      <c r="J237" s="464">
        <v>1.8214293750002868</v>
      </c>
      <c r="K237" s="464">
        <v>777.77784313725488</v>
      </c>
      <c r="L237" s="468">
        <v>28</v>
      </c>
      <c r="M237" s="468">
        <v>21777.77</v>
      </c>
      <c r="N237" s="464">
        <v>1</v>
      </c>
      <c r="O237" s="464">
        <v>777.77750000000003</v>
      </c>
      <c r="P237" s="468">
        <v>30</v>
      </c>
      <c r="Q237" s="468">
        <v>23333.33</v>
      </c>
      <c r="R237" s="491">
        <v>1.0714288010204902</v>
      </c>
      <c r="S237" s="469">
        <v>777.77766666666673</v>
      </c>
    </row>
    <row r="238" spans="1:19" ht="14.4" customHeight="1" x14ac:dyDescent="0.3">
      <c r="A238" s="463"/>
      <c r="B238" s="464" t="s">
        <v>938</v>
      </c>
      <c r="C238" s="464" t="s">
        <v>933</v>
      </c>
      <c r="D238" s="464" t="s">
        <v>929</v>
      </c>
      <c r="E238" s="464" t="s">
        <v>986</v>
      </c>
      <c r="F238" s="464" t="s">
        <v>1120</v>
      </c>
      <c r="G238" s="464" t="s">
        <v>1121</v>
      </c>
      <c r="H238" s="468">
        <v>3</v>
      </c>
      <c r="I238" s="468">
        <v>1000</v>
      </c>
      <c r="J238" s="464">
        <v>0.27272776859594289</v>
      </c>
      <c r="K238" s="464">
        <v>333.33333333333331</v>
      </c>
      <c r="L238" s="468">
        <v>11</v>
      </c>
      <c r="M238" s="468">
        <v>3666.66</v>
      </c>
      <c r="N238" s="464">
        <v>1</v>
      </c>
      <c r="O238" s="464">
        <v>333.33272727272725</v>
      </c>
      <c r="P238" s="468">
        <v>7</v>
      </c>
      <c r="Q238" s="468">
        <v>2333.33</v>
      </c>
      <c r="R238" s="491">
        <v>0.63636388429797142</v>
      </c>
      <c r="S238" s="469">
        <v>333.33285714285711</v>
      </c>
    </row>
    <row r="239" spans="1:19" ht="14.4" customHeight="1" x14ac:dyDescent="0.3">
      <c r="A239" s="463"/>
      <c r="B239" s="464" t="s">
        <v>938</v>
      </c>
      <c r="C239" s="464" t="s">
        <v>933</v>
      </c>
      <c r="D239" s="464" t="s">
        <v>929</v>
      </c>
      <c r="E239" s="464" t="s">
        <v>986</v>
      </c>
      <c r="F239" s="464" t="s">
        <v>1120</v>
      </c>
      <c r="G239" s="464" t="s">
        <v>1122</v>
      </c>
      <c r="H239" s="468">
        <v>17</v>
      </c>
      <c r="I239" s="468">
        <v>5666.67</v>
      </c>
      <c r="J239" s="464">
        <v>1.88889</v>
      </c>
      <c r="K239" s="464">
        <v>333.33352941176469</v>
      </c>
      <c r="L239" s="468">
        <v>9</v>
      </c>
      <c r="M239" s="468">
        <v>3000</v>
      </c>
      <c r="N239" s="464">
        <v>1</v>
      </c>
      <c r="O239" s="464">
        <v>333.33333333333331</v>
      </c>
      <c r="P239" s="468">
        <v>22</v>
      </c>
      <c r="Q239" s="468">
        <v>7333.33</v>
      </c>
      <c r="R239" s="491">
        <v>2.4444433333333335</v>
      </c>
      <c r="S239" s="469">
        <v>333.3331818181818</v>
      </c>
    </row>
    <row r="240" spans="1:19" ht="14.4" customHeight="1" x14ac:dyDescent="0.3">
      <c r="A240" s="463"/>
      <c r="B240" s="464" t="s">
        <v>938</v>
      </c>
      <c r="C240" s="464" t="s">
        <v>933</v>
      </c>
      <c r="D240" s="464" t="s">
        <v>929</v>
      </c>
      <c r="E240" s="464" t="s">
        <v>986</v>
      </c>
      <c r="F240" s="464" t="s">
        <v>1008</v>
      </c>
      <c r="G240" s="464" t="s">
        <v>990</v>
      </c>
      <c r="H240" s="468">
        <v>1</v>
      </c>
      <c r="I240" s="468">
        <v>373.33</v>
      </c>
      <c r="J240" s="464">
        <v>0.1787217134458971</v>
      </c>
      <c r="K240" s="464">
        <v>373.33</v>
      </c>
      <c r="L240" s="468">
        <v>5</v>
      </c>
      <c r="M240" s="468">
        <v>2088.89</v>
      </c>
      <c r="N240" s="464">
        <v>1</v>
      </c>
      <c r="O240" s="464">
        <v>417.77799999999996</v>
      </c>
      <c r="P240" s="468">
        <v>2</v>
      </c>
      <c r="Q240" s="468">
        <v>835.56</v>
      </c>
      <c r="R240" s="491">
        <v>0.40000191489259845</v>
      </c>
      <c r="S240" s="469">
        <v>417.78</v>
      </c>
    </row>
    <row r="241" spans="1:19" ht="14.4" customHeight="1" x14ac:dyDescent="0.3">
      <c r="A241" s="463"/>
      <c r="B241" s="464" t="s">
        <v>938</v>
      </c>
      <c r="C241" s="464" t="s">
        <v>933</v>
      </c>
      <c r="D241" s="464" t="s">
        <v>929</v>
      </c>
      <c r="E241" s="464" t="s">
        <v>986</v>
      </c>
      <c r="F241" s="464" t="s">
        <v>1008</v>
      </c>
      <c r="G241" s="464" t="s">
        <v>991</v>
      </c>
      <c r="H241" s="468"/>
      <c r="I241" s="468"/>
      <c r="J241" s="464"/>
      <c r="K241" s="464"/>
      <c r="L241" s="468">
        <v>2</v>
      </c>
      <c r="M241" s="468">
        <v>835.56</v>
      </c>
      <c r="N241" s="464">
        <v>1</v>
      </c>
      <c r="O241" s="464">
        <v>417.78</v>
      </c>
      <c r="P241" s="468">
        <v>2</v>
      </c>
      <c r="Q241" s="468">
        <v>835.56</v>
      </c>
      <c r="R241" s="491">
        <v>1</v>
      </c>
      <c r="S241" s="469">
        <v>417.78</v>
      </c>
    </row>
    <row r="242" spans="1:19" ht="14.4" customHeight="1" x14ac:dyDescent="0.3">
      <c r="A242" s="463"/>
      <c r="B242" s="464" t="s">
        <v>938</v>
      </c>
      <c r="C242" s="464" t="s">
        <v>933</v>
      </c>
      <c r="D242" s="464" t="s">
        <v>929</v>
      </c>
      <c r="E242" s="464" t="s">
        <v>986</v>
      </c>
      <c r="F242" s="464" t="s">
        <v>1009</v>
      </c>
      <c r="G242" s="464" t="s">
        <v>1010</v>
      </c>
      <c r="H242" s="468">
        <v>34</v>
      </c>
      <c r="I242" s="468">
        <v>7177.77</v>
      </c>
      <c r="J242" s="464">
        <v>1.4782609591086489</v>
      </c>
      <c r="K242" s="464">
        <v>211.11088235294119</v>
      </c>
      <c r="L242" s="468">
        <v>23</v>
      </c>
      <c r="M242" s="468">
        <v>4855.55</v>
      </c>
      <c r="N242" s="464">
        <v>1</v>
      </c>
      <c r="O242" s="464">
        <v>211.1108695652174</v>
      </c>
      <c r="P242" s="468">
        <v>13</v>
      </c>
      <c r="Q242" s="468">
        <v>2744.44</v>
      </c>
      <c r="R242" s="491">
        <v>0.56521712267405344</v>
      </c>
      <c r="S242" s="469">
        <v>211.11076923076922</v>
      </c>
    </row>
    <row r="243" spans="1:19" ht="14.4" customHeight="1" x14ac:dyDescent="0.3">
      <c r="A243" s="463"/>
      <c r="B243" s="464" t="s">
        <v>938</v>
      </c>
      <c r="C243" s="464" t="s">
        <v>933</v>
      </c>
      <c r="D243" s="464" t="s">
        <v>929</v>
      </c>
      <c r="E243" s="464" t="s">
        <v>986</v>
      </c>
      <c r="F243" s="464" t="s">
        <v>1009</v>
      </c>
      <c r="G243" s="464" t="s">
        <v>1011</v>
      </c>
      <c r="H243" s="468"/>
      <c r="I243" s="468"/>
      <c r="J243" s="464"/>
      <c r="K243" s="464"/>
      <c r="L243" s="468">
        <v>2</v>
      </c>
      <c r="M243" s="468">
        <v>422.22</v>
      </c>
      <c r="N243" s="464">
        <v>1</v>
      </c>
      <c r="O243" s="464">
        <v>211.11</v>
      </c>
      <c r="P243" s="468">
        <v>2</v>
      </c>
      <c r="Q243" s="468">
        <v>422.22</v>
      </c>
      <c r="R243" s="491">
        <v>1</v>
      </c>
      <c r="S243" s="469">
        <v>211.11</v>
      </c>
    </row>
    <row r="244" spans="1:19" ht="14.4" customHeight="1" x14ac:dyDescent="0.3">
      <c r="A244" s="463"/>
      <c r="B244" s="464" t="s">
        <v>938</v>
      </c>
      <c r="C244" s="464" t="s">
        <v>933</v>
      </c>
      <c r="D244" s="464" t="s">
        <v>929</v>
      </c>
      <c r="E244" s="464" t="s">
        <v>986</v>
      </c>
      <c r="F244" s="464" t="s">
        <v>1012</v>
      </c>
      <c r="G244" s="464" t="s">
        <v>1013</v>
      </c>
      <c r="H244" s="468">
        <v>16</v>
      </c>
      <c r="I244" s="468">
        <v>9333.33</v>
      </c>
      <c r="J244" s="464">
        <v>0.66666642857142855</v>
      </c>
      <c r="K244" s="464">
        <v>583.333125</v>
      </c>
      <c r="L244" s="468">
        <v>24</v>
      </c>
      <c r="M244" s="468">
        <v>14000</v>
      </c>
      <c r="N244" s="464">
        <v>1</v>
      </c>
      <c r="O244" s="464">
        <v>583.33333333333337</v>
      </c>
      <c r="P244" s="468">
        <v>11</v>
      </c>
      <c r="Q244" s="468">
        <v>6416.66</v>
      </c>
      <c r="R244" s="491">
        <v>0.45833285714285715</v>
      </c>
      <c r="S244" s="469">
        <v>583.33272727272731</v>
      </c>
    </row>
    <row r="245" spans="1:19" ht="14.4" customHeight="1" x14ac:dyDescent="0.3">
      <c r="A245" s="463"/>
      <c r="B245" s="464" t="s">
        <v>938</v>
      </c>
      <c r="C245" s="464" t="s">
        <v>933</v>
      </c>
      <c r="D245" s="464" t="s">
        <v>929</v>
      </c>
      <c r="E245" s="464" t="s">
        <v>986</v>
      </c>
      <c r="F245" s="464" t="s">
        <v>1014</v>
      </c>
      <c r="G245" s="464" t="s">
        <v>1015</v>
      </c>
      <c r="H245" s="468">
        <v>5</v>
      </c>
      <c r="I245" s="468">
        <v>2333.34</v>
      </c>
      <c r="J245" s="464">
        <v>0.71428921283512836</v>
      </c>
      <c r="K245" s="464">
        <v>466.66800000000001</v>
      </c>
      <c r="L245" s="468">
        <v>7</v>
      </c>
      <c r="M245" s="468">
        <v>3266.66</v>
      </c>
      <c r="N245" s="464">
        <v>1</v>
      </c>
      <c r="O245" s="464">
        <v>466.66571428571427</v>
      </c>
      <c r="P245" s="468">
        <v>2</v>
      </c>
      <c r="Q245" s="468">
        <v>933.33</v>
      </c>
      <c r="R245" s="491">
        <v>0.28571384839560898</v>
      </c>
      <c r="S245" s="469">
        <v>466.66500000000002</v>
      </c>
    </row>
    <row r="246" spans="1:19" ht="14.4" customHeight="1" x14ac:dyDescent="0.3">
      <c r="A246" s="463"/>
      <c r="B246" s="464" t="s">
        <v>938</v>
      </c>
      <c r="C246" s="464" t="s">
        <v>933</v>
      </c>
      <c r="D246" s="464" t="s">
        <v>929</v>
      </c>
      <c r="E246" s="464" t="s">
        <v>986</v>
      </c>
      <c r="F246" s="464" t="s">
        <v>1014</v>
      </c>
      <c r="G246" s="464" t="s">
        <v>1016</v>
      </c>
      <c r="H246" s="468">
        <v>6</v>
      </c>
      <c r="I246" s="468">
        <v>2800.01</v>
      </c>
      <c r="J246" s="464">
        <v>0.46153909551847139</v>
      </c>
      <c r="K246" s="464">
        <v>466.66833333333335</v>
      </c>
      <c r="L246" s="468">
        <v>13</v>
      </c>
      <c r="M246" s="468">
        <v>6066.68</v>
      </c>
      <c r="N246" s="464">
        <v>1</v>
      </c>
      <c r="O246" s="464">
        <v>466.66769230769233</v>
      </c>
      <c r="P246" s="468">
        <v>10</v>
      </c>
      <c r="Q246" s="468">
        <v>4666.67</v>
      </c>
      <c r="R246" s="491">
        <v>0.76922962806675144</v>
      </c>
      <c r="S246" s="469">
        <v>466.66700000000003</v>
      </c>
    </row>
    <row r="247" spans="1:19" ht="14.4" customHeight="1" x14ac:dyDescent="0.3">
      <c r="A247" s="463"/>
      <c r="B247" s="464" t="s">
        <v>938</v>
      </c>
      <c r="C247" s="464" t="s">
        <v>933</v>
      </c>
      <c r="D247" s="464" t="s">
        <v>929</v>
      </c>
      <c r="E247" s="464" t="s">
        <v>986</v>
      </c>
      <c r="F247" s="464" t="s">
        <v>1091</v>
      </c>
      <c r="G247" s="464" t="s">
        <v>1015</v>
      </c>
      <c r="H247" s="468">
        <v>6</v>
      </c>
      <c r="I247" s="468">
        <v>6000</v>
      </c>
      <c r="J247" s="464">
        <v>1.2</v>
      </c>
      <c r="K247" s="464">
        <v>1000</v>
      </c>
      <c r="L247" s="468">
        <v>5</v>
      </c>
      <c r="M247" s="468">
        <v>5000</v>
      </c>
      <c r="N247" s="464">
        <v>1</v>
      </c>
      <c r="O247" s="464">
        <v>1000</v>
      </c>
      <c r="P247" s="468">
        <v>3</v>
      </c>
      <c r="Q247" s="468">
        <v>3000</v>
      </c>
      <c r="R247" s="491">
        <v>0.6</v>
      </c>
      <c r="S247" s="469">
        <v>1000</v>
      </c>
    </row>
    <row r="248" spans="1:19" ht="14.4" customHeight="1" x14ac:dyDescent="0.3">
      <c r="A248" s="463"/>
      <c r="B248" s="464" t="s">
        <v>938</v>
      </c>
      <c r="C248" s="464" t="s">
        <v>933</v>
      </c>
      <c r="D248" s="464" t="s">
        <v>929</v>
      </c>
      <c r="E248" s="464" t="s">
        <v>986</v>
      </c>
      <c r="F248" s="464" t="s">
        <v>1091</v>
      </c>
      <c r="G248" s="464" t="s">
        <v>1016</v>
      </c>
      <c r="H248" s="468">
        <v>8</v>
      </c>
      <c r="I248" s="468">
        <v>8000</v>
      </c>
      <c r="J248" s="464">
        <v>2.6666666666666665</v>
      </c>
      <c r="K248" s="464">
        <v>1000</v>
      </c>
      <c r="L248" s="468">
        <v>3</v>
      </c>
      <c r="M248" s="468">
        <v>3000</v>
      </c>
      <c r="N248" s="464">
        <v>1</v>
      </c>
      <c r="O248" s="464">
        <v>1000</v>
      </c>
      <c r="P248" s="468">
        <v>6</v>
      </c>
      <c r="Q248" s="468">
        <v>6000</v>
      </c>
      <c r="R248" s="491">
        <v>2</v>
      </c>
      <c r="S248" s="469">
        <v>1000</v>
      </c>
    </row>
    <row r="249" spans="1:19" ht="14.4" customHeight="1" x14ac:dyDescent="0.3">
      <c r="A249" s="463"/>
      <c r="B249" s="464" t="s">
        <v>938</v>
      </c>
      <c r="C249" s="464" t="s">
        <v>933</v>
      </c>
      <c r="D249" s="464" t="s">
        <v>929</v>
      </c>
      <c r="E249" s="464" t="s">
        <v>986</v>
      </c>
      <c r="F249" s="464" t="s">
        <v>1017</v>
      </c>
      <c r="G249" s="464" t="s">
        <v>1018</v>
      </c>
      <c r="H249" s="468">
        <v>41</v>
      </c>
      <c r="I249" s="468">
        <v>2050</v>
      </c>
      <c r="J249" s="464">
        <v>0.82</v>
      </c>
      <c r="K249" s="464">
        <v>50</v>
      </c>
      <c r="L249" s="468">
        <v>50</v>
      </c>
      <c r="M249" s="468">
        <v>2500</v>
      </c>
      <c r="N249" s="464">
        <v>1</v>
      </c>
      <c r="O249" s="464">
        <v>50</v>
      </c>
      <c r="P249" s="468">
        <v>28</v>
      </c>
      <c r="Q249" s="468">
        <v>1400</v>
      </c>
      <c r="R249" s="491">
        <v>0.56000000000000005</v>
      </c>
      <c r="S249" s="469">
        <v>50</v>
      </c>
    </row>
    <row r="250" spans="1:19" ht="14.4" customHeight="1" x14ac:dyDescent="0.3">
      <c r="A250" s="463"/>
      <c r="B250" s="464" t="s">
        <v>938</v>
      </c>
      <c r="C250" s="464" t="s">
        <v>933</v>
      </c>
      <c r="D250" s="464" t="s">
        <v>929</v>
      </c>
      <c r="E250" s="464" t="s">
        <v>986</v>
      </c>
      <c r="F250" s="464" t="s">
        <v>1017</v>
      </c>
      <c r="G250" s="464" t="s">
        <v>1019</v>
      </c>
      <c r="H250" s="468">
        <v>72</v>
      </c>
      <c r="I250" s="468">
        <v>3600</v>
      </c>
      <c r="J250" s="464">
        <v>1.0285714285714285</v>
      </c>
      <c r="K250" s="464">
        <v>50</v>
      </c>
      <c r="L250" s="468">
        <v>70</v>
      </c>
      <c r="M250" s="468">
        <v>3500</v>
      </c>
      <c r="N250" s="464">
        <v>1</v>
      </c>
      <c r="O250" s="464">
        <v>50</v>
      </c>
      <c r="P250" s="468">
        <v>52</v>
      </c>
      <c r="Q250" s="468">
        <v>2600</v>
      </c>
      <c r="R250" s="491">
        <v>0.74285714285714288</v>
      </c>
      <c r="S250" s="469">
        <v>50</v>
      </c>
    </row>
    <row r="251" spans="1:19" ht="14.4" customHeight="1" x14ac:dyDescent="0.3">
      <c r="A251" s="463"/>
      <c r="B251" s="464" t="s">
        <v>938</v>
      </c>
      <c r="C251" s="464" t="s">
        <v>933</v>
      </c>
      <c r="D251" s="464" t="s">
        <v>929</v>
      </c>
      <c r="E251" s="464" t="s">
        <v>986</v>
      </c>
      <c r="F251" s="464" t="s">
        <v>1020</v>
      </c>
      <c r="G251" s="464" t="s">
        <v>1021</v>
      </c>
      <c r="H251" s="468"/>
      <c r="I251" s="468"/>
      <c r="J251" s="464"/>
      <c r="K251" s="464"/>
      <c r="L251" s="468">
        <v>1</v>
      </c>
      <c r="M251" s="468">
        <v>101.11</v>
      </c>
      <c r="N251" s="464">
        <v>1</v>
      </c>
      <c r="O251" s="464">
        <v>101.11</v>
      </c>
      <c r="P251" s="468"/>
      <c r="Q251" s="468"/>
      <c r="R251" s="491"/>
      <c r="S251" s="469"/>
    </row>
    <row r="252" spans="1:19" ht="14.4" customHeight="1" x14ac:dyDescent="0.3">
      <c r="A252" s="463"/>
      <c r="B252" s="464" t="s">
        <v>938</v>
      </c>
      <c r="C252" s="464" t="s">
        <v>933</v>
      </c>
      <c r="D252" s="464" t="s">
        <v>929</v>
      </c>
      <c r="E252" s="464" t="s">
        <v>986</v>
      </c>
      <c r="F252" s="464" t="s">
        <v>1123</v>
      </c>
      <c r="G252" s="464" t="s">
        <v>1124</v>
      </c>
      <c r="H252" s="468"/>
      <c r="I252" s="468"/>
      <c r="J252" s="464"/>
      <c r="K252" s="464"/>
      <c r="L252" s="468"/>
      <c r="M252" s="468"/>
      <c r="N252" s="464"/>
      <c r="O252" s="464"/>
      <c r="P252" s="468">
        <v>1</v>
      </c>
      <c r="Q252" s="468">
        <v>0</v>
      </c>
      <c r="R252" s="491"/>
      <c r="S252" s="469">
        <v>0</v>
      </c>
    </row>
    <row r="253" spans="1:19" ht="14.4" customHeight="1" x14ac:dyDescent="0.3">
      <c r="A253" s="463"/>
      <c r="B253" s="464" t="s">
        <v>938</v>
      </c>
      <c r="C253" s="464" t="s">
        <v>933</v>
      </c>
      <c r="D253" s="464" t="s">
        <v>929</v>
      </c>
      <c r="E253" s="464" t="s">
        <v>986</v>
      </c>
      <c r="F253" s="464" t="s">
        <v>1029</v>
      </c>
      <c r="G253" s="464" t="s">
        <v>1030</v>
      </c>
      <c r="H253" s="468">
        <v>142</v>
      </c>
      <c r="I253" s="468">
        <v>43388.89</v>
      </c>
      <c r="J253" s="464">
        <v>0.85029955257695944</v>
      </c>
      <c r="K253" s="464">
        <v>305.55556338028168</v>
      </c>
      <c r="L253" s="468">
        <v>167</v>
      </c>
      <c r="M253" s="468">
        <v>51027.770000000004</v>
      </c>
      <c r="N253" s="464">
        <v>1</v>
      </c>
      <c r="O253" s="464">
        <v>305.55550898203597</v>
      </c>
      <c r="P253" s="468">
        <v>113</v>
      </c>
      <c r="Q253" s="468">
        <v>34527.769999999997</v>
      </c>
      <c r="R253" s="491">
        <v>0.67664665730052465</v>
      </c>
      <c r="S253" s="469">
        <v>305.55548672566368</v>
      </c>
    </row>
    <row r="254" spans="1:19" ht="14.4" customHeight="1" x14ac:dyDescent="0.3">
      <c r="A254" s="463"/>
      <c r="B254" s="464" t="s">
        <v>938</v>
      </c>
      <c r="C254" s="464" t="s">
        <v>933</v>
      </c>
      <c r="D254" s="464" t="s">
        <v>929</v>
      </c>
      <c r="E254" s="464" t="s">
        <v>986</v>
      </c>
      <c r="F254" s="464" t="s">
        <v>1032</v>
      </c>
      <c r="G254" s="464" t="s">
        <v>1033</v>
      </c>
      <c r="H254" s="468">
        <v>970</v>
      </c>
      <c r="I254" s="468">
        <v>32333.339999999997</v>
      </c>
      <c r="J254" s="464">
        <v>0.98477217655722893</v>
      </c>
      <c r="K254" s="464">
        <v>33.333340206185561</v>
      </c>
      <c r="L254" s="468">
        <v>985</v>
      </c>
      <c r="M254" s="468">
        <v>32833.32</v>
      </c>
      <c r="N254" s="464">
        <v>1</v>
      </c>
      <c r="O254" s="464">
        <v>33.333319796954314</v>
      </c>
      <c r="P254" s="468">
        <v>844</v>
      </c>
      <c r="Q254" s="468">
        <v>28133.35</v>
      </c>
      <c r="R254" s="491">
        <v>0.85685364745325776</v>
      </c>
      <c r="S254" s="469">
        <v>33.33335308056872</v>
      </c>
    </row>
    <row r="255" spans="1:19" ht="14.4" customHeight="1" x14ac:dyDescent="0.3">
      <c r="A255" s="463"/>
      <c r="B255" s="464" t="s">
        <v>938</v>
      </c>
      <c r="C255" s="464" t="s">
        <v>933</v>
      </c>
      <c r="D255" s="464" t="s">
        <v>929</v>
      </c>
      <c r="E255" s="464" t="s">
        <v>986</v>
      </c>
      <c r="F255" s="464" t="s">
        <v>1035</v>
      </c>
      <c r="G255" s="464" t="s">
        <v>1036</v>
      </c>
      <c r="H255" s="468">
        <v>32</v>
      </c>
      <c r="I255" s="468">
        <v>14577.79</v>
      </c>
      <c r="J255" s="464">
        <v>0.69565227765219462</v>
      </c>
      <c r="K255" s="464">
        <v>455.55593750000003</v>
      </c>
      <c r="L255" s="468">
        <v>46</v>
      </c>
      <c r="M255" s="468">
        <v>20955.57</v>
      </c>
      <c r="N255" s="464">
        <v>1</v>
      </c>
      <c r="O255" s="464">
        <v>455.55586956521739</v>
      </c>
      <c r="P255" s="468">
        <v>41</v>
      </c>
      <c r="Q255" s="468">
        <v>18677.79</v>
      </c>
      <c r="R255" s="491">
        <v>0.89130431670434163</v>
      </c>
      <c r="S255" s="469">
        <v>455.55585365853659</v>
      </c>
    </row>
    <row r="256" spans="1:19" ht="14.4" customHeight="1" x14ac:dyDescent="0.3">
      <c r="A256" s="463"/>
      <c r="B256" s="464" t="s">
        <v>938</v>
      </c>
      <c r="C256" s="464" t="s">
        <v>933</v>
      </c>
      <c r="D256" s="464" t="s">
        <v>929</v>
      </c>
      <c r="E256" s="464" t="s">
        <v>986</v>
      </c>
      <c r="F256" s="464" t="s">
        <v>1035</v>
      </c>
      <c r="G256" s="464" t="s">
        <v>1037</v>
      </c>
      <c r="H256" s="468">
        <v>39</v>
      </c>
      <c r="I256" s="468">
        <v>17766.68</v>
      </c>
      <c r="J256" s="464">
        <v>0.97500031554864586</v>
      </c>
      <c r="K256" s="464">
        <v>455.55589743589746</v>
      </c>
      <c r="L256" s="468">
        <v>40</v>
      </c>
      <c r="M256" s="468">
        <v>18222.23</v>
      </c>
      <c r="N256" s="464">
        <v>1</v>
      </c>
      <c r="O256" s="464">
        <v>455.55574999999999</v>
      </c>
      <c r="P256" s="468">
        <v>43</v>
      </c>
      <c r="Q256" s="468">
        <v>19588.88</v>
      </c>
      <c r="R256" s="491">
        <v>1.0749990533540628</v>
      </c>
      <c r="S256" s="469">
        <v>455.55534883720935</v>
      </c>
    </row>
    <row r="257" spans="1:19" ht="14.4" customHeight="1" x14ac:dyDescent="0.3">
      <c r="A257" s="463"/>
      <c r="B257" s="464" t="s">
        <v>938</v>
      </c>
      <c r="C257" s="464" t="s">
        <v>933</v>
      </c>
      <c r="D257" s="464" t="s">
        <v>929</v>
      </c>
      <c r="E257" s="464" t="s">
        <v>986</v>
      </c>
      <c r="F257" s="464" t="s">
        <v>1125</v>
      </c>
      <c r="G257" s="464" t="s">
        <v>1126</v>
      </c>
      <c r="H257" s="468">
        <v>50</v>
      </c>
      <c r="I257" s="468">
        <v>2944.44</v>
      </c>
      <c r="J257" s="464">
        <v>1.1904759979460888</v>
      </c>
      <c r="K257" s="464">
        <v>58.888800000000003</v>
      </c>
      <c r="L257" s="468">
        <v>42</v>
      </c>
      <c r="M257" s="468">
        <v>2473.33</v>
      </c>
      <c r="N257" s="464">
        <v>1</v>
      </c>
      <c r="O257" s="464">
        <v>58.88880952380952</v>
      </c>
      <c r="P257" s="468">
        <v>40</v>
      </c>
      <c r="Q257" s="468">
        <v>2355.5500000000002</v>
      </c>
      <c r="R257" s="491">
        <v>0.95237998973044447</v>
      </c>
      <c r="S257" s="469">
        <v>58.888750000000002</v>
      </c>
    </row>
    <row r="258" spans="1:19" ht="14.4" customHeight="1" x14ac:dyDescent="0.3">
      <c r="A258" s="463"/>
      <c r="B258" s="464" t="s">
        <v>938</v>
      </c>
      <c r="C258" s="464" t="s">
        <v>933</v>
      </c>
      <c r="D258" s="464" t="s">
        <v>929</v>
      </c>
      <c r="E258" s="464" t="s">
        <v>986</v>
      </c>
      <c r="F258" s="464" t="s">
        <v>1125</v>
      </c>
      <c r="G258" s="464" t="s">
        <v>1127</v>
      </c>
      <c r="H258" s="468">
        <v>1</v>
      </c>
      <c r="I258" s="468">
        <v>58.89</v>
      </c>
      <c r="J258" s="464">
        <v>1</v>
      </c>
      <c r="K258" s="464">
        <v>58.89</v>
      </c>
      <c r="L258" s="468">
        <v>1</v>
      </c>
      <c r="M258" s="468">
        <v>58.89</v>
      </c>
      <c r="N258" s="464">
        <v>1</v>
      </c>
      <c r="O258" s="464">
        <v>58.89</v>
      </c>
      <c r="P258" s="468">
        <v>1</v>
      </c>
      <c r="Q258" s="468">
        <v>58.89</v>
      </c>
      <c r="R258" s="491">
        <v>1</v>
      </c>
      <c r="S258" s="469">
        <v>58.89</v>
      </c>
    </row>
    <row r="259" spans="1:19" ht="14.4" customHeight="1" x14ac:dyDescent="0.3">
      <c r="A259" s="463"/>
      <c r="B259" s="464" t="s">
        <v>938</v>
      </c>
      <c r="C259" s="464" t="s">
        <v>933</v>
      </c>
      <c r="D259" s="464" t="s">
        <v>929</v>
      </c>
      <c r="E259" s="464" t="s">
        <v>986</v>
      </c>
      <c r="F259" s="464" t="s">
        <v>1038</v>
      </c>
      <c r="G259" s="464" t="s">
        <v>1039</v>
      </c>
      <c r="H259" s="468">
        <v>162</v>
      </c>
      <c r="I259" s="468">
        <v>12600</v>
      </c>
      <c r="J259" s="464">
        <v>0.97005905041997398</v>
      </c>
      <c r="K259" s="464">
        <v>77.777777777777771</v>
      </c>
      <c r="L259" s="468">
        <v>167</v>
      </c>
      <c r="M259" s="468">
        <v>12988.9</v>
      </c>
      <c r="N259" s="464">
        <v>1</v>
      </c>
      <c r="O259" s="464">
        <v>77.777844311377237</v>
      </c>
      <c r="P259" s="468">
        <v>134</v>
      </c>
      <c r="Q259" s="468">
        <v>10422.209999999999</v>
      </c>
      <c r="R259" s="491">
        <v>0.80239358221250445</v>
      </c>
      <c r="S259" s="469">
        <v>77.777686567164167</v>
      </c>
    </row>
    <row r="260" spans="1:19" ht="14.4" customHeight="1" x14ac:dyDescent="0.3">
      <c r="A260" s="463"/>
      <c r="B260" s="464" t="s">
        <v>938</v>
      </c>
      <c r="C260" s="464" t="s">
        <v>933</v>
      </c>
      <c r="D260" s="464" t="s">
        <v>929</v>
      </c>
      <c r="E260" s="464" t="s">
        <v>986</v>
      </c>
      <c r="F260" s="464" t="s">
        <v>1128</v>
      </c>
      <c r="G260" s="464" t="s">
        <v>1129</v>
      </c>
      <c r="H260" s="468">
        <v>29</v>
      </c>
      <c r="I260" s="468">
        <v>32222.220000000005</v>
      </c>
      <c r="J260" s="464">
        <v>0.96666698666679485</v>
      </c>
      <c r="K260" s="464">
        <v>1111.1110344827589</v>
      </c>
      <c r="L260" s="468">
        <v>30</v>
      </c>
      <c r="M260" s="468">
        <v>33333.32</v>
      </c>
      <c r="N260" s="464">
        <v>1</v>
      </c>
      <c r="O260" s="464">
        <v>1111.1106666666667</v>
      </c>
      <c r="P260" s="468">
        <v>21</v>
      </c>
      <c r="Q260" s="468">
        <v>23333.33</v>
      </c>
      <c r="R260" s="491">
        <v>0.70000018000007203</v>
      </c>
      <c r="S260" s="469">
        <v>1111.1109523809525</v>
      </c>
    </row>
    <row r="261" spans="1:19" ht="14.4" customHeight="1" x14ac:dyDescent="0.3">
      <c r="A261" s="463"/>
      <c r="B261" s="464" t="s">
        <v>938</v>
      </c>
      <c r="C261" s="464" t="s">
        <v>933</v>
      </c>
      <c r="D261" s="464" t="s">
        <v>929</v>
      </c>
      <c r="E261" s="464" t="s">
        <v>986</v>
      </c>
      <c r="F261" s="464" t="s">
        <v>1128</v>
      </c>
      <c r="G261" s="464" t="s">
        <v>1130</v>
      </c>
      <c r="H261" s="468">
        <v>42</v>
      </c>
      <c r="I261" s="468">
        <v>46666.67</v>
      </c>
      <c r="J261" s="464">
        <v>1.1351355230096007</v>
      </c>
      <c r="K261" s="464">
        <v>1111.1111904761904</v>
      </c>
      <c r="L261" s="468">
        <v>37</v>
      </c>
      <c r="M261" s="468">
        <v>41111.1</v>
      </c>
      <c r="N261" s="464">
        <v>1</v>
      </c>
      <c r="O261" s="464">
        <v>1111.1108108108108</v>
      </c>
      <c r="P261" s="468">
        <v>22</v>
      </c>
      <c r="Q261" s="468">
        <v>24444.449999999997</v>
      </c>
      <c r="R261" s="491">
        <v>0.5945948904310514</v>
      </c>
      <c r="S261" s="469">
        <v>1111.1113636363634</v>
      </c>
    </row>
    <row r="262" spans="1:19" ht="14.4" customHeight="1" x14ac:dyDescent="0.3">
      <c r="A262" s="463"/>
      <c r="B262" s="464" t="s">
        <v>938</v>
      </c>
      <c r="C262" s="464" t="s">
        <v>933</v>
      </c>
      <c r="D262" s="464" t="s">
        <v>929</v>
      </c>
      <c r="E262" s="464" t="s">
        <v>986</v>
      </c>
      <c r="F262" s="464" t="s">
        <v>1041</v>
      </c>
      <c r="G262" s="464" t="s">
        <v>1042</v>
      </c>
      <c r="H262" s="468">
        <v>63</v>
      </c>
      <c r="I262" s="468">
        <v>17010</v>
      </c>
      <c r="J262" s="464">
        <v>0.30143540669856461</v>
      </c>
      <c r="K262" s="464">
        <v>270</v>
      </c>
      <c r="L262" s="468">
        <v>209</v>
      </c>
      <c r="M262" s="468">
        <v>56430</v>
      </c>
      <c r="N262" s="464">
        <v>1</v>
      </c>
      <c r="O262" s="464">
        <v>270</v>
      </c>
      <c r="P262" s="468">
        <v>171</v>
      </c>
      <c r="Q262" s="468">
        <v>46170</v>
      </c>
      <c r="R262" s="491">
        <v>0.81818181818181823</v>
      </c>
      <c r="S262" s="469">
        <v>270</v>
      </c>
    </row>
    <row r="263" spans="1:19" ht="14.4" customHeight="1" x14ac:dyDescent="0.3">
      <c r="A263" s="463"/>
      <c r="B263" s="464" t="s">
        <v>938</v>
      </c>
      <c r="C263" s="464" t="s">
        <v>933</v>
      </c>
      <c r="D263" s="464" t="s">
        <v>929</v>
      </c>
      <c r="E263" s="464" t="s">
        <v>986</v>
      </c>
      <c r="F263" s="464" t="s">
        <v>1041</v>
      </c>
      <c r="G263" s="464" t="s">
        <v>1072</v>
      </c>
      <c r="H263" s="468">
        <v>77</v>
      </c>
      <c r="I263" s="468">
        <v>20790</v>
      </c>
      <c r="J263" s="464">
        <v>0.33333333333333331</v>
      </c>
      <c r="K263" s="464">
        <v>270</v>
      </c>
      <c r="L263" s="468">
        <v>231</v>
      </c>
      <c r="M263" s="468">
        <v>62370</v>
      </c>
      <c r="N263" s="464">
        <v>1</v>
      </c>
      <c r="O263" s="464">
        <v>270</v>
      </c>
      <c r="P263" s="468">
        <v>224</v>
      </c>
      <c r="Q263" s="468">
        <v>60480</v>
      </c>
      <c r="R263" s="491">
        <v>0.96969696969696972</v>
      </c>
      <c r="S263" s="469">
        <v>270</v>
      </c>
    </row>
    <row r="264" spans="1:19" ht="14.4" customHeight="1" x14ac:dyDescent="0.3">
      <c r="A264" s="463"/>
      <c r="B264" s="464" t="s">
        <v>938</v>
      </c>
      <c r="C264" s="464" t="s">
        <v>933</v>
      </c>
      <c r="D264" s="464" t="s">
        <v>929</v>
      </c>
      <c r="E264" s="464" t="s">
        <v>986</v>
      </c>
      <c r="F264" s="464" t="s">
        <v>1043</v>
      </c>
      <c r="G264" s="464" t="s">
        <v>1044</v>
      </c>
      <c r="H264" s="468">
        <v>74</v>
      </c>
      <c r="I264" s="468">
        <v>6988.880000000001</v>
      </c>
      <c r="J264" s="464">
        <v>0.49006564005186137</v>
      </c>
      <c r="K264" s="464">
        <v>94.444324324324342</v>
      </c>
      <c r="L264" s="468">
        <v>151</v>
      </c>
      <c r="M264" s="468">
        <v>14261.11</v>
      </c>
      <c r="N264" s="464">
        <v>1</v>
      </c>
      <c r="O264" s="464">
        <v>94.444437086092719</v>
      </c>
      <c r="P264" s="468">
        <v>92</v>
      </c>
      <c r="Q264" s="468">
        <v>8688.9</v>
      </c>
      <c r="R264" s="491">
        <v>0.60927234976800537</v>
      </c>
      <c r="S264" s="469">
        <v>94.4445652173913</v>
      </c>
    </row>
    <row r="265" spans="1:19" ht="14.4" customHeight="1" x14ac:dyDescent="0.3">
      <c r="A265" s="463"/>
      <c r="B265" s="464" t="s">
        <v>938</v>
      </c>
      <c r="C265" s="464" t="s">
        <v>933</v>
      </c>
      <c r="D265" s="464" t="s">
        <v>929</v>
      </c>
      <c r="E265" s="464" t="s">
        <v>986</v>
      </c>
      <c r="F265" s="464" t="s">
        <v>1043</v>
      </c>
      <c r="G265" s="464" t="s">
        <v>1045</v>
      </c>
      <c r="H265" s="468">
        <v>135</v>
      </c>
      <c r="I265" s="468">
        <v>12749.99</v>
      </c>
      <c r="J265" s="464">
        <v>0.81818135148264204</v>
      </c>
      <c r="K265" s="464">
        <v>94.444370370370365</v>
      </c>
      <c r="L265" s="468">
        <v>165</v>
      </c>
      <c r="M265" s="468">
        <v>15583.33</v>
      </c>
      <c r="N265" s="464">
        <v>1</v>
      </c>
      <c r="O265" s="464">
        <v>94.444424242424247</v>
      </c>
      <c r="P265" s="468">
        <v>118</v>
      </c>
      <c r="Q265" s="468">
        <v>11144.449999999999</v>
      </c>
      <c r="R265" s="491">
        <v>0.715152024631449</v>
      </c>
      <c r="S265" s="469">
        <v>94.444491525423715</v>
      </c>
    </row>
    <row r="266" spans="1:19" ht="14.4" customHeight="1" x14ac:dyDescent="0.3">
      <c r="A266" s="463"/>
      <c r="B266" s="464" t="s">
        <v>938</v>
      </c>
      <c r="C266" s="464" t="s">
        <v>933</v>
      </c>
      <c r="D266" s="464" t="s">
        <v>929</v>
      </c>
      <c r="E266" s="464" t="s">
        <v>986</v>
      </c>
      <c r="F266" s="464" t="s">
        <v>1073</v>
      </c>
      <c r="G266" s="464" t="s">
        <v>1074</v>
      </c>
      <c r="H266" s="468"/>
      <c r="I266" s="468"/>
      <c r="J266" s="464"/>
      <c r="K266" s="464"/>
      <c r="L266" s="468"/>
      <c r="M266" s="468"/>
      <c r="N266" s="464"/>
      <c r="O266" s="464"/>
      <c r="P266" s="468">
        <v>1</v>
      </c>
      <c r="Q266" s="468">
        <v>96.67</v>
      </c>
      <c r="R266" s="491"/>
      <c r="S266" s="469">
        <v>96.67</v>
      </c>
    </row>
    <row r="267" spans="1:19" ht="14.4" customHeight="1" x14ac:dyDescent="0.3">
      <c r="A267" s="463"/>
      <c r="B267" s="464" t="s">
        <v>938</v>
      </c>
      <c r="C267" s="464" t="s">
        <v>933</v>
      </c>
      <c r="D267" s="464" t="s">
        <v>929</v>
      </c>
      <c r="E267" s="464" t="s">
        <v>986</v>
      </c>
      <c r="F267" s="464" t="s">
        <v>1073</v>
      </c>
      <c r="G267" s="464" t="s">
        <v>1095</v>
      </c>
      <c r="H267" s="468">
        <v>1</v>
      </c>
      <c r="I267" s="468">
        <v>96.67</v>
      </c>
      <c r="J267" s="464"/>
      <c r="K267" s="464">
        <v>96.67</v>
      </c>
      <c r="L267" s="468"/>
      <c r="M267" s="468"/>
      <c r="N267" s="464"/>
      <c r="O267" s="464"/>
      <c r="P267" s="468"/>
      <c r="Q267" s="468"/>
      <c r="R267" s="491"/>
      <c r="S267" s="469"/>
    </row>
    <row r="268" spans="1:19" ht="14.4" customHeight="1" x14ac:dyDescent="0.3">
      <c r="A268" s="463"/>
      <c r="B268" s="464" t="s">
        <v>938</v>
      </c>
      <c r="C268" s="464" t="s">
        <v>933</v>
      </c>
      <c r="D268" s="464" t="s">
        <v>929</v>
      </c>
      <c r="E268" s="464" t="s">
        <v>986</v>
      </c>
      <c r="F268" s="464" t="s">
        <v>1075</v>
      </c>
      <c r="G268" s="464" t="s">
        <v>1076</v>
      </c>
      <c r="H268" s="468"/>
      <c r="I268" s="468"/>
      <c r="J268" s="464"/>
      <c r="K268" s="464"/>
      <c r="L268" s="468"/>
      <c r="M268" s="468"/>
      <c r="N268" s="464"/>
      <c r="O268" s="464"/>
      <c r="P268" s="468">
        <v>6</v>
      </c>
      <c r="Q268" s="468">
        <v>453.34</v>
      </c>
      <c r="R268" s="491"/>
      <c r="S268" s="469">
        <v>75.556666666666658</v>
      </c>
    </row>
    <row r="269" spans="1:19" ht="14.4" customHeight="1" x14ac:dyDescent="0.3">
      <c r="A269" s="463"/>
      <c r="B269" s="464" t="s">
        <v>938</v>
      </c>
      <c r="C269" s="464" t="s">
        <v>933</v>
      </c>
      <c r="D269" s="464" t="s">
        <v>929</v>
      </c>
      <c r="E269" s="464" t="s">
        <v>986</v>
      </c>
      <c r="F269" s="464" t="s">
        <v>1075</v>
      </c>
      <c r="G269" s="464" t="s">
        <v>1096</v>
      </c>
      <c r="H269" s="468"/>
      <c r="I269" s="468"/>
      <c r="J269" s="464"/>
      <c r="K269" s="464"/>
      <c r="L269" s="468"/>
      <c r="M269" s="468"/>
      <c r="N269" s="464"/>
      <c r="O269" s="464"/>
      <c r="P269" s="468">
        <v>7</v>
      </c>
      <c r="Q269" s="468">
        <v>528.89</v>
      </c>
      <c r="R269" s="491"/>
      <c r="S269" s="469">
        <v>75.555714285714288</v>
      </c>
    </row>
    <row r="270" spans="1:19" ht="14.4" customHeight="1" x14ac:dyDescent="0.3">
      <c r="A270" s="463"/>
      <c r="B270" s="464" t="s">
        <v>938</v>
      </c>
      <c r="C270" s="464" t="s">
        <v>933</v>
      </c>
      <c r="D270" s="464" t="s">
        <v>929</v>
      </c>
      <c r="E270" s="464" t="s">
        <v>986</v>
      </c>
      <c r="F270" s="464" t="s">
        <v>1097</v>
      </c>
      <c r="G270" s="464" t="s">
        <v>1098</v>
      </c>
      <c r="H270" s="468">
        <v>14</v>
      </c>
      <c r="I270" s="468">
        <v>17966.68</v>
      </c>
      <c r="J270" s="464">
        <v>1.0769240912935247</v>
      </c>
      <c r="K270" s="464">
        <v>1283.3342857142857</v>
      </c>
      <c r="L270" s="468">
        <v>13</v>
      </c>
      <c r="M270" s="468">
        <v>16683.330000000002</v>
      </c>
      <c r="N270" s="464">
        <v>1</v>
      </c>
      <c r="O270" s="464">
        <v>1283.333076923077</v>
      </c>
      <c r="P270" s="468">
        <v>12</v>
      </c>
      <c r="Q270" s="468">
        <v>15399.99</v>
      </c>
      <c r="R270" s="491">
        <v>0.92307650810719433</v>
      </c>
      <c r="S270" s="469">
        <v>1283.3325</v>
      </c>
    </row>
    <row r="271" spans="1:19" ht="14.4" customHeight="1" x14ac:dyDescent="0.3">
      <c r="A271" s="463"/>
      <c r="B271" s="464" t="s">
        <v>938</v>
      </c>
      <c r="C271" s="464" t="s">
        <v>933</v>
      </c>
      <c r="D271" s="464" t="s">
        <v>929</v>
      </c>
      <c r="E271" s="464" t="s">
        <v>986</v>
      </c>
      <c r="F271" s="464" t="s">
        <v>1052</v>
      </c>
      <c r="G271" s="464" t="s">
        <v>1053</v>
      </c>
      <c r="H271" s="468">
        <v>1</v>
      </c>
      <c r="I271" s="468">
        <v>116.67</v>
      </c>
      <c r="J271" s="464"/>
      <c r="K271" s="464">
        <v>116.67</v>
      </c>
      <c r="L271" s="468"/>
      <c r="M271" s="468"/>
      <c r="N271" s="464"/>
      <c r="O271" s="464"/>
      <c r="P271" s="468"/>
      <c r="Q271" s="468"/>
      <c r="R271" s="491"/>
      <c r="S271" s="469"/>
    </row>
    <row r="272" spans="1:19" ht="14.4" customHeight="1" x14ac:dyDescent="0.3">
      <c r="A272" s="463"/>
      <c r="B272" s="464" t="s">
        <v>938</v>
      </c>
      <c r="C272" s="464" t="s">
        <v>933</v>
      </c>
      <c r="D272" s="464" t="s">
        <v>929</v>
      </c>
      <c r="E272" s="464" t="s">
        <v>986</v>
      </c>
      <c r="F272" s="464" t="s">
        <v>1052</v>
      </c>
      <c r="G272" s="464" t="s">
        <v>1054</v>
      </c>
      <c r="H272" s="468">
        <v>2</v>
      </c>
      <c r="I272" s="468">
        <v>233.34</v>
      </c>
      <c r="J272" s="464">
        <v>2</v>
      </c>
      <c r="K272" s="464">
        <v>116.67</v>
      </c>
      <c r="L272" s="468">
        <v>1</v>
      </c>
      <c r="M272" s="468">
        <v>116.67</v>
      </c>
      <c r="N272" s="464">
        <v>1</v>
      </c>
      <c r="O272" s="464">
        <v>116.67</v>
      </c>
      <c r="P272" s="468"/>
      <c r="Q272" s="468"/>
      <c r="R272" s="491"/>
      <c r="S272" s="469"/>
    </row>
    <row r="273" spans="1:19" ht="14.4" customHeight="1" x14ac:dyDescent="0.3">
      <c r="A273" s="463"/>
      <c r="B273" s="464" t="s">
        <v>938</v>
      </c>
      <c r="C273" s="464" t="s">
        <v>933</v>
      </c>
      <c r="D273" s="464" t="s">
        <v>929</v>
      </c>
      <c r="E273" s="464" t="s">
        <v>986</v>
      </c>
      <c r="F273" s="464" t="s">
        <v>1055</v>
      </c>
      <c r="G273" s="464" t="s">
        <v>1056</v>
      </c>
      <c r="H273" s="468">
        <v>5</v>
      </c>
      <c r="I273" s="468">
        <v>244.44</v>
      </c>
      <c r="J273" s="464">
        <v>0.83332765145058474</v>
      </c>
      <c r="K273" s="464">
        <v>48.887999999999998</v>
      </c>
      <c r="L273" s="468">
        <v>6</v>
      </c>
      <c r="M273" s="468">
        <v>293.33</v>
      </c>
      <c r="N273" s="464">
        <v>1</v>
      </c>
      <c r="O273" s="464">
        <v>48.888333333333328</v>
      </c>
      <c r="P273" s="468">
        <v>2</v>
      </c>
      <c r="Q273" s="468">
        <v>97.78</v>
      </c>
      <c r="R273" s="491">
        <v>0.33334469709883069</v>
      </c>
      <c r="S273" s="469">
        <v>48.89</v>
      </c>
    </row>
    <row r="274" spans="1:19" ht="14.4" customHeight="1" x14ac:dyDescent="0.3">
      <c r="A274" s="463"/>
      <c r="B274" s="464" t="s">
        <v>938</v>
      </c>
      <c r="C274" s="464" t="s">
        <v>933</v>
      </c>
      <c r="D274" s="464" t="s">
        <v>929</v>
      </c>
      <c r="E274" s="464" t="s">
        <v>986</v>
      </c>
      <c r="F274" s="464" t="s">
        <v>1055</v>
      </c>
      <c r="G274" s="464" t="s">
        <v>1057</v>
      </c>
      <c r="H274" s="468">
        <v>10</v>
      </c>
      <c r="I274" s="468">
        <v>488.9</v>
      </c>
      <c r="J274" s="464">
        <v>0.58824944953134972</v>
      </c>
      <c r="K274" s="464">
        <v>48.89</v>
      </c>
      <c r="L274" s="468">
        <v>17</v>
      </c>
      <c r="M274" s="468">
        <v>831.1099999999999</v>
      </c>
      <c r="N274" s="464">
        <v>1</v>
      </c>
      <c r="O274" s="464">
        <v>48.888823529411759</v>
      </c>
      <c r="P274" s="468"/>
      <c r="Q274" s="468"/>
      <c r="R274" s="491"/>
      <c r="S274" s="469"/>
    </row>
    <row r="275" spans="1:19" ht="14.4" customHeight="1" x14ac:dyDescent="0.3">
      <c r="A275" s="463"/>
      <c r="B275" s="464" t="s">
        <v>938</v>
      </c>
      <c r="C275" s="464" t="s">
        <v>933</v>
      </c>
      <c r="D275" s="464" t="s">
        <v>929</v>
      </c>
      <c r="E275" s="464" t="s">
        <v>986</v>
      </c>
      <c r="F275" s="464" t="s">
        <v>1131</v>
      </c>
      <c r="G275" s="464" t="s">
        <v>1132</v>
      </c>
      <c r="H275" s="468"/>
      <c r="I275" s="468"/>
      <c r="J275" s="464"/>
      <c r="K275" s="464"/>
      <c r="L275" s="468"/>
      <c r="M275" s="468"/>
      <c r="N275" s="464"/>
      <c r="O275" s="464"/>
      <c r="P275" s="468">
        <v>1</v>
      </c>
      <c r="Q275" s="468">
        <v>466.67</v>
      </c>
      <c r="R275" s="491"/>
      <c r="S275" s="469">
        <v>466.67</v>
      </c>
    </row>
    <row r="276" spans="1:19" ht="14.4" customHeight="1" x14ac:dyDescent="0.3">
      <c r="A276" s="463"/>
      <c r="B276" s="464" t="s">
        <v>938</v>
      </c>
      <c r="C276" s="464" t="s">
        <v>933</v>
      </c>
      <c r="D276" s="464" t="s">
        <v>929</v>
      </c>
      <c r="E276" s="464" t="s">
        <v>986</v>
      </c>
      <c r="F276" s="464" t="s">
        <v>1131</v>
      </c>
      <c r="G276" s="464" t="s">
        <v>1133</v>
      </c>
      <c r="H276" s="468">
        <v>1</v>
      </c>
      <c r="I276" s="468">
        <v>466.67</v>
      </c>
      <c r="J276" s="464"/>
      <c r="K276" s="464">
        <v>466.67</v>
      </c>
      <c r="L276" s="468"/>
      <c r="M276" s="468"/>
      <c r="N276" s="464"/>
      <c r="O276" s="464"/>
      <c r="P276" s="468">
        <v>2</v>
      </c>
      <c r="Q276" s="468">
        <v>933.33</v>
      </c>
      <c r="R276" s="491"/>
      <c r="S276" s="469">
        <v>466.66500000000002</v>
      </c>
    </row>
    <row r="277" spans="1:19" ht="14.4" customHeight="1" x14ac:dyDescent="0.3">
      <c r="A277" s="463"/>
      <c r="B277" s="464" t="s">
        <v>938</v>
      </c>
      <c r="C277" s="464" t="s">
        <v>933</v>
      </c>
      <c r="D277" s="464" t="s">
        <v>929</v>
      </c>
      <c r="E277" s="464" t="s">
        <v>986</v>
      </c>
      <c r="F277" s="464" t="s">
        <v>1058</v>
      </c>
      <c r="G277" s="464" t="s">
        <v>1059</v>
      </c>
      <c r="H277" s="468"/>
      <c r="I277" s="468"/>
      <c r="J277" s="464"/>
      <c r="K277" s="464"/>
      <c r="L277" s="468"/>
      <c r="M277" s="468"/>
      <c r="N277" s="464"/>
      <c r="O277" s="464"/>
      <c r="P277" s="468">
        <v>2</v>
      </c>
      <c r="Q277" s="468">
        <v>688.88</v>
      </c>
      <c r="R277" s="491"/>
      <c r="S277" s="469">
        <v>344.44</v>
      </c>
    </row>
    <row r="278" spans="1:19" ht="14.4" customHeight="1" x14ac:dyDescent="0.3">
      <c r="A278" s="463"/>
      <c r="B278" s="464" t="s">
        <v>938</v>
      </c>
      <c r="C278" s="464" t="s">
        <v>933</v>
      </c>
      <c r="D278" s="464" t="s">
        <v>929</v>
      </c>
      <c r="E278" s="464" t="s">
        <v>986</v>
      </c>
      <c r="F278" s="464" t="s">
        <v>1102</v>
      </c>
      <c r="G278" s="464" t="s">
        <v>1134</v>
      </c>
      <c r="H278" s="468">
        <v>1</v>
      </c>
      <c r="I278" s="468">
        <v>466.67</v>
      </c>
      <c r="J278" s="464">
        <v>0.20000171428816327</v>
      </c>
      <c r="K278" s="464">
        <v>466.67</v>
      </c>
      <c r="L278" s="468">
        <v>5</v>
      </c>
      <c r="M278" s="468">
        <v>2333.33</v>
      </c>
      <c r="N278" s="464">
        <v>1</v>
      </c>
      <c r="O278" s="464">
        <v>466.666</v>
      </c>
      <c r="P278" s="468">
        <v>23</v>
      </c>
      <c r="Q278" s="468">
        <v>10733.33</v>
      </c>
      <c r="R278" s="491">
        <v>4.6000051428644904</v>
      </c>
      <c r="S278" s="469">
        <v>466.66652173913042</v>
      </c>
    </row>
    <row r="279" spans="1:19" ht="14.4" customHeight="1" x14ac:dyDescent="0.3">
      <c r="A279" s="463"/>
      <c r="B279" s="464" t="s">
        <v>938</v>
      </c>
      <c r="C279" s="464" t="s">
        <v>933</v>
      </c>
      <c r="D279" s="464" t="s">
        <v>929</v>
      </c>
      <c r="E279" s="464" t="s">
        <v>986</v>
      </c>
      <c r="F279" s="464" t="s">
        <v>1102</v>
      </c>
      <c r="G279" s="464" t="s">
        <v>1103</v>
      </c>
      <c r="H279" s="468">
        <v>19</v>
      </c>
      <c r="I279" s="468">
        <v>8866.67</v>
      </c>
      <c r="J279" s="464">
        <v>3.8000068571526531</v>
      </c>
      <c r="K279" s="464">
        <v>466.66684210526319</v>
      </c>
      <c r="L279" s="468">
        <v>5</v>
      </c>
      <c r="M279" s="468">
        <v>2333.33</v>
      </c>
      <c r="N279" s="464">
        <v>1</v>
      </c>
      <c r="O279" s="464">
        <v>466.666</v>
      </c>
      <c r="P279" s="468">
        <v>24</v>
      </c>
      <c r="Q279" s="468">
        <v>11200</v>
      </c>
      <c r="R279" s="491">
        <v>4.8000068571526535</v>
      </c>
      <c r="S279" s="469">
        <v>466.66666666666669</v>
      </c>
    </row>
    <row r="280" spans="1:19" ht="14.4" customHeight="1" x14ac:dyDescent="0.3">
      <c r="A280" s="463"/>
      <c r="B280" s="464" t="s">
        <v>938</v>
      </c>
      <c r="C280" s="464" t="s">
        <v>933</v>
      </c>
      <c r="D280" s="464" t="s">
        <v>929</v>
      </c>
      <c r="E280" s="464" t="s">
        <v>986</v>
      </c>
      <c r="F280" s="464" t="s">
        <v>1135</v>
      </c>
      <c r="G280" s="464" t="s">
        <v>1136</v>
      </c>
      <c r="H280" s="468">
        <v>4</v>
      </c>
      <c r="I280" s="468">
        <v>391.11</v>
      </c>
      <c r="J280" s="464">
        <v>1.333299243199018</v>
      </c>
      <c r="K280" s="464">
        <v>97.777500000000003</v>
      </c>
      <c r="L280" s="468">
        <v>3</v>
      </c>
      <c r="M280" s="468">
        <v>293.34000000000003</v>
      </c>
      <c r="N280" s="464">
        <v>1</v>
      </c>
      <c r="O280" s="464">
        <v>97.780000000000015</v>
      </c>
      <c r="P280" s="468">
        <v>3</v>
      </c>
      <c r="Q280" s="468">
        <v>293.34000000000003</v>
      </c>
      <c r="R280" s="491">
        <v>1</v>
      </c>
      <c r="S280" s="469">
        <v>97.780000000000015</v>
      </c>
    </row>
    <row r="281" spans="1:19" ht="14.4" customHeight="1" x14ac:dyDescent="0.3">
      <c r="A281" s="463"/>
      <c r="B281" s="464" t="s">
        <v>938</v>
      </c>
      <c r="C281" s="464" t="s">
        <v>933</v>
      </c>
      <c r="D281" s="464" t="s">
        <v>929</v>
      </c>
      <c r="E281" s="464" t="s">
        <v>986</v>
      </c>
      <c r="F281" s="464" t="s">
        <v>1135</v>
      </c>
      <c r="G281" s="464" t="s">
        <v>1137</v>
      </c>
      <c r="H281" s="468">
        <v>4</v>
      </c>
      <c r="I281" s="468">
        <v>391.11</v>
      </c>
      <c r="J281" s="464">
        <v>1</v>
      </c>
      <c r="K281" s="464">
        <v>97.777500000000003</v>
      </c>
      <c r="L281" s="468">
        <v>4</v>
      </c>
      <c r="M281" s="468">
        <v>391.11</v>
      </c>
      <c r="N281" s="464">
        <v>1</v>
      </c>
      <c r="O281" s="464">
        <v>97.777500000000003</v>
      </c>
      <c r="P281" s="468">
        <v>4</v>
      </c>
      <c r="Q281" s="468">
        <v>391.12</v>
      </c>
      <c r="R281" s="491">
        <v>1.0000255682544552</v>
      </c>
      <c r="S281" s="469">
        <v>97.78</v>
      </c>
    </row>
    <row r="282" spans="1:19" ht="14.4" customHeight="1" x14ac:dyDescent="0.3">
      <c r="A282" s="463"/>
      <c r="B282" s="464" t="s">
        <v>938</v>
      </c>
      <c r="C282" s="464" t="s">
        <v>933</v>
      </c>
      <c r="D282" s="464" t="s">
        <v>929</v>
      </c>
      <c r="E282" s="464" t="s">
        <v>986</v>
      </c>
      <c r="F282" s="464" t="s">
        <v>1138</v>
      </c>
      <c r="G282" s="464" t="s">
        <v>1139</v>
      </c>
      <c r="H282" s="468">
        <v>1</v>
      </c>
      <c r="I282" s="468">
        <v>481.11</v>
      </c>
      <c r="J282" s="464"/>
      <c r="K282" s="464">
        <v>481.11</v>
      </c>
      <c r="L282" s="468"/>
      <c r="M282" s="468"/>
      <c r="N282" s="464"/>
      <c r="O282" s="464"/>
      <c r="P282" s="468"/>
      <c r="Q282" s="468"/>
      <c r="R282" s="491"/>
      <c r="S282" s="469"/>
    </row>
    <row r="283" spans="1:19" ht="14.4" customHeight="1" x14ac:dyDescent="0.3">
      <c r="A283" s="463"/>
      <c r="B283" s="464" t="s">
        <v>1140</v>
      </c>
      <c r="C283" s="464" t="s">
        <v>930</v>
      </c>
      <c r="D283" s="464" t="s">
        <v>929</v>
      </c>
      <c r="E283" s="464" t="s">
        <v>939</v>
      </c>
      <c r="F283" s="464" t="s">
        <v>1141</v>
      </c>
      <c r="G283" s="464"/>
      <c r="H283" s="468">
        <v>1</v>
      </c>
      <c r="I283" s="468">
        <v>113</v>
      </c>
      <c r="J283" s="464">
        <v>0.16666666666666666</v>
      </c>
      <c r="K283" s="464">
        <v>113</v>
      </c>
      <c r="L283" s="468">
        <v>6</v>
      </c>
      <c r="M283" s="468">
        <v>678</v>
      </c>
      <c r="N283" s="464">
        <v>1</v>
      </c>
      <c r="O283" s="464">
        <v>113</v>
      </c>
      <c r="P283" s="468">
        <v>3</v>
      </c>
      <c r="Q283" s="468">
        <v>339</v>
      </c>
      <c r="R283" s="491">
        <v>0.5</v>
      </c>
      <c r="S283" s="469">
        <v>113</v>
      </c>
    </row>
    <row r="284" spans="1:19" ht="14.4" customHeight="1" x14ac:dyDescent="0.3">
      <c r="A284" s="463"/>
      <c r="B284" s="464" t="s">
        <v>1140</v>
      </c>
      <c r="C284" s="464" t="s">
        <v>930</v>
      </c>
      <c r="D284" s="464" t="s">
        <v>929</v>
      </c>
      <c r="E284" s="464" t="s">
        <v>939</v>
      </c>
      <c r="F284" s="464" t="s">
        <v>1142</v>
      </c>
      <c r="G284" s="464"/>
      <c r="H284" s="468"/>
      <c r="I284" s="468"/>
      <c r="J284" s="464"/>
      <c r="K284" s="464"/>
      <c r="L284" s="468">
        <v>4</v>
      </c>
      <c r="M284" s="468">
        <v>4032</v>
      </c>
      <c r="N284" s="464">
        <v>1</v>
      </c>
      <c r="O284" s="464">
        <v>1008</v>
      </c>
      <c r="P284" s="468">
        <v>1</v>
      </c>
      <c r="Q284" s="468">
        <v>1008</v>
      </c>
      <c r="R284" s="491">
        <v>0.25</v>
      </c>
      <c r="S284" s="469">
        <v>1008</v>
      </c>
    </row>
    <row r="285" spans="1:19" ht="14.4" customHeight="1" x14ac:dyDescent="0.3">
      <c r="A285" s="463"/>
      <c r="B285" s="464" t="s">
        <v>1140</v>
      </c>
      <c r="C285" s="464" t="s">
        <v>930</v>
      </c>
      <c r="D285" s="464" t="s">
        <v>929</v>
      </c>
      <c r="E285" s="464" t="s">
        <v>939</v>
      </c>
      <c r="F285" s="464" t="s">
        <v>1143</v>
      </c>
      <c r="G285" s="464"/>
      <c r="H285" s="468">
        <v>96</v>
      </c>
      <c r="I285" s="468">
        <v>20832</v>
      </c>
      <c r="J285" s="464">
        <v>0.94117647058823528</v>
      </c>
      <c r="K285" s="464">
        <v>217</v>
      </c>
      <c r="L285" s="468">
        <v>102</v>
      </c>
      <c r="M285" s="468">
        <v>22134</v>
      </c>
      <c r="N285" s="464">
        <v>1</v>
      </c>
      <c r="O285" s="464">
        <v>217</v>
      </c>
      <c r="P285" s="468">
        <v>86</v>
      </c>
      <c r="Q285" s="468">
        <v>18662</v>
      </c>
      <c r="R285" s="491">
        <v>0.84313725490196079</v>
      </c>
      <c r="S285" s="469">
        <v>217</v>
      </c>
    </row>
    <row r="286" spans="1:19" ht="14.4" customHeight="1" x14ac:dyDescent="0.3">
      <c r="A286" s="463"/>
      <c r="B286" s="464" t="s">
        <v>1140</v>
      </c>
      <c r="C286" s="464" t="s">
        <v>930</v>
      </c>
      <c r="D286" s="464" t="s">
        <v>929</v>
      </c>
      <c r="E286" s="464" t="s">
        <v>939</v>
      </c>
      <c r="F286" s="464" t="s">
        <v>1144</v>
      </c>
      <c r="G286" s="464"/>
      <c r="H286" s="468">
        <v>1</v>
      </c>
      <c r="I286" s="468">
        <v>1289</v>
      </c>
      <c r="J286" s="464"/>
      <c r="K286" s="464">
        <v>1289</v>
      </c>
      <c r="L286" s="468"/>
      <c r="M286" s="468"/>
      <c r="N286" s="464"/>
      <c r="O286" s="464"/>
      <c r="P286" s="468"/>
      <c r="Q286" s="468"/>
      <c r="R286" s="491"/>
      <c r="S286" s="469"/>
    </row>
    <row r="287" spans="1:19" ht="14.4" customHeight="1" x14ac:dyDescent="0.3">
      <c r="A287" s="463"/>
      <c r="B287" s="464" t="s">
        <v>1140</v>
      </c>
      <c r="C287" s="464" t="s">
        <v>930</v>
      </c>
      <c r="D287" s="464" t="s">
        <v>929</v>
      </c>
      <c r="E287" s="464" t="s">
        <v>939</v>
      </c>
      <c r="F287" s="464" t="s">
        <v>1145</v>
      </c>
      <c r="G287" s="464"/>
      <c r="H287" s="468">
        <v>1</v>
      </c>
      <c r="I287" s="468">
        <v>1770</v>
      </c>
      <c r="J287" s="464">
        <v>1</v>
      </c>
      <c r="K287" s="464">
        <v>1770</v>
      </c>
      <c r="L287" s="468">
        <v>1</v>
      </c>
      <c r="M287" s="468">
        <v>1770</v>
      </c>
      <c r="N287" s="464">
        <v>1</v>
      </c>
      <c r="O287" s="464">
        <v>1770</v>
      </c>
      <c r="P287" s="468"/>
      <c r="Q287" s="468"/>
      <c r="R287" s="491"/>
      <c r="S287" s="469"/>
    </row>
    <row r="288" spans="1:19" ht="14.4" customHeight="1" x14ac:dyDescent="0.3">
      <c r="A288" s="463"/>
      <c r="B288" s="464" t="s">
        <v>1140</v>
      </c>
      <c r="C288" s="464" t="s">
        <v>930</v>
      </c>
      <c r="D288" s="464" t="s">
        <v>929</v>
      </c>
      <c r="E288" s="464" t="s">
        <v>939</v>
      </c>
      <c r="F288" s="464" t="s">
        <v>1146</v>
      </c>
      <c r="G288" s="464"/>
      <c r="H288" s="468"/>
      <c r="I288" s="468"/>
      <c r="J288" s="464"/>
      <c r="K288" s="464"/>
      <c r="L288" s="468">
        <v>1</v>
      </c>
      <c r="M288" s="468">
        <v>2450</v>
      </c>
      <c r="N288" s="464">
        <v>1</v>
      </c>
      <c r="O288" s="464">
        <v>2450</v>
      </c>
      <c r="P288" s="468">
        <v>1</v>
      </c>
      <c r="Q288" s="468">
        <v>2450</v>
      </c>
      <c r="R288" s="491">
        <v>1</v>
      </c>
      <c r="S288" s="469">
        <v>2450</v>
      </c>
    </row>
    <row r="289" spans="1:19" ht="14.4" customHeight="1" x14ac:dyDescent="0.3">
      <c r="A289" s="463"/>
      <c r="B289" s="464" t="s">
        <v>1140</v>
      </c>
      <c r="C289" s="464" t="s">
        <v>930</v>
      </c>
      <c r="D289" s="464" t="s">
        <v>929</v>
      </c>
      <c r="E289" s="464" t="s">
        <v>939</v>
      </c>
      <c r="F289" s="464" t="s">
        <v>1147</v>
      </c>
      <c r="G289" s="464"/>
      <c r="H289" s="468">
        <v>2</v>
      </c>
      <c r="I289" s="468">
        <v>2606</v>
      </c>
      <c r="J289" s="464"/>
      <c r="K289" s="464">
        <v>1303</v>
      </c>
      <c r="L289" s="468"/>
      <c r="M289" s="468"/>
      <c r="N289" s="464"/>
      <c r="O289" s="464"/>
      <c r="P289" s="468">
        <v>2</v>
      </c>
      <c r="Q289" s="468">
        <v>2606</v>
      </c>
      <c r="R289" s="491"/>
      <c r="S289" s="469">
        <v>1303</v>
      </c>
    </row>
    <row r="290" spans="1:19" ht="14.4" customHeight="1" x14ac:dyDescent="0.3">
      <c r="A290" s="463"/>
      <c r="B290" s="464" t="s">
        <v>1140</v>
      </c>
      <c r="C290" s="464" t="s">
        <v>930</v>
      </c>
      <c r="D290" s="464" t="s">
        <v>929</v>
      </c>
      <c r="E290" s="464" t="s">
        <v>939</v>
      </c>
      <c r="F290" s="464" t="s">
        <v>1148</v>
      </c>
      <c r="G290" s="464"/>
      <c r="H290" s="468">
        <v>41</v>
      </c>
      <c r="I290" s="468">
        <v>42763</v>
      </c>
      <c r="J290" s="464">
        <v>0.68333333333333335</v>
      </c>
      <c r="K290" s="464">
        <v>1043</v>
      </c>
      <c r="L290" s="468">
        <v>60</v>
      </c>
      <c r="M290" s="468">
        <v>62580</v>
      </c>
      <c r="N290" s="464">
        <v>1</v>
      </c>
      <c r="O290" s="464">
        <v>1043</v>
      </c>
      <c r="P290" s="468">
        <v>28</v>
      </c>
      <c r="Q290" s="468">
        <v>29204</v>
      </c>
      <c r="R290" s="491">
        <v>0.46666666666666667</v>
      </c>
      <c r="S290" s="469">
        <v>1043</v>
      </c>
    </row>
    <row r="291" spans="1:19" ht="14.4" customHeight="1" x14ac:dyDescent="0.3">
      <c r="A291" s="463"/>
      <c r="B291" s="464" t="s">
        <v>1140</v>
      </c>
      <c r="C291" s="464" t="s">
        <v>930</v>
      </c>
      <c r="D291" s="464" t="s">
        <v>929</v>
      </c>
      <c r="E291" s="464" t="s">
        <v>939</v>
      </c>
      <c r="F291" s="464" t="s">
        <v>1149</v>
      </c>
      <c r="G291" s="464"/>
      <c r="H291" s="468">
        <v>1</v>
      </c>
      <c r="I291" s="468">
        <v>1654</v>
      </c>
      <c r="J291" s="464"/>
      <c r="K291" s="464">
        <v>1654</v>
      </c>
      <c r="L291" s="468"/>
      <c r="M291" s="468"/>
      <c r="N291" s="464"/>
      <c r="O291" s="464"/>
      <c r="P291" s="468">
        <v>1</v>
      </c>
      <c r="Q291" s="468">
        <v>1654</v>
      </c>
      <c r="R291" s="491"/>
      <c r="S291" s="469">
        <v>1654</v>
      </c>
    </row>
    <row r="292" spans="1:19" ht="14.4" customHeight="1" x14ac:dyDescent="0.3">
      <c r="A292" s="463"/>
      <c r="B292" s="464" t="s">
        <v>1140</v>
      </c>
      <c r="C292" s="464" t="s">
        <v>930</v>
      </c>
      <c r="D292" s="464" t="s">
        <v>929</v>
      </c>
      <c r="E292" s="464" t="s">
        <v>939</v>
      </c>
      <c r="F292" s="464" t="s">
        <v>1150</v>
      </c>
      <c r="G292" s="464"/>
      <c r="H292" s="468">
        <v>5</v>
      </c>
      <c r="I292" s="468">
        <v>6615</v>
      </c>
      <c r="J292" s="464">
        <v>1</v>
      </c>
      <c r="K292" s="464">
        <v>1323</v>
      </c>
      <c r="L292" s="468">
        <v>5</v>
      </c>
      <c r="M292" s="468">
        <v>6615</v>
      </c>
      <c r="N292" s="464">
        <v>1</v>
      </c>
      <c r="O292" s="464">
        <v>1323</v>
      </c>
      <c r="P292" s="468">
        <v>1</v>
      </c>
      <c r="Q292" s="468">
        <v>1323</v>
      </c>
      <c r="R292" s="491">
        <v>0.2</v>
      </c>
      <c r="S292" s="469">
        <v>1323</v>
      </c>
    </row>
    <row r="293" spans="1:19" ht="14.4" customHeight="1" x14ac:dyDescent="0.3">
      <c r="A293" s="463"/>
      <c r="B293" s="464" t="s">
        <v>1140</v>
      </c>
      <c r="C293" s="464" t="s">
        <v>930</v>
      </c>
      <c r="D293" s="464" t="s">
        <v>929</v>
      </c>
      <c r="E293" s="464" t="s">
        <v>939</v>
      </c>
      <c r="F293" s="464" t="s">
        <v>1151</v>
      </c>
      <c r="G293" s="464"/>
      <c r="H293" s="468">
        <v>1</v>
      </c>
      <c r="I293" s="468">
        <v>2416</v>
      </c>
      <c r="J293" s="464"/>
      <c r="K293" s="464">
        <v>2416</v>
      </c>
      <c r="L293" s="468"/>
      <c r="M293" s="468"/>
      <c r="N293" s="464"/>
      <c r="O293" s="464"/>
      <c r="P293" s="468"/>
      <c r="Q293" s="468"/>
      <c r="R293" s="491"/>
      <c r="S293" s="469"/>
    </row>
    <row r="294" spans="1:19" ht="14.4" customHeight="1" x14ac:dyDescent="0.3">
      <c r="A294" s="463"/>
      <c r="B294" s="464" t="s">
        <v>1140</v>
      </c>
      <c r="C294" s="464" t="s">
        <v>930</v>
      </c>
      <c r="D294" s="464" t="s">
        <v>929</v>
      </c>
      <c r="E294" s="464" t="s">
        <v>939</v>
      </c>
      <c r="F294" s="464" t="s">
        <v>1152</v>
      </c>
      <c r="G294" s="464"/>
      <c r="H294" s="468"/>
      <c r="I294" s="468"/>
      <c r="J294" s="464"/>
      <c r="K294" s="464"/>
      <c r="L294" s="468"/>
      <c r="M294" s="468"/>
      <c r="N294" s="464"/>
      <c r="O294" s="464"/>
      <c r="P294" s="468">
        <v>1</v>
      </c>
      <c r="Q294" s="468">
        <v>1933</v>
      </c>
      <c r="R294" s="491"/>
      <c r="S294" s="469">
        <v>1933</v>
      </c>
    </row>
    <row r="295" spans="1:19" ht="14.4" customHeight="1" x14ac:dyDescent="0.3">
      <c r="A295" s="463"/>
      <c r="B295" s="464" t="s">
        <v>1140</v>
      </c>
      <c r="C295" s="464" t="s">
        <v>930</v>
      </c>
      <c r="D295" s="464" t="s">
        <v>929</v>
      </c>
      <c r="E295" s="464" t="s">
        <v>939</v>
      </c>
      <c r="F295" s="464" t="s">
        <v>1153</v>
      </c>
      <c r="G295" s="464"/>
      <c r="H295" s="468"/>
      <c r="I295" s="468"/>
      <c r="J295" s="464"/>
      <c r="K295" s="464"/>
      <c r="L295" s="468"/>
      <c r="M295" s="468"/>
      <c r="N295" s="464"/>
      <c r="O295" s="464"/>
      <c r="P295" s="468">
        <v>2</v>
      </c>
      <c r="Q295" s="468">
        <v>1356</v>
      </c>
      <c r="R295" s="491"/>
      <c r="S295" s="469">
        <v>678</v>
      </c>
    </row>
    <row r="296" spans="1:19" ht="14.4" customHeight="1" x14ac:dyDescent="0.3">
      <c r="A296" s="463"/>
      <c r="B296" s="464" t="s">
        <v>1140</v>
      </c>
      <c r="C296" s="464" t="s">
        <v>930</v>
      </c>
      <c r="D296" s="464" t="s">
        <v>929</v>
      </c>
      <c r="E296" s="464" t="s">
        <v>939</v>
      </c>
      <c r="F296" s="464" t="s">
        <v>1154</v>
      </c>
      <c r="G296" s="464"/>
      <c r="H296" s="468">
        <v>11</v>
      </c>
      <c r="I296" s="468">
        <v>5962</v>
      </c>
      <c r="J296" s="464">
        <v>0.55000000000000004</v>
      </c>
      <c r="K296" s="464">
        <v>542</v>
      </c>
      <c r="L296" s="468">
        <v>20</v>
      </c>
      <c r="M296" s="468">
        <v>10840</v>
      </c>
      <c r="N296" s="464">
        <v>1</v>
      </c>
      <c r="O296" s="464">
        <v>542</v>
      </c>
      <c r="P296" s="468">
        <v>18</v>
      </c>
      <c r="Q296" s="468">
        <v>9756</v>
      </c>
      <c r="R296" s="491">
        <v>0.9</v>
      </c>
      <c r="S296" s="469">
        <v>542</v>
      </c>
    </row>
    <row r="297" spans="1:19" ht="14.4" customHeight="1" x14ac:dyDescent="0.3">
      <c r="A297" s="463"/>
      <c r="B297" s="464" t="s">
        <v>1140</v>
      </c>
      <c r="C297" s="464" t="s">
        <v>930</v>
      </c>
      <c r="D297" s="464" t="s">
        <v>929</v>
      </c>
      <c r="E297" s="464" t="s">
        <v>939</v>
      </c>
      <c r="F297" s="464" t="s">
        <v>1155</v>
      </c>
      <c r="G297" s="464"/>
      <c r="H297" s="468">
        <v>2</v>
      </c>
      <c r="I297" s="468">
        <v>596</v>
      </c>
      <c r="J297" s="464"/>
      <c r="K297" s="464">
        <v>298</v>
      </c>
      <c r="L297" s="468"/>
      <c r="M297" s="468"/>
      <c r="N297" s="464"/>
      <c r="O297" s="464"/>
      <c r="P297" s="468">
        <v>2</v>
      </c>
      <c r="Q297" s="468">
        <v>596</v>
      </c>
      <c r="R297" s="491"/>
      <c r="S297" s="469">
        <v>298</v>
      </c>
    </row>
    <row r="298" spans="1:19" ht="14.4" customHeight="1" x14ac:dyDescent="0.3">
      <c r="A298" s="463"/>
      <c r="B298" s="464" t="s">
        <v>1140</v>
      </c>
      <c r="C298" s="464" t="s">
        <v>930</v>
      </c>
      <c r="D298" s="464" t="s">
        <v>929</v>
      </c>
      <c r="E298" s="464" t="s">
        <v>939</v>
      </c>
      <c r="F298" s="464" t="s">
        <v>1156</v>
      </c>
      <c r="G298" s="464"/>
      <c r="H298" s="468">
        <v>15</v>
      </c>
      <c r="I298" s="468">
        <v>8685</v>
      </c>
      <c r="J298" s="464">
        <v>1.0714285714285714</v>
      </c>
      <c r="K298" s="464">
        <v>579</v>
      </c>
      <c r="L298" s="468">
        <v>14</v>
      </c>
      <c r="M298" s="468">
        <v>8106</v>
      </c>
      <c r="N298" s="464">
        <v>1</v>
      </c>
      <c r="O298" s="464">
        <v>579</v>
      </c>
      <c r="P298" s="468">
        <v>23</v>
      </c>
      <c r="Q298" s="468">
        <v>13317</v>
      </c>
      <c r="R298" s="491">
        <v>1.6428571428571428</v>
      </c>
      <c r="S298" s="469">
        <v>579</v>
      </c>
    </row>
    <row r="299" spans="1:19" ht="14.4" customHeight="1" x14ac:dyDescent="0.3">
      <c r="A299" s="463"/>
      <c r="B299" s="464" t="s">
        <v>1140</v>
      </c>
      <c r="C299" s="464" t="s">
        <v>930</v>
      </c>
      <c r="D299" s="464" t="s">
        <v>929</v>
      </c>
      <c r="E299" s="464" t="s">
        <v>939</v>
      </c>
      <c r="F299" s="464" t="s">
        <v>940</v>
      </c>
      <c r="G299" s="464"/>
      <c r="H299" s="468">
        <v>5</v>
      </c>
      <c r="I299" s="468">
        <v>565</v>
      </c>
      <c r="J299" s="464">
        <v>1</v>
      </c>
      <c r="K299" s="464">
        <v>113</v>
      </c>
      <c r="L299" s="468">
        <v>5</v>
      </c>
      <c r="M299" s="468">
        <v>565</v>
      </c>
      <c r="N299" s="464">
        <v>1</v>
      </c>
      <c r="O299" s="464">
        <v>113</v>
      </c>
      <c r="P299" s="468">
        <v>10</v>
      </c>
      <c r="Q299" s="468">
        <v>1130</v>
      </c>
      <c r="R299" s="491">
        <v>2</v>
      </c>
      <c r="S299" s="469">
        <v>113</v>
      </c>
    </row>
    <row r="300" spans="1:19" ht="14.4" customHeight="1" x14ac:dyDescent="0.3">
      <c r="A300" s="463"/>
      <c r="B300" s="464" t="s">
        <v>1140</v>
      </c>
      <c r="C300" s="464" t="s">
        <v>930</v>
      </c>
      <c r="D300" s="464" t="s">
        <v>929</v>
      </c>
      <c r="E300" s="464" t="s">
        <v>939</v>
      </c>
      <c r="F300" s="464" t="s">
        <v>941</v>
      </c>
      <c r="G300" s="464"/>
      <c r="H300" s="468">
        <v>3</v>
      </c>
      <c r="I300" s="468">
        <v>396</v>
      </c>
      <c r="J300" s="464"/>
      <c r="K300" s="464">
        <v>132</v>
      </c>
      <c r="L300" s="468"/>
      <c r="M300" s="468"/>
      <c r="N300" s="464"/>
      <c r="O300" s="464"/>
      <c r="P300" s="468">
        <v>2</v>
      </c>
      <c r="Q300" s="468">
        <v>264</v>
      </c>
      <c r="R300" s="491"/>
      <c r="S300" s="469">
        <v>132</v>
      </c>
    </row>
    <row r="301" spans="1:19" ht="14.4" customHeight="1" x14ac:dyDescent="0.3">
      <c r="A301" s="463"/>
      <c r="B301" s="464" t="s">
        <v>1140</v>
      </c>
      <c r="C301" s="464" t="s">
        <v>930</v>
      </c>
      <c r="D301" s="464" t="s">
        <v>929</v>
      </c>
      <c r="E301" s="464" t="s">
        <v>939</v>
      </c>
      <c r="F301" s="464" t="s">
        <v>942</v>
      </c>
      <c r="G301" s="464"/>
      <c r="H301" s="468">
        <v>3</v>
      </c>
      <c r="I301" s="468">
        <v>468</v>
      </c>
      <c r="J301" s="464"/>
      <c r="K301" s="464">
        <v>156</v>
      </c>
      <c r="L301" s="468"/>
      <c r="M301" s="468"/>
      <c r="N301" s="464"/>
      <c r="O301" s="464"/>
      <c r="P301" s="468">
        <v>2</v>
      </c>
      <c r="Q301" s="468">
        <v>312</v>
      </c>
      <c r="R301" s="491"/>
      <c r="S301" s="469">
        <v>156</v>
      </c>
    </row>
    <row r="302" spans="1:19" ht="14.4" customHeight="1" x14ac:dyDescent="0.3">
      <c r="A302" s="463"/>
      <c r="B302" s="464" t="s">
        <v>1140</v>
      </c>
      <c r="C302" s="464" t="s">
        <v>930</v>
      </c>
      <c r="D302" s="464" t="s">
        <v>929</v>
      </c>
      <c r="E302" s="464" t="s">
        <v>939</v>
      </c>
      <c r="F302" s="464" t="s">
        <v>964</v>
      </c>
      <c r="G302" s="464"/>
      <c r="H302" s="468"/>
      <c r="I302" s="468"/>
      <c r="J302" s="464"/>
      <c r="K302" s="464"/>
      <c r="L302" s="468">
        <v>1</v>
      </c>
      <c r="M302" s="468">
        <v>2000</v>
      </c>
      <c r="N302" s="464">
        <v>1</v>
      </c>
      <c r="O302" s="464">
        <v>2000</v>
      </c>
      <c r="P302" s="468"/>
      <c r="Q302" s="468"/>
      <c r="R302" s="491"/>
      <c r="S302" s="469"/>
    </row>
    <row r="303" spans="1:19" ht="14.4" customHeight="1" x14ac:dyDescent="0.3">
      <c r="A303" s="463"/>
      <c r="B303" s="464" t="s">
        <v>1140</v>
      </c>
      <c r="C303" s="464" t="s">
        <v>930</v>
      </c>
      <c r="D303" s="464" t="s">
        <v>929</v>
      </c>
      <c r="E303" s="464" t="s">
        <v>939</v>
      </c>
      <c r="F303" s="464" t="s">
        <v>1157</v>
      </c>
      <c r="G303" s="464"/>
      <c r="H303" s="468">
        <v>3</v>
      </c>
      <c r="I303" s="468">
        <v>3024</v>
      </c>
      <c r="J303" s="464"/>
      <c r="K303" s="464">
        <v>1008</v>
      </c>
      <c r="L303" s="468"/>
      <c r="M303" s="468"/>
      <c r="N303" s="464"/>
      <c r="O303" s="464"/>
      <c r="P303" s="468">
        <v>2</v>
      </c>
      <c r="Q303" s="468">
        <v>2016</v>
      </c>
      <c r="R303" s="491"/>
      <c r="S303" s="469">
        <v>1008</v>
      </c>
    </row>
    <row r="304" spans="1:19" ht="14.4" customHeight="1" x14ac:dyDescent="0.3">
      <c r="A304" s="463"/>
      <c r="B304" s="464" t="s">
        <v>1140</v>
      </c>
      <c r="C304" s="464" t="s">
        <v>930</v>
      </c>
      <c r="D304" s="464" t="s">
        <v>929</v>
      </c>
      <c r="E304" s="464" t="s">
        <v>939</v>
      </c>
      <c r="F304" s="464" t="s">
        <v>1158</v>
      </c>
      <c r="G304" s="464"/>
      <c r="H304" s="468">
        <v>50</v>
      </c>
      <c r="I304" s="468">
        <v>10850</v>
      </c>
      <c r="J304" s="464">
        <v>1.2820512820512822</v>
      </c>
      <c r="K304" s="464">
        <v>217</v>
      </c>
      <c r="L304" s="468">
        <v>39</v>
      </c>
      <c r="M304" s="468">
        <v>8463</v>
      </c>
      <c r="N304" s="464">
        <v>1</v>
      </c>
      <c r="O304" s="464">
        <v>217</v>
      </c>
      <c r="P304" s="468">
        <v>44</v>
      </c>
      <c r="Q304" s="468">
        <v>9548</v>
      </c>
      <c r="R304" s="491">
        <v>1.1282051282051282</v>
      </c>
      <c r="S304" s="469">
        <v>217</v>
      </c>
    </row>
    <row r="305" spans="1:19" ht="14.4" customHeight="1" x14ac:dyDescent="0.3">
      <c r="A305" s="463"/>
      <c r="B305" s="464" t="s">
        <v>1140</v>
      </c>
      <c r="C305" s="464" t="s">
        <v>930</v>
      </c>
      <c r="D305" s="464" t="s">
        <v>929</v>
      </c>
      <c r="E305" s="464" t="s">
        <v>939</v>
      </c>
      <c r="F305" s="464" t="s">
        <v>1159</v>
      </c>
      <c r="G305" s="464"/>
      <c r="H305" s="468">
        <v>24</v>
      </c>
      <c r="I305" s="468">
        <v>25032</v>
      </c>
      <c r="J305" s="464">
        <v>0.96</v>
      </c>
      <c r="K305" s="464">
        <v>1043</v>
      </c>
      <c r="L305" s="468">
        <v>25</v>
      </c>
      <c r="M305" s="468">
        <v>26075</v>
      </c>
      <c r="N305" s="464">
        <v>1</v>
      </c>
      <c r="O305" s="464">
        <v>1043</v>
      </c>
      <c r="P305" s="468">
        <v>36</v>
      </c>
      <c r="Q305" s="468">
        <v>37548</v>
      </c>
      <c r="R305" s="491">
        <v>1.44</v>
      </c>
      <c r="S305" s="469">
        <v>1043</v>
      </c>
    </row>
    <row r="306" spans="1:19" ht="14.4" customHeight="1" x14ac:dyDescent="0.3">
      <c r="A306" s="463"/>
      <c r="B306" s="464" t="s">
        <v>1140</v>
      </c>
      <c r="C306" s="464" t="s">
        <v>930</v>
      </c>
      <c r="D306" s="464" t="s">
        <v>929</v>
      </c>
      <c r="E306" s="464" t="s">
        <v>939</v>
      </c>
      <c r="F306" s="464" t="s">
        <v>1160</v>
      </c>
      <c r="G306" s="464"/>
      <c r="H306" s="468">
        <v>1</v>
      </c>
      <c r="I306" s="468">
        <v>1323</v>
      </c>
      <c r="J306" s="464">
        <v>1</v>
      </c>
      <c r="K306" s="464">
        <v>1323</v>
      </c>
      <c r="L306" s="468">
        <v>1</v>
      </c>
      <c r="M306" s="468">
        <v>1323</v>
      </c>
      <c r="N306" s="464">
        <v>1</v>
      </c>
      <c r="O306" s="464">
        <v>1323</v>
      </c>
      <c r="P306" s="468">
        <v>1</v>
      </c>
      <c r="Q306" s="468">
        <v>1323</v>
      </c>
      <c r="R306" s="491">
        <v>1</v>
      </c>
      <c r="S306" s="469">
        <v>1323</v>
      </c>
    </row>
    <row r="307" spans="1:19" ht="14.4" customHeight="1" x14ac:dyDescent="0.3">
      <c r="A307" s="463"/>
      <c r="B307" s="464" t="s">
        <v>1140</v>
      </c>
      <c r="C307" s="464" t="s">
        <v>930</v>
      </c>
      <c r="D307" s="464" t="s">
        <v>929</v>
      </c>
      <c r="E307" s="464" t="s">
        <v>939</v>
      </c>
      <c r="F307" s="464" t="s">
        <v>1161</v>
      </c>
      <c r="G307" s="464"/>
      <c r="H307" s="468">
        <v>4</v>
      </c>
      <c r="I307" s="468">
        <v>2168</v>
      </c>
      <c r="J307" s="464">
        <v>0.5714285714285714</v>
      </c>
      <c r="K307" s="464">
        <v>542</v>
      </c>
      <c r="L307" s="468">
        <v>7</v>
      </c>
      <c r="M307" s="468">
        <v>3794</v>
      </c>
      <c r="N307" s="464">
        <v>1</v>
      </c>
      <c r="O307" s="464">
        <v>542</v>
      </c>
      <c r="P307" s="468">
        <v>1</v>
      </c>
      <c r="Q307" s="468">
        <v>542</v>
      </c>
      <c r="R307" s="491">
        <v>0.14285714285714285</v>
      </c>
      <c r="S307" s="469">
        <v>542</v>
      </c>
    </row>
    <row r="308" spans="1:19" ht="14.4" customHeight="1" x14ac:dyDescent="0.3">
      <c r="A308" s="463"/>
      <c r="B308" s="464" t="s">
        <v>1140</v>
      </c>
      <c r="C308" s="464" t="s">
        <v>930</v>
      </c>
      <c r="D308" s="464" t="s">
        <v>929</v>
      </c>
      <c r="E308" s="464" t="s">
        <v>939</v>
      </c>
      <c r="F308" s="464" t="s">
        <v>1162</v>
      </c>
      <c r="G308" s="464"/>
      <c r="H308" s="468">
        <v>5</v>
      </c>
      <c r="I308" s="468">
        <v>1490</v>
      </c>
      <c r="J308" s="464"/>
      <c r="K308" s="464">
        <v>298</v>
      </c>
      <c r="L308" s="468"/>
      <c r="M308" s="468"/>
      <c r="N308" s="464"/>
      <c r="O308" s="464"/>
      <c r="P308" s="468"/>
      <c r="Q308" s="468"/>
      <c r="R308" s="491"/>
      <c r="S308" s="469"/>
    </row>
    <row r="309" spans="1:19" ht="14.4" customHeight="1" x14ac:dyDescent="0.3">
      <c r="A309" s="463"/>
      <c r="B309" s="464" t="s">
        <v>1140</v>
      </c>
      <c r="C309" s="464" t="s">
        <v>930</v>
      </c>
      <c r="D309" s="464" t="s">
        <v>929</v>
      </c>
      <c r="E309" s="464" t="s">
        <v>939</v>
      </c>
      <c r="F309" s="464" t="s">
        <v>1163</v>
      </c>
      <c r="G309" s="464"/>
      <c r="H309" s="468">
        <v>18</v>
      </c>
      <c r="I309" s="468">
        <v>10422</v>
      </c>
      <c r="J309" s="464">
        <v>0.9</v>
      </c>
      <c r="K309" s="464">
        <v>579</v>
      </c>
      <c r="L309" s="468">
        <v>20</v>
      </c>
      <c r="M309" s="468">
        <v>11580</v>
      </c>
      <c r="N309" s="464">
        <v>1</v>
      </c>
      <c r="O309" s="464">
        <v>579</v>
      </c>
      <c r="P309" s="468">
        <v>19</v>
      </c>
      <c r="Q309" s="468">
        <v>11001</v>
      </c>
      <c r="R309" s="491">
        <v>0.95</v>
      </c>
      <c r="S309" s="469">
        <v>579</v>
      </c>
    </row>
    <row r="310" spans="1:19" ht="14.4" customHeight="1" x14ac:dyDescent="0.3">
      <c r="A310" s="463"/>
      <c r="B310" s="464" t="s">
        <v>1140</v>
      </c>
      <c r="C310" s="464" t="s">
        <v>930</v>
      </c>
      <c r="D310" s="464" t="s">
        <v>929</v>
      </c>
      <c r="E310" s="464" t="s">
        <v>939</v>
      </c>
      <c r="F310" s="464" t="s">
        <v>1164</v>
      </c>
      <c r="G310" s="464"/>
      <c r="H310" s="468">
        <v>1</v>
      </c>
      <c r="I310" s="468">
        <v>2416</v>
      </c>
      <c r="J310" s="464"/>
      <c r="K310" s="464">
        <v>2416</v>
      </c>
      <c r="L310" s="468"/>
      <c r="M310" s="468"/>
      <c r="N310" s="464"/>
      <c r="O310" s="464"/>
      <c r="P310" s="468"/>
      <c r="Q310" s="468"/>
      <c r="R310" s="491"/>
      <c r="S310" s="469"/>
    </row>
    <row r="311" spans="1:19" ht="14.4" customHeight="1" x14ac:dyDescent="0.3">
      <c r="A311" s="463"/>
      <c r="B311" s="464" t="s">
        <v>1140</v>
      </c>
      <c r="C311" s="464" t="s">
        <v>930</v>
      </c>
      <c r="D311" s="464" t="s">
        <v>929</v>
      </c>
      <c r="E311" s="464" t="s">
        <v>986</v>
      </c>
      <c r="F311" s="464" t="s">
        <v>992</v>
      </c>
      <c r="G311" s="464" t="s">
        <v>1071</v>
      </c>
      <c r="H311" s="468">
        <v>2</v>
      </c>
      <c r="I311" s="468">
        <v>155.56</v>
      </c>
      <c r="J311" s="464"/>
      <c r="K311" s="464">
        <v>77.78</v>
      </c>
      <c r="L311" s="468"/>
      <c r="M311" s="468"/>
      <c r="N311" s="464"/>
      <c r="O311" s="464"/>
      <c r="P311" s="468"/>
      <c r="Q311" s="468"/>
      <c r="R311" s="491"/>
      <c r="S311" s="469"/>
    </row>
    <row r="312" spans="1:19" ht="14.4" customHeight="1" x14ac:dyDescent="0.3">
      <c r="A312" s="463"/>
      <c r="B312" s="464" t="s">
        <v>1140</v>
      </c>
      <c r="C312" s="464" t="s">
        <v>930</v>
      </c>
      <c r="D312" s="464" t="s">
        <v>929</v>
      </c>
      <c r="E312" s="464" t="s">
        <v>986</v>
      </c>
      <c r="F312" s="464" t="s">
        <v>992</v>
      </c>
      <c r="G312" s="464" t="s">
        <v>993</v>
      </c>
      <c r="H312" s="468"/>
      <c r="I312" s="468"/>
      <c r="J312" s="464"/>
      <c r="K312" s="464"/>
      <c r="L312" s="468">
        <v>3</v>
      </c>
      <c r="M312" s="468">
        <v>233.34</v>
      </c>
      <c r="N312" s="464">
        <v>1</v>
      </c>
      <c r="O312" s="464">
        <v>77.78</v>
      </c>
      <c r="P312" s="468">
        <v>6</v>
      </c>
      <c r="Q312" s="468">
        <v>466.67</v>
      </c>
      <c r="R312" s="491">
        <v>1.9999571440815977</v>
      </c>
      <c r="S312" s="469">
        <v>77.778333333333336</v>
      </c>
    </row>
    <row r="313" spans="1:19" ht="14.4" customHeight="1" x14ac:dyDescent="0.3">
      <c r="A313" s="463"/>
      <c r="B313" s="464" t="s">
        <v>1140</v>
      </c>
      <c r="C313" s="464" t="s">
        <v>930</v>
      </c>
      <c r="D313" s="464" t="s">
        <v>929</v>
      </c>
      <c r="E313" s="464" t="s">
        <v>986</v>
      </c>
      <c r="F313" s="464" t="s">
        <v>994</v>
      </c>
      <c r="G313" s="464" t="s">
        <v>995</v>
      </c>
      <c r="H313" s="468">
        <v>9</v>
      </c>
      <c r="I313" s="468">
        <v>2250</v>
      </c>
      <c r="J313" s="464">
        <v>1.2857142857142858</v>
      </c>
      <c r="K313" s="464">
        <v>250</v>
      </c>
      <c r="L313" s="468">
        <v>7</v>
      </c>
      <c r="M313" s="468">
        <v>1750</v>
      </c>
      <c r="N313" s="464">
        <v>1</v>
      </c>
      <c r="O313" s="464">
        <v>250</v>
      </c>
      <c r="P313" s="468">
        <v>8</v>
      </c>
      <c r="Q313" s="468">
        <v>2000</v>
      </c>
      <c r="R313" s="491">
        <v>1.1428571428571428</v>
      </c>
      <c r="S313" s="469">
        <v>250</v>
      </c>
    </row>
    <row r="314" spans="1:19" ht="14.4" customHeight="1" x14ac:dyDescent="0.3">
      <c r="A314" s="463"/>
      <c r="B314" s="464" t="s">
        <v>1140</v>
      </c>
      <c r="C314" s="464" t="s">
        <v>930</v>
      </c>
      <c r="D314" s="464" t="s">
        <v>929</v>
      </c>
      <c r="E314" s="464" t="s">
        <v>986</v>
      </c>
      <c r="F314" s="464" t="s">
        <v>994</v>
      </c>
      <c r="G314" s="464" t="s">
        <v>996</v>
      </c>
      <c r="H314" s="468">
        <v>2</v>
      </c>
      <c r="I314" s="468">
        <v>500</v>
      </c>
      <c r="J314" s="464"/>
      <c r="K314" s="464">
        <v>250</v>
      </c>
      <c r="L314" s="468"/>
      <c r="M314" s="468"/>
      <c r="N314" s="464"/>
      <c r="O314" s="464"/>
      <c r="P314" s="468">
        <v>3</v>
      </c>
      <c r="Q314" s="468">
        <v>750</v>
      </c>
      <c r="R314" s="491"/>
      <c r="S314" s="469">
        <v>250</v>
      </c>
    </row>
    <row r="315" spans="1:19" ht="14.4" customHeight="1" x14ac:dyDescent="0.3">
      <c r="A315" s="463"/>
      <c r="B315" s="464" t="s">
        <v>1140</v>
      </c>
      <c r="C315" s="464" t="s">
        <v>930</v>
      </c>
      <c r="D315" s="464" t="s">
        <v>929</v>
      </c>
      <c r="E315" s="464" t="s">
        <v>986</v>
      </c>
      <c r="F315" s="464" t="s">
        <v>997</v>
      </c>
      <c r="G315" s="464" t="s">
        <v>1165</v>
      </c>
      <c r="H315" s="468">
        <v>132</v>
      </c>
      <c r="I315" s="468">
        <v>39600</v>
      </c>
      <c r="J315" s="464">
        <v>1.0153846153846153</v>
      </c>
      <c r="K315" s="464">
        <v>300</v>
      </c>
      <c r="L315" s="468">
        <v>130</v>
      </c>
      <c r="M315" s="468">
        <v>39000</v>
      </c>
      <c r="N315" s="464">
        <v>1</v>
      </c>
      <c r="O315" s="464">
        <v>300</v>
      </c>
      <c r="P315" s="468">
        <v>129</v>
      </c>
      <c r="Q315" s="468">
        <v>38700</v>
      </c>
      <c r="R315" s="491">
        <v>0.99230769230769234</v>
      </c>
      <c r="S315" s="469">
        <v>300</v>
      </c>
    </row>
    <row r="316" spans="1:19" ht="14.4" customHeight="1" x14ac:dyDescent="0.3">
      <c r="A316" s="463"/>
      <c r="B316" s="464" t="s">
        <v>1140</v>
      </c>
      <c r="C316" s="464" t="s">
        <v>930</v>
      </c>
      <c r="D316" s="464" t="s">
        <v>929</v>
      </c>
      <c r="E316" s="464" t="s">
        <v>986</v>
      </c>
      <c r="F316" s="464" t="s">
        <v>997</v>
      </c>
      <c r="G316" s="464" t="s">
        <v>998</v>
      </c>
      <c r="H316" s="468">
        <v>7</v>
      </c>
      <c r="I316" s="468">
        <v>2100</v>
      </c>
      <c r="J316" s="464"/>
      <c r="K316" s="464">
        <v>300</v>
      </c>
      <c r="L316" s="468"/>
      <c r="M316" s="468"/>
      <c r="N316" s="464"/>
      <c r="O316" s="464"/>
      <c r="P316" s="468"/>
      <c r="Q316" s="468"/>
      <c r="R316" s="491"/>
      <c r="S316" s="469"/>
    </row>
    <row r="317" spans="1:19" ht="14.4" customHeight="1" x14ac:dyDescent="0.3">
      <c r="A317" s="463"/>
      <c r="B317" s="464" t="s">
        <v>1140</v>
      </c>
      <c r="C317" s="464" t="s">
        <v>930</v>
      </c>
      <c r="D317" s="464" t="s">
        <v>929</v>
      </c>
      <c r="E317" s="464" t="s">
        <v>986</v>
      </c>
      <c r="F317" s="464" t="s">
        <v>1166</v>
      </c>
      <c r="G317" s="464" t="s">
        <v>1167</v>
      </c>
      <c r="H317" s="468">
        <v>87</v>
      </c>
      <c r="I317" s="468">
        <v>58000.009999999995</v>
      </c>
      <c r="J317" s="464">
        <v>1.2253521513588519</v>
      </c>
      <c r="K317" s="464">
        <v>666.66678160919537</v>
      </c>
      <c r="L317" s="468">
        <v>71</v>
      </c>
      <c r="M317" s="468">
        <v>47333.34</v>
      </c>
      <c r="N317" s="464">
        <v>1</v>
      </c>
      <c r="O317" s="464">
        <v>666.66676056338019</v>
      </c>
      <c r="P317" s="468">
        <v>66</v>
      </c>
      <c r="Q317" s="468">
        <v>44000</v>
      </c>
      <c r="R317" s="491">
        <v>0.92957733386234742</v>
      </c>
      <c r="S317" s="469">
        <v>666.66666666666663</v>
      </c>
    </row>
    <row r="318" spans="1:19" ht="14.4" customHeight="1" x14ac:dyDescent="0.3">
      <c r="A318" s="463"/>
      <c r="B318" s="464" t="s">
        <v>1140</v>
      </c>
      <c r="C318" s="464" t="s">
        <v>930</v>
      </c>
      <c r="D318" s="464" t="s">
        <v>929</v>
      </c>
      <c r="E318" s="464" t="s">
        <v>986</v>
      </c>
      <c r="F318" s="464" t="s">
        <v>1166</v>
      </c>
      <c r="G318" s="464" t="s">
        <v>1168</v>
      </c>
      <c r="H318" s="468">
        <v>3</v>
      </c>
      <c r="I318" s="468">
        <v>2000</v>
      </c>
      <c r="J318" s="464"/>
      <c r="K318" s="464">
        <v>666.66666666666663</v>
      </c>
      <c r="L318" s="468"/>
      <c r="M318" s="468"/>
      <c r="N318" s="464"/>
      <c r="O318" s="464"/>
      <c r="P318" s="468">
        <v>5</v>
      </c>
      <c r="Q318" s="468">
        <v>3333.33</v>
      </c>
      <c r="R318" s="491"/>
      <c r="S318" s="469">
        <v>666.66599999999994</v>
      </c>
    </row>
    <row r="319" spans="1:19" ht="14.4" customHeight="1" x14ac:dyDescent="0.3">
      <c r="A319" s="463"/>
      <c r="B319" s="464" t="s">
        <v>1140</v>
      </c>
      <c r="C319" s="464" t="s">
        <v>930</v>
      </c>
      <c r="D319" s="464" t="s">
        <v>929</v>
      </c>
      <c r="E319" s="464" t="s">
        <v>986</v>
      </c>
      <c r="F319" s="464" t="s">
        <v>1169</v>
      </c>
      <c r="G319" s="464" t="s">
        <v>1170</v>
      </c>
      <c r="H319" s="468">
        <v>78</v>
      </c>
      <c r="I319" s="468">
        <v>18199.990000000002</v>
      </c>
      <c r="J319" s="464">
        <v>0.85714292442255857</v>
      </c>
      <c r="K319" s="464">
        <v>233.33320512820515</v>
      </c>
      <c r="L319" s="468">
        <v>91</v>
      </c>
      <c r="M319" s="468">
        <v>21233.32</v>
      </c>
      <c r="N319" s="464">
        <v>1</v>
      </c>
      <c r="O319" s="464">
        <v>233.33318681318681</v>
      </c>
      <c r="P319" s="468">
        <v>87</v>
      </c>
      <c r="Q319" s="468">
        <v>20300</v>
      </c>
      <c r="R319" s="491">
        <v>0.95604455638590669</v>
      </c>
      <c r="S319" s="469">
        <v>233.33333333333334</v>
      </c>
    </row>
    <row r="320" spans="1:19" ht="14.4" customHeight="1" x14ac:dyDescent="0.3">
      <c r="A320" s="463"/>
      <c r="B320" s="464" t="s">
        <v>1140</v>
      </c>
      <c r="C320" s="464" t="s">
        <v>930</v>
      </c>
      <c r="D320" s="464" t="s">
        <v>929</v>
      </c>
      <c r="E320" s="464" t="s">
        <v>986</v>
      </c>
      <c r="F320" s="464" t="s">
        <v>1169</v>
      </c>
      <c r="G320" s="464" t="s">
        <v>1171</v>
      </c>
      <c r="H320" s="468">
        <v>68</v>
      </c>
      <c r="I320" s="468">
        <v>15866.65</v>
      </c>
      <c r="J320" s="464">
        <v>0.99999936974763437</v>
      </c>
      <c r="K320" s="464">
        <v>233.3330882352941</v>
      </c>
      <c r="L320" s="468">
        <v>68</v>
      </c>
      <c r="M320" s="468">
        <v>15866.66</v>
      </c>
      <c r="N320" s="464">
        <v>1</v>
      </c>
      <c r="O320" s="464">
        <v>233.33323529411766</v>
      </c>
      <c r="P320" s="468">
        <v>70</v>
      </c>
      <c r="Q320" s="468">
        <v>16333.33</v>
      </c>
      <c r="R320" s="491">
        <v>1.0294119871478937</v>
      </c>
      <c r="S320" s="469">
        <v>233.33328571428572</v>
      </c>
    </row>
    <row r="321" spans="1:19" ht="14.4" customHeight="1" x14ac:dyDescent="0.3">
      <c r="A321" s="463"/>
      <c r="B321" s="464" t="s">
        <v>1140</v>
      </c>
      <c r="C321" s="464" t="s">
        <v>930</v>
      </c>
      <c r="D321" s="464" t="s">
        <v>929</v>
      </c>
      <c r="E321" s="464" t="s">
        <v>986</v>
      </c>
      <c r="F321" s="464" t="s">
        <v>1172</v>
      </c>
      <c r="G321" s="464" t="s">
        <v>1173</v>
      </c>
      <c r="H321" s="468">
        <v>22</v>
      </c>
      <c r="I321" s="468">
        <v>17111.11</v>
      </c>
      <c r="J321" s="464">
        <v>0.51162778876614812</v>
      </c>
      <c r="K321" s="464">
        <v>777.77772727272725</v>
      </c>
      <c r="L321" s="468">
        <v>43</v>
      </c>
      <c r="M321" s="468">
        <v>33444.449999999997</v>
      </c>
      <c r="N321" s="464">
        <v>1</v>
      </c>
      <c r="O321" s="464">
        <v>777.77790697674413</v>
      </c>
      <c r="P321" s="468">
        <v>25</v>
      </c>
      <c r="Q321" s="468">
        <v>19444.440000000002</v>
      </c>
      <c r="R321" s="491">
        <v>0.58139511936958166</v>
      </c>
      <c r="S321" s="469">
        <v>777.77760000000012</v>
      </c>
    </row>
    <row r="322" spans="1:19" ht="14.4" customHeight="1" x14ac:dyDescent="0.3">
      <c r="A322" s="463"/>
      <c r="B322" s="464" t="s">
        <v>1140</v>
      </c>
      <c r="C322" s="464" t="s">
        <v>930</v>
      </c>
      <c r="D322" s="464" t="s">
        <v>929</v>
      </c>
      <c r="E322" s="464" t="s">
        <v>986</v>
      </c>
      <c r="F322" s="464" t="s">
        <v>1172</v>
      </c>
      <c r="G322" s="464" t="s">
        <v>1174</v>
      </c>
      <c r="H322" s="468">
        <v>44</v>
      </c>
      <c r="I322" s="468">
        <v>34222.22</v>
      </c>
      <c r="J322" s="464">
        <v>0.83018867009103348</v>
      </c>
      <c r="K322" s="464">
        <v>777.77772727272725</v>
      </c>
      <c r="L322" s="468">
        <v>53</v>
      </c>
      <c r="M322" s="468">
        <v>41222.22</v>
      </c>
      <c r="N322" s="464">
        <v>1</v>
      </c>
      <c r="O322" s="464">
        <v>777.77773584905663</v>
      </c>
      <c r="P322" s="468">
        <v>44</v>
      </c>
      <c r="Q322" s="468">
        <v>34222.22</v>
      </c>
      <c r="R322" s="491">
        <v>0.83018867009103348</v>
      </c>
      <c r="S322" s="469">
        <v>777.77772727272725</v>
      </c>
    </row>
    <row r="323" spans="1:19" ht="14.4" customHeight="1" x14ac:dyDescent="0.3">
      <c r="A323" s="463"/>
      <c r="B323" s="464" t="s">
        <v>1140</v>
      </c>
      <c r="C323" s="464" t="s">
        <v>930</v>
      </c>
      <c r="D323" s="464" t="s">
        <v>929</v>
      </c>
      <c r="E323" s="464" t="s">
        <v>986</v>
      </c>
      <c r="F323" s="464" t="s">
        <v>1175</v>
      </c>
      <c r="G323" s="464" t="s">
        <v>1176</v>
      </c>
      <c r="H323" s="468">
        <v>288</v>
      </c>
      <c r="I323" s="468">
        <v>70399.990000000005</v>
      </c>
      <c r="J323" s="464">
        <v>1.1950203968283069</v>
      </c>
      <c r="K323" s="464">
        <v>244.44440972222225</v>
      </c>
      <c r="L323" s="468">
        <v>241</v>
      </c>
      <c r="M323" s="468">
        <v>58911.12</v>
      </c>
      <c r="N323" s="464">
        <v>1</v>
      </c>
      <c r="O323" s="464">
        <v>244.44448132780084</v>
      </c>
      <c r="P323" s="468">
        <v>194</v>
      </c>
      <c r="Q323" s="468">
        <v>47422.22</v>
      </c>
      <c r="R323" s="491">
        <v>0.80497909392997447</v>
      </c>
      <c r="S323" s="469">
        <v>244.44443298969074</v>
      </c>
    </row>
    <row r="324" spans="1:19" ht="14.4" customHeight="1" x14ac:dyDescent="0.3">
      <c r="A324" s="463"/>
      <c r="B324" s="464" t="s">
        <v>1140</v>
      </c>
      <c r="C324" s="464" t="s">
        <v>930</v>
      </c>
      <c r="D324" s="464" t="s">
        <v>929</v>
      </c>
      <c r="E324" s="464" t="s">
        <v>986</v>
      </c>
      <c r="F324" s="464" t="s">
        <v>1177</v>
      </c>
      <c r="G324" s="464" t="s">
        <v>1178</v>
      </c>
      <c r="H324" s="468"/>
      <c r="I324" s="468"/>
      <c r="J324" s="464"/>
      <c r="K324" s="464"/>
      <c r="L324" s="468">
        <v>2</v>
      </c>
      <c r="M324" s="468">
        <v>1051.1099999999999</v>
      </c>
      <c r="N324" s="464">
        <v>1</v>
      </c>
      <c r="O324" s="464">
        <v>525.55499999999995</v>
      </c>
      <c r="P324" s="468">
        <v>2</v>
      </c>
      <c r="Q324" s="468">
        <v>1051.1099999999999</v>
      </c>
      <c r="R324" s="491">
        <v>1</v>
      </c>
      <c r="S324" s="469">
        <v>525.55499999999995</v>
      </c>
    </row>
    <row r="325" spans="1:19" ht="14.4" customHeight="1" x14ac:dyDescent="0.3">
      <c r="A325" s="463"/>
      <c r="B325" s="464" t="s">
        <v>1140</v>
      </c>
      <c r="C325" s="464" t="s">
        <v>930</v>
      </c>
      <c r="D325" s="464" t="s">
        <v>929</v>
      </c>
      <c r="E325" s="464" t="s">
        <v>986</v>
      </c>
      <c r="F325" s="464" t="s">
        <v>1177</v>
      </c>
      <c r="G325" s="464" t="s">
        <v>1179</v>
      </c>
      <c r="H325" s="468">
        <v>6</v>
      </c>
      <c r="I325" s="468">
        <v>3153.33</v>
      </c>
      <c r="J325" s="464">
        <v>1.9999936575186945</v>
      </c>
      <c r="K325" s="464">
        <v>525.55499999999995</v>
      </c>
      <c r="L325" s="468">
        <v>3</v>
      </c>
      <c r="M325" s="468">
        <v>1576.6699999999998</v>
      </c>
      <c r="N325" s="464">
        <v>1</v>
      </c>
      <c r="O325" s="464">
        <v>525.55666666666662</v>
      </c>
      <c r="P325" s="468">
        <v>4</v>
      </c>
      <c r="Q325" s="468">
        <v>2102.2199999999998</v>
      </c>
      <c r="R325" s="491">
        <v>1.3333291050124629</v>
      </c>
      <c r="S325" s="469">
        <v>525.55499999999995</v>
      </c>
    </row>
    <row r="326" spans="1:19" ht="14.4" customHeight="1" x14ac:dyDescent="0.3">
      <c r="A326" s="463"/>
      <c r="B326" s="464" t="s">
        <v>1140</v>
      </c>
      <c r="C326" s="464" t="s">
        <v>930</v>
      </c>
      <c r="D326" s="464" t="s">
        <v>929</v>
      </c>
      <c r="E326" s="464" t="s">
        <v>986</v>
      </c>
      <c r="F326" s="464" t="s">
        <v>1180</v>
      </c>
      <c r="G326" s="464" t="s">
        <v>1181</v>
      </c>
      <c r="H326" s="468"/>
      <c r="I326" s="468"/>
      <c r="J326" s="464"/>
      <c r="K326" s="464"/>
      <c r="L326" s="468"/>
      <c r="M326" s="468"/>
      <c r="N326" s="464"/>
      <c r="O326" s="464"/>
      <c r="P326" s="468">
        <v>3</v>
      </c>
      <c r="Q326" s="468">
        <v>3000</v>
      </c>
      <c r="R326" s="491"/>
      <c r="S326" s="469">
        <v>1000</v>
      </c>
    </row>
    <row r="327" spans="1:19" ht="14.4" customHeight="1" x14ac:dyDescent="0.3">
      <c r="A327" s="463"/>
      <c r="B327" s="464" t="s">
        <v>1140</v>
      </c>
      <c r="C327" s="464" t="s">
        <v>930</v>
      </c>
      <c r="D327" s="464" t="s">
        <v>929</v>
      </c>
      <c r="E327" s="464" t="s">
        <v>986</v>
      </c>
      <c r="F327" s="464" t="s">
        <v>1180</v>
      </c>
      <c r="G327" s="464" t="s">
        <v>1182</v>
      </c>
      <c r="H327" s="468"/>
      <c r="I327" s="468"/>
      <c r="J327" s="464"/>
      <c r="K327" s="464"/>
      <c r="L327" s="468"/>
      <c r="M327" s="468"/>
      <c r="N327" s="464"/>
      <c r="O327" s="464"/>
      <c r="P327" s="468">
        <v>2</v>
      </c>
      <c r="Q327" s="468">
        <v>2000</v>
      </c>
      <c r="R327" s="491"/>
      <c r="S327" s="469">
        <v>1000</v>
      </c>
    </row>
    <row r="328" spans="1:19" ht="14.4" customHeight="1" x14ac:dyDescent="0.3">
      <c r="A328" s="463"/>
      <c r="B328" s="464" t="s">
        <v>1140</v>
      </c>
      <c r="C328" s="464" t="s">
        <v>930</v>
      </c>
      <c r="D328" s="464" t="s">
        <v>929</v>
      </c>
      <c r="E328" s="464" t="s">
        <v>986</v>
      </c>
      <c r="F328" s="464" t="s">
        <v>1123</v>
      </c>
      <c r="G328" s="464" t="s">
        <v>1183</v>
      </c>
      <c r="H328" s="468">
        <v>1</v>
      </c>
      <c r="I328" s="468">
        <v>0</v>
      </c>
      <c r="J328" s="464"/>
      <c r="K328" s="464">
        <v>0</v>
      </c>
      <c r="L328" s="468"/>
      <c r="M328" s="468"/>
      <c r="N328" s="464"/>
      <c r="O328" s="464"/>
      <c r="P328" s="468"/>
      <c r="Q328" s="468"/>
      <c r="R328" s="491"/>
      <c r="S328" s="469"/>
    </row>
    <row r="329" spans="1:19" ht="14.4" customHeight="1" x14ac:dyDescent="0.3">
      <c r="A329" s="463"/>
      <c r="B329" s="464" t="s">
        <v>1140</v>
      </c>
      <c r="C329" s="464" t="s">
        <v>930</v>
      </c>
      <c r="D329" s="464" t="s">
        <v>929</v>
      </c>
      <c r="E329" s="464" t="s">
        <v>986</v>
      </c>
      <c r="F329" s="464" t="s">
        <v>1026</v>
      </c>
      <c r="G329" s="464" t="s">
        <v>1027</v>
      </c>
      <c r="H329" s="468">
        <v>220</v>
      </c>
      <c r="I329" s="468">
        <v>0</v>
      </c>
      <c r="J329" s="464"/>
      <c r="K329" s="464">
        <v>0</v>
      </c>
      <c r="L329" s="468">
        <v>220</v>
      </c>
      <c r="M329" s="468">
        <v>0</v>
      </c>
      <c r="N329" s="464"/>
      <c r="O329" s="464">
        <v>0</v>
      </c>
      <c r="P329" s="468">
        <v>222</v>
      </c>
      <c r="Q329" s="468">
        <v>0</v>
      </c>
      <c r="R329" s="491"/>
      <c r="S329" s="469">
        <v>0</v>
      </c>
    </row>
    <row r="330" spans="1:19" ht="14.4" customHeight="1" x14ac:dyDescent="0.3">
      <c r="A330" s="463"/>
      <c r="B330" s="464" t="s">
        <v>1140</v>
      </c>
      <c r="C330" s="464" t="s">
        <v>930</v>
      </c>
      <c r="D330" s="464" t="s">
        <v>929</v>
      </c>
      <c r="E330" s="464" t="s">
        <v>986</v>
      </c>
      <c r="F330" s="464" t="s">
        <v>1029</v>
      </c>
      <c r="G330" s="464" t="s">
        <v>1030</v>
      </c>
      <c r="H330" s="468">
        <v>173</v>
      </c>
      <c r="I330" s="468">
        <v>52861.11</v>
      </c>
      <c r="J330" s="464">
        <v>1.0679014278588743</v>
      </c>
      <c r="K330" s="464">
        <v>305.55554913294799</v>
      </c>
      <c r="L330" s="468">
        <v>162</v>
      </c>
      <c r="M330" s="468">
        <v>49499.990000000005</v>
      </c>
      <c r="N330" s="464">
        <v>1</v>
      </c>
      <c r="O330" s="464">
        <v>305.55549382716055</v>
      </c>
      <c r="P330" s="468">
        <v>152</v>
      </c>
      <c r="Q330" s="468">
        <v>46444.45</v>
      </c>
      <c r="R330" s="491">
        <v>0.9382719067215971</v>
      </c>
      <c r="S330" s="469">
        <v>305.55559210526314</v>
      </c>
    </row>
    <row r="331" spans="1:19" ht="14.4" customHeight="1" x14ac:dyDescent="0.3">
      <c r="A331" s="463"/>
      <c r="B331" s="464" t="s">
        <v>1140</v>
      </c>
      <c r="C331" s="464" t="s">
        <v>930</v>
      </c>
      <c r="D331" s="464" t="s">
        <v>929</v>
      </c>
      <c r="E331" s="464" t="s">
        <v>986</v>
      </c>
      <c r="F331" s="464" t="s">
        <v>1029</v>
      </c>
      <c r="G331" s="464" t="s">
        <v>1031</v>
      </c>
      <c r="H331" s="468">
        <v>12</v>
      </c>
      <c r="I331" s="468">
        <v>3666.67</v>
      </c>
      <c r="J331" s="464"/>
      <c r="K331" s="464">
        <v>305.55583333333334</v>
      </c>
      <c r="L331" s="468"/>
      <c r="M331" s="468"/>
      <c r="N331" s="464"/>
      <c r="O331" s="464"/>
      <c r="P331" s="468"/>
      <c r="Q331" s="468"/>
      <c r="R331" s="491"/>
      <c r="S331" s="469"/>
    </row>
    <row r="332" spans="1:19" ht="14.4" customHeight="1" x14ac:dyDescent="0.3">
      <c r="A332" s="463"/>
      <c r="B332" s="464" t="s">
        <v>1140</v>
      </c>
      <c r="C332" s="464" t="s">
        <v>930</v>
      </c>
      <c r="D332" s="464" t="s">
        <v>929</v>
      </c>
      <c r="E332" s="464" t="s">
        <v>986</v>
      </c>
      <c r="F332" s="464" t="s">
        <v>1032</v>
      </c>
      <c r="G332" s="464" t="s">
        <v>1033</v>
      </c>
      <c r="H332" s="468">
        <v>485</v>
      </c>
      <c r="I332" s="468">
        <v>16166.66</v>
      </c>
      <c r="J332" s="464">
        <v>1.1047833951670605</v>
      </c>
      <c r="K332" s="464">
        <v>33.333319587628864</v>
      </c>
      <c r="L332" s="468">
        <v>439</v>
      </c>
      <c r="M332" s="468">
        <v>14633.33</v>
      </c>
      <c r="N332" s="464">
        <v>1</v>
      </c>
      <c r="O332" s="464">
        <v>33.333325740318905</v>
      </c>
      <c r="P332" s="468">
        <v>451</v>
      </c>
      <c r="Q332" s="468">
        <v>15033.34</v>
      </c>
      <c r="R332" s="491">
        <v>1.027335541534292</v>
      </c>
      <c r="S332" s="469">
        <v>33.333348115299337</v>
      </c>
    </row>
    <row r="333" spans="1:19" ht="14.4" customHeight="1" x14ac:dyDescent="0.3">
      <c r="A333" s="463"/>
      <c r="B333" s="464" t="s">
        <v>1140</v>
      </c>
      <c r="C333" s="464" t="s">
        <v>930</v>
      </c>
      <c r="D333" s="464" t="s">
        <v>929</v>
      </c>
      <c r="E333" s="464" t="s">
        <v>986</v>
      </c>
      <c r="F333" s="464" t="s">
        <v>1035</v>
      </c>
      <c r="G333" s="464" t="s">
        <v>1036</v>
      </c>
      <c r="H333" s="468">
        <v>81</v>
      </c>
      <c r="I333" s="468">
        <v>36900</v>
      </c>
      <c r="J333" s="464">
        <v>1.3278687993655018</v>
      </c>
      <c r="K333" s="464">
        <v>455.55555555555554</v>
      </c>
      <c r="L333" s="468">
        <v>61</v>
      </c>
      <c r="M333" s="468">
        <v>27788.89</v>
      </c>
      <c r="N333" s="464">
        <v>1</v>
      </c>
      <c r="O333" s="464">
        <v>455.55557377049178</v>
      </c>
      <c r="P333" s="468">
        <v>89</v>
      </c>
      <c r="Q333" s="468">
        <v>40544.46</v>
      </c>
      <c r="R333" s="491">
        <v>1.4590168948813718</v>
      </c>
      <c r="S333" s="469">
        <v>455.55573033707861</v>
      </c>
    </row>
    <row r="334" spans="1:19" ht="14.4" customHeight="1" x14ac:dyDescent="0.3">
      <c r="A334" s="463"/>
      <c r="B334" s="464" t="s">
        <v>1140</v>
      </c>
      <c r="C334" s="464" t="s">
        <v>930</v>
      </c>
      <c r="D334" s="464" t="s">
        <v>929</v>
      </c>
      <c r="E334" s="464" t="s">
        <v>986</v>
      </c>
      <c r="F334" s="464" t="s">
        <v>1035</v>
      </c>
      <c r="G334" s="464" t="s">
        <v>1037</v>
      </c>
      <c r="H334" s="468">
        <v>93</v>
      </c>
      <c r="I334" s="468">
        <v>42366.66</v>
      </c>
      <c r="J334" s="464">
        <v>1.4090909997984482</v>
      </c>
      <c r="K334" s="464">
        <v>455.55548387096781</v>
      </c>
      <c r="L334" s="468">
        <v>66</v>
      </c>
      <c r="M334" s="468">
        <v>30066.659999999996</v>
      </c>
      <c r="N334" s="464">
        <v>1</v>
      </c>
      <c r="O334" s="464">
        <v>455.5554545454545</v>
      </c>
      <c r="P334" s="468">
        <v>103</v>
      </c>
      <c r="Q334" s="468">
        <v>46922.23</v>
      </c>
      <c r="R334" s="491">
        <v>1.560606665322986</v>
      </c>
      <c r="S334" s="469">
        <v>455.5556310679612</v>
      </c>
    </row>
    <row r="335" spans="1:19" ht="14.4" customHeight="1" x14ac:dyDescent="0.3">
      <c r="A335" s="463"/>
      <c r="B335" s="464" t="s">
        <v>1140</v>
      </c>
      <c r="C335" s="464" t="s">
        <v>930</v>
      </c>
      <c r="D335" s="464" t="s">
        <v>929</v>
      </c>
      <c r="E335" s="464" t="s">
        <v>986</v>
      </c>
      <c r="F335" s="464" t="s">
        <v>1038</v>
      </c>
      <c r="G335" s="464" t="s">
        <v>1039</v>
      </c>
      <c r="H335" s="468">
        <v>177</v>
      </c>
      <c r="I335" s="468">
        <v>13766.660000000002</v>
      </c>
      <c r="J335" s="464">
        <v>1.0231213142532265</v>
      </c>
      <c r="K335" s="464">
        <v>77.777740112994366</v>
      </c>
      <c r="L335" s="468">
        <v>173</v>
      </c>
      <c r="M335" s="468">
        <v>13455.55</v>
      </c>
      <c r="N335" s="464">
        <v>1</v>
      </c>
      <c r="O335" s="464">
        <v>77.777745664739882</v>
      </c>
      <c r="P335" s="468">
        <v>170</v>
      </c>
      <c r="Q335" s="468">
        <v>13222.220000000001</v>
      </c>
      <c r="R335" s="491">
        <v>0.98265920010701913</v>
      </c>
      <c r="S335" s="469">
        <v>77.777764705882362</v>
      </c>
    </row>
    <row r="336" spans="1:19" ht="14.4" customHeight="1" x14ac:dyDescent="0.3">
      <c r="A336" s="463"/>
      <c r="B336" s="464" t="s">
        <v>1140</v>
      </c>
      <c r="C336" s="464" t="s">
        <v>930</v>
      </c>
      <c r="D336" s="464" t="s">
        <v>929</v>
      </c>
      <c r="E336" s="464" t="s">
        <v>986</v>
      </c>
      <c r="F336" s="464" t="s">
        <v>1038</v>
      </c>
      <c r="G336" s="464" t="s">
        <v>1040</v>
      </c>
      <c r="H336" s="468">
        <v>12</v>
      </c>
      <c r="I336" s="468">
        <v>933.33</v>
      </c>
      <c r="J336" s="464"/>
      <c r="K336" s="464">
        <v>77.777500000000003</v>
      </c>
      <c r="L336" s="468"/>
      <c r="M336" s="468"/>
      <c r="N336" s="464"/>
      <c r="O336" s="464"/>
      <c r="P336" s="468"/>
      <c r="Q336" s="468"/>
      <c r="R336" s="491"/>
      <c r="S336" s="469"/>
    </row>
    <row r="337" spans="1:19" ht="14.4" customHeight="1" x14ac:dyDescent="0.3">
      <c r="A337" s="463"/>
      <c r="B337" s="464" t="s">
        <v>1140</v>
      </c>
      <c r="C337" s="464" t="s">
        <v>930</v>
      </c>
      <c r="D337" s="464" t="s">
        <v>929</v>
      </c>
      <c r="E337" s="464" t="s">
        <v>986</v>
      </c>
      <c r="F337" s="464" t="s">
        <v>1184</v>
      </c>
      <c r="G337" s="464" t="s">
        <v>1185</v>
      </c>
      <c r="H337" s="468">
        <v>40</v>
      </c>
      <c r="I337" s="468">
        <v>57777.78</v>
      </c>
      <c r="J337" s="464">
        <v>1.0526314063499178</v>
      </c>
      <c r="K337" s="464">
        <v>1444.4445000000001</v>
      </c>
      <c r="L337" s="468">
        <v>38</v>
      </c>
      <c r="M337" s="468">
        <v>54888.899999999994</v>
      </c>
      <c r="N337" s="464">
        <v>1</v>
      </c>
      <c r="O337" s="464">
        <v>1444.4447368421052</v>
      </c>
      <c r="P337" s="468">
        <v>41</v>
      </c>
      <c r="Q337" s="468">
        <v>59222.22</v>
      </c>
      <c r="R337" s="491">
        <v>1.0789471095248768</v>
      </c>
      <c r="S337" s="469">
        <v>1444.4443902439025</v>
      </c>
    </row>
    <row r="338" spans="1:19" ht="14.4" customHeight="1" x14ac:dyDescent="0.3">
      <c r="A338" s="463"/>
      <c r="B338" s="464" t="s">
        <v>1140</v>
      </c>
      <c r="C338" s="464" t="s">
        <v>930</v>
      </c>
      <c r="D338" s="464" t="s">
        <v>929</v>
      </c>
      <c r="E338" s="464" t="s">
        <v>986</v>
      </c>
      <c r="F338" s="464" t="s">
        <v>1184</v>
      </c>
      <c r="G338" s="464" t="s">
        <v>1186</v>
      </c>
      <c r="H338" s="468">
        <v>39</v>
      </c>
      <c r="I338" s="468">
        <v>56333.34</v>
      </c>
      <c r="J338" s="464">
        <v>0.8666669025641387</v>
      </c>
      <c r="K338" s="464">
        <v>1444.4446153846152</v>
      </c>
      <c r="L338" s="468">
        <v>45</v>
      </c>
      <c r="M338" s="468">
        <v>64999.990000000005</v>
      </c>
      <c r="N338" s="464">
        <v>1</v>
      </c>
      <c r="O338" s="464">
        <v>1444.4442222222224</v>
      </c>
      <c r="P338" s="468">
        <v>55</v>
      </c>
      <c r="Q338" s="468">
        <v>79444.44</v>
      </c>
      <c r="R338" s="491">
        <v>1.2222223418803602</v>
      </c>
      <c r="S338" s="469">
        <v>1444.4443636363637</v>
      </c>
    </row>
    <row r="339" spans="1:19" ht="14.4" customHeight="1" x14ac:dyDescent="0.3">
      <c r="A339" s="463"/>
      <c r="B339" s="464" t="s">
        <v>1140</v>
      </c>
      <c r="C339" s="464" t="s">
        <v>930</v>
      </c>
      <c r="D339" s="464" t="s">
        <v>929</v>
      </c>
      <c r="E339" s="464" t="s">
        <v>986</v>
      </c>
      <c r="F339" s="464" t="s">
        <v>1043</v>
      </c>
      <c r="G339" s="464" t="s">
        <v>1044</v>
      </c>
      <c r="H339" s="468"/>
      <c r="I339" s="468"/>
      <c r="J339" s="464"/>
      <c r="K339" s="464"/>
      <c r="L339" s="468">
        <v>1</v>
      </c>
      <c r="M339" s="468">
        <v>94.44</v>
      </c>
      <c r="N339" s="464">
        <v>1</v>
      </c>
      <c r="O339" s="464">
        <v>94.44</v>
      </c>
      <c r="P339" s="468"/>
      <c r="Q339" s="468"/>
      <c r="R339" s="491"/>
      <c r="S339" s="469"/>
    </row>
    <row r="340" spans="1:19" ht="14.4" customHeight="1" x14ac:dyDescent="0.3">
      <c r="A340" s="463"/>
      <c r="B340" s="464" t="s">
        <v>1140</v>
      </c>
      <c r="C340" s="464" t="s">
        <v>930</v>
      </c>
      <c r="D340" s="464" t="s">
        <v>929</v>
      </c>
      <c r="E340" s="464" t="s">
        <v>986</v>
      </c>
      <c r="F340" s="464" t="s">
        <v>1043</v>
      </c>
      <c r="G340" s="464" t="s">
        <v>1045</v>
      </c>
      <c r="H340" s="468"/>
      <c r="I340" s="468"/>
      <c r="J340" s="464"/>
      <c r="K340" s="464"/>
      <c r="L340" s="468"/>
      <c r="M340" s="468"/>
      <c r="N340" s="464"/>
      <c r="O340" s="464"/>
      <c r="P340" s="468">
        <v>1</v>
      </c>
      <c r="Q340" s="468">
        <v>94.44</v>
      </c>
      <c r="R340" s="491"/>
      <c r="S340" s="469">
        <v>94.44</v>
      </c>
    </row>
    <row r="341" spans="1:19" ht="14.4" customHeight="1" x14ac:dyDescent="0.3">
      <c r="A341" s="463"/>
      <c r="B341" s="464" t="s">
        <v>1140</v>
      </c>
      <c r="C341" s="464" t="s">
        <v>930</v>
      </c>
      <c r="D341" s="464" t="s">
        <v>929</v>
      </c>
      <c r="E341" s="464" t="s">
        <v>986</v>
      </c>
      <c r="F341" s="464" t="s">
        <v>1073</v>
      </c>
      <c r="G341" s="464" t="s">
        <v>1074</v>
      </c>
      <c r="H341" s="468"/>
      <c r="I341" s="468"/>
      <c r="J341" s="464"/>
      <c r="K341" s="464"/>
      <c r="L341" s="468"/>
      <c r="M341" s="468"/>
      <c r="N341" s="464"/>
      <c r="O341" s="464"/>
      <c r="P341" s="468">
        <v>5</v>
      </c>
      <c r="Q341" s="468">
        <v>483.34000000000003</v>
      </c>
      <c r="R341" s="491"/>
      <c r="S341" s="469">
        <v>96.668000000000006</v>
      </c>
    </row>
    <row r="342" spans="1:19" ht="14.4" customHeight="1" x14ac:dyDescent="0.3">
      <c r="A342" s="463"/>
      <c r="B342" s="464" t="s">
        <v>1140</v>
      </c>
      <c r="C342" s="464" t="s">
        <v>930</v>
      </c>
      <c r="D342" s="464" t="s">
        <v>929</v>
      </c>
      <c r="E342" s="464" t="s">
        <v>986</v>
      </c>
      <c r="F342" s="464" t="s">
        <v>1073</v>
      </c>
      <c r="G342" s="464" t="s">
        <v>1095</v>
      </c>
      <c r="H342" s="468">
        <v>2</v>
      </c>
      <c r="I342" s="468">
        <v>193.34</v>
      </c>
      <c r="J342" s="464"/>
      <c r="K342" s="464">
        <v>96.67</v>
      </c>
      <c r="L342" s="468"/>
      <c r="M342" s="468"/>
      <c r="N342" s="464"/>
      <c r="O342" s="464"/>
      <c r="P342" s="468">
        <v>5</v>
      </c>
      <c r="Q342" s="468">
        <v>483.34000000000003</v>
      </c>
      <c r="R342" s="491"/>
      <c r="S342" s="469">
        <v>96.668000000000006</v>
      </c>
    </row>
    <row r="343" spans="1:19" ht="14.4" customHeight="1" x14ac:dyDescent="0.3">
      <c r="A343" s="463"/>
      <c r="B343" s="464" t="s">
        <v>1140</v>
      </c>
      <c r="C343" s="464" t="s">
        <v>930</v>
      </c>
      <c r="D343" s="464" t="s">
        <v>929</v>
      </c>
      <c r="E343" s="464" t="s">
        <v>986</v>
      </c>
      <c r="F343" s="464" t="s">
        <v>1187</v>
      </c>
      <c r="G343" s="464" t="s">
        <v>1188</v>
      </c>
      <c r="H343" s="468">
        <v>52</v>
      </c>
      <c r="I343" s="468">
        <v>18200</v>
      </c>
      <c r="J343" s="464">
        <v>1.04</v>
      </c>
      <c r="K343" s="464">
        <v>350</v>
      </c>
      <c r="L343" s="468">
        <v>50</v>
      </c>
      <c r="M343" s="468">
        <v>17500</v>
      </c>
      <c r="N343" s="464">
        <v>1</v>
      </c>
      <c r="O343" s="464">
        <v>350</v>
      </c>
      <c r="P343" s="468">
        <v>35</v>
      </c>
      <c r="Q343" s="468">
        <v>12250</v>
      </c>
      <c r="R343" s="491">
        <v>0.7</v>
      </c>
      <c r="S343" s="469">
        <v>350</v>
      </c>
    </row>
    <row r="344" spans="1:19" ht="14.4" customHeight="1" x14ac:dyDescent="0.3">
      <c r="A344" s="463"/>
      <c r="B344" s="464" t="s">
        <v>1140</v>
      </c>
      <c r="C344" s="464" t="s">
        <v>930</v>
      </c>
      <c r="D344" s="464" t="s">
        <v>929</v>
      </c>
      <c r="E344" s="464" t="s">
        <v>986</v>
      </c>
      <c r="F344" s="464" t="s">
        <v>1187</v>
      </c>
      <c r="G344" s="464" t="s">
        <v>1189</v>
      </c>
      <c r="H344" s="468">
        <v>55</v>
      </c>
      <c r="I344" s="468">
        <v>19250</v>
      </c>
      <c r="J344" s="464">
        <v>1.5714285714285714</v>
      </c>
      <c r="K344" s="464">
        <v>350</v>
      </c>
      <c r="L344" s="468">
        <v>35</v>
      </c>
      <c r="M344" s="468">
        <v>12250</v>
      </c>
      <c r="N344" s="464">
        <v>1</v>
      </c>
      <c r="O344" s="464">
        <v>350</v>
      </c>
      <c r="P344" s="468">
        <v>61</v>
      </c>
      <c r="Q344" s="468">
        <v>21350</v>
      </c>
      <c r="R344" s="491">
        <v>1.7428571428571429</v>
      </c>
      <c r="S344" s="469">
        <v>350</v>
      </c>
    </row>
    <row r="345" spans="1:19" ht="14.4" customHeight="1" x14ac:dyDescent="0.3">
      <c r="A345" s="463"/>
      <c r="B345" s="464" t="s">
        <v>1140</v>
      </c>
      <c r="C345" s="464" t="s">
        <v>930</v>
      </c>
      <c r="D345" s="464" t="s">
        <v>929</v>
      </c>
      <c r="E345" s="464" t="s">
        <v>986</v>
      </c>
      <c r="F345" s="464" t="s">
        <v>1190</v>
      </c>
      <c r="G345" s="464" t="s">
        <v>1191</v>
      </c>
      <c r="H345" s="468">
        <v>8</v>
      </c>
      <c r="I345" s="468">
        <v>471.11</v>
      </c>
      <c r="J345" s="464">
        <v>1.3333050319805289</v>
      </c>
      <c r="K345" s="464">
        <v>58.888750000000002</v>
      </c>
      <c r="L345" s="468">
        <v>6</v>
      </c>
      <c r="M345" s="468">
        <v>353.34</v>
      </c>
      <c r="N345" s="464">
        <v>1</v>
      </c>
      <c r="O345" s="464">
        <v>58.889999999999993</v>
      </c>
      <c r="P345" s="468">
        <v>4</v>
      </c>
      <c r="Q345" s="468">
        <v>235.56</v>
      </c>
      <c r="R345" s="491">
        <v>0.66666666666666674</v>
      </c>
      <c r="S345" s="469">
        <v>58.89</v>
      </c>
    </row>
    <row r="346" spans="1:19" ht="14.4" customHeight="1" x14ac:dyDescent="0.3">
      <c r="A346" s="463"/>
      <c r="B346" s="464" t="s">
        <v>1140</v>
      </c>
      <c r="C346" s="464" t="s">
        <v>930</v>
      </c>
      <c r="D346" s="464" t="s">
        <v>929</v>
      </c>
      <c r="E346" s="464" t="s">
        <v>986</v>
      </c>
      <c r="F346" s="464" t="s">
        <v>1190</v>
      </c>
      <c r="G346" s="464" t="s">
        <v>1192</v>
      </c>
      <c r="H346" s="468">
        <v>4</v>
      </c>
      <c r="I346" s="468">
        <v>235.56</v>
      </c>
      <c r="J346" s="464">
        <v>4</v>
      </c>
      <c r="K346" s="464">
        <v>58.89</v>
      </c>
      <c r="L346" s="468">
        <v>1</v>
      </c>
      <c r="M346" s="468">
        <v>58.89</v>
      </c>
      <c r="N346" s="464">
        <v>1</v>
      </c>
      <c r="O346" s="464">
        <v>58.89</v>
      </c>
      <c r="P346" s="468">
        <v>6</v>
      </c>
      <c r="Q346" s="468">
        <v>353.34000000000003</v>
      </c>
      <c r="R346" s="491">
        <v>6.0000000000000009</v>
      </c>
      <c r="S346" s="469">
        <v>58.890000000000008</v>
      </c>
    </row>
    <row r="347" spans="1:19" ht="14.4" customHeight="1" x14ac:dyDescent="0.3">
      <c r="A347" s="463"/>
      <c r="B347" s="464" t="s">
        <v>1140</v>
      </c>
      <c r="C347" s="464" t="s">
        <v>930</v>
      </c>
      <c r="D347" s="464" t="s">
        <v>929</v>
      </c>
      <c r="E347" s="464" t="s">
        <v>986</v>
      </c>
      <c r="F347" s="464" t="s">
        <v>1193</v>
      </c>
      <c r="G347" s="464" t="s">
        <v>1194</v>
      </c>
      <c r="H347" s="468">
        <v>7</v>
      </c>
      <c r="I347" s="468">
        <v>902.22</v>
      </c>
      <c r="J347" s="464"/>
      <c r="K347" s="464">
        <v>128.88857142857142</v>
      </c>
      <c r="L347" s="468"/>
      <c r="M347" s="468"/>
      <c r="N347" s="464"/>
      <c r="O347" s="464"/>
      <c r="P347" s="468"/>
      <c r="Q347" s="468"/>
      <c r="R347" s="491"/>
      <c r="S347" s="469"/>
    </row>
    <row r="348" spans="1:19" ht="14.4" customHeight="1" x14ac:dyDescent="0.3">
      <c r="A348" s="463"/>
      <c r="B348" s="464" t="s">
        <v>1140</v>
      </c>
      <c r="C348" s="464" t="s">
        <v>930</v>
      </c>
      <c r="D348" s="464" t="s">
        <v>929</v>
      </c>
      <c r="E348" s="464" t="s">
        <v>986</v>
      </c>
      <c r="F348" s="464" t="s">
        <v>1193</v>
      </c>
      <c r="G348" s="464" t="s">
        <v>1195</v>
      </c>
      <c r="H348" s="468">
        <v>134</v>
      </c>
      <c r="I348" s="468">
        <v>17271.109999999997</v>
      </c>
      <c r="J348" s="464">
        <v>1.0468754261939641</v>
      </c>
      <c r="K348" s="464">
        <v>128.88888059701489</v>
      </c>
      <c r="L348" s="468">
        <v>128</v>
      </c>
      <c r="M348" s="468">
        <v>16497.77</v>
      </c>
      <c r="N348" s="464">
        <v>1</v>
      </c>
      <c r="O348" s="464">
        <v>128.888828125</v>
      </c>
      <c r="P348" s="468">
        <v>128</v>
      </c>
      <c r="Q348" s="468">
        <v>16497.78</v>
      </c>
      <c r="R348" s="491">
        <v>1.0000006061425271</v>
      </c>
      <c r="S348" s="469">
        <v>128.88890624999999</v>
      </c>
    </row>
    <row r="349" spans="1:19" ht="14.4" customHeight="1" x14ac:dyDescent="0.3">
      <c r="A349" s="463"/>
      <c r="B349" s="464" t="s">
        <v>1140</v>
      </c>
      <c r="C349" s="464" t="s">
        <v>930</v>
      </c>
      <c r="D349" s="464" t="s">
        <v>929</v>
      </c>
      <c r="E349" s="464" t="s">
        <v>986</v>
      </c>
      <c r="F349" s="464" t="s">
        <v>1055</v>
      </c>
      <c r="G349" s="464" t="s">
        <v>1056</v>
      </c>
      <c r="H349" s="468">
        <v>175</v>
      </c>
      <c r="I349" s="468">
        <v>8555.5500000000011</v>
      </c>
      <c r="J349" s="464">
        <v>0.91622955349130097</v>
      </c>
      <c r="K349" s="464">
        <v>48.888857142857148</v>
      </c>
      <c r="L349" s="468">
        <v>191</v>
      </c>
      <c r="M349" s="468">
        <v>9337.7800000000007</v>
      </c>
      <c r="N349" s="464">
        <v>1</v>
      </c>
      <c r="O349" s="464">
        <v>48.88890052356021</v>
      </c>
      <c r="P349" s="468">
        <v>205</v>
      </c>
      <c r="Q349" s="468">
        <v>10022.220000000001</v>
      </c>
      <c r="R349" s="491">
        <v>1.0732979359119621</v>
      </c>
      <c r="S349" s="469">
        <v>48.888878048780491</v>
      </c>
    </row>
    <row r="350" spans="1:19" ht="14.4" customHeight="1" x14ac:dyDescent="0.3">
      <c r="A350" s="463"/>
      <c r="B350" s="464" t="s">
        <v>1140</v>
      </c>
      <c r="C350" s="464" t="s">
        <v>930</v>
      </c>
      <c r="D350" s="464" t="s">
        <v>929</v>
      </c>
      <c r="E350" s="464" t="s">
        <v>986</v>
      </c>
      <c r="F350" s="464" t="s">
        <v>1055</v>
      </c>
      <c r="G350" s="464" t="s">
        <v>1057</v>
      </c>
      <c r="H350" s="468">
        <v>198</v>
      </c>
      <c r="I350" s="468">
        <v>9680.0000000000018</v>
      </c>
      <c r="J350" s="464">
        <v>1.2941193771649431</v>
      </c>
      <c r="K350" s="464">
        <v>48.8888888888889</v>
      </c>
      <c r="L350" s="468">
        <v>153</v>
      </c>
      <c r="M350" s="468">
        <v>7479.99</v>
      </c>
      <c r="N350" s="464">
        <v>1</v>
      </c>
      <c r="O350" s="464">
        <v>48.888823529411766</v>
      </c>
      <c r="P350" s="468">
        <v>106</v>
      </c>
      <c r="Q350" s="468">
        <v>5182.2199999999993</v>
      </c>
      <c r="R350" s="491">
        <v>0.69281108664583768</v>
      </c>
      <c r="S350" s="469">
        <v>48.888867924528299</v>
      </c>
    </row>
    <row r="351" spans="1:19" ht="14.4" customHeight="1" x14ac:dyDescent="0.3">
      <c r="A351" s="463"/>
      <c r="B351" s="464" t="s">
        <v>1140</v>
      </c>
      <c r="C351" s="464" t="s">
        <v>930</v>
      </c>
      <c r="D351" s="464" t="s">
        <v>929</v>
      </c>
      <c r="E351" s="464" t="s">
        <v>986</v>
      </c>
      <c r="F351" s="464" t="s">
        <v>1196</v>
      </c>
      <c r="G351" s="464" t="s">
        <v>1197</v>
      </c>
      <c r="H351" s="468">
        <v>439</v>
      </c>
      <c r="I351" s="468">
        <v>390222.22</v>
      </c>
      <c r="J351" s="464">
        <v>0.93803418269230765</v>
      </c>
      <c r="K351" s="464">
        <v>888.88888382687924</v>
      </c>
      <c r="L351" s="468">
        <v>468</v>
      </c>
      <c r="M351" s="468">
        <v>416000</v>
      </c>
      <c r="N351" s="464">
        <v>1</v>
      </c>
      <c r="O351" s="464">
        <v>888.88888888888891</v>
      </c>
      <c r="P351" s="468">
        <v>466</v>
      </c>
      <c r="Q351" s="468">
        <v>414222.22000000003</v>
      </c>
      <c r="R351" s="491">
        <v>0.99572649038461547</v>
      </c>
      <c r="S351" s="469">
        <v>888.88888412017172</v>
      </c>
    </row>
    <row r="352" spans="1:19" ht="14.4" customHeight="1" x14ac:dyDescent="0.3">
      <c r="A352" s="463"/>
      <c r="B352" s="464" t="s">
        <v>1140</v>
      </c>
      <c r="C352" s="464" t="s">
        <v>930</v>
      </c>
      <c r="D352" s="464" t="s">
        <v>929</v>
      </c>
      <c r="E352" s="464" t="s">
        <v>986</v>
      </c>
      <c r="F352" s="464" t="s">
        <v>1196</v>
      </c>
      <c r="G352" s="464" t="s">
        <v>1198</v>
      </c>
      <c r="H352" s="468">
        <v>150</v>
      </c>
      <c r="I352" s="468">
        <v>133333.32999999999</v>
      </c>
      <c r="J352" s="464">
        <v>1.2820512499999999</v>
      </c>
      <c r="K352" s="464">
        <v>888.88886666666656</v>
      </c>
      <c r="L352" s="468">
        <v>117</v>
      </c>
      <c r="M352" s="468">
        <v>104000</v>
      </c>
      <c r="N352" s="464">
        <v>1</v>
      </c>
      <c r="O352" s="464">
        <v>888.88888888888891</v>
      </c>
      <c r="P352" s="468">
        <v>137</v>
      </c>
      <c r="Q352" s="468">
        <v>121777.78</v>
      </c>
      <c r="R352" s="491">
        <v>1.1709401923076923</v>
      </c>
      <c r="S352" s="469">
        <v>888.88890510948909</v>
      </c>
    </row>
    <row r="353" spans="1:19" ht="14.4" customHeight="1" x14ac:dyDescent="0.3">
      <c r="A353" s="463"/>
      <c r="B353" s="464" t="s">
        <v>1140</v>
      </c>
      <c r="C353" s="464" t="s">
        <v>930</v>
      </c>
      <c r="D353" s="464" t="s">
        <v>929</v>
      </c>
      <c r="E353" s="464" t="s">
        <v>986</v>
      </c>
      <c r="F353" s="464" t="s">
        <v>1199</v>
      </c>
      <c r="G353" s="464" t="s">
        <v>1200</v>
      </c>
      <c r="H353" s="468">
        <v>6</v>
      </c>
      <c r="I353" s="468">
        <v>2000</v>
      </c>
      <c r="J353" s="464">
        <v>0.3999992000016</v>
      </c>
      <c r="K353" s="464">
        <v>333.33333333333331</v>
      </c>
      <c r="L353" s="468">
        <v>15</v>
      </c>
      <c r="M353" s="468">
        <v>5000.01</v>
      </c>
      <c r="N353" s="464">
        <v>1</v>
      </c>
      <c r="O353" s="464">
        <v>333.334</v>
      </c>
      <c r="P353" s="468">
        <v>2</v>
      </c>
      <c r="Q353" s="468">
        <v>666.67</v>
      </c>
      <c r="R353" s="491">
        <v>0.13333373333253332</v>
      </c>
      <c r="S353" s="469">
        <v>333.33499999999998</v>
      </c>
    </row>
    <row r="354" spans="1:19" ht="14.4" customHeight="1" x14ac:dyDescent="0.3">
      <c r="A354" s="463"/>
      <c r="B354" s="464" t="s">
        <v>1140</v>
      </c>
      <c r="C354" s="464" t="s">
        <v>930</v>
      </c>
      <c r="D354" s="464" t="s">
        <v>929</v>
      </c>
      <c r="E354" s="464" t="s">
        <v>986</v>
      </c>
      <c r="F354" s="464" t="s">
        <v>1199</v>
      </c>
      <c r="G354" s="464" t="s">
        <v>1201</v>
      </c>
      <c r="H354" s="468"/>
      <c r="I354" s="468"/>
      <c r="J354" s="464"/>
      <c r="K354" s="464"/>
      <c r="L354" s="468"/>
      <c r="M354" s="468"/>
      <c r="N354" s="464"/>
      <c r="O354" s="464"/>
      <c r="P354" s="468">
        <v>8</v>
      </c>
      <c r="Q354" s="468">
        <v>2666.67</v>
      </c>
      <c r="R354" s="491"/>
      <c r="S354" s="469">
        <v>333.33375000000001</v>
      </c>
    </row>
    <row r="355" spans="1:19" ht="14.4" customHeight="1" x14ac:dyDescent="0.3">
      <c r="A355" s="463"/>
      <c r="B355" s="464" t="s">
        <v>1140</v>
      </c>
      <c r="C355" s="464" t="s">
        <v>930</v>
      </c>
      <c r="D355" s="464" t="s">
        <v>929</v>
      </c>
      <c r="E355" s="464" t="s">
        <v>986</v>
      </c>
      <c r="F355" s="464" t="s">
        <v>1062</v>
      </c>
      <c r="G355" s="464" t="s">
        <v>1063</v>
      </c>
      <c r="H355" s="468"/>
      <c r="I355" s="468"/>
      <c r="J355" s="464"/>
      <c r="K355" s="464"/>
      <c r="L355" s="468">
        <v>4</v>
      </c>
      <c r="M355" s="468">
        <v>888.89</v>
      </c>
      <c r="N355" s="464">
        <v>1</v>
      </c>
      <c r="O355" s="464">
        <v>222.2225</v>
      </c>
      <c r="P355" s="468"/>
      <c r="Q355" s="468"/>
      <c r="R355" s="491"/>
      <c r="S355" s="469"/>
    </row>
    <row r="356" spans="1:19" ht="14.4" customHeight="1" x14ac:dyDescent="0.3">
      <c r="A356" s="463"/>
      <c r="B356" s="464" t="s">
        <v>1140</v>
      </c>
      <c r="C356" s="464" t="s">
        <v>930</v>
      </c>
      <c r="D356" s="464" t="s">
        <v>929</v>
      </c>
      <c r="E356" s="464" t="s">
        <v>986</v>
      </c>
      <c r="F356" s="464" t="s">
        <v>1062</v>
      </c>
      <c r="G356" s="464" t="s">
        <v>1064</v>
      </c>
      <c r="H356" s="468"/>
      <c r="I356" s="468"/>
      <c r="J356" s="464"/>
      <c r="K356" s="464"/>
      <c r="L356" s="468">
        <v>-3</v>
      </c>
      <c r="M356" s="468">
        <v>-666.67</v>
      </c>
      <c r="N356" s="464">
        <v>1</v>
      </c>
      <c r="O356" s="464">
        <v>222.22333333333333</v>
      </c>
      <c r="P356" s="468"/>
      <c r="Q356" s="468"/>
      <c r="R356" s="491"/>
      <c r="S356" s="469"/>
    </row>
    <row r="357" spans="1:19" ht="14.4" customHeight="1" thickBot="1" x14ac:dyDescent="0.35">
      <c r="A357" s="470"/>
      <c r="B357" s="471" t="s">
        <v>1140</v>
      </c>
      <c r="C357" s="471" t="s">
        <v>930</v>
      </c>
      <c r="D357" s="471" t="s">
        <v>929</v>
      </c>
      <c r="E357" s="471" t="s">
        <v>986</v>
      </c>
      <c r="F357" s="471" t="s">
        <v>1202</v>
      </c>
      <c r="G357" s="471" t="s">
        <v>1203</v>
      </c>
      <c r="H357" s="475">
        <v>1</v>
      </c>
      <c r="I357" s="475">
        <v>233.33</v>
      </c>
      <c r="J357" s="471"/>
      <c r="K357" s="471">
        <v>233.33</v>
      </c>
      <c r="L357" s="475"/>
      <c r="M357" s="475"/>
      <c r="N357" s="471"/>
      <c r="O357" s="471"/>
      <c r="P357" s="475"/>
      <c r="Q357" s="475"/>
      <c r="R357" s="483"/>
      <c r="S357" s="476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3" bestFit="1" customWidth="1"/>
    <col min="2" max="2" width="11.6640625" style="133" hidden="1" customWidth="1"/>
    <col min="3" max="4" width="11" style="135" customWidth="1"/>
    <col min="5" max="5" width="11" style="136" customWidth="1"/>
    <col min="6" max="16384" width="8.88671875" style="133"/>
  </cols>
  <sheetData>
    <row r="1" spans="1:5" ht="18.600000000000001" thickBot="1" x14ac:dyDescent="0.4">
      <c r="A1" s="304" t="s">
        <v>103</v>
      </c>
      <c r="B1" s="304"/>
      <c r="C1" s="305"/>
      <c r="D1" s="305"/>
      <c r="E1" s="305"/>
    </row>
    <row r="2" spans="1:5" ht="14.4" customHeight="1" thickBot="1" x14ac:dyDescent="0.35">
      <c r="A2" s="207" t="s">
        <v>242</v>
      </c>
      <c r="B2" s="134"/>
    </row>
    <row r="3" spans="1:5" ht="14.4" customHeight="1" thickBot="1" x14ac:dyDescent="0.35">
      <c r="A3" s="137"/>
      <c r="C3" s="138" t="s">
        <v>91</v>
      </c>
      <c r="D3" s="139" t="s">
        <v>59</v>
      </c>
      <c r="E3" s="140" t="s">
        <v>61</v>
      </c>
    </row>
    <row r="4" spans="1:5" ht="14.4" customHeight="1" thickBot="1" x14ac:dyDescent="0.35">
      <c r="A4" s="141" t="str">
        <f>HYPERLINK("#HI!A1","NÁKLADY CELKEM (v tisících Kč)")</f>
        <v>NÁKLADY CELKEM (v tisících Kč)</v>
      </c>
      <c r="B4" s="142"/>
      <c r="C4" s="143">
        <f ca="1">IF(ISERROR(VLOOKUP("Náklady celkem",INDIRECT("HI!$A:$G"),6,0)),0,VLOOKUP("Náklady celkem",INDIRECT("HI!$A:$G"),6,0))</f>
        <v>7319.3819409179687</v>
      </c>
      <c r="D4" s="143">
        <f ca="1">IF(ISERROR(VLOOKUP("Náklady celkem",INDIRECT("HI!$A:$G"),5,0)),0,VLOOKUP("Náklady celkem",INDIRECT("HI!$A:$G"),5,0))</f>
        <v>7041.5552100000023</v>
      </c>
      <c r="E4" s="144">
        <f ca="1">IF(C4=0,0,D4/C4)</f>
        <v>0.96204232363325437</v>
      </c>
    </row>
    <row r="5" spans="1:5" ht="14.4" customHeight="1" x14ac:dyDescent="0.3">
      <c r="A5" s="145" t="s">
        <v>125</v>
      </c>
      <c r="B5" s="146"/>
      <c r="C5" s="147"/>
      <c r="D5" s="147"/>
      <c r="E5" s="148"/>
    </row>
    <row r="6" spans="1:5" ht="14.4" customHeight="1" x14ac:dyDescent="0.3">
      <c r="A6" s="149" t="s">
        <v>130</v>
      </c>
      <c r="B6" s="150"/>
      <c r="C6" s="151"/>
      <c r="D6" s="151"/>
      <c r="E6" s="148"/>
    </row>
    <row r="7" spans="1:5" ht="14.4" customHeight="1" x14ac:dyDescent="0.3">
      <c r="A7" s="23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0" t="s">
        <v>95</v>
      </c>
      <c r="C7" s="151">
        <f>IF(ISERROR(HI!F5),"",HI!F5)</f>
        <v>63.333335296630857</v>
      </c>
      <c r="D7" s="151">
        <f>IF(ISERROR(HI!E5),"",HI!E5)</f>
        <v>48.963149999999999</v>
      </c>
      <c r="E7" s="148">
        <f t="shared" ref="E7:E13" si="0">IF(C7=0,0,D7/C7)</f>
        <v>0.77310234445531711</v>
      </c>
    </row>
    <row r="8" spans="1:5" ht="14.4" customHeight="1" x14ac:dyDescent="0.3">
      <c r="A8" s="232" t="str">
        <f>HYPERLINK("#'LŽ PL'!A1","Plnění pozitivního listu (min. 90%)")</f>
        <v>Plnění pozitivního listu (min. 90%)</v>
      </c>
      <c r="B8" s="150" t="s">
        <v>123</v>
      </c>
      <c r="C8" s="152">
        <v>0.9</v>
      </c>
      <c r="D8" s="152">
        <f>IF(ISERROR(VLOOKUP("celkem",'LŽ PL'!$A:$F,5,0)),0,VLOOKUP("celkem",'LŽ PL'!$A:$F,5,0))</f>
        <v>1</v>
      </c>
      <c r="E8" s="148">
        <f t="shared" si="0"/>
        <v>1.1111111111111112</v>
      </c>
    </row>
    <row r="9" spans="1:5" ht="14.4" customHeight="1" x14ac:dyDescent="0.3">
      <c r="A9" s="232" t="str">
        <f>HYPERLINK("#'LŽ Statim'!A1","Podíl statimových žádanek (max. 30%)")</f>
        <v>Podíl statimových žádanek (max. 30%)</v>
      </c>
      <c r="B9" s="230" t="s">
        <v>178</v>
      </c>
      <c r="C9" s="231">
        <v>0.3</v>
      </c>
      <c r="D9" s="231">
        <f>IF('LŽ Statim'!G3="",0,'LŽ Statim'!G3)</f>
        <v>0</v>
      </c>
      <c r="E9" s="148">
        <f>IF(C9=0,0,D9/C9)</f>
        <v>0</v>
      </c>
    </row>
    <row r="10" spans="1:5" ht="14.4" customHeight="1" x14ac:dyDescent="0.3">
      <c r="A10" s="153" t="s">
        <v>126</v>
      </c>
      <c r="B10" s="150"/>
      <c r="C10" s="151"/>
      <c r="D10" s="151"/>
      <c r="E10" s="148"/>
    </row>
    <row r="11" spans="1:5" ht="14.4" customHeight="1" x14ac:dyDescent="0.3">
      <c r="A11" s="153" t="s">
        <v>127</v>
      </c>
      <c r="B11" s="150"/>
      <c r="C11" s="151"/>
      <c r="D11" s="151"/>
      <c r="E11" s="148"/>
    </row>
    <row r="12" spans="1:5" ht="14.4" customHeight="1" x14ac:dyDescent="0.3">
      <c r="A12" s="154" t="s">
        <v>131</v>
      </c>
      <c r="B12" s="150"/>
      <c r="C12" s="147"/>
      <c r="D12" s="147"/>
      <c r="E12" s="148"/>
    </row>
    <row r="13" spans="1:5" ht="14.4" customHeight="1" x14ac:dyDescent="0.3">
      <c r="A13" s="15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0" t="s">
        <v>95</v>
      </c>
      <c r="C13" s="151">
        <f>IF(ISERROR(HI!F6),"",HI!F6)</f>
        <v>619.99999963378912</v>
      </c>
      <c r="D13" s="151">
        <f>IF(ISERROR(HI!E6),"",HI!E6)</f>
        <v>443.04964000000012</v>
      </c>
      <c r="E13" s="148">
        <f t="shared" si="0"/>
        <v>0.71459619397047258</v>
      </c>
    </row>
    <row r="14" spans="1:5" ht="14.4" customHeight="1" thickBot="1" x14ac:dyDescent="0.35">
      <c r="A14" s="156" t="str">
        <f>HYPERLINK("#HI!A1","Osobní náklady")</f>
        <v>Osobní náklady</v>
      </c>
      <c r="B14" s="150"/>
      <c r="C14" s="147">
        <f ca="1">IF(ISERROR(VLOOKUP("Osobní náklady (Kč) *",INDIRECT("HI!$A:$G"),6,0)),0,VLOOKUP("Osobní náklady (Kč) *",INDIRECT("HI!$A:$G"),6,0))</f>
        <v>5302.1465620117187</v>
      </c>
      <c r="D14" s="147">
        <f ca="1">IF(ISERROR(VLOOKUP("Osobní náklady (Kč) *",INDIRECT("HI!$A:$G"),5,0)),0,VLOOKUP("Osobní náklady (Kč) *",INDIRECT("HI!$A:$G"),5,0))</f>
        <v>5385.6391999999996</v>
      </c>
      <c r="E14" s="148">
        <f ca="1">IF(C14=0,0,D14/C14)</f>
        <v>1.0157469502232324</v>
      </c>
    </row>
    <row r="15" spans="1:5" ht="14.4" customHeight="1" thickBot="1" x14ac:dyDescent="0.35">
      <c r="A15" s="160"/>
      <c r="B15" s="161"/>
      <c r="C15" s="162"/>
      <c r="D15" s="162"/>
      <c r="E15" s="163"/>
    </row>
    <row r="16" spans="1:5" ht="14.4" customHeight="1" thickBot="1" x14ac:dyDescent="0.35">
      <c r="A16" s="164" t="str">
        <f>HYPERLINK("#HI!A1","VÝNOSY CELKEM (v tisících)")</f>
        <v>VÝNOSY CELKEM (v tisících)</v>
      </c>
      <c r="B16" s="165"/>
      <c r="C16" s="166">
        <f ca="1">IF(ISERROR(VLOOKUP("Výnosy celkem",INDIRECT("HI!$A:$G"),6,0)),0,VLOOKUP("Výnosy celkem",INDIRECT("HI!$A:$G"),6,0))</f>
        <v>3383.8266500000004</v>
      </c>
      <c r="D16" s="166">
        <f ca="1">IF(ISERROR(VLOOKUP("Výnosy celkem",INDIRECT("HI!$A:$G"),5,0)),0,VLOOKUP("Výnosy celkem",INDIRECT("HI!$A:$G"),5,0))</f>
        <v>3135.4978100000012</v>
      </c>
      <c r="E16" s="167">
        <f t="shared" ref="E16:E19" ca="1" si="1">IF(C16=0,0,D16/C16)</f>
        <v>0.92661301370151472</v>
      </c>
    </row>
    <row r="17" spans="1:5" ht="14.4" customHeight="1" x14ac:dyDescent="0.3">
      <c r="A17" s="168" t="str">
        <f>HYPERLINK("#HI!A1","Ambulance (body za výkony + Kč za ZUM a ZULP)")</f>
        <v>Ambulance (body za výkony + Kč za ZUM a ZULP)</v>
      </c>
      <c r="B17" s="146"/>
      <c r="C17" s="147">
        <f ca="1">IF(ISERROR(VLOOKUP("Ambulance *",INDIRECT("HI!$A:$G"),6,0)),0,VLOOKUP("Ambulance *",INDIRECT("HI!$A:$G"),6,0))</f>
        <v>3383.8266500000004</v>
      </c>
      <c r="D17" s="147">
        <f ca="1">IF(ISERROR(VLOOKUP("Ambulance *",INDIRECT("HI!$A:$G"),5,0)),0,VLOOKUP("Ambulance *",INDIRECT("HI!$A:$G"),5,0))</f>
        <v>3135.4978100000012</v>
      </c>
      <c r="E17" s="148">
        <f t="shared" ca="1" si="1"/>
        <v>0.92661301370151472</v>
      </c>
    </row>
    <row r="18" spans="1:5" ht="14.4" customHeight="1" x14ac:dyDescent="0.3">
      <c r="A18" s="239" t="str">
        <f>HYPERLINK("#'ZV Vykáz.-A'!A1","Zdravotní výkony vykázané u ambulantních pacientů (min. 100 % 2016)")</f>
        <v>Zdravotní výkony vykázané u ambulantních pacientů (min. 100 % 2016)</v>
      </c>
      <c r="B18" s="240" t="s">
        <v>105</v>
      </c>
      <c r="C18" s="152">
        <v>1</v>
      </c>
      <c r="D18" s="152">
        <f>IF(ISERROR(VLOOKUP("Celkem:",'ZV Vykáz.-A'!$A:$AB,10,0)),"",VLOOKUP("Celkem:",'ZV Vykáz.-A'!$A:$AB,10,0))</f>
        <v>0.92661301370151472</v>
      </c>
      <c r="E18" s="148">
        <f t="shared" si="1"/>
        <v>0.92661301370151472</v>
      </c>
    </row>
    <row r="19" spans="1:5" ht="14.4" customHeight="1" x14ac:dyDescent="0.3">
      <c r="A19" s="238" t="str">
        <f>HYPERLINK("#'ZV Vykáz.-A'!A1","Specializovaná ambulantní péče")</f>
        <v>Specializovaná ambulantní péče</v>
      </c>
      <c r="B19" s="240" t="s">
        <v>105</v>
      </c>
      <c r="C19" s="152">
        <v>1</v>
      </c>
      <c r="D19" s="231">
        <f>IF(ISERROR(VLOOKUP("Specializovaná ambulantní péče",'ZV Vykáz.-A'!$A:$AB,10,0)),"",VLOOKUP("Specializovaná ambulantní péče",'ZV Vykáz.-A'!$A:$AB,10,0))</f>
        <v>0.92661301370151528</v>
      </c>
      <c r="E19" s="148">
        <f t="shared" si="1"/>
        <v>0.92661301370151528</v>
      </c>
    </row>
    <row r="20" spans="1:5" ht="14.4" customHeight="1" x14ac:dyDescent="0.3">
      <c r="A20" s="238" t="str">
        <f>HYPERLINK("#'ZV Vykáz.-A'!A1","Ambulantní péče ve vyjmenovaných odbornostech (§9)")</f>
        <v>Ambulantní péče ve vyjmenovaných odbornostech (§9)</v>
      </c>
      <c r="B20" s="240" t="s">
        <v>105</v>
      </c>
      <c r="C20" s="152">
        <v>1</v>
      </c>
      <c r="D20" s="231" t="str">
        <f>IF(ISERROR(VLOOKUP("Ambulantní péče ve vyjmenovaných odbornostech (§9) *",'ZV Vykáz.-A'!$A:$AB,10,0)),"",VLOOKUP("Ambulantní péče ve vyjmenovaných odbornostech (§9) *",'ZV Vykáz.-A'!$A:$AB,10,0))</f>
        <v/>
      </c>
      <c r="E20" s="148">
        <f>IF(OR(C20=0,D20=""),0,IF(C20="","",D20/C20))</f>
        <v>0</v>
      </c>
    </row>
    <row r="21" spans="1:5" ht="14.4" customHeight="1" x14ac:dyDescent="0.3">
      <c r="A21" s="169" t="str">
        <f>HYPERLINK("#HI!A1","Hospitalizace (casemix * 30000)")</f>
        <v>Hospitalizace (casemix * 30000)</v>
      </c>
      <c r="B21" s="150"/>
      <c r="C21" s="147">
        <f ca="1">IF(ISERROR(VLOOKUP("Hospitalizace *",INDIRECT("HI!$A:$G"),6,0)),0,VLOOKUP("Hospitalizace *",INDIRECT("HI!$A:$G"),6,0))</f>
        <v>0</v>
      </c>
      <c r="D21" s="147">
        <f ca="1">IF(ISERROR(VLOOKUP("Hospitalizace *",INDIRECT("HI!$A:$G"),5,0)),0,VLOOKUP("Hospitalizace *",INDIRECT("HI!$A:$G"),5,0))</f>
        <v>0</v>
      </c>
      <c r="E21" s="148">
        <f ca="1">IF(C21=0,0,D21/C21)</f>
        <v>0</v>
      </c>
    </row>
    <row r="22" spans="1:5" ht="14.4" customHeight="1" thickBot="1" x14ac:dyDescent="0.35">
      <c r="A22" s="170" t="s">
        <v>128</v>
      </c>
      <c r="B22" s="157"/>
      <c r="C22" s="158"/>
      <c r="D22" s="158"/>
      <c r="E22" s="159"/>
    </row>
    <row r="23" spans="1:5" ht="14.4" customHeight="1" thickBot="1" x14ac:dyDescent="0.35">
      <c r="A23" s="171"/>
      <c r="B23" s="172"/>
      <c r="C23" s="173"/>
      <c r="D23" s="173"/>
      <c r="E23" s="174"/>
    </row>
    <row r="24" spans="1:5" ht="14.4" customHeight="1" thickBot="1" x14ac:dyDescent="0.35">
      <c r="A24" s="175" t="s">
        <v>129</v>
      </c>
      <c r="B24" s="176"/>
      <c r="C24" s="177"/>
      <c r="D24" s="177"/>
      <c r="E24" s="178"/>
    </row>
  </sheetData>
  <mergeCells count="1">
    <mergeCell ref="A1:E1"/>
  </mergeCells>
  <conditionalFormatting sqref="E5">
    <cfRule type="cellIs" dxfId="5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4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">
    <cfRule type="cellIs" dxfId="4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:E19" evalError="1"/>
    <ignoredError sqref="E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4" bestFit="1" customWidth="1"/>
    <col min="2" max="2" width="9.5546875" style="114" hidden="1" customWidth="1" outlineLevel="1"/>
    <col min="3" max="3" width="9.5546875" style="114" customWidth="1" collapsed="1"/>
    <col min="4" max="4" width="2.21875" style="114" customWidth="1"/>
    <col min="5" max="8" width="9.5546875" style="114" customWidth="1"/>
    <col min="9" max="10" width="9.77734375" style="114" hidden="1" customWidth="1" outlineLevel="1"/>
    <col min="11" max="11" width="8.88671875" style="114" collapsed="1"/>
    <col min="12" max="16384" width="8.88671875" style="114"/>
  </cols>
  <sheetData>
    <row r="1" spans="1:10" ht="18.600000000000001" customHeight="1" thickBot="1" x14ac:dyDescent="0.4">
      <c r="A1" s="315" t="s">
        <v>116</v>
      </c>
      <c r="B1" s="315"/>
      <c r="C1" s="315"/>
      <c r="D1" s="315"/>
      <c r="E1" s="315"/>
      <c r="F1" s="315"/>
      <c r="G1" s="315"/>
      <c r="H1" s="315"/>
      <c r="I1" s="315"/>
      <c r="J1" s="315"/>
    </row>
    <row r="2" spans="1:10" ht="14.4" customHeight="1" thickBot="1" x14ac:dyDescent="0.35">
      <c r="A2" s="207" t="s">
        <v>242</v>
      </c>
      <c r="B2" s="96"/>
      <c r="C2" s="96"/>
      <c r="D2" s="96"/>
      <c r="E2" s="96"/>
      <c r="F2" s="96"/>
    </row>
    <row r="3" spans="1:10" ht="14.4" customHeight="1" x14ac:dyDescent="0.3">
      <c r="A3" s="306"/>
      <c r="B3" s="92">
        <v>2015</v>
      </c>
      <c r="C3" s="40">
        <v>2017</v>
      </c>
      <c r="D3" s="7"/>
      <c r="E3" s="310">
        <v>2018</v>
      </c>
      <c r="F3" s="311"/>
      <c r="G3" s="311"/>
      <c r="H3" s="312"/>
      <c r="I3" s="313">
        <v>2017</v>
      </c>
      <c r="J3" s="314"/>
    </row>
    <row r="4" spans="1:10" ht="14.4" customHeight="1" thickBot="1" x14ac:dyDescent="0.35">
      <c r="A4" s="307"/>
      <c r="B4" s="308" t="s">
        <v>59</v>
      </c>
      <c r="C4" s="309"/>
      <c r="D4" s="7"/>
      <c r="E4" s="113" t="s">
        <v>59</v>
      </c>
      <c r="F4" s="94" t="s">
        <v>60</v>
      </c>
      <c r="G4" s="94" t="s">
        <v>54</v>
      </c>
      <c r="H4" s="95" t="s">
        <v>61</v>
      </c>
      <c r="I4" s="243" t="s">
        <v>186</v>
      </c>
      <c r="J4" s="244" t="s">
        <v>187</v>
      </c>
    </row>
    <row r="5" spans="1:10" ht="14.4" customHeight="1" x14ac:dyDescent="0.3">
      <c r="A5" s="97" t="str">
        <f>HYPERLINK("#'Léky Žádanky'!A1","Léky (Kč)")</f>
        <v>Léky (Kč)</v>
      </c>
      <c r="B5" s="27">
        <v>56.438479999999998</v>
      </c>
      <c r="C5" s="29">
        <v>82.423869999999994</v>
      </c>
      <c r="D5" s="8"/>
      <c r="E5" s="102">
        <v>48.963149999999999</v>
      </c>
      <c r="F5" s="28">
        <v>63.333335296630857</v>
      </c>
      <c r="G5" s="101">
        <f>E5-F5</f>
        <v>-14.370185296630858</v>
      </c>
      <c r="H5" s="107">
        <f>IF(F5&lt;0.00000001,"",E5/F5)</f>
        <v>0.77310234445531711</v>
      </c>
    </row>
    <row r="6" spans="1:10" ht="14.4" customHeight="1" x14ac:dyDescent="0.3">
      <c r="A6" s="97" t="str">
        <f>HYPERLINK("#'Materiál Žádanky'!A1","Materiál - SZM (Kč)")</f>
        <v>Materiál - SZM (Kč)</v>
      </c>
      <c r="B6" s="10">
        <v>482.52785000000006</v>
      </c>
      <c r="C6" s="31">
        <v>548.6280099999999</v>
      </c>
      <c r="D6" s="8"/>
      <c r="E6" s="103">
        <v>443.04964000000012</v>
      </c>
      <c r="F6" s="30">
        <v>619.99999963378912</v>
      </c>
      <c r="G6" s="104">
        <f>E6-F6</f>
        <v>-176.95035963378899</v>
      </c>
      <c r="H6" s="108">
        <f>IF(F6&lt;0.00000001,"",E6/F6)</f>
        <v>0.71459619397047258</v>
      </c>
    </row>
    <row r="7" spans="1:10" ht="14.4" customHeight="1" x14ac:dyDescent="0.3">
      <c r="A7" s="97" t="str">
        <f>HYPERLINK("#'Osobní náklady'!A1","Osobní náklady (Kč) *")</f>
        <v>Osobní náklady (Kč) *</v>
      </c>
      <c r="B7" s="10">
        <v>4399.5398400000004</v>
      </c>
      <c r="C7" s="31">
        <v>4875.9423700000007</v>
      </c>
      <c r="D7" s="8"/>
      <c r="E7" s="103">
        <v>5385.6391999999996</v>
      </c>
      <c r="F7" s="30">
        <v>5302.1465620117187</v>
      </c>
      <c r="G7" s="104">
        <f>E7-F7</f>
        <v>83.492637988280876</v>
      </c>
      <c r="H7" s="108">
        <f>IF(F7&lt;0.00000001,"",E7/F7)</f>
        <v>1.0157469502232324</v>
      </c>
    </row>
    <row r="8" spans="1:10" ht="14.4" customHeight="1" thickBot="1" x14ac:dyDescent="0.35">
      <c r="A8" s="1" t="s">
        <v>62</v>
      </c>
      <c r="B8" s="11">
        <v>979.6791199999999</v>
      </c>
      <c r="C8" s="33">
        <v>1291.8669099999997</v>
      </c>
      <c r="D8" s="8"/>
      <c r="E8" s="105">
        <v>1163.9032200000024</v>
      </c>
      <c r="F8" s="32">
        <v>1333.9020439758301</v>
      </c>
      <c r="G8" s="106">
        <f>E8-F8</f>
        <v>-169.99882397582769</v>
      </c>
      <c r="H8" s="109">
        <f>IF(F8&lt;0.00000001,"",E8/F8)</f>
        <v>0.87255524141103424</v>
      </c>
    </row>
    <row r="9" spans="1:10" ht="14.4" customHeight="1" thickBot="1" x14ac:dyDescent="0.35">
      <c r="A9" s="2" t="s">
        <v>63</v>
      </c>
      <c r="B9" s="3">
        <v>5918.1852900000004</v>
      </c>
      <c r="C9" s="35">
        <v>6798.8611600000004</v>
      </c>
      <c r="D9" s="8"/>
      <c r="E9" s="3">
        <v>7041.5552100000023</v>
      </c>
      <c r="F9" s="34">
        <v>7319.3819409179687</v>
      </c>
      <c r="G9" s="34">
        <f>E9-F9</f>
        <v>-277.82673091796642</v>
      </c>
      <c r="H9" s="110">
        <f>IF(F9&lt;0.00000001,"",E9/F9)</f>
        <v>0.96204232363325437</v>
      </c>
    </row>
    <row r="10" spans="1:10" ht="14.4" customHeight="1" thickBot="1" x14ac:dyDescent="0.35">
      <c r="A10" s="12"/>
      <c r="B10" s="12"/>
      <c r="C10" s="93"/>
      <c r="D10" s="8"/>
      <c r="E10" s="12"/>
      <c r="F10" s="13"/>
    </row>
    <row r="11" spans="1:10" ht="14.4" customHeight="1" x14ac:dyDescent="0.3">
      <c r="A11" s="117" t="str">
        <f>HYPERLINK("#'ZV Vykáz.-A'!A1","Ambulance *")</f>
        <v>Ambulance *</v>
      </c>
      <c r="B11" s="9">
        <f>IF(ISERROR(VLOOKUP("Celkem:",'ZV Vykáz.-A'!A:H,2,0)),0,VLOOKUP("Celkem:",'ZV Vykáz.-A'!A:H,2,0)/1000)</f>
        <v>3526.9901299999997</v>
      </c>
      <c r="C11" s="29">
        <f>IF(ISERROR(VLOOKUP("Celkem:",'ZV Vykáz.-A'!A:H,5,0)),0,VLOOKUP("Celkem:",'ZV Vykáz.-A'!A:H,5,0)/1000)</f>
        <v>3383.8266500000004</v>
      </c>
      <c r="D11" s="8"/>
      <c r="E11" s="102">
        <f>IF(ISERROR(VLOOKUP("Celkem:",'ZV Vykáz.-A'!A:H,8,0)),0,VLOOKUP("Celkem:",'ZV Vykáz.-A'!A:H,8,0)/1000)</f>
        <v>3135.4978100000012</v>
      </c>
      <c r="F11" s="28">
        <f>C11</f>
        <v>3383.8266500000004</v>
      </c>
      <c r="G11" s="101">
        <f>E11-F11</f>
        <v>-248.32883999999922</v>
      </c>
      <c r="H11" s="107">
        <f>IF(F11&lt;0.00000001,"",E11/F11)</f>
        <v>0.92661301370151472</v>
      </c>
      <c r="I11" s="101">
        <f>E11-B11</f>
        <v>-391.49231999999847</v>
      </c>
      <c r="J11" s="107">
        <f>IF(B11&lt;0.00000001,"",E11/B11)</f>
        <v>0.88900101628580441</v>
      </c>
    </row>
    <row r="12" spans="1:10" ht="14.4" customHeight="1" thickBot="1" x14ac:dyDescent="0.35">
      <c r="A12" s="11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C12</f>
        <v>0</v>
      </c>
      <c r="G12" s="106">
        <f>E12-F12</f>
        <v>0</v>
      </c>
      <c r="H12" s="109" t="str">
        <f>IF(F12&lt;0.00000001,"",E12/F12)</f>
        <v/>
      </c>
      <c r="I12" s="106">
        <f>E12-B12</f>
        <v>0</v>
      </c>
      <c r="J12" s="109" t="str">
        <f>IF(B12&lt;0.00000001,"",E12/B12)</f>
        <v/>
      </c>
    </row>
    <row r="13" spans="1:10" ht="14.4" customHeight="1" thickBot="1" x14ac:dyDescent="0.35">
      <c r="A13" s="4" t="s">
        <v>66</v>
      </c>
      <c r="B13" s="5">
        <f>SUM(B11:B12)</f>
        <v>3526.9901299999997</v>
      </c>
      <c r="C13" s="37">
        <f>SUM(C11:C12)</f>
        <v>3383.8266500000004</v>
      </c>
      <c r="D13" s="8"/>
      <c r="E13" s="5">
        <f>SUM(E11:E12)</f>
        <v>3135.4978100000012</v>
      </c>
      <c r="F13" s="36">
        <f>SUM(F11:F12)</f>
        <v>3383.8266500000004</v>
      </c>
      <c r="G13" s="36">
        <f>E13-F13</f>
        <v>-248.32883999999922</v>
      </c>
      <c r="H13" s="111">
        <f>IF(F13&lt;0.00000001,"",E13/F13)</f>
        <v>0.92661301370151472</v>
      </c>
      <c r="I13" s="36">
        <f>SUM(I11:I12)</f>
        <v>-391.49231999999847</v>
      </c>
      <c r="J13" s="111">
        <f>IF(B13&lt;0.00000001,"",E13/B13)</f>
        <v>0.88900101628580441</v>
      </c>
    </row>
    <row r="14" spans="1:10" ht="14.4" customHeight="1" thickBot="1" x14ac:dyDescent="0.35">
      <c r="A14" s="12"/>
      <c r="B14" s="12"/>
      <c r="C14" s="93"/>
      <c r="D14" s="8"/>
      <c r="E14" s="12"/>
      <c r="F14" s="13"/>
    </row>
    <row r="15" spans="1:10" ht="14.4" customHeight="1" thickBot="1" x14ac:dyDescent="0.35">
      <c r="A15" s="119" t="str">
        <f>HYPERLINK("#'HI Graf'!A1","Hospodářský index (Výnosy / Náklady) *")</f>
        <v>Hospodářský index (Výnosy / Náklady) *</v>
      </c>
      <c r="B15" s="6">
        <f>IF(B9=0,"",B13/B9)</f>
        <v>0.59595804409158659</v>
      </c>
      <c r="C15" s="39">
        <f>IF(C9=0,"",C13/C9)</f>
        <v>0.49770492003987332</v>
      </c>
      <c r="D15" s="8"/>
      <c r="E15" s="6">
        <f>IF(E9=0,"",E13/E9)</f>
        <v>0.44528484354523723</v>
      </c>
      <c r="F15" s="38">
        <f>IF(F9=0,"",F13/F9)</f>
        <v>0.46231043513157805</v>
      </c>
      <c r="G15" s="38">
        <f>IF(ISERROR(F15-E15),"",E15-F15)</f>
        <v>-1.7025591586340816E-2</v>
      </c>
      <c r="H15" s="112">
        <f>IF(ISERROR(F15-E15),"",IF(F15&lt;0.00000001,"",E15/F15))</f>
        <v>0.96317281572609281</v>
      </c>
    </row>
    <row r="17" spans="1:8" ht="14.4" customHeight="1" x14ac:dyDescent="0.3">
      <c r="A17" s="98" t="s">
        <v>133</v>
      </c>
    </row>
    <row r="18" spans="1:8" ht="14.4" customHeight="1" x14ac:dyDescent="0.3">
      <c r="A18" s="210" t="s">
        <v>160</v>
      </c>
      <c r="B18" s="211"/>
      <c r="C18" s="211"/>
      <c r="D18" s="211"/>
      <c r="E18" s="211"/>
      <c r="F18" s="211"/>
      <c r="G18" s="211"/>
      <c r="H18" s="211"/>
    </row>
    <row r="19" spans="1:8" x14ac:dyDescent="0.3">
      <c r="A19" s="209" t="s">
        <v>159</v>
      </c>
      <c r="B19" s="211"/>
      <c r="C19" s="211"/>
      <c r="D19" s="211"/>
      <c r="E19" s="211"/>
      <c r="F19" s="211"/>
      <c r="G19" s="211"/>
      <c r="H19" s="211"/>
    </row>
    <row r="20" spans="1:8" ht="14.4" customHeight="1" x14ac:dyDescent="0.3">
      <c r="A20" s="99" t="s">
        <v>179</v>
      </c>
    </row>
    <row r="21" spans="1:8" ht="14.4" customHeight="1" x14ac:dyDescent="0.3">
      <c r="A21" s="99" t="s">
        <v>134</v>
      </c>
    </row>
    <row r="22" spans="1:8" ht="14.4" customHeight="1" x14ac:dyDescent="0.3">
      <c r="A22" s="100" t="s">
        <v>220</v>
      </c>
    </row>
    <row r="23" spans="1:8" ht="14.4" customHeight="1" x14ac:dyDescent="0.3">
      <c r="A23" s="100" t="s">
        <v>135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8" operator="greaterThan">
      <formula>0</formula>
    </cfRule>
  </conditionalFormatting>
  <conditionalFormatting sqref="G11:G13 G15">
    <cfRule type="cellIs" dxfId="44" priority="7" operator="lessThan">
      <formula>0</formula>
    </cfRule>
  </conditionalFormatting>
  <conditionalFormatting sqref="H5:H9">
    <cfRule type="cellIs" dxfId="43" priority="6" operator="greaterThan">
      <formula>1</formula>
    </cfRule>
  </conditionalFormatting>
  <conditionalFormatting sqref="H11:H13 H15">
    <cfRule type="cellIs" dxfId="42" priority="5" operator="lessThan">
      <formula>1</formula>
    </cfRule>
  </conditionalFormatting>
  <conditionalFormatting sqref="I11:I13">
    <cfRule type="cellIs" dxfId="41" priority="4" operator="lessThan">
      <formula>0</formula>
    </cfRule>
  </conditionalFormatting>
  <conditionalFormatting sqref="J11:J13">
    <cfRule type="cellIs" dxfId="4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4"/>
    <col min="2" max="13" width="8.88671875" style="114" customWidth="1"/>
    <col min="14" max="16384" width="8.88671875" style="114"/>
  </cols>
  <sheetData>
    <row r="1" spans="1:13" ht="18.600000000000001" customHeight="1" thickBot="1" x14ac:dyDescent="0.4">
      <c r="A1" s="304" t="s">
        <v>89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</row>
    <row r="2" spans="1:13" ht="14.4" customHeight="1" x14ac:dyDescent="0.3">
      <c r="A2" s="207" t="s">
        <v>242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14.4" customHeight="1" x14ac:dyDescent="0.3">
      <c r="A3" s="180"/>
      <c r="B3" s="181" t="s">
        <v>68</v>
      </c>
      <c r="C3" s="182" t="s">
        <v>69</v>
      </c>
      <c r="D3" s="182" t="s">
        <v>70</v>
      </c>
      <c r="E3" s="181" t="s">
        <v>71</v>
      </c>
      <c r="F3" s="182" t="s">
        <v>72</v>
      </c>
      <c r="G3" s="182" t="s">
        <v>73</v>
      </c>
      <c r="H3" s="182" t="s">
        <v>74</v>
      </c>
      <c r="I3" s="182" t="s">
        <v>75</v>
      </c>
      <c r="J3" s="182" t="s">
        <v>76</v>
      </c>
      <c r="K3" s="182" t="s">
        <v>77</v>
      </c>
      <c r="L3" s="182" t="s">
        <v>78</v>
      </c>
      <c r="M3" s="182" t="s">
        <v>79</v>
      </c>
    </row>
    <row r="4" spans="1:13" ht="14.4" customHeight="1" x14ac:dyDescent="0.3">
      <c r="A4" s="180" t="s">
        <v>67</v>
      </c>
      <c r="B4" s="183">
        <f>(B10+B8)/B6</f>
        <v>0.49375398627236455</v>
      </c>
      <c r="C4" s="183">
        <f t="shared" ref="C4:M4" si="0">(C10+C8)/C6</f>
        <v>0.44528486626749042</v>
      </c>
      <c r="D4" s="183">
        <f t="shared" si="0"/>
        <v>0.44528486626749042</v>
      </c>
      <c r="E4" s="183">
        <f t="shared" si="0"/>
        <v>0.44528486626749042</v>
      </c>
      <c r="F4" s="183">
        <f t="shared" si="0"/>
        <v>0.44528486626749042</v>
      </c>
      <c r="G4" s="183">
        <f t="shared" si="0"/>
        <v>0.44528486626749042</v>
      </c>
      <c r="H4" s="183">
        <f t="shared" si="0"/>
        <v>0.44528486626749042</v>
      </c>
      <c r="I4" s="183">
        <f t="shared" si="0"/>
        <v>0.44528486626749042</v>
      </c>
      <c r="J4" s="183">
        <f t="shared" si="0"/>
        <v>0.44528486626749042</v>
      </c>
      <c r="K4" s="183">
        <f t="shared" si="0"/>
        <v>0.44528486626749042</v>
      </c>
      <c r="L4" s="183">
        <f t="shared" si="0"/>
        <v>0.44528486626749042</v>
      </c>
      <c r="M4" s="183">
        <f t="shared" si="0"/>
        <v>0.44528486626749042</v>
      </c>
    </row>
    <row r="5" spans="1:13" ht="14.4" customHeight="1" x14ac:dyDescent="0.3">
      <c r="A5" s="184" t="s">
        <v>40</v>
      </c>
      <c r="B5" s="183">
        <f>IF(ISERROR(VLOOKUP($A5,'Man Tab'!$A:$Q,COLUMN()+2,0)),0,VLOOKUP($A5,'Man Tab'!$A:$Q,COLUMN()+2,0))</f>
        <v>3476.0858600000001</v>
      </c>
      <c r="C5" s="183">
        <f>IF(ISERROR(VLOOKUP($A5,'Man Tab'!$A:$Q,COLUMN()+2,0)),0,VLOOKUP($A5,'Man Tab'!$A:$Q,COLUMN()+2,0))</f>
        <v>3565.4693499999998</v>
      </c>
      <c r="D5" s="183">
        <f>IF(ISERROR(VLOOKUP($A5,'Man Tab'!$A:$Q,COLUMN()+2,0)),0,VLOOKUP($A5,'Man Tab'!$A:$Q,COLUMN()+2,0))</f>
        <v>0</v>
      </c>
      <c r="E5" s="183">
        <f>IF(ISERROR(VLOOKUP($A5,'Man Tab'!$A:$Q,COLUMN()+2,0)),0,VLOOKUP($A5,'Man Tab'!$A:$Q,COLUMN()+2,0))</f>
        <v>0</v>
      </c>
      <c r="F5" s="183">
        <f>IF(ISERROR(VLOOKUP($A5,'Man Tab'!$A:$Q,COLUMN()+2,0)),0,VLOOKUP($A5,'Man Tab'!$A:$Q,COLUMN()+2,0))</f>
        <v>0</v>
      </c>
      <c r="G5" s="183">
        <f>IF(ISERROR(VLOOKUP($A5,'Man Tab'!$A:$Q,COLUMN()+2,0)),0,VLOOKUP($A5,'Man Tab'!$A:$Q,COLUMN()+2,0))</f>
        <v>0</v>
      </c>
      <c r="H5" s="183">
        <f>IF(ISERROR(VLOOKUP($A5,'Man Tab'!$A:$Q,COLUMN()+2,0)),0,VLOOKUP($A5,'Man Tab'!$A:$Q,COLUMN()+2,0))</f>
        <v>0</v>
      </c>
      <c r="I5" s="183">
        <f>IF(ISERROR(VLOOKUP($A5,'Man Tab'!$A:$Q,COLUMN()+2,0)),0,VLOOKUP($A5,'Man Tab'!$A:$Q,COLUMN()+2,0))</f>
        <v>0</v>
      </c>
      <c r="J5" s="183">
        <f>IF(ISERROR(VLOOKUP($A5,'Man Tab'!$A:$Q,COLUMN()+2,0)),0,VLOOKUP($A5,'Man Tab'!$A:$Q,COLUMN()+2,0))</f>
        <v>0</v>
      </c>
      <c r="K5" s="183">
        <f>IF(ISERROR(VLOOKUP($A5,'Man Tab'!$A:$Q,COLUMN()+2,0)),0,VLOOKUP($A5,'Man Tab'!$A:$Q,COLUMN()+2,0))</f>
        <v>0</v>
      </c>
      <c r="L5" s="183">
        <f>IF(ISERROR(VLOOKUP($A5,'Man Tab'!$A:$Q,COLUMN()+2,0)),0,VLOOKUP($A5,'Man Tab'!$A:$Q,COLUMN()+2,0))</f>
        <v>0</v>
      </c>
      <c r="M5" s="183">
        <f>IF(ISERROR(VLOOKUP($A5,'Man Tab'!$A:$Q,COLUMN()+2,0)),0,VLOOKUP($A5,'Man Tab'!$A:$Q,COLUMN()+2,0))</f>
        <v>0</v>
      </c>
    </row>
    <row r="6" spans="1:13" ht="14.4" customHeight="1" x14ac:dyDescent="0.3">
      <c r="A6" s="184" t="s">
        <v>63</v>
      </c>
      <c r="B6" s="185">
        <f>B5</f>
        <v>3476.0858600000001</v>
      </c>
      <c r="C6" s="185">
        <f t="shared" ref="C6:M6" si="1">C5+B6</f>
        <v>7041.5552100000004</v>
      </c>
      <c r="D6" s="185">
        <f t="shared" si="1"/>
        <v>7041.5552100000004</v>
      </c>
      <c r="E6" s="185">
        <f t="shared" si="1"/>
        <v>7041.5552100000004</v>
      </c>
      <c r="F6" s="185">
        <f t="shared" si="1"/>
        <v>7041.5552100000004</v>
      </c>
      <c r="G6" s="185">
        <f t="shared" si="1"/>
        <v>7041.5552100000004</v>
      </c>
      <c r="H6" s="185">
        <f t="shared" si="1"/>
        <v>7041.5552100000004</v>
      </c>
      <c r="I6" s="185">
        <f t="shared" si="1"/>
        <v>7041.5552100000004</v>
      </c>
      <c r="J6" s="185">
        <f t="shared" si="1"/>
        <v>7041.5552100000004</v>
      </c>
      <c r="K6" s="185">
        <f t="shared" si="1"/>
        <v>7041.5552100000004</v>
      </c>
      <c r="L6" s="185">
        <f t="shared" si="1"/>
        <v>7041.5552100000004</v>
      </c>
      <c r="M6" s="185">
        <f t="shared" si="1"/>
        <v>7041.5552100000004</v>
      </c>
    </row>
    <row r="7" spans="1:13" ht="14.4" customHeight="1" x14ac:dyDescent="0.3">
      <c r="A7" s="184" t="s">
        <v>87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spans="1:13" ht="14.4" customHeight="1" x14ac:dyDescent="0.3">
      <c r="A8" s="184" t="s">
        <v>64</v>
      </c>
      <c r="B8" s="185">
        <f>B7*30</f>
        <v>0</v>
      </c>
      <c r="C8" s="185">
        <f t="shared" ref="C8:M8" si="2">C7*30</f>
        <v>0</v>
      </c>
      <c r="D8" s="185">
        <f t="shared" si="2"/>
        <v>0</v>
      </c>
      <c r="E8" s="185">
        <f t="shared" si="2"/>
        <v>0</v>
      </c>
      <c r="F8" s="185">
        <f t="shared" si="2"/>
        <v>0</v>
      </c>
      <c r="G8" s="185">
        <f t="shared" si="2"/>
        <v>0</v>
      </c>
      <c r="H8" s="185">
        <f t="shared" si="2"/>
        <v>0</v>
      </c>
      <c r="I8" s="185">
        <f t="shared" si="2"/>
        <v>0</v>
      </c>
      <c r="J8" s="185">
        <f t="shared" si="2"/>
        <v>0</v>
      </c>
      <c r="K8" s="185">
        <f t="shared" si="2"/>
        <v>0</v>
      </c>
      <c r="L8" s="185">
        <f t="shared" si="2"/>
        <v>0</v>
      </c>
      <c r="M8" s="185">
        <f t="shared" si="2"/>
        <v>0</v>
      </c>
    </row>
    <row r="9" spans="1:13" ht="14.4" customHeight="1" x14ac:dyDescent="0.3">
      <c r="A9" s="184" t="s">
        <v>88</v>
      </c>
      <c r="B9" s="184">
        <v>1716331.2500000007</v>
      </c>
      <c r="C9" s="184">
        <v>1419166.7200000002</v>
      </c>
      <c r="D9" s="184">
        <v>0</v>
      </c>
      <c r="E9" s="184">
        <v>0</v>
      </c>
      <c r="F9" s="184">
        <v>0</v>
      </c>
      <c r="G9" s="184">
        <v>0</v>
      </c>
      <c r="H9" s="184">
        <v>0</v>
      </c>
      <c r="I9" s="184">
        <v>0</v>
      </c>
      <c r="J9" s="184">
        <v>0</v>
      </c>
      <c r="K9" s="184">
        <v>0</v>
      </c>
      <c r="L9" s="184">
        <v>0</v>
      </c>
      <c r="M9" s="184">
        <v>0</v>
      </c>
    </row>
    <row r="10" spans="1:13" ht="14.4" customHeight="1" x14ac:dyDescent="0.3">
      <c r="A10" s="184" t="s">
        <v>65</v>
      </c>
      <c r="B10" s="185">
        <f>B9/1000</f>
        <v>1716.3312500000006</v>
      </c>
      <c r="C10" s="185">
        <f t="shared" ref="C10:M10" si="3">C9/1000+B10</f>
        <v>3135.4979700000008</v>
      </c>
      <c r="D10" s="185">
        <f t="shared" si="3"/>
        <v>3135.4979700000008</v>
      </c>
      <c r="E10" s="185">
        <f t="shared" si="3"/>
        <v>3135.4979700000008</v>
      </c>
      <c r="F10" s="185">
        <f t="shared" si="3"/>
        <v>3135.4979700000008</v>
      </c>
      <c r="G10" s="185">
        <f t="shared" si="3"/>
        <v>3135.4979700000008</v>
      </c>
      <c r="H10" s="185">
        <f t="shared" si="3"/>
        <v>3135.4979700000008</v>
      </c>
      <c r="I10" s="185">
        <f t="shared" si="3"/>
        <v>3135.4979700000008</v>
      </c>
      <c r="J10" s="185">
        <f t="shared" si="3"/>
        <v>3135.4979700000008</v>
      </c>
      <c r="K10" s="185">
        <f t="shared" si="3"/>
        <v>3135.4979700000008</v>
      </c>
      <c r="L10" s="185">
        <f t="shared" si="3"/>
        <v>3135.4979700000008</v>
      </c>
      <c r="M10" s="185">
        <f t="shared" si="3"/>
        <v>3135.4979700000008</v>
      </c>
    </row>
    <row r="11" spans="1:13" ht="14.4" customHeight="1" x14ac:dyDescent="0.3">
      <c r="A11" s="180"/>
      <c r="B11" s="180" t="s">
        <v>80</v>
      </c>
      <c r="C11" s="180">
        <f ca="1">IF(MONTH(TODAY())=1,12,MONTH(TODAY())-1)</f>
        <v>2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</row>
    <row r="12" spans="1:13" ht="14.4" customHeight="1" x14ac:dyDescent="0.3">
      <c r="A12" s="180">
        <v>0</v>
      </c>
      <c r="B12" s="183">
        <f>IF(ISERROR(HI!F15),#REF!,HI!F15)</f>
        <v>0.46231043513157805</v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</row>
    <row r="13" spans="1:13" ht="14.4" customHeight="1" x14ac:dyDescent="0.3">
      <c r="A13" s="180">
        <v>1</v>
      </c>
      <c r="B13" s="183">
        <f>IF(ISERROR(HI!F15),#REF!,HI!F15)</f>
        <v>0.46231043513157805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4" bestFit="1" customWidth="1"/>
    <col min="2" max="2" width="12.77734375" style="114" bestFit="1" customWidth="1"/>
    <col min="3" max="3" width="13.6640625" style="114" bestFit="1" customWidth="1"/>
    <col min="4" max="15" width="7.77734375" style="114" bestFit="1" customWidth="1"/>
    <col min="16" max="16" width="8.88671875" style="114" customWidth="1"/>
    <col min="17" max="17" width="6.6640625" style="114" bestFit="1" customWidth="1"/>
    <col min="18" max="16384" width="8.88671875" style="114"/>
  </cols>
  <sheetData>
    <row r="1" spans="1:17" s="186" customFormat="1" ht="18.600000000000001" customHeight="1" thickBot="1" x14ac:dyDescent="0.4">
      <c r="A1" s="316" t="s">
        <v>244</v>
      </c>
      <c r="B1" s="316"/>
      <c r="C1" s="316"/>
      <c r="D1" s="316"/>
      <c r="E1" s="316"/>
      <c r="F1" s="316"/>
      <c r="G1" s="316"/>
      <c r="H1" s="304"/>
      <c r="I1" s="304"/>
      <c r="J1" s="304"/>
      <c r="K1" s="304"/>
      <c r="L1" s="304"/>
      <c r="M1" s="304"/>
      <c r="N1" s="304"/>
      <c r="O1" s="304"/>
      <c r="P1" s="304"/>
      <c r="Q1" s="304"/>
    </row>
    <row r="2" spans="1:17" s="186" customFormat="1" ht="14.4" customHeight="1" thickBot="1" x14ac:dyDescent="0.3">
      <c r="A2" s="207" t="s">
        <v>242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</row>
    <row r="3" spans="1:17" ht="14.4" customHeight="1" x14ac:dyDescent="0.3">
      <c r="A3" s="68"/>
      <c r="B3" s="317" t="s">
        <v>16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122"/>
      <c r="Q3" s="124"/>
    </row>
    <row r="4" spans="1:17" ht="14.4" customHeight="1" x14ac:dyDescent="0.3">
      <c r="A4" s="69"/>
      <c r="B4" s="20">
        <v>2018</v>
      </c>
      <c r="C4" s="123" t="s">
        <v>17</v>
      </c>
      <c r="D4" s="237" t="s">
        <v>221</v>
      </c>
      <c r="E4" s="237" t="s">
        <v>222</v>
      </c>
      <c r="F4" s="237" t="s">
        <v>223</v>
      </c>
      <c r="G4" s="237" t="s">
        <v>224</v>
      </c>
      <c r="H4" s="237" t="s">
        <v>225</v>
      </c>
      <c r="I4" s="237" t="s">
        <v>226</v>
      </c>
      <c r="J4" s="237" t="s">
        <v>227</v>
      </c>
      <c r="K4" s="237" t="s">
        <v>228</v>
      </c>
      <c r="L4" s="237" t="s">
        <v>229</v>
      </c>
      <c r="M4" s="237" t="s">
        <v>230</v>
      </c>
      <c r="N4" s="237" t="s">
        <v>231</v>
      </c>
      <c r="O4" s="237" t="s">
        <v>232</v>
      </c>
      <c r="P4" s="319" t="s">
        <v>3</v>
      </c>
      <c r="Q4" s="320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243</v>
      </c>
    </row>
    <row r="7" spans="1:17" ht="14.4" customHeight="1" x14ac:dyDescent="0.3">
      <c r="A7" s="15" t="s">
        <v>22</v>
      </c>
      <c r="B7" s="51">
        <v>380</v>
      </c>
      <c r="C7" s="52">
        <v>31.666666666666</v>
      </c>
      <c r="D7" s="52">
        <v>23.696079999999998</v>
      </c>
      <c r="E7" s="52">
        <v>25.26707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48.963149999999999</v>
      </c>
      <c r="Q7" s="81">
        <v>0.773102368421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243</v>
      </c>
    </row>
    <row r="9" spans="1:17" ht="14.4" customHeight="1" x14ac:dyDescent="0.3">
      <c r="A9" s="15" t="s">
        <v>24</v>
      </c>
      <c r="B9" s="51">
        <v>3720</v>
      </c>
      <c r="C9" s="52">
        <v>310</v>
      </c>
      <c r="D9" s="52">
        <v>211.68256</v>
      </c>
      <c r="E9" s="52">
        <v>231.36707999999999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443.04964000000001</v>
      </c>
      <c r="Q9" s="81">
        <v>0.71459619354799997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243</v>
      </c>
    </row>
    <row r="11" spans="1:17" ht="14.4" customHeight="1" x14ac:dyDescent="0.3">
      <c r="A11" s="15" t="s">
        <v>26</v>
      </c>
      <c r="B11" s="51">
        <v>464.35756246402099</v>
      </c>
      <c r="C11" s="52">
        <v>38.696463538667999</v>
      </c>
      <c r="D11" s="52">
        <v>45.634799999999998</v>
      </c>
      <c r="E11" s="52">
        <v>45.814549999999997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91.449349999999995</v>
      </c>
      <c r="Q11" s="81">
        <v>1.181624128373</v>
      </c>
    </row>
    <row r="12" spans="1:17" ht="14.4" customHeight="1" x14ac:dyDescent="0.3">
      <c r="A12" s="15" t="s">
        <v>27</v>
      </c>
      <c r="B12" s="51">
        <v>33.960708449841</v>
      </c>
      <c r="C12" s="52">
        <v>2.830059037486</v>
      </c>
      <c r="D12" s="52">
        <v>2.1634600000000002</v>
      </c>
      <c r="E12" s="52">
        <v>25.516870000000001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27.680330000000001</v>
      </c>
      <c r="Q12" s="81">
        <v>4.8904156474029996</v>
      </c>
    </row>
    <row r="13" spans="1:17" ht="14.4" customHeight="1" x14ac:dyDescent="0.3">
      <c r="A13" s="15" t="s">
        <v>28</v>
      </c>
      <c r="B13" s="51">
        <v>70</v>
      </c>
      <c r="C13" s="52">
        <v>5.833333333333</v>
      </c>
      <c r="D13" s="52">
        <v>5.91045</v>
      </c>
      <c r="E13" s="52">
        <v>5.9361199999999998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11.84657</v>
      </c>
      <c r="Q13" s="81">
        <v>1.015420285714</v>
      </c>
    </row>
    <row r="14" spans="1:17" ht="14.4" customHeight="1" x14ac:dyDescent="0.3">
      <c r="A14" s="15" t="s">
        <v>29</v>
      </c>
      <c r="B14" s="51">
        <v>1413.2772092397499</v>
      </c>
      <c r="C14" s="52">
        <v>117.77310076998</v>
      </c>
      <c r="D14" s="52">
        <v>131.44071</v>
      </c>
      <c r="E14" s="52">
        <v>185.39661000000001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316.83731999999998</v>
      </c>
      <c r="Q14" s="81">
        <v>1.345117509552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243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243</v>
      </c>
    </row>
    <row r="17" spans="1:17" ht="14.4" customHeight="1" x14ac:dyDescent="0.3">
      <c r="A17" s="15" t="s">
        <v>32</v>
      </c>
      <c r="B17" s="51">
        <v>900.96770857672595</v>
      </c>
      <c r="C17" s="52">
        <v>75.080642381393005</v>
      </c>
      <c r="D17" s="52">
        <v>76.993229999999997</v>
      </c>
      <c r="E17" s="52">
        <v>41.154510000000002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118.14774</v>
      </c>
      <c r="Q17" s="81">
        <v>0.78680560163400004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10.622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10.622</v>
      </c>
      <c r="Q18" s="81" t="s">
        <v>243</v>
      </c>
    </row>
    <row r="19" spans="1:17" ht="14.4" customHeight="1" x14ac:dyDescent="0.3">
      <c r="A19" s="15" t="s">
        <v>34</v>
      </c>
      <c r="B19" s="51">
        <v>3513.7098900985402</v>
      </c>
      <c r="C19" s="52">
        <v>292.80915750821202</v>
      </c>
      <c r="D19" s="52">
        <v>134.79675</v>
      </c>
      <c r="E19" s="52">
        <v>178.69323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313.48998</v>
      </c>
      <c r="Q19" s="81">
        <v>0.53531450769400002</v>
      </c>
    </row>
    <row r="20" spans="1:17" ht="14.4" customHeight="1" x14ac:dyDescent="0.3">
      <c r="A20" s="15" t="s">
        <v>35</v>
      </c>
      <c r="B20" s="51">
        <v>31812.880000717902</v>
      </c>
      <c r="C20" s="52">
        <v>2651.0733333931598</v>
      </c>
      <c r="D20" s="52">
        <v>2731.02781</v>
      </c>
      <c r="E20" s="52">
        <v>2654.61139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5385.6391999999996</v>
      </c>
      <c r="Q20" s="81">
        <v>1.015746930151</v>
      </c>
    </row>
    <row r="21" spans="1:17" ht="14.4" customHeight="1" x14ac:dyDescent="0.3">
      <c r="A21" s="16" t="s">
        <v>36</v>
      </c>
      <c r="B21" s="51">
        <v>1481.5828331402199</v>
      </c>
      <c r="C21" s="52">
        <v>123.46523609501899</v>
      </c>
      <c r="D21" s="52">
        <v>111.31</v>
      </c>
      <c r="E21" s="52">
        <v>111.31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222.62</v>
      </c>
      <c r="Q21" s="81">
        <v>0.90154932287400003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49.661900000000003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49.661900000000003</v>
      </c>
      <c r="Q22" s="81" t="s">
        <v>243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243</v>
      </c>
    </row>
    <row r="24" spans="1:17" ht="14.4" customHeight="1" x14ac:dyDescent="0.3">
      <c r="A24" s="16" t="s">
        <v>39</v>
      </c>
      <c r="B24" s="51">
        <v>125.55630269456</v>
      </c>
      <c r="C24" s="52">
        <v>10.463025224546</v>
      </c>
      <c r="D24" s="52">
        <v>1.4300099999989999</v>
      </c>
      <c r="E24" s="52">
        <v>0.11802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1.5480299999989999</v>
      </c>
      <c r="Q24" s="81"/>
    </row>
    <row r="25" spans="1:17" ht="14.4" customHeight="1" x14ac:dyDescent="0.3">
      <c r="A25" s="17" t="s">
        <v>40</v>
      </c>
      <c r="B25" s="54">
        <v>43916.292215381603</v>
      </c>
      <c r="C25" s="55">
        <v>3659.6910179484698</v>
      </c>
      <c r="D25" s="55">
        <v>3476.0858600000001</v>
      </c>
      <c r="E25" s="55">
        <v>3565.4693499999998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7041.5552100000004</v>
      </c>
      <c r="Q25" s="82">
        <v>0.96204231114899996</v>
      </c>
    </row>
    <row r="26" spans="1:17" ht="14.4" customHeight="1" x14ac:dyDescent="0.3">
      <c r="A26" s="15" t="s">
        <v>41</v>
      </c>
      <c r="B26" s="51">
        <v>0</v>
      </c>
      <c r="C26" s="52">
        <v>0</v>
      </c>
      <c r="D26" s="52">
        <v>475.73262</v>
      </c>
      <c r="E26" s="52">
        <v>474.32351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950.05613000000005</v>
      </c>
      <c r="Q26" s="81" t="s">
        <v>243</v>
      </c>
    </row>
    <row r="27" spans="1:17" ht="14.4" customHeight="1" x14ac:dyDescent="0.3">
      <c r="A27" s="18" t="s">
        <v>42</v>
      </c>
      <c r="B27" s="54">
        <v>43916.292215381603</v>
      </c>
      <c r="C27" s="55">
        <v>3659.6910179484698</v>
      </c>
      <c r="D27" s="55">
        <v>3951.8184799999999</v>
      </c>
      <c r="E27" s="55">
        <v>4039.79286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7991.6113400000004</v>
      </c>
      <c r="Q27" s="82">
        <v>1.091842357839</v>
      </c>
    </row>
    <row r="28" spans="1:17" ht="14.4" customHeight="1" x14ac:dyDescent="0.3">
      <c r="A28" s="16" t="s">
        <v>43</v>
      </c>
      <c r="B28" s="51">
        <v>11015.8325546249</v>
      </c>
      <c r="C28" s="52">
        <v>917.98604621874495</v>
      </c>
      <c r="D28" s="52">
        <v>589.69000000000005</v>
      </c>
      <c r="E28" s="52">
        <v>893.58412999999996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1483.27413</v>
      </c>
      <c r="Q28" s="81">
        <v>0.807895793247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243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243</v>
      </c>
    </row>
    <row r="32" spans="1:17" ht="14.4" customHeight="1" x14ac:dyDescent="0.3"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1:17" ht="14.4" customHeight="1" x14ac:dyDescent="0.3">
      <c r="A33" s="98" t="s">
        <v>133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</row>
    <row r="34" spans="1:17" ht="14.4" customHeight="1" x14ac:dyDescent="0.3">
      <c r="A34" s="120" t="s">
        <v>241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</row>
    <row r="35" spans="1:17" ht="14.4" customHeight="1" x14ac:dyDescent="0.3">
      <c r="A35" s="121" t="s">
        <v>47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4" customWidth="1"/>
    <col min="2" max="11" width="10" style="114" customWidth="1"/>
    <col min="12" max="16384" width="8.88671875" style="114"/>
  </cols>
  <sheetData>
    <row r="1" spans="1:11" s="60" customFormat="1" ht="18.600000000000001" customHeight="1" thickBot="1" x14ac:dyDescent="0.4">
      <c r="A1" s="316" t="s">
        <v>48</v>
      </c>
      <c r="B1" s="316"/>
      <c r="C1" s="316"/>
      <c r="D1" s="316"/>
      <c r="E1" s="316"/>
      <c r="F1" s="316"/>
      <c r="G1" s="316"/>
      <c r="H1" s="321"/>
      <c r="I1" s="321"/>
      <c r="J1" s="321"/>
      <c r="K1" s="321"/>
    </row>
    <row r="2" spans="1:11" s="60" customFormat="1" ht="14.4" customHeight="1" thickBot="1" x14ac:dyDescent="0.35">
      <c r="A2" s="207" t="s">
        <v>242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7" t="s">
        <v>49</v>
      </c>
      <c r="C3" s="318"/>
      <c r="D3" s="318"/>
      <c r="E3" s="318"/>
      <c r="F3" s="324" t="s">
        <v>50</v>
      </c>
      <c r="G3" s="318"/>
      <c r="H3" s="318"/>
      <c r="I3" s="318"/>
      <c r="J3" s="318"/>
      <c r="K3" s="325"/>
    </row>
    <row r="4" spans="1:11" ht="14.4" customHeight="1" x14ac:dyDescent="0.3">
      <c r="A4" s="69"/>
      <c r="B4" s="322"/>
      <c r="C4" s="323"/>
      <c r="D4" s="323"/>
      <c r="E4" s="323"/>
      <c r="F4" s="326" t="s">
        <v>237</v>
      </c>
      <c r="G4" s="328" t="s">
        <v>51</v>
      </c>
      <c r="H4" s="125" t="s">
        <v>120</v>
      </c>
      <c r="I4" s="326" t="s">
        <v>52</v>
      </c>
      <c r="J4" s="328" t="s">
        <v>239</v>
      </c>
      <c r="K4" s="329" t="s">
        <v>240</v>
      </c>
    </row>
    <row r="5" spans="1:11" ht="42" thickBot="1" x14ac:dyDescent="0.35">
      <c r="A5" s="70"/>
      <c r="B5" s="24" t="s">
        <v>233</v>
      </c>
      <c r="C5" s="25" t="s">
        <v>234</v>
      </c>
      <c r="D5" s="26" t="s">
        <v>235</v>
      </c>
      <c r="E5" s="26" t="s">
        <v>236</v>
      </c>
      <c r="F5" s="327"/>
      <c r="G5" s="327"/>
      <c r="H5" s="25" t="s">
        <v>238</v>
      </c>
      <c r="I5" s="327"/>
      <c r="J5" s="327"/>
      <c r="K5" s="330"/>
    </row>
    <row r="6" spans="1:11" ht="14.4" customHeight="1" thickBot="1" x14ac:dyDescent="0.35">
      <c r="A6" s="433" t="s">
        <v>245</v>
      </c>
      <c r="B6" s="415">
        <v>40505.6223291473</v>
      </c>
      <c r="C6" s="415">
        <v>42758.910080000001</v>
      </c>
      <c r="D6" s="416">
        <v>2253.2877508526899</v>
      </c>
      <c r="E6" s="417">
        <v>1.055629012005</v>
      </c>
      <c r="F6" s="415">
        <v>43916.292215381603</v>
      </c>
      <c r="G6" s="416">
        <v>7319.3820358969297</v>
      </c>
      <c r="H6" s="418">
        <v>3565.4693499999998</v>
      </c>
      <c r="I6" s="415">
        <v>7041.5552100000004</v>
      </c>
      <c r="J6" s="416">
        <v>-277.826825896934</v>
      </c>
      <c r="K6" s="419">
        <v>0.160340385191</v>
      </c>
    </row>
    <row r="7" spans="1:11" ht="14.4" customHeight="1" thickBot="1" x14ac:dyDescent="0.35">
      <c r="A7" s="434" t="s">
        <v>246</v>
      </c>
      <c r="B7" s="415">
        <v>6330.0089014087398</v>
      </c>
      <c r="C7" s="415">
        <v>6087.5549300000002</v>
      </c>
      <c r="D7" s="416">
        <v>-242.45397140874601</v>
      </c>
      <c r="E7" s="417">
        <v>0.96169768871000005</v>
      </c>
      <c r="F7" s="415">
        <v>6081.59548015362</v>
      </c>
      <c r="G7" s="416">
        <v>1013.59924669227</v>
      </c>
      <c r="H7" s="418">
        <v>519.29732000000001</v>
      </c>
      <c r="I7" s="415">
        <v>939.82088999999996</v>
      </c>
      <c r="J7" s="416">
        <v>-73.778356692269</v>
      </c>
      <c r="K7" s="419">
        <v>0.15453525198500001</v>
      </c>
    </row>
    <row r="8" spans="1:11" ht="14.4" customHeight="1" thickBot="1" x14ac:dyDescent="0.35">
      <c r="A8" s="435" t="s">
        <v>247</v>
      </c>
      <c r="B8" s="415">
        <v>4819.1399997277003</v>
      </c>
      <c r="C8" s="415">
        <v>4610.8526300000003</v>
      </c>
      <c r="D8" s="416">
        <v>-208.28736972769701</v>
      </c>
      <c r="E8" s="417">
        <v>0.95677914114499996</v>
      </c>
      <c r="F8" s="415">
        <v>4668.31827091386</v>
      </c>
      <c r="G8" s="416">
        <v>778.05304515231103</v>
      </c>
      <c r="H8" s="418">
        <v>333.90071</v>
      </c>
      <c r="I8" s="415">
        <v>622.98356999999999</v>
      </c>
      <c r="J8" s="416">
        <v>-155.06947515230999</v>
      </c>
      <c r="K8" s="419">
        <v>0.133449249568</v>
      </c>
    </row>
    <row r="9" spans="1:11" ht="14.4" customHeight="1" thickBot="1" x14ac:dyDescent="0.35">
      <c r="A9" s="436" t="s">
        <v>248</v>
      </c>
      <c r="B9" s="420">
        <v>0</v>
      </c>
      <c r="C9" s="420">
        <v>-1.248E-2</v>
      </c>
      <c r="D9" s="421">
        <v>-1.248E-2</v>
      </c>
      <c r="E9" s="422" t="s">
        <v>243</v>
      </c>
      <c r="F9" s="420">
        <v>0</v>
      </c>
      <c r="G9" s="421">
        <v>0</v>
      </c>
      <c r="H9" s="423">
        <v>-9.7999999999999997E-4</v>
      </c>
      <c r="I9" s="420">
        <v>-5.47E-3</v>
      </c>
      <c r="J9" s="421">
        <v>-5.47E-3</v>
      </c>
      <c r="K9" s="424" t="s">
        <v>243</v>
      </c>
    </row>
    <row r="10" spans="1:11" ht="14.4" customHeight="1" thickBot="1" x14ac:dyDescent="0.35">
      <c r="A10" s="437" t="s">
        <v>249</v>
      </c>
      <c r="B10" s="415">
        <v>0</v>
      </c>
      <c r="C10" s="415">
        <v>-1.248E-2</v>
      </c>
      <c r="D10" s="416">
        <v>-1.248E-2</v>
      </c>
      <c r="E10" s="425" t="s">
        <v>243</v>
      </c>
      <c r="F10" s="415">
        <v>0</v>
      </c>
      <c r="G10" s="416">
        <v>0</v>
      </c>
      <c r="H10" s="418">
        <v>-9.7999999999999997E-4</v>
      </c>
      <c r="I10" s="415">
        <v>-5.47E-3</v>
      </c>
      <c r="J10" s="416">
        <v>-5.47E-3</v>
      </c>
      <c r="K10" s="426" t="s">
        <v>243</v>
      </c>
    </row>
    <row r="11" spans="1:11" ht="14.4" customHeight="1" thickBot="1" x14ac:dyDescent="0.35">
      <c r="A11" s="436" t="s">
        <v>250</v>
      </c>
      <c r="B11" s="420">
        <v>315</v>
      </c>
      <c r="C11" s="420">
        <v>356.09845999999999</v>
      </c>
      <c r="D11" s="421">
        <v>41.098459999999001</v>
      </c>
      <c r="E11" s="427">
        <v>1.130471301587</v>
      </c>
      <c r="F11" s="420">
        <v>380</v>
      </c>
      <c r="G11" s="421">
        <v>63.333333333333002</v>
      </c>
      <c r="H11" s="423">
        <v>25.26707</v>
      </c>
      <c r="I11" s="420">
        <v>48.963149999999999</v>
      </c>
      <c r="J11" s="421">
        <v>-14.370183333332999</v>
      </c>
      <c r="K11" s="428">
        <v>0.12885039473599999</v>
      </c>
    </row>
    <row r="12" spans="1:11" ht="14.4" customHeight="1" thickBot="1" x14ac:dyDescent="0.35">
      <c r="A12" s="437" t="s">
        <v>251</v>
      </c>
      <c r="B12" s="415">
        <v>268</v>
      </c>
      <c r="C12" s="415">
        <v>247.58762999999999</v>
      </c>
      <c r="D12" s="416">
        <v>-20.412369999999999</v>
      </c>
      <c r="E12" s="417">
        <v>0.92383444029799999</v>
      </c>
      <c r="F12" s="415">
        <v>268</v>
      </c>
      <c r="G12" s="416">
        <v>44.666666666666003</v>
      </c>
      <c r="H12" s="418">
        <v>17.448350000000001</v>
      </c>
      <c r="I12" s="415">
        <v>33.439500000000002</v>
      </c>
      <c r="J12" s="416">
        <v>-11.227166666665999</v>
      </c>
      <c r="K12" s="419">
        <v>0.124774253731</v>
      </c>
    </row>
    <row r="13" spans="1:11" ht="14.4" customHeight="1" thickBot="1" x14ac:dyDescent="0.35">
      <c r="A13" s="437" t="s">
        <v>252</v>
      </c>
      <c r="B13" s="415">
        <v>2</v>
      </c>
      <c r="C13" s="415">
        <v>1.83683</v>
      </c>
      <c r="D13" s="416">
        <v>-0.16317000000000001</v>
      </c>
      <c r="E13" s="417">
        <v>0.91841499999999998</v>
      </c>
      <c r="F13" s="415">
        <v>2</v>
      </c>
      <c r="G13" s="416">
        <v>0.33333333333300003</v>
      </c>
      <c r="H13" s="418">
        <v>0.22872000000000001</v>
      </c>
      <c r="I13" s="415">
        <v>0.34365000000000001</v>
      </c>
      <c r="J13" s="416">
        <v>1.0316666666E-2</v>
      </c>
      <c r="K13" s="419">
        <v>0.17182500000000001</v>
      </c>
    </row>
    <row r="14" spans="1:11" ht="14.4" customHeight="1" thickBot="1" x14ac:dyDescent="0.35">
      <c r="A14" s="437" t="s">
        <v>253</v>
      </c>
      <c r="B14" s="415">
        <v>45</v>
      </c>
      <c r="C14" s="415">
        <v>106.67400000000001</v>
      </c>
      <c r="D14" s="416">
        <v>61.673999999999999</v>
      </c>
      <c r="E14" s="417">
        <v>2.3705333333329999</v>
      </c>
      <c r="F14" s="415">
        <v>110</v>
      </c>
      <c r="G14" s="416">
        <v>18.333333333333002</v>
      </c>
      <c r="H14" s="418">
        <v>7.59</v>
      </c>
      <c r="I14" s="415">
        <v>15.18</v>
      </c>
      <c r="J14" s="416">
        <v>-3.1533333333329998</v>
      </c>
      <c r="K14" s="419">
        <v>0.13800000000000001</v>
      </c>
    </row>
    <row r="15" spans="1:11" ht="14.4" customHeight="1" thickBot="1" x14ac:dyDescent="0.35">
      <c r="A15" s="436" t="s">
        <v>254</v>
      </c>
      <c r="B15" s="420">
        <v>3818.8</v>
      </c>
      <c r="C15" s="420">
        <v>3611.2879899999998</v>
      </c>
      <c r="D15" s="421">
        <v>-207.51201</v>
      </c>
      <c r="E15" s="427">
        <v>0.945660414266</v>
      </c>
      <c r="F15" s="420">
        <v>3720</v>
      </c>
      <c r="G15" s="421">
        <v>620</v>
      </c>
      <c r="H15" s="423">
        <v>231.36707999999999</v>
      </c>
      <c r="I15" s="420">
        <v>443.04964000000001</v>
      </c>
      <c r="J15" s="421">
        <v>-176.95035999999999</v>
      </c>
      <c r="K15" s="428">
        <v>0.119099365591</v>
      </c>
    </row>
    <row r="16" spans="1:11" ht="14.4" customHeight="1" thickBot="1" x14ac:dyDescent="0.35">
      <c r="A16" s="437" t="s">
        <v>255</v>
      </c>
      <c r="B16" s="415">
        <v>1</v>
      </c>
      <c r="C16" s="415">
        <v>0.74390000000000001</v>
      </c>
      <c r="D16" s="416">
        <v>-0.25609999999999999</v>
      </c>
      <c r="E16" s="417">
        <v>0.74390000000000001</v>
      </c>
      <c r="F16" s="415">
        <v>0</v>
      </c>
      <c r="G16" s="416">
        <v>0</v>
      </c>
      <c r="H16" s="418">
        <v>0</v>
      </c>
      <c r="I16" s="415">
        <v>0</v>
      </c>
      <c r="J16" s="416">
        <v>0</v>
      </c>
      <c r="K16" s="426" t="s">
        <v>243</v>
      </c>
    </row>
    <row r="17" spans="1:11" ht="14.4" customHeight="1" thickBot="1" x14ac:dyDescent="0.35">
      <c r="A17" s="437" t="s">
        <v>256</v>
      </c>
      <c r="B17" s="415">
        <v>62</v>
      </c>
      <c r="C17" s="415">
        <v>58.210560000000001</v>
      </c>
      <c r="D17" s="416">
        <v>-3.7894399999989998</v>
      </c>
      <c r="E17" s="417">
        <v>0.93888000000000005</v>
      </c>
      <c r="F17" s="415">
        <v>60</v>
      </c>
      <c r="G17" s="416">
        <v>10</v>
      </c>
      <c r="H17" s="418">
        <v>5.3251499999999998</v>
      </c>
      <c r="I17" s="415">
        <v>8.3001500000000004</v>
      </c>
      <c r="J17" s="416">
        <v>-1.6998500000000001</v>
      </c>
      <c r="K17" s="419">
        <v>0.13833583333300001</v>
      </c>
    </row>
    <row r="18" spans="1:11" ht="14.4" customHeight="1" thickBot="1" x14ac:dyDescent="0.35">
      <c r="A18" s="437" t="s">
        <v>257</v>
      </c>
      <c r="B18" s="415">
        <v>90</v>
      </c>
      <c r="C18" s="415">
        <v>78.495270000000005</v>
      </c>
      <c r="D18" s="416">
        <v>-11.50473</v>
      </c>
      <c r="E18" s="417">
        <v>0.87216966666600004</v>
      </c>
      <c r="F18" s="415">
        <v>80</v>
      </c>
      <c r="G18" s="416">
        <v>13.333333333333</v>
      </c>
      <c r="H18" s="418">
        <v>5.4858099999999999</v>
      </c>
      <c r="I18" s="415">
        <v>15.708299999999999</v>
      </c>
      <c r="J18" s="416">
        <v>2.3749666666659999</v>
      </c>
      <c r="K18" s="419">
        <v>0.19635374999999999</v>
      </c>
    </row>
    <row r="19" spans="1:11" ht="14.4" customHeight="1" thickBot="1" x14ac:dyDescent="0.35">
      <c r="A19" s="437" t="s">
        <v>258</v>
      </c>
      <c r="B19" s="415">
        <v>75</v>
      </c>
      <c r="C19" s="415">
        <v>92.653559999999999</v>
      </c>
      <c r="D19" s="416">
        <v>17.653559999999999</v>
      </c>
      <c r="E19" s="417">
        <v>1.2353807999999999</v>
      </c>
      <c r="F19" s="415">
        <v>100</v>
      </c>
      <c r="G19" s="416">
        <v>16.666666666666</v>
      </c>
      <c r="H19" s="418">
        <v>2.8754599999999999</v>
      </c>
      <c r="I19" s="415">
        <v>5.9911599999999998</v>
      </c>
      <c r="J19" s="416">
        <v>-10.675506666665999</v>
      </c>
      <c r="K19" s="419">
        <v>5.9911600000000002E-2</v>
      </c>
    </row>
    <row r="20" spans="1:11" ht="14.4" customHeight="1" thickBot="1" x14ac:dyDescent="0.35">
      <c r="A20" s="437" t="s">
        <v>259</v>
      </c>
      <c r="B20" s="415">
        <v>6</v>
      </c>
      <c r="C20" s="415">
        <v>9.9032</v>
      </c>
      <c r="D20" s="416">
        <v>3.9032</v>
      </c>
      <c r="E20" s="417">
        <v>1.6505333333329999</v>
      </c>
      <c r="F20" s="415">
        <v>10</v>
      </c>
      <c r="G20" s="416">
        <v>1.6666666666659999</v>
      </c>
      <c r="H20" s="418">
        <v>0.94199999999999995</v>
      </c>
      <c r="I20" s="415">
        <v>1.6220000000000001</v>
      </c>
      <c r="J20" s="416">
        <v>-4.4666666665999999E-2</v>
      </c>
      <c r="K20" s="419">
        <v>0.16220000000000001</v>
      </c>
    </row>
    <row r="21" spans="1:11" ht="14.4" customHeight="1" thickBot="1" x14ac:dyDescent="0.35">
      <c r="A21" s="437" t="s">
        <v>260</v>
      </c>
      <c r="B21" s="415">
        <v>180</v>
      </c>
      <c r="C21" s="415">
        <v>180.04849999999999</v>
      </c>
      <c r="D21" s="416">
        <v>4.8499999999000003E-2</v>
      </c>
      <c r="E21" s="417">
        <v>1.0002694444439999</v>
      </c>
      <c r="F21" s="415">
        <v>170</v>
      </c>
      <c r="G21" s="416">
        <v>28.333333333333002</v>
      </c>
      <c r="H21" s="418">
        <v>12.345510000000001</v>
      </c>
      <c r="I21" s="415">
        <v>21.75506</v>
      </c>
      <c r="J21" s="416">
        <v>-6.5782733333329997</v>
      </c>
      <c r="K21" s="419">
        <v>0.127970941176</v>
      </c>
    </row>
    <row r="22" spans="1:11" ht="14.4" customHeight="1" thickBot="1" x14ac:dyDescent="0.35">
      <c r="A22" s="437" t="s">
        <v>261</v>
      </c>
      <c r="B22" s="415">
        <v>5</v>
      </c>
      <c r="C22" s="415">
        <v>1.444</v>
      </c>
      <c r="D22" s="416">
        <v>-3.556</v>
      </c>
      <c r="E22" s="417">
        <v>0.2888</v>
      </c>
      <c r="F22" s="415">
        <v>0</v>
      </c>
      <c r="G22" s="416">
        <v>0</v>
      </c>
      <c r="H22" s="418">
        <v>0</v>
      </c>
      <c r="I22" s="415">
        <v>0</v>
      </c>
      <c r="J22" s="416">
        <v>0</v>
      </c>
      <c r="K22" s="426" t="s">
        <v>243</v>
      </c>
    </row>
    <row r="23" spans="1:11" ht="14.4" customHeight="1" thickBot="1" x14ac:dyDescent="0.35">
      <c r="A23" s="437" t="s">
        <v>262</v>
      </c>
      <c r="B23" s="415">
        <v>3399.8</v>
      </c>
      <c r="C23" s="415">
        <v>3189.7890000000002</v>
      </c>
      <c r="D23" s="416">
        <v>-210.011</v>
      </c>
      <c r="E23" s="417">
        <v>0.93822842520100003</v>
      </c>
      <c r="F23" s="415">
        <v>3300</v>
      </c>
      <c r="G23" s="416">
        <v>550</v>
      </c>
      <c r="H23" s="418">
        <v>204.39314999999999</v>
      </c>
      <c r="I23" s="415">
        <v>389.67297000000002</v>
      </c>
      <c r="J23" s="416">
        <v>-160.32703000000001</v>
      </c>
      <c r="K23" s="419">
        <v>0.118082718181</v>
      </c>
    </row>
    <row r="24" spans="1:11" ht="14.4" customHeight="1" thickBot="1" x14ac:dyDescent="0.35">
      <c r="A24" s="436" t="s">
        <v>263</v>
      </c>
      <c r="B24" s="420">
        <v>485.88508802796503</v>
      </c>
      <c r="C24" s="420">
        <v>499.48579000000001</v>
      </c>
      <c r="D24" s="421">
        <v>13.600701972034001</v>
      </c>
      <c r="E24" s="427">
        <v>1.027991601938</v>
      </c>
      <c r="F24" s="420">
        <v>464.35756246402099</v>
      </c>
      <c r="G24" s="421">
        <v>77.392927077335997</v>
      </c>
      <c r="H24" s="423">
        <v>45.814549999999997</v>
      </c>
      <c r="I24" s="420">
        <v>91.449349999999995</v>
      </c>
      <c r="J24" s="421">
        <v>14.056422922663</v>
      </c>
      <c r="K24" s="428">
        <v>0.196937354728</v>
      </c>
    </row>
    <row r="25" spans="1:11" ht="14.4" customHeight="1" thickBot="1" x14ac:dyDescent="0.35">
      <c r="A25" s="437" t="s">
        <v>264</v>
      </c>
      <c r="B25" s="415">
        <v>0</v>
      </c>
      <c r="C25" s="415">
        <v>7.0678999999999998</v>
      </c>
      <c r="D25" s="416">
        <v>7.0678999999999998</v>
      </c>
      <c r="E25" s="425" t="s">
        <v>243</v>
      </c>
      <c r="F25" s="415">
        <v>0</v>
      </c>
      <c r="G25" s="416">
        <v>0</v>
      </c>
      <c r="H25" s="418">
        <v>1.1495</v>
      </c>
      <c r="I25" s="415">
        <v>1.1495</v>
      </c>
      <c r="J25" s="416">
        <v>1.1495</v>
      </c>
      <c r="K25" s="426" t="s">
        <v>243</v>
      </c>
    </row>
    <row r="26" spans="1:11" ht="14.4" customHeight="1" thickBot="1" x14ac:dyDescent="0.35">
      <c r="A26" s="437" t="s">
        <v>265</v>
      </c>
      <c r="B26" s="415">
        <v>25</v>
      </c>
      <c r="C26" s="415">
        <v>27.085039999999999</v>
      </c>
      <c r="D26" s="416">
        <v>2.0850399999999998</v>
      </c>
      <c r="E26" s="417">
        <v>1.0834016</v>
      </c>
      <c r="F26" s="415">
        <v>30</v>
      </c>
      <c r="G26" s="416">
        <v>5</v>
      </c>
      <c r="H26" s="418">
        <v>1.82118</v>
      </c>
      <c r="I26" s="415">
        <v>3.6322100000000002</v>
      </c>
      <c r="J26" s="416">
        <v>-1.3677900000000001</v>
      </c>
      <c r="K26" s="419">
        <v>0.121073666666</v>
      </c>
    </row>
    <row r="27" spans="1:11" ht="14.4" customHeight="1" thickBot="1" x14ac:dyDescent="0.35">
      <c r="A27" s="437" t="s">
        <v>266</v>
      </c>
      <c r="B27" s="415">
        <v>171.546637730523</v>
      </c>
      <c r="C27" s="415">
        <v>195.98578000000001</v>
      </c>
      <c r="D27" s="416">
        <v>24.439142269476001</v>
      </c>
      <c r="E27" s="417">
        <v>1.142463545731</v>
      </c>
      <c r="F27" s="415">
        <v>174.495596474145</v>
      </c>
      <c r="G27" s="416">
        <v>29.082599412356998</v>
      </c>
      <c r="H27" s="418">
        <v>12.956149999999999</v>
      </c>
      <c r="I27" s="415">
        <v>34.107370000000003</v>
      </c>
      <c r="J27" s="416">
        <v>5.0247705876420001</v>
      </c>
      <c r="K27" s="419">
        <v>0.19546264025599999</v>
      </c>
    </row>
    <row r="28" spans="1:11" ht="14.4" customHeight="1" thickBot="1" x14ac:dyDescent="0.35">
      <c r="A28" s="437" t="s">
        <v>267</v>
      </c>
      <c r="B28" s="415">
        <v>40</v>
      </c>
      <c r="C28" s="415">
        <v>39.877569999999999</v>
      </c>
      <c r="D28" s="416">
        <v>-0.12243</v>
      </c>
      <c r="E28" s="417">
        <v>0.99693925000000005</v>
      </c>
      <c r="F28" s="415">
        <v>40</v>
      </c>
      <c r="G28" s="416">
        <v>6.6666666666659999</v>
      </c>
      <c r="H28" s="418">
        <v>3.1978399999999998</v>
      </c>
      <c r="I28" s="415">
        <v>5.28423</v>
      </c>
      <c r="J28" s="416">
        <v>-1.382436666666</v>
      </c>
      <c r="K28" s="419">
        <v>0.13210574999999999</v>
      </c>
    </row>
    <row r="29" spans="1:11" ht="14.4" customHeight="1" thickBot="1" x14ac:dyDescent="0.35">
      <c r="A29" s="437" t="s">
        <v>268</v>
      </c>
      <c r="B29" s="415">
        <v>14.389628373447</v>
      </c>
      <c r="C29" s="415">
        <v>29.901820000000001</v>
      </c>
      <c r="D29" s="416">
        <v>15.512191626551999</v>
      </c>
      <c r="E29" s="417">
        <v>2.0780119697299999</v>
      </c>
      <c r="F29" s="415">
        <v>30.737021976421001</v>
      </c>
      <c r="G29" s="416">
        <v>5.1228369960700002</v>
      </c>
      <c r="H29" s="418">
        <v>14.747199999999999</v>
      </c>
      <c r="I29" s="415">
        <v>17.17587</v>
      </c>
      <c r="J29" s="416">
        <v>12.053033003929</v>
      </c>
      <c r="K29" s="419">
        <v>0.55880071963900002</v>
      </c>
    </row>
    <row r="30" spans="1:11" ht="14.4" customHeight="1" thickBot="1" x14ac:dyDescent="0.35">
      <c r="A30" s="437" t="s">
        <v>269</v>
      </c>
      <c r="B30" s="415">
        <v>0</v>
      </c>
      <c r="C30" s="415">
        <v>0.02</v>
      </c>
      <c r="D30" s="416">
        <v>0.02</v>
      </c>
      <c r="E30" s="425" t="s">
        <v>243</v>
      </c>
      <c r="F30" s="415">
        <v>1.7282732219999999E-2</v>
      </c>
      <c r="G30" s="416">
        <v>2.8804553699999999E-3</v>
      </c>
      <c r="H30" s="418">
        <v>0</v>
      </c>
      <c r="I30" s="415">
        <v>0</v>
      </c>
      <c r="J30" s="416">
        <v>-2.8804553699999999E-3</v>
      </c>
      <c r="K30" s="419">
        <v>0</v>
      </c>
    </row>
    <row r="31" spans="1:11" ht="14.4" customHeight="1" thickBot="1" x14ac:dyDescent="0.35">
      <c r="A31" s="437" t="s">
        <v>270</v>
      </c>
      <c r="B31" s="415">
        <v>19</v>
      </c>
      <c r="C31" s="415">
        <v>0.426989999999</v>
      </c>
      <c r="D31" s="416">
        <v>-18.57301</v>
      </c>
      <c r="E31" s="417">
        <v>2.2473157894E-2</v>
      </c>
      <c r="F31" s="415">
        <v>1.0476840065369999</v>
      </c>
      <c r="G31" s="416">
        <v>0.17461400108899999</v>
      </c>
      <c r="H31" s="418">
        <v>0</v>
      </c>
      <c r="I31" s="415">
        <v>0</v>
      </c>
      <c r="J31" s="416">
        <v>-0.17461400108899999</v>
      </c>
      <c r="K31" s="419">
        <v>0</v>
      </c>
    </row>
    <row r="32" spans="1:11" ht="14.4" customHeight="1" thickBot="1" x14ac:dyDescent="0.35">
      <c r="A32" s="437" t="s">
        <v>271</v>
      </c>
      <c r="B32" s="415">
        <v>80</v>
      </c>
      <c r="C32" s="415">
        <v>78.418629999999993</v>
      </c>
      <c r="D32" s="416">
        <v>-1.5813699999990001</v>
      </c>
      <c r="E32" s="417">
        <v>0.980232875</v>
      </c>
      <c r="F32" s="415">
        <v>80</v>
      </c>
      <c r="G32" s="416">
        <v>13.333333333333</v>
      </c>
      <c r="H32" s="418">
        <v>4.2446400000000004</v>
      </c>
      <c r="I32" s="415">
        <v>13.24816</v>
      </c>
      <c r="J32" s="416">
        <v>-8.5173333333000006E-2</v>
      </c>
      <c r="K32" s="419">
        <v>0.165602</v>
      </c>
    </row>
    <row r="33" spans="1:11" ht="14.4" customHeight="1" thickBot="1" x14ac:dyDescent="0.35">
      <c r="A33" s="437" t="s">
        <v>272</v>
      </c>
      <c r="B33" s="415">
        <v>25.948821923994</v>
      </c>
      <c r="C33" s="415">
        <v>17.27233</v>
      </c>
      <c r="D33" s="416">
        <v>-8.6764919239939999</v>
      </c>
      <c r="E33" s="417">
        <v>0.66563060360000004</v>
      </c>
      <c r="F33" s="415">
        <v>18.059977274695999</v>
      </c>
      <c r="G33" s="416">
        <v>3.0099962124489998</v>
      </c>
      <c r="H33" s="418">
        <v>1.4227399999999999</v>
      </c>
      <c r="I33" s="415">
        <v>1.6078699999999999</v>
      </c>
      <c r="J33" s="416">
        <v>-1.4021262124489999</v>
      </c>
      <c r="K33" s="419">
        <v>8.9029458650000004E-2</v>
      </c>
    </row>
    <row r="34" spans="1:11" ht="14.4" customHeight="1" thickBot="1" x14ac:dyDescent="0.35">
      <c r="A34" s="437" t="s">
        <v>273</v>
      </c>
      <c r="B34" s="415">
        <v>0</v>
      </c>
      <c r="C34" s="415">
        <v>7.2599999999989997</v>
      </c>
      <c r="D34" s="416">
        <v>7.2599999999989997</v>
      </c>
      <c r="E34" s="425" t="s">
        <v>243</v>
      </c>
      <c r="F34" s="415">
        <v>0</v>
      </c>
      <c r="G34" s="416">
        <v>0</v>
      </c>
      <c r="H34" s="418">
        <v>0</v>
      </c>
      <c r="I34" s="415">
        <v>0</v>
      </c>
      <c r="J34" s="416">
        <v>0</v>
      </c>
      <c r="K34" s="419">
        <v>0</v>
      </c>
    </row>
    <row r="35" spans="1:11" ht="14.4" customHeight="1" thickBot="1" x14ac:dyDescent="0.35">
      <c r="A35" s="437" t="s">
        <v>274</v>
      </c>
      <c r="B35" s="415">
        <v>0</v>
      </c>
      <c r="C35" s="415">
        <v>4.6399999999999997</v>
      </c>
      <c r="D35" s="416">
        <v>4.6399999999999997</v>
      </c>
      <c r="E35" s="425" t="s">
        <v>243</v>
      </c>
      <c r="F35" s="415">
        <v>0</v>
      </c>
      <c r="G35" s="416">
        <v>0</v>
      </c>
      <c r="H35" s="418">
        <v>0</v>
      </c>
      <c r="I35" s="415">
        <v>0</v>
      </c>
      <c r="J35" s="416">
        <v>0</v>
      </c>
      <c r="K35" s="426" t="s">
        <v>243</v>
      </c>
    </row>
    <row r="36" spans="1:11" ht="14.4" customHeight="1" thickBot="1" x14ac:dyDescent="0.35">
      <c r="A36" s="437" t="s">
        <v>275</v>
      </c>
      <c r="B36" s="415">
        <v>0</v>
      </c>
      <c r="C36" s="415">
        <v>1.1919999999999999</v>
      </c>
      <c r="D36" s="416">
        <v>1.1919999999999999</v>
      </c>
      <c r="E36" s="425" t="s">
        <v>276</v>
      </c>
      <c r="F36" s="415">
        <v>0</v>
      </c>
      <c r="G36" s="416">
        <v>0</v>
      </c>
      <c r="H36" s="418">
        <v>0</v>
      </c>
      <c r="I36" s="415">
        <v>1.21</v>
      </c>
      <c r="J36" s="416">
        <v>1.21</v>
      </c>
      <c r="K36" s="426" t="s">
        <v>243</v>
      </c>
    </row>
    <row r="37" spans="1:11" ht="14.4" customHeight="1" thickBot="1" x14ac:dyDescent="0.35">
      <c r="A37" s="437" t="s">
        <v>277</v>
      </c>
      <c r="B37" s="415">
        <v>100</v>
      </c>
      <c r="C37" s="415">
        <v>90.337729999999993</v>
      </c>
      <c r="D37" s="416">
        <v>-9.6622699999999995</v>
      </c>
      <c r="E37" s="417">
        <v>0.90337730000000005</v>
      </c>
      <c r="F37" s="415">
        <v>90</v>
      </c>
      <c r="G37" s="416">
        <v>15</v>
      </c>
      <c r="H37" s="418">
        <v>6.2752999999999997</v>
      </c>
      <c r="I37" s="415">
        <v>14.034140000000001</v>
      </c>
      <c r="J37" s="416">
        <v>-0.96585999999899996</v>
      </c>
      <c r="K37" s="419">
        <v>0.155934888888</v>
      </c>
    </row>
    <row r="38" spans="1:11" ht="14.4" customHeight="1" thickBot="1" x14ac:dyDescent="0.35">
      <c r="A38" s="437" t="s">
        <v>278</v>
      </c>
      <c r="B38" s="415">
        <v>10</v>
      </c>
      <c r="C38" s="415">
        <v>0</v>
      </c>
      <c r="D38" s="416">
        <v>-10</v>
      </c>
      <c r="E38" s="417">
        <v>0</v>
      </c>
      <c r="F38" s="415">
        <v>0</v>
      </c>
      <c r="G38" s="416">
        <v>0</v>
      </c>
      <c r="H38" s="418">
        <v>0</v>
      </c>
      <c r="I38" s="415">
        <v>0</v>
      </c>
      <c r="J38" s="416">
        <v>0</v>
      </c>
      <c r="K38" s="419">
        <v>2</v>
      </c>
    </row>
    <row r="39" spans="1:11" ht="14.4" customHeight="1" thickBot="1" x14ac:dyDescent="0.35">
      <c r="A39" s="436" t="s">
        <v>279</v>
      </c>
      <c r="B39" s="420">
        <v>80.304315999897995</v>
      </c>
      <c r="C39" s="420">
        <v>38.679279999999999</v>
      </c>
      <c r="D39" s="421">
        <v>-41.625035999898003</v>
      </c>
      <c r="E39" s="427">
        <v>0.48165879403099998</v>
      </c>
      <c r="F39" s="420">
        <v>33.960708449841</v>
      </c>
      <c r="G39" s="421">
        <v>5.660118074973</v>
      </c>
      <c r="H39" s="423">
        <v>25.516870000000001</v>
      </c>
      <c r="I39" s="420">
        <v>27.680330000000001</v>
      </c>
      <c r="J39" s="421">
        <v>22.020211925026</v>
      </c>
      <c r="K39" s="428">
        <v>0.81506927456699996</v>
      </c>
    </row>
    <row r="40" spans="1:11" ht="14.4" customHeight="1" thickBot="1" x14ac:dyDescent="0.35">
      <c r="A40" s="437" t="s">
        <v>280</v>
      </c>
      <c r="B40" s="415">
        <v>0</v>
      </c>
      <c r="C40" s="415">
        <v>32.700650000000003</v>
      </c>
      <c r="D40" s="416">
        <v>32.700650000000003</v>
      </c>
      <c r="E40" s="425" t="s">
        <v>243</v>
      </c>
      <c r="F40" s="415">
        <v>27.199608284627999</v>
      </c>
      <c r="G40" s="416">
        <v>4.5332680474379998</v>
      </c>
      <c r="H40" s="418">
        <v>1.69387</v>
      </c>
      <c r="I40" s="415">
        <v>3.3877299999999999</v>
      </c>
      <c r="J40" s="416">
        <v>-1.1455380474379999</v>
      </c>
      <c r="K40" s="419">
        <v>0.12455069075</v>
      </c>
    </row>
    <row r="41" spans="1:11" ht="14.4" customHeight="1" thickBot="1" x14ac:dyDescent="0.35">
      <c r="A41" s="437" t="s">
        <v>281</v>
      </c>
      <c r="B41" s="415">
        <v>13.658759141219001</v>
      </c>
      <c r="C41" s="415">
        <v>1.0649999999999999</v>
      </c>
      <c r="D41" s="416">
        <v>-12.593759141219</v>
      </c>
      <c r="E41" s="417">
        <v>7.7971943789000006E-2</v>
      </c>
      <c r="F41" s="415">
        <v>1.0697127511819999</v>
      </c>
      <c r="G41" s="416">
        <v>0.17828545853</v>
      </c>
      <c r="H41" s="418">
        <v>9.0570000000000004</v>
      </c>
      <c r="I41" s="415">
        <v>9.0570000000000004</v>
      </c>
      <c r="J41" s="416">
        <v>8.8787145414689999</v>
      </c>
      <c r="K41" s="419">
        <v>8.4667589406499992</v>
      </c>
    </row>
    <row r="42" spans="1:11" ht="14.4" customHeight="1" thickBot="1" x14ac:dyDescent="0.35">
      <c r="A42" s="437" t="s">
        <v>282</v>
      </c>
      <c r="B42" s="415">
        <v>64.020197211945003</v>
      </c>
      <c r="C42" s="415">
        <v>1.0649999999999999</v>
      </c>
      <c r="D42" s="416">
        <v>-62.955197211944999</v>
      </c>
      <c r="E42" s="417">
        <v>1.6635375184E-2</v>
      </c>
      <c r="F42" s="415">
        <v>1.0675052732250001</v>
      </c>
      <c r="G42" s="416">
        <v>0.17791754553700001</v>
      </c>
      <c r="H42" s="418">
        <v>0</v>
      </c>
      <c r="I42" s="415">
        <v>0</v>
      </c>
      <c r="J42" s="416">
        <v>-0.17791754553700001</v>
      </c>
      <c r="K42" s="419">
        <v>0</v>
      </c>
    </row>
    <row r="43" spans="1:11" ht="14.4" customHeight="1" thickBot="1" x14ac:dyDescent="0.35">
      <c r="A43" s="437" t="s">
        <v>283</v>
      </c>
      <c r="B43" s="415">
        <v>7.3328019063000002E-2</v>
      </c>
      <c r="C43" s="415">
        <v>0.19800000000000001</v>
      </c>
      <c r="D43" s="416">
        <v>0.124671980936</v>
      </c>
      <c r="E43" s="417">
        <v>2.7001956759489998</v>
      </c>
      <c r="F43" s="415">
        <v>0.44656149587400001</v>
      </c>
      <c r="G43" s="416">
        <v>7.4426915979000002E-2</v>
      </c>
      <c r="H43" s="418">
        <v>0</v>
      </c>
      <c r="I43" s="415">
        <v>0</v>
      </c>
      <c r="J43" s="416">
        <v>-7.4426915979000002E-2</v>
      </c>
      <c r="K43" s="419">
        <v>0</v>
      </c>
    </row>
    <row r="44" spans="1:11" ht="14.4" customHeight="1" thickBot="1" x14ac:dyDescent="0.35">
      <c r="A44" s="437" t="s">
        <v>284</v>
      </c>
      <c r="B44" s="415">
        <v>2.5520316276699999</v>
      </c>
      <c r="C44" s="415">
        <v>3.65063</v>
      </c>
      <c r="D44" s="416">
        <v>1.098598372329</v>
      </c>
      <c r="E44" s="417">
        <v>1.4304799205530001</v>
      </c>
      <c r="F44" s="415">
        <v>4.1773206449289999</v>
      </c>
      <c r="G44" s="416">
        <v>0.69622010748800001</v>
      </c>
      <c r="H44" s="418">
        <v>14.766</v>
      </c>
      <c r="I44" s="415">
        <v>15.2356</v>
      </c>
      <c r="J44" s="416">
        <v>14.539379892511</v>
      </c>
      <c r="K44" s="419">
        <v>3.647218227907</v>
      </c>
    </row>
    <row r="45" spans="1:11" ht="14.4" customHeight="1" thickBot="1" x14ac:dyDescent="0.35">
      <c r="A45" s="436" t="s">
        <v>285</v>
      </c>
      <c r="B45" s="420">
        <v>119.150595699832</v>
      </c>
      <c r="C45" s="420">
        <v>105.31359</v>
      </c>
      <c r="D45" s="421">
        <v>-13.837005699831</v>
      </c>
      <c r="E45" s="427">
        <v>0.88386960536299997</v>
      </c>
      <c r="F45" s="420">
        <v>70</v>
      </c>
      <c r="G45" s="421">
        <v>11.666666666666</v>
      </c>
      <c r="H45" s="423">
        <v>5.9361199999999998</v>
      </c>
      <c r="I45" s="420">
        <v>11.84657</v>
      </c>
      <c r="J45" s="421">
        <v>0.17990333333299999</v>
      </c>
      <c r="K45" s="428">
        <v>0.16923671428500001</v>
      </c>
    </row>
    <row r="46" spans="1:11" ht="14.4" customHeight="1" thickBot="1" x14ac:dyDescent="0.35">
      <c r="A46" s="437" t="s">
        <v>286</v>
      </c>
      <c r="B46" s="415">
        <v>0</v>
      </c>
      <c r="C46" s="415">
        <v>0.1152</v>
      </c>
      <c r="D46" s="416">
        <v>0.1152</v>
      </c>
      <c r="E46" s="425" t="s">
        <v>276</v>
      </c>
      <c r="F46" s="415">
        <v>0</v>
      </c>
      <c r="G46" s="416">
        <v>0</v>
      </c>
      <c r="H46" s="418">
        <v>0</v>
      </c>
      <c r="I46" s="415">
        <v>0</v>
      </c>
      <c r="J46" s="416">
        <v>0</v>
      </c>
      <c r="K46" s="426" t="s">
        <v>243</v>
      </c>
    </row>
    <row r="47" spans="1:11" ht="14.4" customHeight="1" thickBot="1" x14ac:dyDescent="0.35">
      <c r="A47" s="437" t="s">
        <v>287</v>
      </c>
      <c r="B47" s="415">
        <v>50</v>
      </c>
      <c r="C47" s="415">
        <v>35.87567</v>
      </c>
      <c r="D47" s="416">
        <v>-14.12433</v>
      </c>
      <c r="E47" s="417">
        <v>0.71751339999899999</v>
      </c>
      <c r="F47" s="415">
        <v>0</v>
      </c>
      <c r="G47" s="416">
        <v>0</v>
      </c>
      <c r="H47" s="418">
        <v>1.1676599999999999</v>
      </c>
      <c r="I47" s="415">
        <v>2.37161</v>
      </c>
      <c r="J47" s="416">
        <v>2.37161</v>
      </c>
      <c r="K47" s="426" t="s">
        <v>243</v>
      </c>
    </row>
    <row r="48" spans="1:11" ht="14.4" customHeight="1" thickBot="1" x14ac:dyDescent="0.35">
      <c r="A48" s="437" t="s">
        <v>288</v>
      </c>
      <c r="B48" s="415">
        <v>23.525565710972</v>
      </c>
      <c r="C48" s="415">
        <v>18.568719999999999</v>
      </c>
      <c r="D48" s="416">
        <v>-4.9568457109719999</v>
      </c>
      <c r="E48" s="417">
        <v>0.78929961677100002</v>
      </c>
      <c r="F48" s="415">
        <v>20</v>
      </c>
      <c r="G48" s="416">
        <v>3.333333333333</v>
      </c>
      <c r="H48" s="418">
        <v>1.4285300000000001</v>
      </c>
      <c r="I48" s="415">
        <v>3.1007400000000001</v>
      </c>
      <c r="J48" s="416">
        <v>-0.232593333333</v>
      </c>
      <c r="K48" s="419">
        <v>0.15503700000000001</v>
      </c>
    </row>
    <row r="49" spans="1:11" ht="14.4" customHeight="1" thickBot="1" x14ac:dyDescent="0.35">
      <c r="A49" s="437" t="s">
        <v>289</v>
      </c>
      <c r="B49" s="415">
        <v>22.625029988859001</v>
      </c>
      <c r="C49" s="415">
        <v>19.40334</v>
      </c>
      <c r="D49" s="416">
        <v>-3.221689988859</v>
      </c>
      <c r="E49" s="417">
        <v>0.85760505111100005</v>
      </c>
      <c r="F49" s="415">
        <v>20</v>
      </c>
      <c r="G49" s="416">
        <v>3.333333333333</v>
      </c>
      <c r="H49" s="418">
        <v>1.1079300000000001</v>
      </c>
      <c r="I49" s="415">
        <v>1.78562</v>
      </c>
      <c r="J49" s="416">
        <v>-1.547713333333</v>
      </c>
      <c r="K49" s="419">
        <v>8.9280999999999999E-2</v>
      </c>
    </row>
    <row r="50" spans="1:11" ht="14.4" customHeight="1" thickBot="1" x14ac:dyDescent="0.35">
      <c r="A50" s="437" t="s">
        <v>290</v>
      </c>
      <c r="B50" s="415">
        <v>23</v>
      </c>
      <c r="C50" s="415">
        <v>31.350660000000001</v>
      </c>
      <c r="D50" s="416">
        <v>8.3506599999989994</v>
      </c>
      <c r="E50" s="417">
        <v>1.3630721739130001</v>
      </c>
      <c r="F50" s="415">
        <v>30</v>
      </c>
      <c r="G50" s="416">
        <v>5</v>
      </c>
      <c r="H50" s="418">
        <v>2.2320000000000002</v>
      </c>
      <c r="I50" s="415">
        <v>4.5885999999999996</v>
      </c>
      <c r="J50" s="416">
        <v>-0.41139999999999999</v>
      </c>
      <c r="K50" s="419">
        <v>0.15295333333300001</v>
      </c>
    </row>
    <row r="51" spans="1:11" ht="14.4" customHeight="1" thickBot="1" x14ac:dyDescent="0.35">
      <c r="A51" s="435" t="s">
        <v>29</v>
      </c>
      <c r="B51" s="415">
        <v>1510.8689016810499</v>
      </c>
      <c r="C51" s="415">
        <v>1476.7022999999999</v>
      </c>
      <c r="D51" s="416">
        <v>-34.166601681048</v>
      </c>
      <c r="E51" s="417">
        <v>0.977386124207</v>
      </c>
      <c r="F51" s="415">
        <v>1413.2772092397499</v>
      </c>
      <c r="G51" s="416">
        <v>235.54620153995899</v>
      </c>
      <c r="H51" s="418">
        <v>185.39661000000001</v>
      </c>
      <c r="I51" s="415">
        <v>316.83731999999998</v>
      </c>
      <c r="J51" s="416">
        <v>81.291118460041005</v>
      </c>
      <c r="K51" s="419">
        <v>0.22418625159200001</v>
      </c>
    </row>
    <row r="52" spans="1:11" ht="14.4" customHeight="1" thickBot="1" x14ac:dyDescent="0.35">
      <c r="A52" s="436" t="s">
        <v>291</v>
      </c>
      <c r="B52" s="420">
        <v>1510.8689016810499</v>
      </c>
      <c r="C52" s="420">
        <v>1476.7022999999999</v>
      </c>
      <c r="D52" s="421">
        <v>-34.166601681048</v>
      </c>
      <c r="E52" s="427">
        <v>0.977386124207</v>
      </c>
      <c r="F52" s="420">
        <v>1413.2772092397499</v>
      </c>
      <c r="G52" s="421">
        <v>235.54620153995899</v>
      </c>
      <c r="H52" s="423">
        <v>185.39661000000001</v>
      </c>
      <c r="I52" s="420">
        <v>316.83731999999998</v>
      </c>
      <c r="J52" s="421">
        <v>81.291118460041005</v>
      </c>
      <c r="K52" s="428">
        <v>0.22418625159200001</v>
      </c>
    </row>
    <row r="53" spans="1:11" ht="14.4" customHeight="1" thickBot="1" x14ac:dyDescent="0.35">
      <c r="A53" s="437" t="s">
        <v>292</v>
      </c>
      <c r="B53" s="415">
        <v>522.99999999999795</v>
      </c>
      <c r="C53" s="415">
        <v>518.26824999999997</v>
      </c>
      <c r="D53" s="416">
        <v>-4.7317499999969996</v>
      </c>
      <c r="E53" s="417">
        <v>0.99095267686400001</v>
      </c>
      <c r="F53" s="415">
        <v>467.64579712222098</v>
      </c>
      <c r="G53" s="416">
        <v>77.940966187035997</v>
      </c>
      <c r="H53" s="418">
        <v>46.627000000000002</v>
      </c>
      <c r="I53" s="415">
        <v>42.183</v>
      </c>
      <c r="J53" s="416">
        <v>-35.757966187035997</v>
      </c>
      <c r="K53" s="419">
        <v>9.0202884873999994E-2</v>
      </c>
    </row>
    <row r="54" spans="1:11" ht="14.4" customHeight="1" thickBot="1" x14ac:dyDescent="0.35">
      <c r="A54" s="437" t="s">
        <v>293</v>
      </c>
      <c r="B54" s="415">
        <v>216.86890168105299</v>
      </c>
      <c r="C54" s="415">
        <v>197.40100000000001</v>
      </c>
      <c r="D54" s="416">
        <v>-19.467901681053</v>
      </c>
      <c r="E54" s="417">
        <v>0.91023193491400001</v>
      </c>
      <c r="F54" s="415">
        <v>209.909632465578</v>
      </c>
      <c r="G54" s="416">
        <v>34.984938744262003</v>
      </c>
      <c r="H54" s="418">
        <v>16.885999999999999</v>
      </c>
      <c r="I54" s="415">
        <v>39.707999999999998</v>
      </c>
      <c r="J54" s="416">
        <v>4.723061255737</v>
      </c>
      <c r="K54" s="419">
        <v>0.18916711697999999</v>
      </c>
    </row>
    <row r="55" spans="1:11" ht="14.4" customHeight="1" thickBot="1" x14ac:dyDescent="0.35">
      <c r="A55" s="437" t="s">
        <v>294</v>
      </c>
      <c r="B55" s="415">
        <v>752.99999999999704</v>
      </c>
      <c r="C55" s="415">
        <v>750.37905000000001</v>
      </c>
      <c r="D55" s="416">
        <v>-2.6209499999969998</v>
      </c>
      <c r="E55" s="417">
        <v>0.99651932270900001</v>
      </c>
      <c r="F55" s="415">
        <v>729.93455494756802</v>
      </c>
      <c r="G55" s="416">
        <v>121.655759157928</v>
      </c>
      <c r="H55" s="418">
        <v>121.38361</v>
      </c>
      <c r="I55" s="415">
        <v>233.94631999999999</v>
      </c>
      <c r="J55" s="416">
        <v>112.290560842072</v>
      </c>
      <c r="K55" s="419">
        <v>0.32050314430799998</v>
      </c>
    </row>
    <row r="56" spans="1:11" ht="14.4" customHeight="1" thickBot="1" x14ac:dyDescent="0.35">
      <c r="A56" s="437" t="s">
        <v>295</v>
      </c>
      <c r="B56" s="415">
        <v>17.999999999999002</v>
      </c>
      <c r="C56" s="415">
        <v>10.654</v>
      </c>
      <c r="D56" s="416">
        <v>-7.345999999999</v>
      </c>
      <c r="E56" s="417">
        <v>0.59188888888799995</v>
      </c>
      <c r="F56" s="415">
        <v>5.7872247043870004</v>
      </c>
      <c r="G56" s="416">
        <v>0.96453745073099995</v>
      </c>
      <c r="H56" s="418">
        <v>0.5</v>
      </c>
      <c r="I56" s="415">
        <v>1</v>
      </c>
      <c r="J56" s="416">
        <v>3.5462549268E-2</v>
      </c>
      <c r="K56" s="419">
        <v>0.17279439646399999</v>
      </c>
    </row>
    <row r="57" spans="1:11" ht="14.4" customHeight="1" thickBot="1" x14ac:dyDescent="0.35">
      <c r="A57" s="438" t="s">
        <v>296</v>
      </c>
      <c r="B57" s="420">
        <v>3317.61342773857</v>
      </c>
      <c r="C57" s="420">
        <v>3415.8448800000001</v>
      </c>
      <c r="D57" s="421">
        <v>98.231452261426995</v>
      </c>
      <c r="E57" s="427">
        <v>1.029609071219</v>
      </c>
      <c r="F57" s="420">
        <v>4414.67759867527</v>
      </c>
      <c r="G57" s="421">
        <v>735.77959977921103</v>
      </c>
      <c r="H57" s="423">
        <v>230.46974</v>
      </c>
      <c r="I57" s="420">
        <v>442.25972000000002</v>
      </c>
      <c r="J57" s="421">
        <v>-293.51987977921101</v>
      </c>
      <c r="K57" s="428">
        <v>0.100179392518</v>
      </c>
    </row>
    <row r="58" spans="1:11" ht="14.4" customHeight="1" thickBot="1" x14ac:dyDescent="0.35">
      <c r="A58" s="435" t="s">
        <v>32</v>
      </c>
      <c r="B58" s="415">
        <v>798.75325861768897</v>
      </c>
      <c r="C58" s="415">
        <v>829.51092000000006</v>
      </c>
      <c r="D58" s="416">
        <v>30.757661382310999</v>
      </c>
      <c r="E58" s="417">
        <v>1.038507087201</v>
      </c>
      <c r="F58" s="415">
        <v>900.96770857672595</v>
      </c>
      <c r="G58" s="416">
        <v>150.161284762788</v>
      </c>
      <c r="H58" s="418">
        <v>41.154510000000002</v>
      </c>
      <c r="I58" s="415">
        <v>118.14774</v>
      </c>
      <c r="J58" s="416">
        <v>-32.013544762786999</v>
      </c>
      <c r="K58" s="419">
        <v>0.13113426693899999</v>
      </c>
    </row>
    <row r="59" spans="1:11" ht="14.4" customHeight="1" thickBot="1" x14ac:dyDescent="0.35">
      <c r="A59" s="439" t="s">
        <v>297</v>
      </c>
      <c r="B59" s="415">
        <v>798.75325861768897</v>
      </c>
      <c r="C59" s="415">
        <v>829.51092000000006</v>
      </c>
      <c r="D59" s="416">
        <v>30.757661382310999</v>
      </c>
      <c r="E59" s="417">
        <v>1.038507087201</v>
      </c>
      <c r="F59" s="415">
        <v>900.96770857672595</v>
      </c>
      <c r="G59" s="416">
        <v>150.161284762788</v>
      </c>
      <c r="H59" s="418">
        <v>41.154510000000002</v>
      </c>
      <c r="I59" s="415">
        <v>118.14774</v>
      </c>
      <c r="J59" s="416">
        <v>-32.013544762786999</v>
      </c>
      <c r="K59" s="419">
        <v>0.13113426693899999</v>
      </c>
    </row>
    <row r="60" spans="1:11" ht="14.4" customHeight="1" thickBot="1" x14ac:dyDescent="0.35">
      <c r="A60" s="437" t="s">
        <v>298</v>
      </c>
      <c r="B60" s="415">
        <v>297.57648417584898</v>
      </c>
      <c r="C60" s="415">
        <v>369.75229000000002</v>
      </c>
      <c r="D60" s="416">
        <v>72.175805824150004</v>
      </c>
      <c r="E60" s="417">
        <v>1.2425453947539999</v>
      </c>
      <c r="F60" s="415">
        <v>468.17327137705098</v>
      </c>
      <c r="G60" s="416">
        <v>78.028878562841001</v>
      </c>
      <c r="H60" s="418">
        <v>27.359000000000002</v>
      </c>
      <c r="I60" s="415">
        <v>70.515000000000001</v>
      </c>
      <c r="J60" s="416">
        <v>-7.5138785628409996</v>
      </c>
      <c r="K60" s="419">
        <v>0.15061731267199999</v>
      </c>
    </row>
    <row r="61" spans="1:11" ht="14.4" customHeight="1" thickBot="1" x14ac:dyDescent="0.35">
      <c r="A61" s="437" t="s">
        <v>299</v>
      </c>
      <c r="B61" s="415">
        <v>235.17677444184</v>
      </c>
      <c r="C61" s="415">
        <v>57.017589999999998</v>
      </c>
      <c r="D61" s="416">
        <v>-178.15918444184001</v>
      </c>
      <c r="E61" s="417">
        <v>0.24244566724399999</v>
      </c>
      <c r="F61" s="415">
        <v>47.094738550975997</v>
      </c>
      <c r="G61" s="416">
        <v>7.849123091829</v>
      </c>
      <c r="H61" s="418">
        <v>1.9770000000000001</v>
      </c>
      <c r="I61" s="415">
        <v>1.9770000000000001</v>
      </c>
      <c r="J61" s="416">
        <v>-5.8721230918289997</v>
      </c>
      <c r="K61" s="419">
        <v>4.1979211708000001E-2</v>
      </c>
    </row>
    <row r="62" spans="1:11" ht="14.4" customHeight="1" thickBot="1" x14ac:dyDescent="0.35">
      <c r="A62" s="437" t="s">
        <v>300</v>
      </c>
      <c r="B62" s="415">
        <v>84.999999999999005</v>
      </c>
      <c r="C62" s="415">
        <v>204.79989</v>
      </c>
      <c r="D62" s="416">
        <v>119.79989</v>
      </c>
      <c r="E62" s="417">
        <v>2.409410470588</v>
      </c>
      <c r="F62" s="415">
        <v>244.944462312497</v>
      </c>
      <c r="G62" s="416">
        <v>40.824077052082004</v>
      </c>
      <c r="H62" s="418">
        <v>3.3713000000000002</v>
      </c>
      <c r="I62" s="415">
        <v>22.185510000000001</v>
      </c>
      <c r="J62" s="416">
        <v>-18.638567052081999</v>
      </c>
      <c r="K62" s="419">
        <v>9.0573633673999995E-2</v>
      </c>
    </row>
    <row r="63" spans="1:11" ht="14.4" customHeight="1" thickBot="1" x14ac:dyDescent="0.35">
      <c r="A63" s="437" t="s">
        <v>301</v>
      </c>
      <c r="B63" s="415">
        <v>180.99999999999901</v>
      </c>
      <c r="C63" s="415">
        <v>197.94114999999999</v>
      </c>
      <c r="D63" s="416">
        <v>16.94115</v>
      </c>
      <c r="E63" s="417">
        <v>1.093597513812</v>
      </c>
      <c r="F63" s="415">
        <v>140.75523633620199</v>
      </c>
      <c r="G63" s="416">
        <v>23.459206056033</v>
      </c>
      <c r="H63" s="418">
        <v>8.4472100000000001</v>
      </c>
      <c r="I63" s="415">
        <v>23.470230000000001</v>
      </c>
      <c r="J63" s="416">
        <v>1.1023943966E-2</v>
      </c>
      <c r="K63" s="419">
        <v>0.166744986623</v>
      </c>
    </row>
    <row r="64" spans="1:11" ht="14.4" customHeight="1" thickBot="1" x14ac:dyDescent="0.35">
      <c r="A64" s="440" t="s">
        <v>33</v>
      </c>
      <c r="B64" s="420">
        <v>0</v>
      </c>
      <c r="C64" s="420">
        <v>31.702000000000002</v>
      </c>
      <c r="D64" s="421">
        <v>31.702000000000002</v>
      </c>
      <c r="E64" s="422" t="s">
        <v>276</v>
      </c>
      <c r="F64" s="420">
        <v>0</v>
      </c>
      <c r="G64" s="421">
        <v>0</v>
      </c>
      <c r="H64" s="423">
        <v>10.622</v>
      </c>
      <c r="I64" s="420">
        <v>10.622</v>
      </c>
      <c r="J64" s="421">
        <v>10.622</v>
      </c>
      <c r="K64" s="424" t="s">
        <v>243</v>
      </c>
    </row>
    <row r="65" spans="1:11" ht="14.4" customHeight="1" thickBot="1" x14ac:dyDescent="0.35">
      <c r="A65" s="436" t="s">
        <v>302</v>
      </c>
      <c r="B65" s="420">
        <v>0</v>
      </c>
      <c r="C65" s="420">
        <v>31.702000000000002</v>
      </c>
      <c r="D65" s="421">
        <v>31.702000000000002</v>
      </c>
      <c r="E65" s="422" t="s">
        <v>276</v>
      </c>
      <c r="F65" s="420">
        <v>0</v>
      </c>
      <c r="G65" s="421">
        <v>0</v>
      </c>
      <c r="H65" s="423">
        <v>10.622</v>
      </c>
      <c r="I65" s="420">
        <v>10.622</v>
      </c>
      <c r="J65" s="421">
        <v>10.622</v>
      </c>
      <c r="K65" s="424" t="s">
        <v>243</v>
      </c>
    </row>
    <row r="66" spans="1:11" ht="14.4" customHeight="1" thickBot="1" x14ac:dyDescent="0.35">
      <c r="A66" s="437" t="s">
        <v>303</v>
      </c>
      <c r="B66" s="415">
        <v>0</v>
      </c>
      <c r="C66" s="415">
        <v>31.702000000000002</v>
      </c>
      <c r="D66" s="416">
        <v>31.702000000000002</v>
      </c>
      <c r="E66" s="425" t="s">
        <v>276</v>
      </c>
      <c r="F66" s="415">
        <v>0</v>
      </c>
      <c r="G66" s="416">
        <v>0</v>
      </c>
      <c r="H66" s="418">
        <v>10.622</v>
      </c>
      <c r="I66" s="415">
        <v>10.622</v>
      </c>
      <c r="J66" s="416">
        <v>10.622</v>
      </c>
      <c r="K66" s="426" t="s">
        <v>243</v>
      </c>
    </row>
    <row r="67" spans="1:11" ht="14.4" customHeight="1" thickBot="1" x14ac:dyDescent="0.35">
      <c r="A67" s="435" t="s">
        <v>34</v>
      </c>
      <c r="B67" s="415">
        <v>2518.8601691208801</v>
      </c>
      <c r="C67" s="415">
        <v>2554.6319600000002</v>
      </c>
      <c r="D67" s="416">
        <v>35.771790879115997</v>
      </c>
      <c r="E67" s="417">
        <v>1.0142015786809999</v>
      </c>
      <c r="F67" s="415">
        <v>3513.7098900985402</v>
      </c>
      <c r="G67" s="416">
        <v>585.61831501642303</v>
      </c>
      <c r="H67" s="418">
        <v>178.69323</v>
      </c>
      <c r="I67" s="415">
        <v>313.48998</v>
      </c>
      <c r="J67" s="416">
        <v>-272.12833501642302</v>
      </c>
      <c r="K67" s="419">
        <v>8.9219084614999999E-2</v>
      </c>
    </row>
    <row r="68" spans="1:11" ht="14.4" customHeight="1" thickBot="1" x14ac:dyDescent="0.35">
      <c r="A68" s="436" t="s">
        <v>304</v>
      </c>
      <c r="B68" s="420">
        <v>64.064981655786994</v>
      </c>
      <c r="C68" s="420">
        <v>51.459299999999999</v>
      </c>
      <c r="D68" s="421">
        <v>-12.605681655787</v>
      </c>
      <c r="E68" s="427">
        <v>0.80323600616099999</v>
      </c>
      <c r="F68" s="420">
        <v>52.446993742536002</v>
      </c>
      <c r="G68" s="421">
        <v>8.7411656237560003</v>
      </c>
      <c r="H68" s="423">
        <v>4.3410099999999998</v>
      </c>
      <c r="I68" s="420">
        <v>9.4070199999999993</v>
      </c>
      <c r="J68" s="421">
        <v>0.66585437624300003</v>
      </c>
      <c r="K68" s="428">
        <v>0.17936242534999999</v>
      </c>
    </row>
    <row r="69" spans="1:11" ht="14.4" customHeight="1" thickBot="1" x14ac:dyDescent="0.35">
      <c r="A69" s="437" t="s">
        <v>305</v>
      </c>
      <c r="B69" s="415">
        <v>3.7763781683870001</v>
      </c>
      <c r="C69" s="415">
        <v>3.3359000000000001</v>
      </c>
      <c r="D69" s="416">
        <v>-0.44047816838699999</v>
      </c>
      <c r="E69" s="417">
        <v>0.88335962428899995</v>
      </c>
      <c r="F69" s="415">
        <v>2.956438702502</v>
      </c>
      <c r="G69" s="416">
        <v>0.49273978374999999</v>
      </c>
      <c r="H69" s="418">
        <v>0.43109999999999998</v>
      </c>
      <c r="I69" s="415">
        <v>0.63819999999999999</v>
      </c>
      <c r="J69" s="416">
        <v>0.14546021624899999</v>
      </c>
      <c r="K69" s="419">
        <v>0.21586782755200001</v>
      </c>
    </row>
    <row r="70" spans="1:11" ht="14.4" customHeight="1" thickBot="1" x14ac:dyDescent="0.35">
      <c r="A70" s="437" t="s">
        <v>306</v>
      </c>
      <c r="B70" s="415">
        <v>2.6494277236110002</v>
      </c>
      <c r="C70" s="415">
        <v>0</v>
      </c>
      <c r="D70" s="416">
        <v>-2.6494277236110002</v>
      </c>
      <c r="E70" s="417">
        <v>0</v>
      </c>
      <c r="F70" s="415">
        <v>0</v>
      </c>
      <c r="G70" s="416">
        <v>0</v>
      </c>
      <c r="H70" s="418">
        <v>0</v>
      </c>
      <c r="I70" s="415">
        <v>0</v>
      </c>
      <c r="J70" s="416">
        <v>0</v>
      </c>
      <c r="K70" s="419">
        <v>2</v>
      </c>
    </row>
    <row r="71" spans="1:11" ht="14.4" customHeight="1" thickBot="1" x14ac:dyDescent="0.35">
      <c r="A71" s="437" t="s">
        <v>307</v>
      </c>
      <c r="B71" s="415">
        <v>57.639175763788003</v>
      </c>
      <c r="C71" s="415">
        <v>48.123399999999997</v>
      </c>
      <c r="D71" s="416">
        <v>-9.5157757637879996</v>
      </c>
      <c r="E71" s="417">
        <v>0.83490784457400002</v>
      </c>
      <c r="F71" s="415">
        <v>49.490555040033001</v>
      </c>
      <c r="G71" s="416">
        <v>8.2484258400049999</v>
      </c>
      <c r="H71" s="418">
        <v>3.90991</v>
      </c>
      <c r="I71" s="415">
        <v>8.7688199999999998</v>
      </c>
      <c r="J71" s="416">
        <v>0.52039415999399996</v>
      </c>
      <c r="K71" s="419">
        <v>0.17718168634199999</v>
      </c>
    </row>
    <row r="72" spans="1:11" ht="14.4" customHeight="1" thickBot="1" x14ac:dyDescent="0.35">
      <c r="A72" s="436" t="s">
        <v>308</v>
      </c>
      <c r="B72" s="420">
        <v>18</v>
      </c>
      <c r="C72" s="420">
        <v>24.732089999999999</v>
      </c>
      <c r="D72" s="421">
        <v>6.7320899999990003</v>
      </c>
      <c r="E72" s="427">
        <v>1.3740049999999999</v>
      </c>
      <c r="F72" s="420">
        <v>33.105358402862997</v>
      </c>
      <c r="G72" s="421">
        <v>5.5175597338099998</v>
      </c>
      <c r="H72" s="423">
        <v>0.58950999999999998</v>
      </c>
      <c r="I72" s="420">
        <v>13.85585</v>
      </c>
      <c r="J72" s="421">
        <v>8.3382902661890004</v>
      </c>
      <c r="K72" s="428">
        <v>0.41853798504099998</v>
      </c>
    </row>
    <row r="73" spans="1:11" ht="14.4" customHeight="1" thickBot="1" x14ac:dyDescent="0.35">
      <c r="A73" s="437" t="s">
        <v>309</v>
      </c>
      <c r="B73" s="415">
        <v>3</v>
      </c>
      <c r="C73" s="415">
        <v>2.7</v>
      </c>
      <c r="D73" s="416">
        <v>-0.3</v>
      </c>
      <c r="E73" s="417">
        <v>0.89999999999900004</v>
      </c>
      <c r="F73" s="415">
        <v>2.8394366197180001</v>
      </c>
      <c r="G73" s="416">
        <v>0.47323943661899998</v>
      </c>
      <c r="H73" s="418">
        <v>0</v>
      </c>
      <c r="I73" s="415">
        <v>0.67500000000000004</v>
      </c>
      <c r="J73" s="416">
        <v>0.20176056338000001</v>
      </c>
      <c r="K73" s="419">
        <v>0.23772321428500001</v>
      </c>
    </row>
    <row r="74" spans="1:11" ht="14.4" customHeight="1" thickBot="1" x14ac:dyDescent="0.35">
      <c r="A74" s="437" t="s">
        <v>310</v>
      </c>
      <c r="B74" s="415">
        <v>15</v>
      </c>
      <c r="C74" s="415">
        <v>22.03209</v>
      </c>
      <c r="D74" s="416">
        <v>7.0320899999990001</v>
      </c>
      <c r="E74" s="417">
        <v>1.4688060000000001</v>
      </c>
      <c r="F74" s="415">
        <v>30.265921783144002</v>
      </c>
      <c r="G74" s="416">
        <v>5.0443202971899996</v>
      </c>
      <c r="H74" s="418">
        <v>0.58950999999999998</v>
      </c>
      <c r="I74" s="415">
        <v>13.18085</v>
      </c>
      <c r="J74" s="416">
        <v>8.1365297028089998</v>
      </c>
      <c r="K74" s="419">
        <v>0.43550135675399998</v>
      </c>
    </row>
    <row r="75" spans="1:11" ht="14.4" customHeight="1" thickBot="1" x14ac:dyDescent="0.35">
      <c r="A75" s="436" t="s">
        <v>311</v>
      </c>
      <c r="B75" s="420">
        <v>837.44211063696696</v>
      </c>
      <c r="C75" s="420">
        <v>839.27068999999995</v>
      </c>
      <c r="D75" s="421">
        <v>1.8285793630330001</v>
      </c>
      <c r="E75" s="427">
        <v>1.0021835292729999</v>
      </c>
      <c r="F75" s="420">
        <v>945.80730020148496</v>
      </c>
      <c r="G75" s="421">
        <v>157.63455003358101</v>
      </c>
      <c r="H75" s="423">
        <v>69.990179999999995</v>
      </c>
      <c r="I75" s="420">
        <v>139.81438</v>
      </c>
      <c r="J75" s="421">
        <v>-17.820170033579998</v>
      </c>
      <c r="K75" s="428">
        <v>0.147825439674</v>
      </c>
    </row>
    <row r="76" spans="1:11" ht="14.4" customHeight="1" thickBot="1" x14ac:dyDescent="0.35">
      <c r="A76" s="437" t="s">
        <v>312</v>
      </c>
      <c r="B76" s="415">
        <v>790.00000000000102</v>
      </c>
      <c r="C76" s="415">
        <v>785.87378000000001</v>
      </c>
      <c r="D76" s="416">
        <v>-4.12622</v>
      </c>
      <c r="E76" s="417">
        <v>0.99477693670800005</v>
      </c>
      <c r="F76" s="415">
        <v>894.15638612897601</v>
      </c>
      <c r="G76" s="416">
        <v>149.026064354829</v>
      </c>
      <c r="H76" s="418">
        <v>66.436859999999996</v>
      </c>
      <c r="I76" s="415">
        <v>132.87371999999999</v>
      </c>
      <c r="J76" s="416">
        <v>-16.152344354829001</v>
      </c>
      <c r="K76" s="419">
        <v>0.14860232735699999</v>
      </c>
    </row>
    <row r="77" spans="1:11" ht="14.4" customHeight="1" thickBot="1" x14ac:dyDescent="0.35">
      <c r="A77" s="437" t="s">
        <v>313</v>
      </c>
      <c r="B77" s="415">
        <v>0</v>
      </c>
      <c r="C77" s="415">
        <v>9.8312499999990006</v>
      </c>
      <c r="D77" s="416">
        <v>9.8312499999990006</v>
      </c>
      <c r="E77" s="425" t="s">
        <v>243</v>
      </c>
      <c r="F77" s="415">
        <v>7.2138035606060003</v>
      </c>
      <c r="G77" s="416">
        <v>1.2023005934340001</v>
      </c>
      <c r="H77" s="418">
        <v>0</v>
      </c>
      <c r="I77" s="415">
        <v>0</v>
      </c>
      <c r="J77" s="416">
        <v>-1.2023005934340001</v>
      </c>
      <c r="K77" s="419">
        <v>0</v>
      </c>
    </row>
    <row r="78" spans="1:11" ht="14.4" customHeight="1" thickBot="1" x14ac:dyDescent="0.35">
      <c r="A78" s="437" t="s">
        <v>314</v>
      </c>
      <c r="B78" s="415">
        <v>2.6063039891950002</v>
      </c>
      <c r="C78" s="415">
        <v>0.96799999999999997</v>
      </c>
      <c r="D78" s="416">
        <v>-1.638303989195</v>
      </c>
      <c r="E78" s="417">
        <v>0.37140717430199999</v>
      </c>
      <c r="F78" s="415">
        <v>0.99009900989999999</v>
      </c>
      <c r="G78" s="416">
        <v>0.16501650165000001</v>
      </c>
      <c r="H78" s="418">
        <v>0.48399999999999999</v>
      </c>
      <c r="I78" s="415">
        <v>0.48399999999999999</v>
      </c>
      <c r="J78" s="416">
        <v>0.31898349834900003</v>
      </c>
      <c r="K78" s="419">
        <v>0.48884</v>
      </c>
    </row>
    <row r="79" spans="1:11" ht="14.4" customHeight="1" thickBot="1" x14ac:dyDescent="0.35">
      <c r="A79" s="437" t="s">
        <v>315</v>
      </c>
      <c r="B79" s="415">
        <v>44.835806647769999</v>
      </c>
      <c r="C79" s="415">
        <v>42.597659999999998</v>
      </c>
      <c r="D79" s="416">
        <v>-2.2381466477699998</v>
      </c>
      <c r="E79" s="417">
        <v>0.95008126729200004</v>
      </c>
      <c r="F79" s="415">
        <v>43.447011502000997</v>
      </c>
      <c r="G79" s="416">
        <v>7.241168583666</v>
      </c>
      <c r="H79" s="418">
        <v>3.0693199999999998</v>
      </c>
      <c r="I79" s="415">
        <v>6.4566600000000003</v>
      </c>
      <c r="J79" s="416">
        <v>-0.78450858366599996</v>
      </c>
      <c r="K79" s="419">
        <v>0.14860999126900001</v>
      </c>
    </row>
    <row r="80" spans="1:11" ht="14.4" customHeight="1" thickBot="1" x14ac:dyDescent="0.35">
      <c r="A80" s="436" t="s">
        <v>316</v>
      </c>
      <c r="B80" s="420">
        <v>566.31851984489401</v>
      </c>
      <c r="C80" s="420">
        <v>456.15541999999903</v>
      </c>
      <c r="D80" s="421">
        <v>-110.163099844895</v>
      </c>
      <c r="E80" s="427">
        <v>0.80547501805999999</v>
      </c>
      <c r="F80" s="420">
        <v>319.07000719990498</v>
      </c>
      <c r="G80" s="421">
        <v>53.178334533316999</v>
      </c>
      <c r="H80" s="423">
        <v>33.522500000000001</v>
      </c>
      <c r="I80" s="420">
        <v>47.340699999999998</v>
      </c>
      <c r="J80" s="421">
        <v>-5.8376345333169999</v>
      </c>
      <c r="K80" s="428">
        <v>0.14837088705199999</v>
      </c>
    </row>
    <row r="81" spans="1:11" ht="14.4" customHeight="1" thickBot="1" x14ac:dyDescent="0.35">
      <c r="A81" s="437" t="s">
        <v>317</v>
      </c>
      <c r="B81" s="415">
        <v>0</v>
      </c>
      <c r="C81" s="415">
        <v>0</v>
      </c>
      <c r="D81" s="416">
        <v>0</v>
      </c>
      <c r="E81" s="425" t="s">
        <v>243</v>
      </c>
      <c r="F81" s="415">
        <v>35</v>
      </c>
      <c r="G81" s="416">
        <v>5.833333333333</v>
      </c>
      <c r="H81" s="418">
        <v>0</v>
      </c>
      <c r="I81" s="415">
        <v>0</v>
      </c>
      <c r="J81" s="416">
        <v>-5.833333333333</v>
      </c>
      <c r="K81" s="419">
        <v>0</v>
      </c>
    </row>
    <row r="82" spans="1:11" ht="14.4" customHeight="1" thickBot="1" x14ac:dyDescent="0.35">
      <c r="A82" s="437" t="s">
        <v>318</v>
      </c>
      <c r="B82" s="415">
        <v>366.68615769480101</v>
      </c>
      <c r="C82" s="415">
        <v>320.58472999999901</v>
      </c>
      <c r="D82" s="416">
        <v>-46.101427694800996</v>
      </c>
      <c r="E82" s="417">
        <v>0.87427551673899995</v>
      </c>
      <c r="F82" s="415">
        <v>151.96115977724301</v>
      </c>
      <c r="G82" s="416">
        <v>25.326859962873002</v>
      </c>
      <c r="H82" s="418">
        <v>25.6935</v>
      </c>
      <c r="I82" s="415">
        <v>31.682700000000001</v>
      </c>
      <c r="J82" s="416">
        <v>6.3558400371259998</v>
      </c>
      <c r="K82" s="419">
        <v>0.20849209130999999</v>
      </c>
    </row>
    <row r="83" spans="1:11" ht="14.4" customHeight="1" thickBot="1" x14ac:dyDescent="0.35">
      <c r="A83" s="437" t="s">
        <v>319</v>
      </c>
      <c r="B83" s="415">
        <v>3</v>
      </c>
      <c r="C83" s="415">
        <v>3.075999999999</v>
      </c>
      <c r="D83" s="416">
        <v>7.5999999999000006E-2</v>
      </c>
      <c r="E83" s="417">
        <v>1.0253333333329999</v>
      </c>
      <c r="F83" s="415">
        <v>13.451389804366</v>
      </c>
      <c r="G83" s="416">
        <v>2.2418983007270001</v>
      </c>
      <c r="H83" s="418">
        <v>0</v>
      </c>
      <c r="I83" s="415">
        <v>0</v>
      </c>
      <c r="J83" s="416">
        <v>-2.2418983007270001</v>
      </c>
      <c r="K83" s="419">
        <v>0</v>
      </c>
    </row>
    <row r="84" spans="1:11" ht="14.4" customHeight="1" thickBot="1" x14ac:dyDescent="0.35">
      <c r="A84" s="437" t="s">
        <v>320</v>
      </c>
      <c r="B84" s="415">
        <v>2.3263803933779998</v>
      </c>
      <c r="C84" s="415">
        <v>1.9359999999999999</v>
      </c>
      <c r="D84" s="416">
        <v>-0.39038039337800001</v>
      </c>
      <c r="E84" s="417">
        <v>0.83219408378299997</v>
      </c>
      <c r="F84" s="415">
        <v>0</v>
      </c>
      <c r="G84" s="416">
        <v>0</v>
      </c>
      <c r="H84" s="418">
        <v>0</v>
      </c>
      <c r="I84" s="415">
        <v>0</v>
      </c>
      <c r="J84" s="416">
        <v>0</v>
      </c>
      <c r="K84" s="419">
        <v>2</v>
      </c>
    </row>
    <row r="85" spans="1:11" ht="14.4" customHeight="1" thickBot="1" x14ac:dyDescent="0.35">
      <c r="A85" s="437" t="s">
        <v>321</v>
      </c>
      <c r="B85" s="415">
        <v>194.305981756714</v>
      </c>
      <c r="C85" s="415">
        <v>130.55869000000001</v>
      </c>
      <c r="D85" s="416">
        <v>-63.747291756713999</v>
      </c>
      <c r="E85" s="417">
        <v>0.67192316376200001</v>
      </c>
      <c r="F85" s="415">
        <v>118.657457618295</v>
      </c>
      <c r="G85" s="416">
        <v>19.776242936382001</v>
      </c>
      <c r="H85" s="418">
        <v>7.8289999999999997</v>
      </c>
      <c r="I85" s="415">
        <v>15.657999999999999</v>
      </c>
      <c r="J85" s="416">
        <v>-4.1182429363819999</v>
      </c>
      <c r="K85" s="419">
        <v>0.13195967884599999</v>
      </c>
    </row>
    <row r="86" spans="1:11" ht="14.4" customHeight="1" thickBot="1" x14ac:dyDescent="0.35">
      <c r="A86" s="436" t="s">
        <v>322</v>
      </c>
      <c r="B86" s="420">
        <v>1033.03455698324</v>
      </c>
      <c r="C86" s="420">
        <v>1183.0144600000001</v>
      </c>
      <c r="D86" s="421">
        <v>149.97990301676501</v>
      </c>
      <c r="E86" s="427">
        <v>1.145183819846</v>
      </c>
      <c r="F86" s="420">
        <v>2163.2802305517498</v>
      </c>
      <c r="G86" s="421">
        <v>360.54670509195802</v>
      </c>
      <c r="H86" s="423">
        <v>70.250029999999995</v>
      </c>
      <c r="I86" s="420">
        <v>103.07203</v>
      </c>
      <c r="J86" s="421">
        <v>-257.47467509195798</v>
      </c>
      <c r="K86" s="428">
        <v>4.7646175721000002E-2</v>
      </c>
    </row>
    <row r="87" spans="1:11" ht="14.4" customHeight="1" thickBot="1" x14ac:dyDescent="0.35">
      <c r="A87" s="437" t="s">
        <v>323</v>
      </c>
      <c r="B87" s="415">
        <v>0</v>
      </c>
      <c r="C87" s="415">
        <v>62.473999999999997</v>
      </c>
      <c r="D87" s="416">
        <v>62.473999999999997</v>
      </c>
      <c r="E87" s="425" t="s">
        <v>276</v>
      </c>
      <c r="F87" s="415">
        <v>1424.6222125112499</v>
      </c>
      <c r="G87" s="416">
        <v>237.437035418541</v>
      </c>
      <c r="H87" s="418">
        <v>0</v>
      </c>
      <c r="I87" s="415">
        <v>0</v>
      </c>
      <c r="J87" s="416">
        <v>-237.437035418541</v>
      </c>
      <c r="K87" s="419">
        <v>0</v>
      </c>
    </row>
    <row r="88" spans="1:11" ht="14.4" customHeight="1" thickBot="1" x14ac:dyDescent="0.35">
      <c r="A88" s="437" t="s">
        <v>324</v>
      </c>
      <c r="B88" s="415">
        <v>1033.03455698324</v>
      </c>
      <c r="C88" s="415">
        <v>1116.8204599999999</v>
      </c>
      <c r="D88" s="416">
        <v>83.785903016763996</v>
      </c>
      <c r="E88" s="417">
        <v>1.0811065829790001</v>
      </c>
      <c r="F88" s="415">
        <v>727.48264591702605</v>
      </c>
      <c r="G88" s="416">
        <v>121.247107652838</v>
      </c>
      <c r="H88" s="418">
        <v>69.878029999999995</v>
      </c>
      <c r="I88" s="415">
        <v>102.32803</v>
      </c>
      <c r="J88" s="416">
        <v>-18.919077652837</v>
      </c>
      <c r="K88" s="419">
        <v>0.140660441282</v>
      </c>
    </row>
    <row r="89" spans="1:11" ht="14.4" customHeight="1" thickBot="1" x14ac:dyDescent="0.35">
      <c r="A89" s="437" t="s">
        <v>325</v>
      </c>
      <c r="B89" s="415">
        <v>0</v>
      </c>
      <c r="C89" s="415">
        <v>3.72</v>
      </c>
      <c r="D89" s="416">
        <v>3.72</v>
      </c>
      <c r="E89" s="425" t="s">
        <v>243</v>
      </c>
      <c r="F89" s="415">
        <v>11.175372123476</v>
      </c>
      <c r="G89" s="416">
        <v>1.8625620205790001</v>
      </c>
      <c r="H89" s="418">
        <v>0.372</v>
      </c>
      <c r="I89" s="415">
        <v>0.74399999999999999</v>
      </c>
      <c r="J89" s="416">
        <v>-1.1185620205789999</v>
      </c>
      <c r="K89" s="419">
        <v>6.6574964284999996E-2</v>
      </c>
    </row>
    <row r="90" spans="1:11" ht="14.4" customHeight="1" thickBot="1" x14ac:dyDescent="0.35">
      <c r="A90" s="434" t="s">
        <v>35</v>
      </c>
      <c r="B90" s="415">
        <v>29462</v>
      </c>
      <c r="C90" s="415">
        <v>31601.677179999999</v>
      </c>
      <c r="D90" s="416">
        <v>2139.6771800000001</v>
      </c>
      <c r="E90" s="417">
        <v>1.0726249806529999</v>
      </c>
      <c r="F90" s="415">
        <v>31812.880000717902</v>
      </c>
      <c r="G90" s="416">
        <v>5302.1466667863197</v>
      </c>
      <c r="H90" s="418">
        <v>2654.61139</v>
      </c>
      <c r="I90" s="415">
        <v>5385.6391999999996</v>
      </c>
      <c r="J90" s="416">
        <v>83.492533213677007</v>
      </c>
      <c r="K90" s="419">
        <v>0.169291155025</v>
      </c>
    </row>
    <row r="91" spans="1:11" ht="14.4" customHeight="1" thickBot="1" x14ac:dyDescent="0.35">
      <c r="A91" s="440" t="s">
        <v>326</v>
      </c>
      <c r="B91" s="420">
        <v>21735</v>
      </c>
      <c r="C91" s="420">
        <v>23338.526999999998</v>
      </c>
      <c r="D91" s="421">
        <v>1603.52699999998</v>
      </c>
      <c r="E91" s="427">
        <v>1.0737762594889999</v>
      </c>
      <c r="F91" s="420">
        <v>23474.560000717898</v>
      </c>
      <c r="G91" s="421">
        <v>3912.4266667863199</v>
      </c>
      <c r="H91" s="423">
        <v>1965.0640000000001</v>
      </c>
      <c r="I91" s="420">
        <v>3981.8119999999999</v>
      </c>
      <c r="J91" s="421">
        <v>69.385333213676006</v>
      </c>
      <c r="K91" s="428">
        <v>0.16962243381200001</v>
      </c>
    </row>
    <row r="92" spans="1:11" ht="14.4" customHeight="1" thickBot="1" x14ac:dyDescent="0.35">
      <c r="A92" s="436" t="s">
        <v>327</v>
      </c>
      <c r="B92" s="420">
        <v>21466</v>
      </c>
      <c r="C92" s="420">
        <v>22915.436000000002</v>
      </c>
      <c r="D92" s="421">
        <v>1449.4359999999899</v>
      </c>
      <c r="E92" s="427">
        <v>1.0675224075280001</v>
      </c>
      <c r="F92" s="420">
        <v>23161.999999999902</v>
      </c>
      <c r="G92" s="421">
        <v>3860.3333333333198</v>
      </c>
      <c r="H92" s="423">
        <v>1894.3119999999999</v>
      </c>
      <c r="I92" s="420">
        <v>3835.6219999999998</v>
      </c>
      <c r="J92" s="421">
        <v>-24.711333333319999</v>
      </c>
      <c r="K92" s="428">
        <v>0.16559977549400001</v>
      </c>
    </row>
    <row r="93" spans="1:11" ht="14.4" customHeight="1" thickBot="1" x14ac:dyDescent="0.35">
      <c r="A93" s="437" t="s">
        <v>328</v>
      </c>
      <c r="B93" s="415">
        <v>21466</v>
      </c>
      <c r="C93" s="415">
        <v>22915.436000000002</v>
      </c>
      <c r="D93" s="416">
        <v>1449.4359999999899</v>
      </c>
      <c r="E93" s="417">
        <v>1.0675224075280001</v>
      </c>
      <c r="F93" s="415">
        <v>23161.999999999902</v>
      </c>
      <c r="G93" s="416">
        <v>3860.3333333333198</v>
      </c>
      <c r="H93" s="418">
        <v>1894.3119999999999</v>
      </c>
      <c r="I93" s="415">
        <v>3835.6219999999998</v>
      </c>
      <c r="J93" s="416">
        <v>-24.711333333319999</v>
      </c>
      <c r="K93" s="419">
        <v>0.16559977549400001</v>
      </c>
    </row>
    <row r="94" spans="1:11" ht="14.4" customHeight="1" thickBot="1" x14ac:dyDescent="0.35">
      <c r="A94" s="436" t="s">
        <v>329</v>
      </c>
      <c r="B94" s="420">
        <v>210</v>
      </c>
      <c r="C94" s="420">
        <v>218.67</v>
      </c>
      <c r="D94" s="421">
        <v>8.67</v>
      </c>
      <c r="E94" s="427">
        <v>1.0412857142850001</v>
      </c>
      <c r="F94" s="420">
        <v>257.35900071802001</v>
      </c>
      <c r="G94" s="421">
        <v>42.893166786336003</v>
      </c>
      <c r="H94" s="423">
        <v>26.625</v>
      </c>
      <c r="I94" s="420">
        <v>45.884999999999998</v>
      </c>
      <c r="J94" s="421">
        <v>2.9918332136629999</v>
      </c>
      <c r="K94" s="428">
        <v>0.17829180200399999</v>
      </c>
    </row>
    <row r="95" spans="1:11" ht="14.4" customHeight="1" thickBot="1" x14ac:dyDescent="0.35">
      <c r="A95" s="437" t="s">
        <v>330</v>
      </c>
      <c r="B95" s="415">
        <v>210</v>
      </c>
      <c r="C95" s="415">
        <v>218.67</v>
      </c>
      <c r="D95" s="416">
        <v>8.67</v>
      </c>
      <c r="E95" s="417">
        <v>1.0412857142850001</v>
      </c>
      <c r="F95" s="415">
        <v>257.35900071802001</v>
      </c>
      <c r="G95" s="416">
        <v>42.893166786336003</v>
      </c>
      <c r="H95" s="418">
        <v>26.625</v>
      </c>
      <c r="I95" s="415">
        <v>45.884999999999998</v>
      </c>
      <c r="J95" s="416">
        <v>2.9918332136629999</v>
      </c>
      <c r="K95" s="419">
        <v>0.17829180200399999</v>
      </c>
    </row>
    <row r="96" spans="1:11" ht="14.4" customHeight="1" thickBot="1" x14ac:dyDescent="0.35">
      <c r="A96" s="436" t="s">
        <v>331</v>
      </c>
      <c r="B96" s="420">
        <v>59</v>
      </c>
      <c r="C96" s="420">
        <v>123.17100000000001</v>
      </c>
      <c r="D96" s="421">
        <v>64.170999999998998</v>
      </c>
      <c r="E96" s="427">
        <v>2.087644067796</v>
      </c>
      <c r="F96" s="420">
        <v>55.201000000000001</v>
      </c>
      <c r="G96" s="421">
        <v>9.200166666666</v>
      </c>
      <c r="H96" s="423">
        <v>19.126999999999999</v>
      </c>
      <c r="I96" s="420">
        <v>25.305</v>
      </c>
      <c r="J96" s="421">
        <v>16.104833333333001</v>
      </c>
      <c r="K96" s="428">
        <v>0.45841560841200002</v>
      </c>
    </row>
    <row r="97" spans="1:11" ht="14.4" customHeight="1" thickBot="1" x14ac:dyDescent="0.35">
      <c r="A97" s="437" t="s">
        <v>332</v>
      </c>
      <c r="B97" s="415">
        <v>59</v>
      </c>
      <c r="C97" s="415">
        <v>123.17100000000001</v>
      </c>
      <c r="D97" s="416">
        <v>64.170999999998998</v>
      </c>
      <c r="E97" s="417">
        <v>2.087644067796</v>
      </c>
      <c r="F97" s="415">
        <v>55.201000000000001</v>
      </c>
      <c r="G97" s="416">
        <v>9.200166666666</v>
      </c>
      <c r="H97" s="418">
        <v>19.126999999999999</v>
      </c>
      <c r="I97" s="415">
        <v>25.305</v>
      </c>
      <c r="J97" s="416">
        <v>16.104833333333001</v>
      </c>
      <c r="K97" s="419">
        <v>0.45841560841200002</v>
      </c>
    </row>
    <row r="98" spans="1:11" ht="14.4" customHeight="1" thickBot="1" x14ac:dyDescent="0.35">
      <c r="A98" s="439" t="s">
        <v>333</v>
      </c>
      <c r="B98" s="415">
        <v>0</v>
      </c>
      <c r="C98" s="415">
        <v>81.25</v>
      </c>
      <c r="D98" s="416">
        <v>81.25</v>
      </c>
      <c r="E98" s="425" t="s">
        <v>276</v>
      </c>
      <c r="F98" s="415">
        <v>0</v>
      </c>
      <c r="G98" s="416">
        <v>0</v>
      </c>
      <c r="H98" s="418">
        <v>25</v>
      </c>
      <c r="I98" s="415">
        <v>75</v>
      </c>
      <c r="J98" s="416">
        <v>75</v>
      </c>
      <c r="K98" s="426" t="s">
        <v>243</v>
      </c>
    </row>
    <row r="99" spans="1:11" ht="14.4" customHeight="1" thickBot="1" x14ac:dyDescent="0.35">
      <c r="A99" s="437" t="s">
        <v>334</v>
      </c>
      <c r="B99" s="415">
        <v>0</v>
      </c>
      <c r="C99" s="415">
        <v>81.25</v>
      </c>
      <c r="D99" s="416">
        <v>81.25</v>
      </c>
      <c r="E99" s="425" t="s">
        <v>276</v>
      </c>
      <c r="F99" s="415">
        <v>0</v>
      </c>
      <c r="G99" s="416">
        <v>0</v>
      </c>
      <c r="H99" s="418">
        <v>25</v>
      </c>
      <c r="I99" s="415">
        <v>75</v>
      </c>
      <c r="J99" s="416">
        <v>75</v>
      </c>
      <c r="K99" s="426" t="s">
        <v>243</v>
      </c>
    </row>
    <row r="100" spans="1:11" ht="14.4" customHeight="1" thickBot="1" x14ac:dyDescent="0.35">
      <c r="A100" s="435" t="s">
        <v>335</v>
      </c>
      <c r="B100" s="415">
        <v>7297.99999999999</v>
      </c>
      <c r="C100" s="415">
        <v>7802.3810100000001</v>
      </c>
      <c r="D100" s="416">
        <v>504.38101000000898</v>
      </c>
      <c r="E100" s="417">
        <v>1.069112223896</v>
      </c>
      <c r="F100" s="415">
        <v>7875.08</v>
      </c>
      <c r="G100" s="416">
        <v>1312.5133333333299</v>
      </c>
      <c r="H100" s="418">
        <v>651.27795000000003</v>
      </c>
      <c r="I100" s="415">
        <v>1326.6075000000001</v>
      </c>
      <c r="J100" s="416">
        <v>14.094166666667</v>
      </c>
      <c r="K100" s="419">
        <v>0.16845638393500001</v>
      </c>
    </row>
    <row r="101" spans="1:11" ht="14.4" customHeight="1" thickBot="1" x14ac:dyDescent="0.35">
      <c r="A101" s="436" t="s">
        <v>336</v>
      </c>
      <c r="B101" s="420">
        <v>1930.99999999999</v>
      </c>
      <c r="C101" s="420">
        <v>2079.5947500000002</v>
      </c>
      <c r="D101" s="421">
        <v>148.59475000000799</v>
      </c>
      <c r="E101" s="427">
        <v>1.076952226825</v>
      </c>
      <c r="F101" s="420">
        <v>2084.58</v>
      </c>
      <c r="G101" s="421">
        <v>347.43000000000097</v>
      </c>
      <c r="H101" s="423">
        <v>173.76570000000001</v>
      </c>
      <c r="I101" s="420">
        <v>354.03100000000001</v>
      </c>
      <c r="J101" s="421">
        <v>6.6009999999989999</v>
      </c>
      <c r="K101" s="428">
        <v>0.16983325178200001</v>
      </c>
    </row>
    <row r="102" spans="1:11" ht="14.4" customHeight="1" thickBot="1" x14ac:dyDescent="0.35">
      <c r="A102" s="437" t="s">
        <v>337</v>
      </c>
      <c r="B102" s="415">
        <v>1930.99999999999</v>
      </c>
      <c r="C102" s="415">
        <v>2079.5947500000002</v>
      </c>
      <c r="D102" s="416">
        <v>148.59475000000799</v>
      </c>
      <c r="E102" s="417">
        <v>1.076952226825</v>
      </c>
      <c r="F102" s="415">
        <v>2084.58</v>
      </c>
      <c r="G102" s="416">
        <v>347.43000000000097</v>
      </c>
      <c r="H102" s="418">
        <v>173.76570000000001</v>
      </c>
      <c r="I102" s="415">
        <v>354.03100000000001</v>
      </c>
      <c r="J102" s="416">
        <v>6.6009999999989999</v>
      </c>
      <c r="K102" s="419">
        <v>0.16983325178200001</v>
      </c>
    </row>
    <row r="103" spans="1:11" ht="14.4" customHeight="1" thickBot="1" x14ac:dyDescent="0.35">
      <c r="A103" s="436" t="s">
        <v>338</v>
      </c>
      <c r="B103" s="420">
        <v>5367</v>
      </c>
      <c r="C103" s="420">
        <v>5722.7862599999999</v>
      </c>
      <c r="D103" s="421">
        <v>355.78626000000202</v>
      </c>
      <c r="E103" s="427">
        <v>1.0662914589150001</v>
      </c>
      <c r="F103" s="420">
        <v>5790.49999999999</v>
      </c>
      <c r="G103" s="421">
        <v>965.08333333333201</v>
      </c>
      <c r="H103" s="423">
        <v>477.51224999999999</v>
      </c>
      <c r="I103" s="420">
        <v>972.57650000000001</v>
      </c>
      <c r="J103" s="421">
        <v>7.4931666666670003</v>
      </c>
      <c r="K103" s="428">
        <v>0.16796071151</v>
      </c>
    </row>
    <row r="104" spans="1:11" ht="14.4" customHeight="1" thickBot="1" x14ac:dyDescent="0.35">
      <c r="A104" s="437" t="s">
        <v>339</v>
      </c>
      <c r="B104" s="415">
        <v>5367</v>
      </c>
      <c r="C104" s="415">
        <v>5722.7862599999999</v>
      </c>
      <c r="D104" s="416">
        <v>355.78626000000202</v>
      </c>
      <c r="E104" s="417">
        <v>1.0662914589150001</v>
      </c>
      <c r="F104" s="415">
        <v>5790.49999999999</v>
      </c>
      <c r="G104" s="416">
        <v>965.08333333333201</v>
      </c>
      <c r="H104" s="418">
        <v>477.51224999999999</v>
      </c>
      <c r="I104" s="415">
        <v>972.57650000000001</v>
      </c>
      <c r="J104" s="416">
        <v>7.4931666666670003</v>
      </c>
      <c r="K104" s="419">
        <v>0.16796071151</v>
      </c>
    </row>
    <row r="105" spans="1:11" ht="14.4" customHeight="1" thickBot="1" x14ac:dyDescent="0.35">
      <c r="A105" s="435" t="s">
        <v>340</v>
      </c>
      <c r="B105" s="415">
        <v>429</v>
      </c>
      <c r="C105" s="415">
        <v>460.76916999999997</v>
      </c>
      <c r="D105" s="416">
        <v>31.769169999999001</v>
      </c>
      <c r="E105" s="417">
        <v>1.0740540093240001</v>
      </c>
      <c r="F105" s="415">
        <v>463.240000000002</v>
      </c>
      <c r="G105" s="416">
        <v>77.206666666667005</v>
      </c>
      <c r="H105" s="418">
        <v>38.269440000000003</v>
      </c>
      <c r="I105" s="415">
        <v>77.219700000000003</v>
      </c>
      <c r="J105" s="416">
        <v>1.3033333333E-2</v>
      </c>
      <c r="K105" s="419">
        <v>0.16669480182999999</v>
      </c>
    </row>
    <row r="106" spans="1:11" ht="14.4" customHeight="1" thickBot="1" x14ac:dyDescent="0.35">
      <c r="A106" s="436" t="s">
        <v>341</v>
      </c>
      <c r="B106" s="420">
        <v>429</v>
      </c>
      <c r="C106" s="420">
        <v>460.76916999999997</v>
      </c>
      <c r="D106" s="421">
        <v>31.769169999999001</v>
      </c>
      <c r="E106" s="427">
        <v>1.0740540093240001</v>
      </c>
      <c r="F106" s="420">
        <v>463.240000000002</v>
      </c>
      <c r="G106" s="421">
        <v>77.206666666667005</v>
      </c>
      <c r="H106" s="423">
        <v>38.269440000000003</v>
      </c>
      <c r="I106" s="420">
        <v>77.219700000000003</v>
      </c>
      <c r="J106" s="421">
        <v>1.3033333333E-2</v>
      </c>
      <c r="K106" s="428">
        <v>0.16669480182999999</v>
      </c>
    </row>
    <row r="107" spans="1:11" ht="14.4" customHeight="1" thickBot="1" x14ac:dyDescent="0.35">
      <c r="A107" s="437" t="s">
        <v>342</v>
      </c>
      <c r="B107" s="415">
        <v>429</v>
      </c>
      <c r="C107" s="415">
        <v>460.76916999999997</v>
      </c>
      <c r="D107" s="416">
        <v>31.769169999999001</v>
      </c>
      <c r="E107" s="417">
        <v>1.0740540093240001</v>
      </c>
      <c r="F107" s="415">
        <v>463.240000000002</v>
      </c>
      <c r="G107" s="416">
        <v>77.206666666667005</v>
      </c>
      <c r="H107" s="418">
        <v>38.269440000000003</v>
      </c>
      <c r="I107" s="415">
        <v>77.219700000000003</v>
      </c>
      <c r="J107" s="416">
        <v>1.3033333333E-2</v>
      </c>
      <c r="K107" s="419">
        <v>0.16669480182999999</v>
      </c>
    </row>
    <row r="108" spans="1:11" ht="14.4" customHeight="1" thickBot="1" x14ac:dyDescent="0.35">
      <c r="A108" s="434" t="s">
        <v>343</v>
      </c>
      <c r="B108" s="415">
        <v>0</v>
      </c>
      <c r="C108" s="415">
        <v>111.90958999999999</v>
      </c>
      <c r="D108" s="416">
        <v>111.90958999999999</v>
      </c>
      <c r="E108" s="425" t="s">
        <v>243</v>
      </c>
      <c r="F108" s="415">
        <v>125.556302694542</v>
      </c>
      <c r="G108" s="416">
        <v>20.926050449089999</v>
      </c>
      <c r="H108" s="418">
        <v>0.11899999999999999</v>
      </c>
      <c r="I108" s="415">
        <v>1.5535000000000001</v>
      </c>
      <c r="J108" s="416">
        <v>-19.372550449089999</v>
      </c>
      <c r="K108" s="419">
        <v>1.2372935222E-2</v>
      </c>
    </row>
    <row r="109" spans="1:11" ht="14.4" customHeight="1" thickBot="1" x14ac:dyDescent="0.35">
      <c r="A109" s="435" t="s">
        <v>344</v>
      </c>
      <c r="B109" s="415">
        <v>0</v>
      </c>
      <c r="C109" s="415">
        <v>111.90958999999999</v>
      </c>
      <c r="D109" s="416">
        <v>111.90958999999999</v>
      </c>
      <c r="E109" s="425" t="s">
        <v>243</v>
      </c>
      <c r="F109" s="415">
        <v>125.556302694542</v>
      </c>
      <c r="G109" s="416">
        <v>20.926050449089999</v>
      </c>
      <c r="H109" s="418">
        <v>0.11899999999999999</v>
      </c>
      <c r="I109" s="415">
        <v>1.5535000000000001</v>
      </c>
      <c r="J109" s="416">
        <v>-19.372550449089999</v>
      </c>
      <c r="K109" s="419">
        <v>1.2372935222E-2</v>
      </c>
    </row>
    <row r="110" spans="1:11" ht="14.4" customHeight="1" thickBot="1" x14ac:dyDescent="0.35">
      <c r="A110" s="436" t="s">
        <v>345</v>
      </c>
      <c r="B110" s="420">
        <v>0</v>
      </c>
      <c r="C110" s="420">
        <v>72.247590000000002</v>
      </c>
      <c r="D110" s="421">
        <v>72.247590000000002</v>
      </c>
      <c r="E110" s="422" t="s">
        <v>243</v>
      </c>
      <c r="F110" s="420">
        <v>83.874357749843995</v>
      </c>
      <c r="G110" s="421">
        <v>13.979059624973999</v>
      </c>
      <c r="H110" s="423">
        <v>0.11899999999999999</v>
      </c>
      <c r="I110" s="420">
        <v>1.5535000000000001</v>
      </c>
      <c r="J110" s="421">
        <v>-12.425559624973999</v>
      </c>
      <c r="K110" s="428">
        <v>1.8521751363000001E-2</v>
      </c>
    </row>
    <row r="111" spans="1:11" ht="14.4" customHeight="1" thickBot="1" x14ac:dyDescent="0.35">
      <c r="A111" s="437" t="s">
        <v>346</v>
      </c>
      <c r="B111" s="415">
        <v>0</v>
      </c>
      <c r="C111" s="415">
        <v>1.53759</v>
      </c>
      <c r="D111" s="416">
        <v>1.53759</v>
      </c>
      <c r="E111" s="425" t="s">
        <v>243</v>
      </c>
      <c r="F111" s="415">
        <v>9.3524181974899996</v>
      </c>
      <c r="G111" s="416">
        <v>1.558736366248</v>
      </c>
      <c r="H111" s="418">
        <v>0.11899999999999999</v>
      </c>
      <c r="I111" s="415">
        <v>0.17849999999999999</v>
      </c>
      <c r="J111" s="416">
        <v>-1.3802363662479999</v>
      </c>
      <c r="K111" s="419">
        <v>1.9085972871000001E-2</v>
      </c>
    </row>
    <row r="112" spans="1:11" ht="14.4" customHeight="1" thickBot="1" x14ac:dyDescent="0.35">
      <c r="A112" s="437" t="s">
        <v>347</v>
      </c>
      <c r="B112" s="415">
        <v>0</v>
      </c>
      <c r="C112" s="415">
        <v>11.6</v>
      </c>
      <c r="D112" s="416">
        <v>11.6</v>
      </c>
      <c r="E112" s="425" t="s">
        <v>243</v>
      </c>
      <c r="F112" s="415">
        <v>23.941113097778</v>
      </c>
      <c r="G112" s="416">
        <v>3.990185516296</v>
      </c>
      <c r="H112" s="418">
        <v>0</v>
      </c>
      <c r="I112" s="415">
        <v>0</v>
      </c>
      <c r="J112" s="416">
        <v>-3.990185516296</v>
      </c>
      <c r="K112" s="419">
        <v>0</v>
      </c>
    </row>
    <row r="113" spans="1:11" ht="14.4" customHeight="1" thickBot="1" x14ac:dyDescent="0.35">
      <c r="A113" s="437" t="s">
        <v>348</v>
      </c>
      <c r="B113" s="415">
        <v>0</v>
      </c>
      <c r="C113" s="415">
        <v>59.11</v>
      </c>
      <c r="D113" s="416">
        <v>59.11</v>
      </c>
      <c r="E113" s="425" t="s">
        <v>243</v>
      </c>
      <c r="F113" s="415">
        <v>50.580826454575003</v>
      </c>
      <c r="G113" s="416">
        <v>8.4301377424290003</v>
      </c>
      <c r="H113" s="418">
        <v>0</v>
      </c>
      <c r="I113" s="415">
        <v>1.155</v>
      </c>
      <c r="J113" s="416">
        <v>-7.275137742429</v>
      </c>
      <c r="K113" s="419">
        <v>2.2834739582999999E-2</v>
      </c>
    </row>
    <row r="114" spans="1:11" ht="14.4" customHeight="1" thickBot="1" x14ac:dyDescent="0.35">
      <c r="A114" s="437" t="s">
        <v>349</v>
      </c>
      <c r="B114" s="415">
        <v>0</v>
      </c>
      <c r="C114" s="415">
        <v>0</v>
      </c>
      <c r="D114" s="416">
        <v>0</v>
      </c>
      <c r="E114" s="425" t="s">
        <v>243</v>
      </c>
      <c r="F114" s="415">
        <v>0</v>
      </c>
      <c r="G114" s="416">
        <v>0</v>
      </c>
      <c r="H114" s="418">
        <v>0</v>
      </c>
      <c r="I114" s="415">
        <v>0.22</v>
      </c>
      <c r="J114" s="416">
        <v>0.22</v>
      </c>
      <c r="K114" s="426" t="s">
        <v>276</v>
      </c>
    </row>
    <row r="115" spans="1:11" ht="14.4" customHeight="1" thickBot="1" x14ac:dyDescent="0.35">
      <c r="A115" s="439" t="s">
        <v>350</v>
      </c>
      <c r="B115" s="415">
        <v>0</v>
      </c>
      <c r="C115" s="415">
        <v>39.661999999999999</v>
      </c>
      <c r="D115" s="416">
        <v>39.661999999999999</v>
      </c>
      <c r="E115" s="425" t="s">
        <v>276</v>
      </c>
      <c r="F115" s="415">
        <v>41.681944944697001</v>
      </c>
      <c r="G115" s="416">
        <v>6.9469908241159999</v>
      </c>
      <c r="H115" s="418">
        <v>0</v>
      </c>
      <c r="I115" s="415">
        <v>0</v>
      </c>
      <c r="J115" s="416">
        <v>-6.9469908241159999</v>
      </c>
      <c r="K115" s="419">
        <v>0</v>
      </c>
    </row>
    <row r="116" spans="1:11" ht="14.4" customHeight="1" thickBot="1" x14ac:dyDescent="0.35">
      <c r="A116" s="437" t="s">
        <v>351</v>
      </c>
      <c r="B116" s="415">
        <v>0</v>
      </c>
      <c r="C116" s="415">
        <v>39.661999999999999</v>
      </c>
      <c r="D116" s="416">
        <v>39.661999999999999</v>
      </c>
      <c r="E116" s="425" t="s">
        <v>276</v>
      </c>
      <c r="F116" s="415">
        <v>41.681944944697001</v>
      </c>
      <c r="G116" s="416">
        <v>6.9469908241159999</v>
      </c>
      <c r="H116" s="418">
        <v>0</v>
      </c>
      <c r="I116" s="415">
        <v>0</v>
      </c>
      <c r="J116" s="416">
        <v>-6.9469908241159999</v>
      </c>
      <c r="K116" s="419">
        <v>0</v>
      </c>
    </row>
    <row r="117" spans="1:11" ht="14.4" customHeight="1" thickBot="1" x14ac:dyDescent="0.35">
      <c r="A117" s="434" t="s">
        <v>352</v>
      </c>
      <c r="B117" s="415">
        <v>1396</v>
      </c>
      <c r="C117" s="415">
        <v>1541.9235000000001</v>
      </c>
      <c r="D117" s="416">
        <v>145.923499999998</v>
      </c>
      <c r="E117" s="417">
        <v>1.104529727793</v>
      </c>
      <c r="F117" s="415">
        <v>1481.5828331402199</v>
      </c>
      <c r="G117" s="416">
        <v>246.93047219003699</v>
      </c>
      <c r="H117" s="418">
        <v>160.97190000000001</v>
      </c>
      <c r="I117" s="415">
        <v>272.28190000000001</v>
      </c>
      <c r="J117" s="416">
        <v>25.351427809962001</v>
      </c>
      <c r="K117" s="419">
        <v>0.183777709831</v>
      </c>
    </row>
    <row r="118" spans="1:11" ht="14.4" customHeight="1" thickBot="1" x14ac:dyDescent="0.35">
      <c r="A118" s="435" t="s">
        <v>353</v>
      </c>
      <c r="B118" s="415">
        <v>1393</v>
      </c>
      <c r="C118" s="415">
        <v>1501.104</v>
      </c>
      <c r="D118" s="416">
        <v>108.103999999998</v>
      </c>
      <c r="E118" s="417">
        <v>1.0776051686999999</v>
      </c>
      <c r="F118" s="415">
        <v>1481.5828331402199</v>
      </c>
      <c r="G118" s="416">
        <v>246.93047219003699</v>
      </c>
      <c r="H118" s="418">
        <v>111.31</v>
      </c>
      <c r="I118" s="415">
        <v>222.62</v>
      </c>
      <c r="J118" s="416">
        <v>-24.310472190037</v>
      </c>
      <c r="K118" s="419">
        <v>0.150258220479</v>
      </c>
    </row>
    <row r="119" spans="1:11" ht="14.4" customHeight="1" thickBot="1" x14ac:dyDescent="0.35">
      <c r="A119" s="436" t="s">
        <v>354</v>
      </c>
      <c r="B119" s="420">
        <v>1393</v>
      </c>
      <c r="C119" s="420">
        <v>1393.646</v>
      </c>
      <c r="D119" s="421">
        <v>0.64599999999699997</v>
      </c>
      <c r="E119" s="427">
        <v>1.0004637473069999</v>
      </c>
      <c r="F119" s="420">
        <v>1481.5828331402199</v>
      </c>
      <c r="G119" s="421">
        <v>246.93047219003699</v>
      </c>
      <c r="H119" s="423">
        <v>111.31</v>
      </c>
      <c r="I119" s="420">
        <v>222.62</v>
      </c>
      <c r="J119" s="421">
        <v>-24.310472190037</v>
      </c>
      <c r="K119" s="428">
        <v>0.150258220479</v>
      </c>
    </row>
    <row r="120" spans="1:11" ht="14.4" customHeight="1" thickBot="1" x14ac:dyDescent="0.35">
      <c r="A120" s="437" t="s">
        <v>355</v>
      </c>
      <c r="B120" s="415">
        <v>785.00000000000102</v>
      </c>
      <c r="C120" s="415">
        <v>785.80399999999997</v>
      </c>
      <c r="D120" s="416">
        <v>0.80399999999899996</v>
      </c>
      <c r="E120" s="417">
        <v>1.001024203821</v>
      </c>
      <c r="F120" s="415">
        <v>835.11791995016199</v>
      </c>
      <c r="G120" s="416">
        <v>139.18631999169401</v>
      </c>
      <c r="H120" s="418">
        <v>65.587999999999994</v>
      </c>
      <c r="I120" s="415">
        <v>131.17599999999999</v>
      </c>
      <c r="J120" s="416">
        <v>-8.0103199916930006</v>
      </c>
      <c r="K120" s="419">
        <v>0.15707482364600001</v>
      </c>
    </row>
    <row r="121" spans="1:11" ht="14.4" customHeight="1" thickBot="1" x14ac:dyDescent="0.35">
      <c r="A121" s="437" t="s">
        <v>356</v>
      </c>
      <c r="B121" s="415">
        <v>164</v>
      </c>
      <c r="C121" s="415">
        <v>163.32400000000001</v>
      </c>
      <c r="D121" s="416">
        <v>-0.67600000000000005</v>
      </c>
      <c r="E121" s="417">
        <v>0.99587804877999997</v>
      </c>
      <c r="F121" s="415">
        <v>174.05073924795201</v>
      </c>
      <c r="G121" s="416">
        <v>29.008456541325</v>
      </c>
      <c r="H121" s="418">
        <v>8.9239999999999995</v>
      </c>
      <c r="I121" s="415">
        <v>17.847999999999999</v>
      </c>
      <c r="J121" s="416">
        <v>-11.160456541325001</v>
      </c>
      <c r="K121" s="419">
        <v>0.102544810077</v>
      </c>
    </row>
    <row r="122" spans="1:11" ht="14.4" customHeight="1" thickBot="1" x14ac:dyDescent="0.35">
      <c r="A122" s="437" t="s">
        <v>357</v>
      </c>
      <c r="B122" s="415">
        <v>117</v>
      </c>
      <c r="C122" s="415">
        <v>117.372</v>
      </c>
      <c r="D122" s="416">
        <v>0.37199999999900002</v>
      </c>
      <c r="E122" s="417">
        <v>1.0031794871790001</v>
      </c>
      <c r="F122" s="415">
        <v>124.737797848306</v>
      </c>
      <c r="G122" s="416">
        <v>20.789632974717001</v>
      </c>
      <c r="H122" s="418">
        <v>9.7810000000000006</v>
      </c>
      <c r="I122" s="415">
        <v>19.562000000000001</v>
      </c>
      <c r="J122" s="416">
        <v>-1.2276329747170001</v>
      </c>
      <c r="K122" s="419">
        <v>0.156824958732</v>
      </c>
    </row>
    <row r="123" spans="1:11" ht="14.4" customHeight="1" thickBot="1" x14ac:dyDescent="0.35">
      <c r="A123" s="437" t="s">
        <v>358</v>
      </c>
      <c r="B123" s="415">
        <v>256</v>
      </c>
      <c r="C123" s="415">
        <v>255.93199999999999</v>
      </c>
      <c r="D123" s="416">
        <v>-6.8000000000000005E-2</v>
      </c>
      <c r="E123" s="417">
        <v>0.99973437499899998</v>
      </c>
      <c r="F123" s="415">
        <v>271.993269935868</v>
      </c>
      <c r="G123" s="416">
        <v>45.332211655978</v>
      </c>
      <c r="H123" s="418">
        <v>21.34</v>
      </c>
      <c r="I123" s="415">
        <v>42.68</v>
      </c>
      <c r="J123" s="416">
        <v>-2.6522116559779998</v>
      </c>
      <c r="K123" s="419">
        <v>0.15691564725099999</v>
      </c>
    </row>
    <row r="124" spans="1:11" ht="14.4" customHeight="1" thickBot="1" x14ac:dyDescent="0.35">
      <c r="A124" s="437" t="s">
        <v>359</v>
      </c>
      <c r="B124" s="415">
        <v>71</v>
      </c>
      <c r="C124" s="415">
        <v>71.213999999999999</v>
      </c>
      <c r="D124" s="416">
        <v>0.21399999999899999</v>
      </c>
      <c r="E124" s="417">
        <v>1.0030140845069999</v>
      </c>
      <c r="F124" s="415">
        <v>75.683106157935995</v>
      </c>
      <c r="G124" s="416">
        <v>12.613851026321999</v>
      </c>
      <c r="H124" s="418">
        <v>5.6769999999999996</v>
      </c>
      <c r="I124" s="415">
        <v>11.353999999999999</v>
      </c>
      <c r="J124" s="416">
        <v>-1.259851026322</v>
      </c>
      <c r="K124" s="419">
        <v>0.150020269732</v>
      </c>
    </row>
    <row r="125" spans="1:11" ht="14.4" customHeight="1" thickBot="1" x14ac:dyDescent="0.35">
      <c r="A125" s="436" t="s">
        <v>360</v>
      </c>
      <c r="B125" s="420">
        <v>0</v>
      </c>
      <c r="C125" s="420">
        <v>107.458</v>
      </c>
      <c r="D125" s="421">
        <v>107.458</v>
      </c>
      <c r="E125" s="422" t="s">
        <v>243</v>
      </c>
      <c r="F125" s="420">
        <v>0</v>
      </c>
      <c r="G125" s="421">
        <v>0</v>
      </c>
      <c r="H125" s="423">
        <v>0</v>
      </c>
      <c r="I125" s="420">
        <v>0</v>
      </c>
      <c r="J125" s="421">
        <v>0</v>
      </c>
      <c r="K125" s="428">
        <v>0</v>
      </c>
    </row>
    <row r="126" spans="1:11" ht="14.4" customHeight="1" thickBot="1" x14ac:dyDescent="0.35">
      <c r="A126" s="437" t="s">
        <v>361</v>
      </c>
      <c r="B126" s="415">
        <v>0</v>
      </c>
      <c r="C126" s="415">
        <v>107.458</v>
      </c>
      <c r="D126" s="416">
        <v>107.458</v>
      </c>
      <c r="E126" s="425" t="s">
        <v>243</v>
      </c>
      <c r="F126" s="415">
        <v>0</v>
      </c>
      <c r="G126" s="416">
        <v>0</v>
      </c>
      <c r="H126" s="418">
        <v>0</v>
      </c>
      <c r="I126" s="415">
        <v>0</v>
      </c>
      <c r="J126" s="416">
        <v>0</v>
      </c>
      <c r="K126" s="419">
        <v>0</v>
      </c>
    </row>
    <row r="127" spans="1:11" ht="14.4" customHeight="1" thickBot="1" x14ac:dyDescent="0.35">
      <c r="A127" s="435" t="s">
        <v>362</v>
      </c>
      <c r="B127" s="415">
        <v>3</v>
      </c>
      <c r="C127" s="415">
        <v>40.819499999999998</v>
      </c>
      <c r="D127" s="416">
        <v>37.819499999999998</v>
      </c>
      <c r="E127" s="417">
        <v>13.6065</v>
      </c>
      <c r="F127" s="415">
        <v>0</v>
      </c>
      <c r="G127" s="416">
        <v>0</v>
      </c>
      <c r="H127" s="418">
        <v>49.661900000000003</v>
      </c>
      <c r="I127" s="415">
        <v>49.661900000000003</v>
      </c>
      <c r="J127" s="416">
        <v>49.661900000000003</v>
      </c>
      <c r="K127" s="426" t="s">
        <v>243</v>
      </c>
    </row>
    <row r="128" spans="1:11" ht="14.4" customHeight="1" thickBot="1" x14ac:dyDescent="0.35">
      <c r="A128" s="436" t="s">
        <v>363</v>
      </c>
      <c r="B128" s="420">
        <v>3</v>
      </c>
      <c r="C128" s="420">
        <v>3.9</v>
      </c>
      <c r="D128" s="421">
        <v>0.9</v>
      </c>
      <c r="E128" s="427">
        <v>1.3</v>
      </c>
      <c r="F128" s="420">
        <v>0</v>
      </c>
      <c r="G128" s="421">
        <v>0</v>
      </c>
      <c r="H128" s="423">
        <v>41.252400000000002</v>
      </c>
      <c r="I128" s="420">
        <v>41.252400000000002</v>
      </c>
      <c r="J128" s="421">
        <v>41.252400000000002</v>
      </c>
      <c r="K128" s="424" t="s">
        <v>243</v>
      </c>
    </row>
    <row r="129" spans="1:11" ht="14.4" customHeight="1" thickBot="1" x14ac:dyDescent="0.35">
      <c r="A129" s="437" t="s">
        <v>364</v>
      </c>
      <c r="B129" s="415">
        <v>3</v>
      </c>
      <c r="C129" s="415">
        <v>3.9</v>
      </c>
      <c r="D129" s="416">
        <v>0.9</v>
      </c>
      <c r="E129" s="417">
        <v>1.3</v>
      </c>
      <c r="F129" s="415">
        <v>0</v>
      </c>
      <c r="G129" s="416">
        <v>0</v>
      </c>
      <c r="H129" s="418">
        <v>41.252400000000002</v>
      </c>
      <c r="I129" s="415">
        <v>41.252400000000002</v>
      </c>
      <c r="J129" s="416">
        <v>41.252400000000002</v>
      </c>
      <c r="K129" s="426" t="s">
        <v>243</v>
      </c>
    </row>
    <row r="130" spans="1:11" ht="14.4" customHeight="1" thickBot="1" x14ac:dyDescent="0.35">
      <c r="A130" s="436" t="s">
        <v>365</v>
      </c>
      <c r="B130" s="420">
        <v>0</v>
      </c>
      <c r="C130" s="420">
        <v>8.2544999999990001</v>
      </c>
      <c r="D130" s="421">
        <v>8.2544999999990001</v>
      </c>
      <c r="E130" s="422" t="s">
        <v>243</v>
      </c>
      <c r="F130" s="420">
        <v>0</v>
      </c>
      <c r="G130" s="421">
        <v>0</v>
      </c>
      <c r="H130" s="423">
        <v>8.4094999999999995</v>
      </c>
      <c r="I130" s="420">
        <v>8.4094999999999995</v>
      </c>
      <c r="J130" s="421">
        <v>8.4094999999999995</v>
      </c>
      <c r="K130" s="424" t="s">
        <v>243</v>
      </c>
    </row>
    <row r="131" spans="1:11" ht="14.4" customHeight="1" thickBot="1" x14ac:dyDescent="0.35">
      <c r="A131" s="437" t="s">
        <v>366</v>
      </c>
      <c r="B131" s="415">
        <v>0</v>
      </c>
      <c r="C131" s="415">
        <v>3.206499999999</v>
      </c>
      <c r="D131" s="416">
        <v>3.206499999999</v>
      </c>
      <c r="E131" s="425" t="s">
        <v>243</v>
      </c>
      <c r="F131" s="415">
        <v>0</v>
      </c>
      <c r="G131" s="416">
        <v>0</v>
      </c>
      <c r="H131" s="418">
        <v>8.4094999999999995</v>
      </c>
      <c r="I131" s="415">
        <v>8.4094999999999995</v>
      </c>
      <c r="J131" s="416">
        <v>8.4094999999999995</v>
      </c>
      <c r="K131" s="426" t="s">
        <v>243</v>
      </c>
    </row>
    <row r="132" spans="1:11" ht="14.4" customHeight="1" thickBot="1" x14ac:dyDescent="0.35">
      <c r="A132" s="437" t="s">
        <v>367</v>
      </c>
      <c r="B132" s="415">
        <v>0</v>
      </c>
      <c r="C132" s="415">
        <v>5.048</v>
      </c>
      <c r="D132" s="416">
        <v>5.048</v>
      </c>
      <c r="E132" s="425" t="s">
        <v>276</v>
      </c>
      <c r="F132" s="415">
        <v>0</v>
      </c>
      <c r="G132" s="416">
        <v>0</v>
      </c>
      <c r="H132" s="418">
        <v>0</v>
      </c>
      <c r="I132" s="415">
        <v>0</v>
      </c>
      <c r="J132" s="416">
        <v>0</v>
      </c>
      <c r="K132" s="426" t="s">
        <v>243</v>
      </c>
    </row>
    <row r="133" spans="1:11" ht="14.4" customHeight="1" thickBot="1" x14ac:dyDescent="0.35">
      <c r="A133" s="436" t="s">
        <v>368</v>
      </c>
      <c r="B133" s="420">
        <v>0</v>
      </c>
      <c r="C133" s="420">
        <v>28.664999999999999</v>
      </c>
      <c r="D133" s="421">
        <v>28.664999999999999</v>
      </c>
      <c r="E133" s="422" t="s">
        <v>243</v>
      </c>
      <c r="F133" s="420">
        <v>0</v>
      </c>
      <c r="G133" s="421">
        <v>0</v>
      </c>
      <c r="H133" s="423">
        <v>0</v>
      </c>
      <c r="I133" s="420">
        <v>0</v>
      </c>
      <c r="J133" s="421">
        <v>0</v>
      </c>
      <c r="K133" s="424" t="s">
        <v>243</v>
      </c>
    </row>
    <row r="134" spans="1:11" ht="14.4" customHeight="1" thickBot="1" x14ac:dyDescent="0.35">
      <c r="A134" s="437" t="s">
        <v>369</v>
      </c>
      <c r="B134" s="415">
        <v>0</v>
      </c>
      <c r="C134" s="415">
        <v>28.664999999999999</v>
      </c>
      <c r="D134" s="416">
        <v>28.664999999999999</v>
      </c>
      <c r="E134" s="425" t="s">
        <v>243</v>
      </c>
      <c r="F134" s="415">
        <v>0</v>
      </c>
      <c r="G134" s="416">
        <v>0</v>
      </c>
      <c r="H134" s="418">
        <v>0</v>
      </c>
      <c r="I134" s="415">
        <v>0</v>
      </c>
      <c r="J134" s="416">
        <v>0</v>
      </c>
      <c r="K134" s="426" t="s">
        <v>243</v>
      </c>
    </row>
    <row r="135" spans="1:11" ht="14.4" customHeight="1" thickBot="1" x14ac:dyDescent="0.35">
      <c r="A135" s="433" t="s">
        <v>370</v>
      </c>
      <c r="B135" s="415">
        <v>29894.615513974499</v>
      </c>
      <c r="C135" s="415">
        <v>30099.122790000001</v>
      </c>
      <c r="D135" s="416">
        <v>204.50727602554599</v>
      </c>
      <c r="E135" s="417">
        <v>1.0068409401659999</v>
      </c>
      <c r="F135" s="415">
        <v>30849.390753731099</v>
      </c>
      <c r="G135" s="416">
        <v>5141.5651256218498</v>
      </c>
      <c r="H135" s="418">
        <v>2725.0553100000002</v>
      </c>
      <c r="I135" s="415">
        <v>4715.3199100000002</v>
      </c>
      <c r="J135" s="416">
        <v>-426.24521562184901</v>
      </c>
      <c r="K135" s="419">
        <v>0.152849693131</v>
      </c>
    </row>
    <row r="136" spans="1:11" ht="14.4" customHeight="1" thickBot="1" x14ac:dyDescent="0.35">
      <c r="A136" s="434" t="s">
        <v>371</v>
      </c>
      <c r="B136" s="415">
        <v>29621.5</v>
      </c>
      <c r="C136" s="415">
        <v>29654.453119999998</v>
      </c>
      <c r="D136" s="416">
        <v>32.953120000001</v>
      </c>
      <c r="E136" s="417">
        <v>1.001112473034</v>
      </c>
      <c r="F136" s="415">
        <v>30494.1245554208</v>
      </c>
      <c r="G136" s="416">
        <v>5082.35409257013</v>
      </c>
      <c r="H136" s="418">
        <v>2625.54313</v>
      </c>
      <c r="I136" s="415">
        <v>4544.2241299999996</v>
      </c>
      <c r="J136" s="416">
        <v>-538.12996257013003</v>
      </c>
      <c r="K136" s="419">
        <v>0.14901966186099999</v>
      </c>
    </row>
    <row r="137" spans="1:11" ht="14.4" customHeight="1" thickBot="1" x14ac:dyDescent="0.35">
      <c r="A137" s="435" t="s">
        <v>372</v>
      </c>
      <c r="B137" s="415">
        <v>29621.5</v>
      </c>
      <c r="C137" s="415">
        <v>29654.453119999998</v>
      </c>
      <c r="D137" s="416">
        <v>32.953120000001</v>
      </c>
      <c r="E137" s="417">
        <v>1.001112473034</v>
      </c>
      <c r="F137" s="415">
        <v>30494.1245554208</v>
      </c>
      <c r="G137" s="416">
        <v>5082.35409257013</v>
      </c>
      <c r="H137" s="418">
        <v>2625.54313</v>
      </c>
      <c r="I137" s="415">
        <v>4544.2241299999996</v>
      </c>
      <c r="J137" s="416">
        <v>-538.12996257013003</v>
      </c>
      <c r="K137" s="419">
        <v>0.14901966186099999</v>
      </c>
    </row>
    <row r="138" spans="1:11" ht="14.4" customHeight="1" thickBot="1" x14ac:dyDescent="0.35">
      <c r="A138" s="436" t="s">
        <v>373</v>
      </c>
      <c r="B138" s="420">
        <v>9269.5</v>
      </c>
      <c r="C138" s="420">
        <v>10271.568719999999</v>
      </c>
      <c r="D138" s="421">
        <v>1002.06872</v>
      </c>
      <c r="E138" s="427">
        <v>1.108103858892</v>
      </c>
      <c r="F138" s="420">
        <v>11015.8325546249</v>
      </c>
      <c r="G138" s="421">
        <v>1835.9720924374899</v>
      </c>
      <c r="H138" s="423">
        <v>893.58412999999996</v>
      </c>
      <c r="I138" s="420">
        <v>1483.27413</v>
      </c>
      <c r="J138" s="421">
        <v>-352.69796243748902</v>
      </c>
      <c r="K138" s="428">
        <v>0.13464929887400001</v>
      </c>
    </row>
    <row r="139" spans="1:11" ht="14.4" customHeight="1" thickBot="1" x14ac:dyDescent="0.35">
      <c r="A139" s="437" t="s">
        <v>374</v>
      </c>
      <c r="B139" s="415">
        <v>30</v>
      </c>
      <c r="C139" s="415">
        <v>51.522559999999999</v>
      </c>
      <c r="D139" s="416">
        <v>21.522559999999999</v>
      </c>
      <c r="E139" s="417">
        <v>1.7174186666660001</v>
      </c>
      <c r="F139" s="415">
        <v>52.252497851035997</v>
      </c>
      <c r="G139" s="416">
        <v>8.7087496418390007</v>
      </c>
      <c r="H139" s="418">
        <v>7.4249999999999998</v>
      </c>
      <c r="I139" s="415">
        <v>10.175000000000001</v>
      </c>
      <c r="J139" s="416">
        <v>1.4662503581599999</v>
      </c>
      <c r="K139" s="419">
        <v>0.19472753300699999</v>
      </c>
    </row>
    <row r="140" spans="1:11" ht="14.4" customHeight="1" thickBot="1" x14ac:dyDescent="0.35">
      <c r="A140" s="437" t="s">
        <v>375</v>
      </c>
      <c r="B140" s="415">
        <v>40</v>
      </c>
      <c r="C140" s="415">
        <v>29.285</v>
      </c>
      <c r="D140" s="416">
        <v>-10.715</v>
      </c>
      <c r="E140" s="417">
        <v>0.73212500000000003</v>
      </c>
      <c r="F140" s="415">
        <v>34.197295984941</v>
      </c>
      <c r="G140" s="416">
        <v>5.6995493308230003</v>
      </c>
      <c r="H140" s="418">
        <v>8.17</v>
      </c>
      <c r="I140" s="415">
        <v>9.07</v>
      </c>
      <c r="J140" s="416">
        <v>3.3704506691759999</v>
      </c>
      <c r="K140" s="419">
        <v>0.26522564836599999</v>
      </c>
    </row>
    <row r="141" spans="1:11" ht="14.4" customHeight="1" thickBot="1" x14ac:dyDescent="0.35">
      <c r="A141" s="437" t="s">
        <v>376</v>
      </c>
      <c r="B141" s="415">
        <v>9199.5</v>
      </c>
      <c r="C141" s="415">
        <v>10190.76116</v>
      </c>
      <c r="D141" s="416">
        <v>991.26116000000002</v>
      </c>
      <c r="E141" s="417">
        <v>1.107751634327</v>
      </c>
      <c r="F141" s="415">
        <v>10929.382760789</v>
      </c>
      <c r="G141" s="416">
        <v>1821.56379346483</v>
      </c>
      <c r="H141" s="418">
        <v>877.98913000000005</v>
      </c>
      <c r="I141" s="415">
        <v>1464.0291299999999</v>
      </c>
      <c r="J141" s="416">
        <v>-357.53466346482702</v>
      </c>
      <c r="K141" s="419">
        <v>0.13395350515599999</v>
      </c>
    </row>
    <row r="142" spans="1:11" ht="14.4" customHeight="1" thickBot="1" x14ac:dyDescent="0.35">
      <c r="A142" s="436" t="s">
        <v>377</v>
      </c>
      <c r="B142" s="420">
        <v>5894</v>
      </c>
      <c r="C142" s="420">
        <v>5777.16</v>
      </c>
      <c r="D142" s="421">
        <v>-116.839999999997</v>
      </c>
      <c r="E142" s="427">
        <v>0.98017645062699998</v>
      </c>
      <c r="F142" s="420">
        <v>5874.7505643078202</v>
      </c>
      <c r="G142" s="421">
        <v>979.12509405130299</v>
      </c>
      <c r="H142" s="423">
        <v>507.096</v>
      </c>
      <c r="I142" s="420">
        <v>874.173</v>
      </c>
      <c r="J142" s="421">
        <v>-104.95209405130301</v>
      </c>
      <c r="K142" s="428">
        <v>0.14880172194999999</v>
      </c>
    </row>
    <row r="143" spans="1:11" ht="14.4" customHeight="1" thickBot="1" x14ac:dyDescent="0.35">
      <c r="A143" s="437" t="s">
        <v>378</v>
      </c>
      <c r="B143" s="415">
        <v>5887</v>
      </c>
      <c r="C143" s="415">
        <v>5774.2049999999999</v>
      </c>
      <c r="D143" s="416">
        <v>-112.794999999997</v>
      </c>
      <c r="E143" s="417">
        <v>0.98083998641000003</v>
      </c>
      <c r="F143" s="415">
        <v>5872</v>
      </c>
      <c r="G143" s="416">
        <v>978.66666666666697</v>
      </c>
      <c r="H143" s="418">
        <v>506.625</v>
      </c>
      <c r="I143" s="415">
        <v>872.86699999999996</v>
      </c>
      <c r="J143" s="416">
        <v>-105.79966666666699</v>
      </c>
      <c r="K143" s="419">
        <v>0.148649012261</v>
      </c>
    </row>
    <row r="144" spans="1:11" ht="14.4" customHeight="1" thickBot="1" x14ac:dyDescent="0.35">
      <c r="A144" s="437" t="s">
        <v>379</v>
      </c>
      <c r="B144" s="415">
        <v>7</v>
      </c>
      <c r="C144" s="415">
        <v>2.9550000000000001</v>
      </c>
      <c r="D144" s="416">
        <v>-4.0449999999999999</v>
      </c>
      <c r="E144" s="417">
        <v>0.42214285714200001</v>
      </c>
      <c r="F144" s="415">
        <v>2.750564307821</v>
      </c>
      <c r="G144" s="416">
        <v>0.45842738463600002</v>
      </c>
      <c r="H144" s="418">
        <v>0.47099999999999997</v>
      </c>
      <c r="I144" s="415">
        <v>1.306</v>
      </c>
      <c r="J144" s="416">
        <v>0.84757261536299999</v>
      </c>
      <c r="K144" s="419">
        <v>0.47481165820600002</v>
      </c>
    </row>
    <row r="145" spans="1:11" ht="14.4" customHeight="1" thickBot="1" x14ac:dyDescent="0.35">
      <c r="A145" s="436" t="s">
        <v>380</v>
      </c>
      <c r="B145" s="420">
        <v>14458</v>
      </c>
      <c r="C145" s="420">
        <v>13607.64423</v>
      </c>
      <c r="D145" s="421">
        <v>-850.35577000000399</v>
      </c>
      <c r="E145" s="427">
        <v>0.94118441209000003</v>
      </c>
      <c r="F145" s="420">
        <v>13603.541436488</v>
      </c>
      <c r="G145" s="421">
        <v>2267.2569060813398</v>
      </c>
      <c r="H145" s="423">
        <v>1224.8630000000001</v>
      </c>
      <c r="I145" s="420">
        <v>2186.777</v>
      </c>
      <c r="J145" s="421">
        <v>-80.479906081338001</v>
      </c>
      <c r="K145" s="428">
        <v>0.16075056706400001</v>
      </c>
    </row>
    <row r="146" spans="1:11" ht="14.4" customHeight="1" thickBot="1" x14ac:dyDescent="0.35">
      <c r="A146" s="437" t="s">
        <v>381</v>
      </c>
      <c r="B146" s="415">
        <v>14458</v>
      </c>
      <c r="C146" s="415">
        <v>13607.64423</v>
      </c>
      <c r="D146" s="416">
        <v>-850.35577000000399</v>
      </c>
      <c r="E146" s="417">
        <v>0.94118441209000003</v>
      </c>
      <c r="F146" s="415">
        <v>13603.541436488</v>
      </c>
      <c r="G146" s="416">
        <v>2267.2569060813398</v>
      </c>
      <c r="H146" s="418">
        <v>1224.8630000000001</v>
      </c>
      <c r="I146" s="415">
        <v>2186.777</v>
      </c>
      <c r="J146" s="416">
        <v>-80.479906081338001</v>
      </c>
      <c r="K146" s="419">
        <v>0.16075056706400001</v>
      </c>
    </row>
    <row r="147" spans="1:11" ht="14.4" customHeight="1" thickBot="1" x14ac:dyDescent="0.35">
      <c r="A147" s="436" t="s">
        <v>382</v>
      </c>
      <c r="B147" s="420">
        <v>0</v>
      </c>
      <c r="C147" s="420">
        <v>-1.9198299999999999</v>
      </c>
      <c r="D147" s="421">
        <v>-1.9198299999999999</v>
      </c>
      <c r="E147" s="422" t="s">
        <v>243</v>
      </c>
      <c r="F147" s="420">
        <v>0</v>
      </c>
      <c r="G147" s="421">
        <v>0</v>
      </c>
      <c r="H147" s="423">
        <v>0</v>
      </c>
      <c r="I147" s="420">
        <v>0</v>
      </c>
      <c r="J147" s="421">
        <v>0</v>
      </c>
      <c r="K147" s="424" t="s">
        <v>243</v>
      </c>
    </row>
    <row r="148" spans="1:11" ht="14.4" customHeight="1" thickBot="1" x14ac:dyDescent="0.35">
      <c r="A148" s="437" t="s">
        <v>383</v>
      </c>
      <c r="B148" s="415">
        <v>0</v>
      </c>
      <c r="C148" s="415">
        <v>-1.9198299999999999</v>
      </c>
      <c r="D148" s="416">
        <v>-1.9198299999999999</v>
      </c>
      <c r="E148" s="425" t="s">
        <v>243</v>
      </c>
      <c r="F148" s="415">
        <v>0</v>
      </c>
      <c r="G148" s="416">
        <v>0</v>
      </c>
      <c r="H148" s="418">
        <v>0</v>
      </c>
      <c r="I148" s="415">
        <v>0</v>
      </c>
      <c r="J148" s="416">
        <v>0</v>
      </c>
      <c r="K148" s="426" t="s">
        <v>243</v>
      </c>
    </row>
    <row r="149" spans="1:11" ht="14.4" customHeight="1" thickBot="1" x14ac:dyDescent="0.35">
      <c r="A149" s="434" t="s">
        <v>384</v>
      </c>
      <c r="B149" s="415">
        <v>273.11551397445299</v>
      </c>
      <c r="C149" s="415">
        <v>444.58051999999998</v>
      </c>
      <c r="D149" s="416">
        <v>171.46500602554701</v>
      </c>
      <c r="E149" s="417">
        <v>1.6278113005379999</v>
      </c>
      <c r="F149" s="415">
        <v>355.26619831030899</v>
      </c>
      <c r="G149" s="416">
        <v>59.211033051717997</v>
      </c>
      <c r="H149" s="418">
        <v>99.512180000000001</v>
      </c>
      <c r="I149" s="415">
        <v>171.09577999999999</v>
      </c>
      <c r="J149" s="416">
        <v>111.884746948282</v>
      </c>
      <c r="K149" s="419">
        <v>0.48159881467400001</v>
      </c>
    </row>
    <row r="150" spans="1:11" ht="14.4" customHeight="1" thickBot="1" x14ac:dyDescent="0.35">
      <c r="A150" s="435" t="s">
        <v>385</v>
      </c>
      <c r="B150" s="415">
        <v>0</v>
      </c>
      <c r="C150" s="415">
        <v>81.25</v>
      </c>
      <c r="D150" s="416">
        <v>81.25</v>
      </c>
      <c r="E150" s="425" t="s">
        <v>276</v>
      </c>
      <c r="F150" s="415">
        <v>0</v>
      </c>
      <c r="G150" s="416">
        <v>0</v>
      </c>
      <c r="H150" s="418">
        <v>25</v>
      </c>
      <c r="I150" s="415">
        <v>75</v>
      </c>
      <c r="J150" s="416">
        <v>75</v>
      </c>
      <c r="K150" s="426" t="s">
        <v>243</v>
      </c>
    </row>
    <row r="151" spans="1:11" ht="14.4" customHeight="1" thickBot="1" x14ac:dyDescent="0.35">
      <c r="A151" s="436" t="s">
        <v>386</v>
      </c>
      <c r="B151" s="420">
        <v>0</v>
      </c>
      <c r="C151" s="420">
        <v>81.25</v>
      </c>
      <c r="D151" s="421">
        <v>81.25</v>
      </c>
      <c r="E151" s="422" t="s">
        <v>276</v>
      </c>
      <c r="F151" s="420">
        <v>0</v>
      </c>
      <c r="G151" s="421">
        <v>0</v>
      </c>
      <c r="H151" s="423">
        <v>25</v>
      </c>
      <c r="I151" s="420">
        <v>75</v>
      </c>
      <c r="J151" s="421">
        <v>75</v>
      </c>
      <c r="K151" s="424" t="s">
        <v>243</v>
      </c>
    </row>
    <row r="152" spans="1:11" ht="14.4" customHeight="1" thickBot="1" x14ac:dyDescent="0.35">
      <c r="A152" s="437" t="s">
        <v>387</v>
      </c>
      <c r="B152" s="415">
        <v>0</v>
      </c>
      <c r="C152" s="415">
        <v>81.25</v>
      </c>
      <c r="D152" s="416">
        <v>81.25</v>
      </c>
      <c r="E152" s="425" t="s">
        <v>276</v>
      </c>
      <c r="F152" s="415">
        <v>0</v>
      </c>
      <c r="G152" s="416">
        <v>0</v>
      </c>
      <c r="H152" s="418">
        <v>25</v>
      </c>
      <c r="I152" s="415">
        <v>75</v>
      </c>
      <c r="J152" s="416">
        <v>75</v>
      </c>
      <c r="K152" s="426" t="s">
        <v>243</v>
      </c>
    </row>
    <row r="153" spans="1:11" ht="14.4" customHeight="1" thickBot="1" x14ac:dyDescent="0.35">
      <c r="A153" s="440" t="s">
        <v>388</v>
      </c>
      <c r="B153" s="420">
        <v>273.11551397445299</v>
      </c>
      <c r="C153" s="420">
        <v>363.33051999999998</v>
      </c>
      <c r="D153" s="421">
        <v>90.215006025546003</v>
      </c>
      <c r="E153" s="427">
        <v>1.330318130642</v>
      </c>
      <c r="F153" s="420">
        <v>355.26619831030899</v>
      </c>
      <c r="G153" s="421">
        <v>59.211033051717997</v>
      </c>
      <c r="H153" s="423">
        <v>74.512180000000001</v>
      </c>
      <c r="I153" s="420">
        <v>96.095780000000005</v>
      </c>
      <c r="J153" s="421">
        <v>36.884746948280998</v>
      </c>
      <c r="K153" s="428">
        <v>0.27048951028000001</v>
      </c>
    </row>
    <row r="154" spans="1:11" ht="14.4" customHeight="1" thickBot="1" x14ac:dyDescent="0.35">
      <c r="A154" s="436" t="s">
        <v>389</v>
      </c>
      <c r="B154" s="420">
        <v>0</v>
      </c>
      <c r="C154" s="420">
        <v>1.8500000000000001E-3</v>
      </c>
      <c r="D154" s="421">
        <v>1.8500000000000001E-3</v>
      </c>
      <c r="E154" s="422" t="s">
        <v>243</v>
      </c>
      <c r="F154" s="420">
        <v>0</v>
      </c>
      <c r="G154" s="421">
        <v>0</v>
      </c>
      <c r="H154" s="423">
        <v>5.0000000000000002E-5</v>
      </c>
      <c r="I154" s="420">
        <v>8.0000000000000007E-5</v>
      </c>
      <c r="J154" s="421">
        <v>8.0000000000000007E-5</v>
      </c>
      <c r="K154" s="424" t="s">
        <v>243</v>
      </c>
    </row>
    <row r="155" spans="1:11" ht="14.4" customHeight="1" thickBot="1" x14ac:dyDescent="0.35">
      <c r="A155" s="437" t="s">
        <v>390</v>
      </c>
      <c r="B155" s="415">
        <v>0</v>
      </c>
      <c r="C155" s="415">
        <v>1.8500000000000001E-3</v>
      </c>
      <c r="D155" s="416">
        <v>1.8500000000000001E-3</v>
      </c>
      <c r="E155" s="425" t="s">
        <v>243</v>
      </c>
      <c r="F155" s="415">
        <v>0</v>
      </c>
      <c r="G155" s="416">
        <v>0</v>
      </c>
      <c r="H155" s="418">
        <v>5.0000000000000002E-5</v>
      </c>
      <c r="I155" s="415">
        <v>8.0000000000000007E-5</v>
      </c>
      <c r="J155" s="416">
        <v>8.0000000000000007E-5</v>
      </c>
      <c r="K155" s="426" t="s">
        <v>243</v>
      </c>
    </row>
    <row r="156" spans="1:11" ht="14.4" customHeight="1" thickBot="1" x14ac:dyDescent="0.35">
      <c r="A156" s="436" t="s">
        <v>391</v>
      </c>
      <c r="B156" s="420">
        <v>273.11551397445299</v>
      </c>
      <c r="C156" s="420">
        <v>363.32866999999999</v>
      </c>
      <c r="D156" s="421">
        <v>90.213156025545999</v>
      </c>
      <c r="E156" s="427">
        <v>1.330311356952</v>
      </c>
      <c r="F156" s="420">
        <v>355.26619831030899</v>
      </c>
      <c r="G156" s="421">
        <v>59.211033051717997</v>
      </c>
      <c r="H156" s="423">
        <v>74.512129999999999</v>
      </c>
      <c r="I156" s="420">
        <v>96.095699999999994</v>
      </c>
      <c r="J156" s="421">
        <v>36.884666948281001</v>
      </c>
      <c r="K156" s="428">
        <v>0.27048928509600001</v>
      </c>
    </row>
    <row r="157" spans="1:11" ht="14.4" customHeight="1" thickBot="1" x14ac:dyDescent="0.35">
      <c r="A157" s="437" t="s">
        <v>392</v>
      </c>
      <c r="B157" s="415">
        <v>0</v>
      </c>
      <c r="C157" s="415">
        <v>1.512</v>
      </c>
      <c r="D157" s="416">
        <v>1.512</v>
      </c>
      <c r="E157" s="425" t="s">
        <v>243</v>
      </c>
      <c r="F157" s="415">
        <v>2.4429977373759999</v>
      </c>
      <c r="G157" s="416">
        <v>0.40716628956200002</v>
      </c>
      <c r="H157" s="418">
        <v>0.13200000000000001</v>
      </c>
      <c r="I157" s="415">
        <v>0.22800000000000001</v>
      </c>
      <c r="J157" s="416">
        <v>-0.17916628956200001</v>
      </c>
      <c r="K157" s="419">
        <v>9.3327962E-2</v>
      </c>
    </row>
    <row r="158" spans="1:11" ht="14.4" customHeight="1" thickBot="1" x14ac:dyDescent="0.35">
      <c r="A158" s="437" t="s">
        <v>393</v>
      </c>
      <c r="B158" s="415">
        <v>273.11551397445299</v>
      </c>
      <c r="C158" s="415">
        <v>361.81666999999999</v>
      </c>
      <c r="D158" s="416">
        <v>88.701156025545998</v>
      </c>
      <c r="E158" s="417">
        <v>1.324775237901</v>
      </c>
      <c r="F158" s="415">
        <v>352.82320057293202</v>
      </c>
      <c r="G158" s="416">
        <v>58.803866762155003</v>
      </c>
      <c r="H158" s="418">
        <v>74.380129999999994</v>
      </c>
      <c r="I158" s="415">
        <v>95.867699999999999</v>
      </c>
      <c r="J158" s="416">
        <v>37.063833237844001</v>
      </c>
      <c r="K158" s="419">
        <v>0.27171597515200002</v>
      </c>
    </row>
    <row r="159" spans="1:11" ht="14.4" customHeight="1" thickBot="1" x14ac:dyDescent="0.35">
      <c r="A159" s="434" t="s">
        <v>394</v>
      </c>
      <c r="B159" s="415">
        <v>0</v>
      </c>
      <c r="C159" s="415">
        <v>8.9149999999999993E-2</v>
      </c>
      <c r="D159" s="416">
        <v>8.9149999999999993E-2</v>
      </c>
      <c r="E159" s="425" t="s">
        <v>276</v>
      </c>
      <c r="F159" s="415">
        <v>0</v>
      </c>
      <c r="G159" s="416">
        <v>0</v>
      </c>
      <c r="H159" s="418">
        <v>0</v>
      </c>
      <c r="I159" s="415">
        <v>0</v>
      </c>
      <c r="J159" s="416">
        <v>0</v>
      </c>
      <c r="K159" s="426" t="s">
        <v>243</v>
      </c>
    </row>
    <row r="160" spans="1:11" ht="14.4" customHeight="1" thickBot="1" x14ac:dyDescent="0.35">
      <c r="A160" s="440" t="s">
        <v>395</v>
      </c>
      <c r="B160" s="420">
        <v>0</v>
      </c>
      <c r="C160" s="420">
        <v>8.9149999999999993E-2</v>
      </c>
      <c r="D160" s="421">
        <v>8.9149999999999993E-2</v>
      </c>
      <c r="E160" s="422" t="s">
        <v>276</v>
      </c>
      <c r="F160" s="420">
        <v>0</v>
      </c>
      <c r="G160" s="421">
        <v>0</v>
      </c>
      <c r="H160" s="423">
        <v>0</v>
      </c>
      <c r="I160" s="420">
        <v>0</v>
      </c>
      <c r="J160" s="421">
        <v>0</v>
      </c>
      <c r="K160" s="424" t="s">
        <v>243</v>
      </c>
    </row>
    <row r="161" spans="1:11" ht="14.4" customHeight="1" thickBot="1" x14ac:dyDescent="0.35">
      <c r="A161" s="436" t="s">
        <v>396</v>
      </c>
      <c r="B161" s="420">
        <v>0</v>
      </c>
      <c r="C161" s="420">
        <v>8.9149999999999993E-2</v>
      </c>
      <c r="D161" s="421">
        <v>8.9149999999999993E-2</v>
      </c>
      <c r="E161" s="422" t="s">
        <v>276</v>
      </c>
      <c r="F161" s="420">
        <v>0</v>
      </c>
      <c r="G161" s="421">
        <v>0</v>
      </c>
      <c r="H161" s="423">
        <v>0</v>
      </c>
      <c r="I161" s="420">
        <v>0</v>
      </c>
      <c r="J161" s="421">
        <v>0</v>
      </c>
      <c r="K161" s="424" t="s">
        <v>243</v>
      </c>
    </row>
    <row r="162" spans="1:11" ht="14.4" customHeight="1" thickBot="1" x14ac:dyDescent="0.35">
      <c r="A162" s="437" t="s">
        <v>397</v>
      </c>
      <c r="B162" s="415">
        <v>0</v>
      </c>
      <c r="C162" s="415">
        <v>8.9149999999999993E-2</v>
      </c>
      <c r="D162" s="416">
        <v>8.9149999999999993E-2</v>
      </c>
      <c r="E162" s="425" t="s">
        <v>276</v>
      </c>
      <c r="F162" s="415">
        <v>0</v>
      </c>
      <c r="G162" s="416">
        <v>0</v>
      </c>
      <c r="H162" s="418">
        <v>0</v>
      </c>
      <c r="I162" s="415">
        <v>0</v>
      </c>
      <c r="J162" s="416">
        <v>0</v>
      </c>
      <c r="K162" s="426" t="s">
        <v>243</v>
      </c>
    </row>
    <row r="163" spans="1:11" ht="14.4" customHeight="1" thickBot="1" x14ac:dyDescent="0.35">
      <c r="A163" s="433" t="s">
        <v>398</v>
      </c>
      <c r="B163" s="415">
        <v>3652.4431301675199</v>
      </c>
      <c r="C163" s="415">
        <v>4119.0947800000004</v>
      </c>
      <c r="D163" s="416">
        <v>466.65164983248098</v>
      </c>
      <c r="E163" s="417">
        <v>1.127764247984</v>
      </c>
      <c r="F163" s="415">
        <v>0</v>
      </c>
      <c r="G163" s="416">
        <v>0</v>
      </c>
      <c r="H163" s="418">
        <v>474.32351</v>
      </c>
      <c r="I163" s="415">
        <v>950.05613000000005</v>
      </c>
      <c r="J163" s="416">
        <v>950.05613000000005</v>
      </c>
      <c r="K163" s="426" t="s">
        <v>276</v>
      </c>
    </row>
    <row r="164" spans="1:11" ht="14.4" customHeight="1" thickBot="1" x14ac:dyDescent="0.35">
      <c r="A164" s="438" t="s">
        <v>399</v>
      </c>
      <c r="B164" s="420">
        <v>3652.4431301675199</v>
      </c>
      <c r="C164" s="420">
        <v>4119.0947800000004</v>
      </c>
      <c r="D164" s="421">
        <v>466.65164983248098</v>
      </c>
      <c r="E164" s="427">
        <v>1.127764247984</v>
      </c>
      <c r="F164" s="420">
        <v>0</v>
      </c>
      <c r="G164" s="421">
        <v>0</v>
      </c>
      <c r="H164" s="423">
        <v>474.32351</v>
      </c>
      <c r="I164" s="420">
        <v>950.05613000000005</v>
      </c>
      <c r="J164" s="421">
        <v>950.05613000000005</v>
      </c>
      <c r="K164" s="424" t="s">
        <v>276</v>
      </c>
    </row>
    <row r="165" spans="1:11" ht="14.4" customHeight="1" thickBot="1" x14ac:dyDescent="0.35">
      <c r="A165" s="440" t="s">
        <v>41</v>
      </c>
      <c r="B165" s="420">
        <v>3652.4431301675199</v>
      </c>
      <c r="C165" s="420">
        <v>4119.0947800000004</v>
      </c>
      <c r="D165" s="421">
        <v>466.65164983248098</v>
      </c>
      <c r="E165" s="427">
        <v>1.127764247984</v>
      </c>
      <c r="F165" s="420">
        <v>0</v>
      </c>
      <c r="G165" s="421">
        <v>0</v>
      </c>
      <c r="H165" s="423">
        <v>474.32351</v>
      </c>
      <c r="I165" s="420">
        <v>950.05613000000005</v>
      </c>
      <c r="J165" s="421">
        <v>950.05613000000005</v>
      </c>
      <c r="K165" s="424" t="s">
        <v>276</v>
      </c>
    </row>
    <row r="166" spans="1:11" ht="14.4" customHeight="1" thickBot="1" x14ac:dyDescent="0.35">
      <c r="A166" s="439" t="s">
        <v>400</v>
      </c>
      <c r="B166" s="415">
        <v>26.376109984854999</v>
      </c>
      <c r="C166" s="415">
        <v>16.633569999999999</v>
      </c>
      <c r="D166" s="416">
        <v>-9.7425399848550001</v>
      </c>
      <c r="E166" s="417">
        <v>0.63063014256200001</v>
      </c>
      <c r="F166" s="415">
        <v>0</v>
      </c>
      <c r="G166" s="416">
        <v>0</v>
      </c>
      <c r="H166" s="418">
        <v>0.84589999999999999</v>
      </c>
      <c r="I166" s="415">
        <v>1.6335</v>
      </c>
      <c r="J166" s="416">
        <v>1.6335</v>
      </c>
      <c r="K166" s="426" t="s">
        <v>276</v>
      </c>
    </row>
    <row r="167" spans="1:11" ht="14.4" customHeight="1" thickBot="1" x14ac:dyDescent="0.35">
      <c r="A167" s="437" t="s">
        <v>401</v>
      </c>
      <c r="B167" s="415">
        <v>26.376109984854999</v>
      </c>
      <c r="C167" s="415">
        <v>16.633569999999999</v>
      </c>
      <c r="D167" s="416">
        <v>-9.7425399848550001</v>
      </c>
      <c r="E167" s="417">
        <v>0.63063014256200001</v>
      </c>
      <c r="F167" s="415">
        <v>0</v>
      </c>
      <c r="G167" s="416">
        <v>0</v>
      </c>
      <c r="H167" s="418">
        <v>0.84589999999999999</v>
      </c>
      <c r="I167" s="415">
        <v>1.6335</v>
      </c>
      <c r="J167" s="416">
        <v>1.6335</v>
      </c>
      <c r="K167" s="426" t="s">
        <v>276</v>
      </c>
    </row>
    <row r="168" spans="1:11" ht="14.4" customHeight="1" thickBot="1" x14ac:dyDescent="0.35">
      <c r="A168" s="436" t="s">
        <v>402</v>
      </c>
      <c r="B168" s="420">
        <v>50.788534803095999</v>
      </c>
      <c r="C168" s="420">
        <v>54.801000000000002</v>
      </c>
      <c r="D168" s="421">
        <v>4.0124651969030003</v>
      </c>
      <c r="E168" s="427">
        <v>1.079003365867</v>
      </c>
      <c r="F168" s="420">
        <v>0</v>
      </c>
      <c r="G168" s="421">
        <v>0</v>
      </c>
      <c r="H168" s="423">
        <v>1.19</v>
      </c>
      <c r="I168" s="420">
        <v>6.3940000000000001</v>
      </c>
      <c r="J168" s="421">
        <v>6.3940000000000001</v>
      </c>
      <c r="K168" s="424" t="s">
        <v>276</v>
      </c>
    </row>
    <row r="169" spans="1:11" ht="14.4" customHeight="1" thickBot="1" x14ac:dyDescent="0.35">
      <c r="A169" s="437" t="s">
        <v>403</v>
      </c>
      <c r="B169" s="415">
        <v>50.788534803095999</v>
      </c>
      <c r="C169" s="415">
        <v>54.801000000000002</v>
      </c>
      <c r="D169" s="416">
        <v>4.0124651969030003</v>
      </c>
      <c r="E169" s="417">
        <v>1.079003365867</v>
      </c>
      <c r="F169" s="415">
        <v>0</v>
      </c>
      <c r="G169" s="416">
        <v>0</v>
      </c>
      <c r="H169" s="418">
        <v>1.19</v>
      </c>
      <c r="I169" s="415">
        <v>6.3940000000000001</v>
      </c>
      <c r="J169" s="416">
        <v>6.3940000000000001</v>
      </c>
      <c r="K169" s="426" t="s">
        <v>276</v>
      </c>
    </row>
    <row r="170" spans="1:11" ht="14.4" customHeight="1" thickBot="1" x14ac:dyDescent="0.35">
      <c r="A170" s="436" t="s">
        <v>404</v>
      </c>
      <c r="B170" s="420">
        <v>95.575343260140997</v>
      </c>
      <c r="C170" s="420">
        <v>89.022300000000001</v>
      </c>
      <c r="D170" s="421">
        <v>-6.553043260141</v>
      </c>
      <c r="E170" s="427">
        <v>0.93143583861000001</v>
      </c>
      <c r="F170" s="420">
        <v>0</v>
      </c>
      <c r="G170" s="421">
        <v>0</v>
      </c>
      <c r="H170" s="423">
        <v>2.70302</v>
      </c>
      <c r="I170" s="420">
        <v>6.4721399999999996</v>
      </c>
      <c r="J170" s="421">
        <v>6.4721399999999996</v>
      </c>
      <c r="K170" s="424" t="s">
        <v>276</v>
      </c>
    </row>
    <row r="171" spans="1:11" ht="14.4" customHeight="1" thickBot="1" x14ac:dyDescent="0.35">
      <c r="A171" s="437" t="s">
        <v>405</v>
      </c>
      <c r="B171" s="415">
        <v>51.856464718204002</v>
      </c>
      <c r="C171" s="415">
        <v>51.06</v>
      </c>
      <c r="D171" s="416">
        <v>-0.796464718204</v>
      </c>
      <c r="E171" s="417">
        <v>0.98464097538200002</v>
      </c>
      <c r="F171" s="415">
        <v>0</v>
      </c>
      <c r="G171" s="416">
        <v>0</v>
      </c>
      <c r="H171" s="418">
        <v>0</v>
      </c>
      <c r="I171" s="415">
        <v>0</v>
      </c>
      <c r="J171" s="416">
        <v>0</v>
      </c>
      <c r="K171" s="419">
        <v>0</v>
      </c>
    </row>
    <row r="172" spans="1:11" ht="14.4" customHeight="1" thickBot="1" x14ac:dyDescent="0.35">
      <c r="A172" s="437" t="s">
        <v>406</v>
      </c>
      <c r="B172" s="415">
        <v>0.26417766293</v>
      </c>
      <c r="C172" s="415">
        <v>5.3600000000000002E-2</v>
      </c>
      <c r="D172" s="416">
        <v>-0.21057766292999999</v>
      </c>
      <c r="E172" s="417">
        <v>0.20289376249800001</v>
      </c>
      <c r="F172" s="415">
        <v>0</v>
      </c>
      <c r="G172" s="416">
        <v>0</v>
      </c>
      <c r="H172" s="418">
        <v>0</v>
      </c>
      <c r="I172" s="415">
        <v>0</v>
      </c>
      <c r="J172" s="416">
        <v>0</v>
      </c>
      <c r="K172" s="419">
        <v>0</v>
      </c>
    </row>
    <row r="173" spans="1:11" ht="14.4" customHeight="1" thickBot="1" x14ac:dyDescent="0.35">
      <c r="A173" s="437" t="s">
        <v>407</v>
      </c>
      <c r="B173" s="415">
        <v>43.454700879007</v>
      </c>
      <c r="C173" s="415">
        <v>37.908700000000003</v>
      </c>
      <c r="D173" s="416">
        <v>-5.5460008790069999</v>
      </c>
      <c r="E173" s="417">
        <v>0.87237282119399995</v>
      </c>
      <c r="F173" s="415">
        <v>0</v>
      </c>
      <c r="G173" s="416">
        <v>0</v>
      </c>
      <c r="H173" s="418">
        <v>2.70302</v>
      </c>
      <c r="I173" s="415">
        <v>6.4721399999999996</v>
      </c>
      <c r="J173" s="416">
        <v>6.4721399999999996</v>
      </c>
      <c r="K173" s="426" t="s">
        <v>276</v>
      </c>
    </row>
    <row r="174" spans="1:11" ht="14.4" customHeight="1" thickBot="1" x14ac:dyDescent="0.35">
      <c r="A174" s="436" t="s">
        <v>408</v>
      </c>
      <c r="B174" s="420">
        <v>157.328813058919</v>
      </c>
      <c r="C174" s="420">
        <v>161.48820000000001</v>
      </c>
      <c r="D174" s="421">
        <v>4.1593869410810003</v>
      </c>
      <c r="E174" s="427">
        <v>1.02643754097</v>
      </c>
      <c r="F174" s="420">
        <v>0</v>
      </c>
      <c r="G174" s="421">
        <v>0</v>
      </c>
      <c r="H174" s="423">
        <v>13.994300000000001</v>
      </c>
      <c r="I174" s="420">
        <v>28.432200000000002</v>
      </c>
      <c r="J174" s="421">
        <v>28.432200000000002</v>
      </c>
      <c r="K174" s="424" t="s">
        <v>276</v>
      </c>
    </row>
    <row r="175" spans="1:11" ht="14.4" customHeight="1" thickBot="1" x14ac:dyDescent="0.35">
      <c r="A175" s="437" t="s">
        <v>409</v>
      </c>
      <c r="B175" s="415">
        <v>157.328813058919</v>
      </c>
      <c r="C175" s="415">
        <v>161.48820000000001</v>
      </c>
      <c r="D175" s="416">
        <v>4.1593869410810003</v>
      </c>
      <c r="E175" s="417">
        <v>1.02643754097</v>
      </c>
      <c r="F175" s="415">
        <v>0</v>
      </c>
      <c r="G175" s="416">
        <v>0</v>
      </c>
      <c r="H175" s="418">
        <v>13.994300000000001</v>
      </c>
      <c r="I175" s="415">
        <v>28.432200000000002</v>
      </c>
      <c r="J175" s="416">
        <v>28.432200000000002</v>
      </c>
      <c r="K175" s="426" t="s">
        <v>276</v>
      </c>
    </row>
    <row r="176" spans="1:11" ht="14.4" customHeight="1" thickBot="1" x14ac:dyDescent="0.35">
      <c r="A176" s="436" t="s">
        <v>410</v>
      </c>
      <c r="B176" s="420">
        <v>0</v>
      </c>
      <c r="C176" s="420">
        <v>6.5739999999999998</v>
      </c>
      <c r="D176" s="421">
        <v>6.5739999999999998</v>
      </c>
      <c r="E176" s="422" t="s">
        <v>276</v>
      </c>
      <c r="F176" s="420">
        <v>0</v>
      </c>
      <c r="G176" s="421">
        <v>0</v>
      </c>
      <c r="H176" s="423">
        <v>1.224</v>
      </c>
      <c r="I176" s="420">
        <v>2.238</v>
      </c>
      <c r="J176" s="421">
        <v>2.238</v>
      </c>
      <c r="K176" s="424" t="s">
        <v>276</v>
      </c>
    </row>
    <row r="177" spans="1:11" ht="14.4" customHeight="1" thickBot="1" x14ac:dyDescent="0.35">
      <c r="A177" s="437" t="s">
        <v>411</v>
      </c>
      <c r="B177" s="415">
        <v>0</v>
      </c>
      <c r="C177" s="415">
        <v>6.5739999999999998</v>
      </c>
      <c r="D177" s="416">
        <v>6.5739999999999998</v>
      </c>
      <c r="E177" s="425" t="s">
        <v>276</v>
      </c>
      <c r="F177" s="415">
        <v>0</v>
      </c>
      <c r="G177" s="416">
        <v>0</v>
      </c>
      <c r="H177" s="418">
        <v>1.224</v>
      </c>
      <c r="I177" s="415">
        <v>2.238</v>
      </c>
      <c r="J177" s="416">
        <v>2.238</v>
      </c>
      <c r="K177" s="426" t="s">
        <v>276</v>
      </c>
    </row>
    <row r="178" spans="1:11" ht="14.4" customHeight="1" thickBot="1" x14ac:dyDescent="0.35">
      <c r="A178" s="436" t="s">
        <v>412</v>
      </c>
      <c r="B178" s="420">
        <v>512.92717678424299</v>
      </c>
      <c r="C178" s="420">
        <v>526.01575000000003</v>
      </c>
      <c r="D178" s="421">
        <v>13.088573215757</v>
      </c>
      <c r="E178" s="427">
        <v>1.025517410283</v>
      </c>
      <c r="F178" s="420">
        <v>0</v>
      </c>
      <c r="G178" s="421">
        <v>0</v>
      </c>
      <c r="H178" s="423">
        <v>171.41492</v>
      </c>
      <c r="I178" s="420">
        <v>342.70202999999998</v>
      </c>
      <c r="J178" s="421">
        <v>342.70202999999998</v>
      </c>
      <c r="K178" s="424" t="s">
        <v>276</v>
      </c>
    </row>
    <row r="179" spans="1:11" ht="14.4" customHeight="1" thickBot="1" x14ac:dyDescent="0.35">
      <c r="A179" s="437" t="s">
        <v>413</v>
      </c>
      <c r="B179" s="415">
        <v>512.92717678424299</v>
      </c>
      <c r="C179" s="415">
        <v>526.01575000000003</v>
      </c>
      <c r="D179" s="416">
        <v>13.088573215757</v>
      </c>
      <c r="E179" s="417">
        <v>1.025517410283</v>
      </c>
      <c r="F179" s="415">
        <v>0</v>
      </c>
      <c r="G179" s="416">
        <v>0</v>
      </c>
      <c r="H179" s="418">
        <v>171.41492</v>
      </c>
      <c r="I179" s="415">
        <v>342.70202999999998</v>
      </c>
      <c r="J179" s="416">
        <v>342.70202999999998</v>
      </c>
      <c r="K179" s="426" t="s">
        <v>276</v>
      </c>
    </row>
    <row r="180" spans="1:11" ht="14.4" customHeight="1" thickBot="1" x14ac:dyDescent="0.35">
      <c r="A180" s="436" t="s">
        <v>414</v>
      </c>
      <c r="B180" s="420">
        <v>2809.4471522762601</v>
      </c>
      <c r="C180" s="420">
        <v>3264.55996</v>
      </c>
      <c r="D180" s="421">
        <v>455.11280772373698</v>
      </c>
      <c r="E180" s="427">
        <v>1.161993724407</v>
      </c>
      <c r="F180" s="420">
        <v>0</v>
      </c>
      <c r="G180" s="421">
        <v>0</v>
      </c>
      <c r="H180" s="423">
        <v>282.95137</v>
      </c>
      <c r="I180" s="420">
        <v>562.18425999999999</v>
      </c>
      <c r="J180" s="421">
        <v>562.18425999999999</v>
      </c>
      <c r="K180" s="424" t="s">
        <v>276</v>
      </c>
    </row>
    <row r="181" spans="1:11" ht="14.4" customHeight="1" thickBot="1" x14ac:dyDescent="0.35">
      <c r="A181" s="437" t="s">
        <v>415</v>
      </c>
      <c r="B181" s="415">
        <v>2809.4471522762601</v>
      </c>
      <c r="C181" s="415">
        <v>3264.55996</v>
      </c>
      <c r="D181" s="416">
        <v>455.11280772373698</v>
      </c>
      <c r="E181" s="417">
        <v>1.161993724407</v>
      </c>
      <c r="F181" s="415">
        <v>0</v>
      </c>
      <c r="G181" s="416">
        <v>0</v>
      </c>
      <c r="H181" s="418">
        <v>282.95137</v>
      </c>
      <c r="I181" s="415">
        <v>562.18425999999999</v>
      </c>
      <c r="J181" s="416">
        <v>562.18425999999999</v>
      </c>
      <c r="K181" s="426" t="s">
        <v>276</v>
      </c>
    </row>
    <row r="182" spans="1:11" ht="14.4" customHeight="1" thickBot="1" x14ac:dyDescent="0.35">
      <c r="A182" s="441"/>
      <c r="B182" s="415">
        <v>-14263.449945340401</v>
      </c>
      <c r="C182" s="415">
        <v>-16778.88207</v>
      </c>
      <c r="D182" s="416">
        <v>-2515.4321246596201</v>
      </c>
      <c r="E182" s="417">
        <v>1.176355098822</v>
      </c>
      <c r="F182" s="415">
        <v>-13066.901461650499</v>
      </c>
      <c r="G182" s="416">
        <v>-2177.8169102750799</v>
      </c>
      <c r="H182" s="418">
        <v>-1314.7375500000001</v>
      </c>
      <c r="I182" s="415">
        <v>-3276.2914300000002</v>
      </c>
      <c r="J182" s="416">
        <v>-1098.4745197249199</v>
      </c>
      <c r="K182" s="419">
        <v>0.25073208362400001</v>
      </c>
    </row>
    <row r="183" spans="1:11" ht="14.4" customHeight="1" thickBot="1" x14ac:dyDescent="0.35">
      <c r="A183" s="442" t="s">
        <v>53</v>
      </c>
      <c r="B183" s="429">
        <v>-14263.449945340401</v>
      </c>
      <c r="C183" s="429">
        <v>-16778.88207</v>
      </c>
      <c r="D183" s="430">
        <v>-2515.4321246596201</v>
      </c>
      <c r="E183" s="431">
        <v>-1.176552319824</v>
      </c>
      <c r="F183" s="429">
        <v>-13066.901461650499</v>
      </c>
      <c r="G183" s="430">
        <v>-2177.8169102750899</v>
      </c>
      <c r="H183" s="429">
        <v>-1314.7375500000001</v>
      </c>
      <c r="I183" s="429">
        <v>-3276.2914300000002</v>
      </c>
      <c r="J183" s="430">
        <v>-1098.4745197249099</v>
      </c>
      <c r="K183" s="432">
        <v>0.25073208362400001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0" customWidth="1"/>
    <col min="2" max="2" width="61.109375" style="190" customWidth="1"/>
    <col min="3" max="3" width="9.5546875" style="114" hidden="1" customWidth="1" outlineLevel="1"/>
    <col min="4" max="4" width="9.5546875" style="191" customWidth="1" collapsed="1"/>
    <col min="5" max="5" width="2.21875" style="191" customWidth="1"/>
    <col min="6" max="6" width="9.5546875" style="192" customWidth="1"/>
    <col min="7" max="7" width="9.5546875" style="189" customWidth="1"/>
    <col min="8" max="9" width="9.5546875" style="114" customWidth="1"/>
    <col min="10" max="10" width="0" style="114" hidden="1" customWidth="1"/>
    <col min="11" max="16384" width="8.88671875" style="114"/>
  </cols>
  <sheetData>
    <row r="1" spans="1:10" ht="18.600000000000001" customHeight="1" thickBot="1" x14ac:dyDescent="0.4">
      <c r="A1" s="334" t="s">
        <v>117</v>
      </c>
      <c r="B1" s="335"/>
      <c r="C1" s="335"/>
      <c r="D1" s="335"/>
      <c r="E1" s="335"/>
      <c r="F1" s="335"/>
      <c r="G1" s="305"/>
      <c r="H1" s="336"/>
      <c r="I1" s="336"/>
    </row>
    <row r="2" spans="1:10" ht="14.4" customHeight="1" thickBot="1" x14ac:dyDescent="0.35">
      <c r="A2" s="207" t="s">
        <v>242</v>
      </c>
      <c r="B2" s="188"/>
      <c r="C2" s="188"/>
      <c r="D2" s="188"/>
      <c r="E2" s="188"/>
      <c r="F2" s="188"/>
    </row>
    <row r="3" spans="1:10" ht="14.4" customHeight="1" thickBot="1" x14ac:dyDescent="0.35">
      <c r="A3" s="207"/>
      <c r="B3" s="246"/>
      <c r="C3" s="245">
        <v>2015</v>
      </c>
      <c r="D3" s="214">
        <v>2017</v>
      </c>
      <c r="E3" s="7"/>
      <c r="F3" s="313">
        <v>2018</v>
      </c>
      <c r="G3" s="331"/>
      <c r="H3" s="331"/>
      <c r="I3" s="314"/>
    </row>
    <row r="4" spans="1:10" ht="14.4" customHeight="1" thickBot="1" x14ac:dyDescent="0.35">
      <c r="A4" s="218" t="s">
        <v>0</v>
      </c>
      <c r="B4" s="219" t="s">
        <v>167</v>
      </c>
      <c r="C4" s="332" t="s">
        <v>59</v>
      </c>
      <c r="D4" s="333"/>
      <c r="E4" s="220"/>
      <c r="F4" s="215" t="s">
        <v>59</v>
      </c>
      <c r="G4" s="216" t="s">
        <v>60</v>
      </c>
      <c r="H4" s="216" t="s">
        <v>54</v>
      </c>
      <c r="I4" s="217" t="s">
        <v>61</v>
      </c>
    </row>
    <row r="5" spans="1:10" ht="14.4" customHeight="1" x14ac:dyDescent="0.3">
      <c r="A5" s="443" t="s">
        <v>416</v>
      </c>
      <c r="B5" s="444" t="s">
        <v>417</v>
      </c>
      <c r="C5" s="445" t="s">
        <v>418</v>
      </c>
      <c r="D5" s="445" t="s">
        <v>418</v>
      </c>
      <c r="E5" s="445"/>
      <c r="F5" s="445" t="s">
        <v>418</v>
      </c>
      <c r="G5" s="445" t="s">
        <v>418</v>
      </c>
      <c r="H5" s="445" t="s">
        <v>418</v>
      </c>
      <c r="I5" s="446" t="s">
        <v>418</v>
      </c>
      <c r="J5" s="447" t="s">
        <v>55</v>
      </c>
    </row>
    <row r="6" spans="1:10" ht="14.4" customHeight="1" x14ac:dyDescent="0.3">
      <c r="A6" s="443" t="s">
        <v>416</v>
      </c>
      <c r="B6" s="444" t="s">
        <v>419</v>
      </c>
      <c r="C6" s="445">
        <v>56.108890000000002</v>
      </c>
      <c r="D6" s="445">
        <v>58.780149999999985</v>
      </c>
      <c r="E6" s="445"/>
      <c r="F6" s="445">
        <v>33.439500000000002</v>
      </c>
      <c r="G6" s="445">
        <v>44.666667968749998</v>
      </c>
      <c r="H6" s="445">
        <v>-11.227167968749995</v>
      </c>
      <c r="I6" s="446">
        <v>0.74864550056420542</v>
      </c>
      <c r="J6" s="447" t="s">
        <v>1</v>
      </c>
    </row>
    <row r="7" spans="1:10" ht="14.4" customHeight="1" x14ac:dyDescent="0.3">
      <c r="A7" s="443" t="s">
        <v>416</v>
      </c>
      <c r="B7" s="444" t="s">
        <v>420</v>
      </c>
      <c r="C7" s="445">
        <v>0.32959000000000005</v>
      </c>
      <c r="D7" s="445">
        <v>0.45972000000000002</v>
      </c>
      <c r="E7" s="445"/>
      <c r="F7" s="445">
        <v>0.34364999999999996</v>
      </c>
      <c r="G7" s="445">
        <v>0.33333334350585936</v>
      </c>
      <c r="H7" s="445">
        <v>1.0316656494140597E-2</v>
      </c>
      <c r="I7" s="446">
        <v>1.0309499685379038</v>
      </c>
      <c r="J7" s="447" t="s">
        <v>1</v>
      </c>
    </row>
    <row r="8" spans="1:10" ht="14.4" customHeight="1" x14ac:dyDescent="0.3">
      <c r="A8" s="443" t="s">
        <v>416</v>
      </c>
      <c r="B8" s="444" t="s">
        <v>421</v>
      </c>
      <c r="C8" s="445">
        <v>0</v>
      </c>
      <c r="D8" s="445">
        <v>0</v>
      </c>
      <c r="E8" s="445"/>
      <c r="F8" s="445">
        <v>0</v>
      </c>
      <c r="G8" s="445">
        <v>0</v>
      </c>
      <c r="H8" s="445">
        <v>0</v>
      </c>
      <c r="I8" s="446" t="s">
        <v>418</v>
      </c>
      <c r="J8" s="447" t="s">
        <v>1</v>
      </c>
    </row>
    <row r="9" spans="1:10" ht="14.4" customHeight="1" x14ac:dyDescent="0.3">
      <c r="A9" s="443" t="s">
        <v>416</v>
      </c>
      <c r="B9" s="444" t="s">
        <v>422</v>
      </c>
      <c r="C9" s="445">
        <v>0</v>
      </c>
      <c r="D9" s="445">
        <v>23.184000000000001</v>
      </c>
      <c r="E9" s="445"/>
      <c r="F9" s="445">
        <v>15.18</v>
      </c>
      <c r="G9" s="445">
        <v>18.333333984374999</v>
      </c>
      <c r="H9" s="445">
        <v>-3.1533339843749992</v>
      </c>
      <c r="I9" s="446">
        <v>0.82799997059659203</v>
      </c>
      <c r="J9" s="447" t="s">
        <v>1</v>
      </c>
    </row>
    <row r="10" spans="1:10" ht="14.4" customHeight="1" x14ac:dyDescent="0.3">
      <c r="A10" s="443" t="s">
        <v>416</v>
      </c>
      <c r="B10" s="444" t="s">
        <v>423</v>
      </c>
      <c r="C10" s="445">
        <v>56.438480000000006</v>
      </c>
      <c r="D10" s="445">
        <v>82.42386999999998</v>
      </c>
      <c r="E10" s="445"/>
      <c r="F10" s="445">
        <v>48.963149999999999</v>
      </c>
      <c r="G10" s="445">
        <v>63.33333529663085</v>
      </c>
      <c r="H10" s="445">
        <v>-14.370185296630851</v>
      </c>
      <c r="I10" s="446">
        <v>0.77310234445531711</v>
      </c>
      <c r="J10" s="447" t="s">
        <v>424</v>
      </c>
    </row>
    <row r="12" spans="1:10" ht="14.4" customHeight="1" x14ac:dyDescent="0.3">
      <c r="A12" s="443" t="s">
        <v>416</v>
      </c>
      <c r="B12" s="444" t="s">
        <v>417</v>
      </c>
      <c r="C12" s="445" t="s">
        <v>418</v>
      </c>
      <c r="D12" s="445" t="s">
        <v>418</v>
      </c>
      <c r="E12" s="445"/>
      <c r="F12" s="445" t="s">
        <v>418</v>
      </c>
      <c r="G12" s="445" t="s">
        <v>418</v>
      </c>
      <c r="H12" s="445" t="s">
        <v>418</v>
      </c>
      <c r="I12" s="446" t="s">
        <v>418</v>
      </c>
      <c r="J12" s="447" t="s">
        <v>55</v>
      </c>
    </row>
    <row r="13" spans="1:10" ht="14.4" customHeight="1" x14ac:dyDescent="0.3">
      <c r="A13" s="443" t="s">
        <v>425</v>
      </c>
      <c r="B13" s="444" t="s">
        <v>426</v>
      </c>
      <c r="C13" s="445" t="s">
        <v>418</v>
      </c>
      <c r="D13" s="445" t="s">
        <v>418</v>
      </c>
      <c r="E13" s="445"/>
      <c r="F13" s="445" t="s">
        <v>418</v>
      </c>
      <c r="G13" s="445" t="s">
        <v>418</v>
      </c>
      <c r="H13" s="445" t="s">
        <v>418</v>
      </c>
      <c r="I13" s="446" t="s">
        <v>418</v>
      </c>
      <c r="J13" s="447" t="s">
        <v>0</v>
      </c>
    </row>
    <row r="14" spans="1:10" ht="14.4" customHeight="1" x14ac:dyDescent="0.3">
      <c r="A14" s="443" t="s">
        <v>425</v>
      </c>
      <c r="B14" s="444" t="s">
        <v>419</v>
      </c>
      <c r="C14" s="445">
        <v>56.108890000000002</v>
      </c>
      <c r="D14" s="445">
        <v>58.780149999999985</v>
      </c>
      <c r="E14" s="445"/>
      <c r="F14" s="445">
        <v>33.439500000000002</v>
      </c>
      <c r="G14" s="445">
        <v>45</v>
      </c>
      <c r="H14" s="445">
        <v>-11.560499999999998</v>
      </c>
      <c r="I14" s="446">
        <v>0.74310000000000009</v>
      </c>
      <c r="J14" s="447" t="s">
        <v>1</v>
      </c>
    </row>
    <row r="15" spans="1:10" ht="14.4" customHeight="1" x14ac:dyDescent="0.3">
      <c r="A15" s="443" t="s">
        <v>425</v>
      </c>
      <c r="B15" s="444" t="s">
        <v>420</v>
      </c>
      <c r="C15" s="445">
        <v>0.32959000000000005</v>
      </c>
      <c r="D15" s="445">
        <v>0.45972000000000002</v>
      </c>
      <c r="E15" s="445"/>
      <c r="F15" s="445">
        <v>0.34364999999999996</v>
      </c>
      <c r="G15" s="445">
        <v>0</v>
      </c>
      <c r="H15" s="445">
        <v>0.34364999999999996</v>
      </c>
      <c r="I15" s="446" t="s">
        <v>418</v>
      </c>
      <c r="J15" s="447" t="s">
        <v>1</v>
      </c>
    </row>
    <row r="16" spans="1:10" ht="14.4" customHeight="1" x14ac:dyDescent="0.3">
      <c r="A16" s="443" t="s">
        <v>425</v>
      </c>
      <c r="B16" s="444" t="s">
        <v>421</v>
      </c>
      <c r="C16" s="445">
        <v>0</v>
      </c>
      <c r="D16" s="445">
        <v>0</v>
      </c>
      <c r="E16" s="445"/>
      <c r="F16" s="445">
        <v>0</v>
      </c>
      <c r="G16" s="445">
        <v>0</v>
      </c>
      <c r="H16" s="445">
        <v>0</v>
      </c>
      <c r="I16" s="446" t="s">
        <v>418</v>
      </c>
      <c r="J16" s="447" t="s">
        <v>1</v>
      </c>
    </row>
    <row r="17" spans="1:10" ht="14.4" customHeight="1" x14ac:dyDescent="0.3">
      <c r="A17" s="443" t="s">
        <v>425</v>
      </c>
      <c r="B17" s="444" t="s">
        <v>422</v>
      </c>
      <c r="C17" s="445">
        <v>0</v>
      </c>
      <c r="D17" s="445">
        <v>23.184000000000001</v>
      </c>
      <c r="E17" s="445"/>
      <c r="F17" s="445">
        <v>15.18</v>
      </c>
      <c r="G17" s="445">
        <v>18</v>
      </c>
      <c r="H17" s="445">
        <v>-2.8200000000000003</v>
      </c>
      <c r="I17" s="446">
        <v>0.84333333333333327</v>
      </c>
      <c r="J17" s="447" t="s">
        <v>1</v>
      </c>
    </row>
    <row r="18" spans="1:10" ht="14.4" customHeight="1" x14ac:dyDescent="0.3">
      <c r="A18" s="443" t="s">
        <v>425</v>
      </c>
      <c r="B18" s="444" t="s">
        <v>427</v>
      </c>
      <c r="C18" s="445">
        <v>56.438480000000006</v>
      </c>
      <c r="D18" s="445">
        <v>82.42386999999998</v>
      </c>
      <c r="E18" s="445"/>
      <c r="F18" s="445">
        <v>48.963149999999999</v>
      </c>
      <c r="G18" s="445">
        <v>63</v>
      </c>
      <c r="H18" s="445">
        <v>-14.036850000000001</v>
      </c>
      <c r="I18" s="446">
        <v>0.77719285714285713</v>
      </c>
      <c r="J18" s="447" t="s">
        <v>428</v>
      </c>
    </row>
    <row r="19" spans="1:10" ht="14.4" customHeight="1" x14ac:dyDescent="0.3">
      <c r="A19" s="443" t="s">
        <v>418</v>
      </c>
      <c r="B19" s="444" t="s">
        <v>418</v>
      </c>
      <c r="C19" s="445" t="s">
        <v>418</v>
      </c>
      <c r="D19" s="445" t="s">
        <v>418</v>
      </c>
      <c r="E19" s="445"/>
      <c r="F19" s="445" t="s">
        <v>418</v>
      </c>
      <c r="G19" s="445" t="s">
        <v>418</v>
      </c>
      <c r="H19" s="445" t="s">
        <v>418</v>
      </c>
      <c r="I19" s="446" t="s">
        <v>418</v>
      </c>
      <c r="J19" s="447" t="s">
        <v>429</v>
      </c>
    </row>
    <row r="20" spans="1:10" ht="14.4" customHeight="1" x14ac:dyDescent="0.3">
      <c r="A20" s="443" t="s">
        <v>416</v>
      </c>
      <c r="B20" s="444" t="s">
        <v>423</v>
      </c>
      <c r="C20" s="445">
        <v>56.438480000000006</v>
      </c>
      <c r="D20" s="445">
        <v>82.42386999999998</v>
      </c>
      <c r="E20" s="445"/>
      <c r="F20" s="445">
        <v>48.963149999999999</v>
      </c>
      <c r="G20" s="445">
        <v>63</v>
      </c>
      <c r="H20" s="445">
        <v>-14.036850000000001</v>
      </c>
      <c r="I20" s="446">
        <v>0.77719285714285713</v>
      </c>
      <c r="J20" s="447" t="s">
        <v>424</v>
      </c>
    </row>
  </sheetData>
  <mergeCells count="3">
    <mergeCell ref="F3:I3"/>
    <mergeCell ref="C4:D4"/>
    <mergeCell ref="A1:I1"/>
  </mergeCells>
  <conditionalFormatting sqref="F11 F21:F65537">
    <cfRule type="cellIs" dxfId="39" priority="18" stopIfTrue="1" operator="greaterThan">
      <formula>1</formula>
    </cfRule>
  </conditionalFormatting>
  <conditionalFormatting sqref="H5:H10">
    <cfRule type="expression" dxfId="38" priority="14">
      <formula>$H5&gt;0</formula>
    </cfRule>
  </conditionalFormatting>
  <conditionalFormatting sqref="I5:I10">
    <cfRule type="expression" dxfId="37" priority="15">
      <formula>$I5&gt;1</formula>
    </cfRule>
  </conditionalFormatting>
  <conditionalFormatting sqref="B5:B10">
    <cfRule type="expression" dxfId="36" priority="11">
      <formula>OR($J5="NS",$J5="SumaNS",$J5="Účet")</formula>
    </cfRule>
  </conditionalFormatting>
  <conditionalFormatting sqref="B5:D10 F5:I10">
    <cfRule type="expression" dxfId="35" priority="17">
      <formula>AND($J5&lt;&gt;"",$J5&lt;&gt;"mezeraKL")</formula>
    </cfRule>
  </conditionalFormatting>
  <conditionalFormatting sqref="B5:D10 F5:I10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3" priority="13">
      <formula>OR($J5="SumaNS",$J5="NS")</formula>
    </cfRule>
  </conditionalFormatting>
  <conditionalFormatting sqref="A5:A10">
    <cfRule type="expression" dxfId="32" priority="9">
      <formula>AND($J5&lt;&gt;"mezeraKL",$J5&lt;&gt;"")</formula>
    </cfRule>
  </conditionalFormatting>
  <conditionalFormatting sqref="A5:A10">
    <cfRule type="expression" dxfId="31" priority="10">
      <formula>AND($J5&lt;&gt;"",$J5&lt;&gt;"mezeraKL")</formula>
    </cfRule>
  </conditionalFormatting>
  <conditionalFormatting sqref="H12:H20">
    <cfRule type="expression" dxfId="30" priority="5">
      <formula>$H12&gt;0</formula>
    </cfRule>
  </conditionalFormatting>
  <conditionalFormatting sqref="A12:A20">
    <cfRule type="expression" dxfId="29" priority="2">
      <formula>AND($J12&lt;&gt;"mezeraKL",$J12&lt;&gt;"")</formula>
    </cfRule>
  </conditionalFormatting>
  <conditionalFormatting sqref="I12:I20">
    <cfRule type="expression" dxfId="28" priority="6">
      <formula>$I12&gt;1</formula>
    </cfRule>
  </conditionalFormatting>
  <conditionalFormatting sqref="B12:B20">
    <cfRule type="expression" dxfId="27" priority="1">
      <formula>OR($J12="NS",$J12="SumaNS",$J12="Účet")</formula>
    </cfRule>
  </conditionalFormatting>
  <conditionalFormatting sqref="A12:D20 F12:I20">
    <cfRule type="expression" dxfId="26" priority="8">
      <formula>AND($J12&lt;&gt;"",$J12&lt;&gt;"mezeraKL")</formula>
    </cfRule>
  </conditionalFormatting>
  <conditionalFormatting sqref="B12:D20 F12:I20">
    <cfRule type="expression" dxfId="25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4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4" hidden="1" customWidth="1" outlineLevel="1"/>
    <col min="2" max="2" width="28.33203125" style="114" hidden="1" customWidth="1" outlineLevel="1"/>
    <col min="3" max="3" width="5.33203125" style="191" bestFit="1" customWidth="1" collapsed="1"/>
    <col min="4" max="4" width="18.77734375" style="195" customWidth="1"/>
    <col min="5" max="5" width="9" style="250" bestFit="1" customWidth="1"/>
    <col min="6" max="6" width="18.77734375" style="195" customWidth="1"/>
    <col min="7" max="7" width="5" style="191" customWidth="1"/>
    <col min="8" max="8" width="12.44140625" style="191" hidden="1" customWidth="1" outlineLevel="1"/>
    <col min="9" max="9" width="8.5546875" style="191" hidden="1" customWidth="1" outlineLevel="1"/>
    <col min="10" max="10" width="25.77734375" style="191" customWidth="1" collapsed="1"/>
    <col min="11" max="11" width="8.77734375" style="191" customWidth="1"/>
    <col min="12" max="13" width="7.77734375" style="189" customWidth="1"/>
    <col min="14" max="14" width="12.6640625" style="189" customWidth="1"/>
    <col min="15" max="16384" width="8.88671875" style="114"/>
  </cols>
  <sheetData>
    <row r="1" spans="1:14" ht="18.600000000000001" customHeight="1" thickBot="1" x14ac:dyDescent="0.4">
      <c r="A1" s="341" t="s">
        <v>136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</row>
    <row r="2" spans="1:14" ht="14.4" customHeight="1" thickBot="1" x14ac:dyDescent="0.35">
      <c r="A2" s="207" t="s">
        <v>242</v>
      </c>
      <c r="B2" s="62"/>
      <c r="C2" s="193"/>
      <c r="D2" s="193"/>
      <c r="E2" s="249"/>
      <c r="F2" s="193"/>
      <c r="G2" s="193"/>
      <c r="H2" s="193"/>
      <c r="I2" s="193"/>
      <c r="J2" s="193"/>
      <c r="K2" s="193"/>
      <c r="L2" s="194"/>
      <c r="M2" s="194"/>
      <c r="N2" s="194"/>
    </row>
    <row r="3" spans="1:14" ht="14.4" customHeight="1" thickBot="1" x14ac:dyDescent="0.35">
      <c r="A3" s="62"/>
      <c r="B3" s="62"/>
      <c r="C3" s="337"/>
      <c r="D3" s="338"/>
      <c r="E3" s="338"/>
      <c r="F3" s="338"/>
      <c r="G3" s="338"/>
      <c r="H3" s="338"/>
      <c r="I3" s="338"/>
      <c r="J3" s="339" t="s">
        <v>107</v>
      </c>
      <c r="K3" s="340"/>
      <c r="L3" s="84">
        <f>IF(M3&lt;&gt;0,N3/M3,0)</f>
        <v>111.49553656077555</v>
      </c>
      <c r="M3" s="84">
        <f>SUBTOTAL(9,M5:M1048576)</f>
        <v>303</v>
      </c>
      <c r="N3" s="85">
        <f>SUBTOTAL(9,N5:N1048576)</f>
        <v>33783.147577914991</v>
      </c>
    </row>
    <row r="4" spans="1:14" s="190" customFormat="1" ht="14.4" customHeight="1" thickBot="1" x14ac:dyDescent="0.35">
      <c r="A4" s="448" t="s">
        <v>4</v>
      </c>
      <c r="B4" s="449" t="s">
        <v>5</v>
      </c>
      <c r="C4" s="449" t="s">
        <v>0</v>
      </c>
      <c r="D4" s="449" t="s">
        <v>6</v>
      </c>
      <c r="E4" s="450" t="s">
        <v>7</v>
      </c>
      <c r="F4" s="449" t="s">
        <v>1</v>
      </c>
      <c r="G4" s="449" t="s">
        <v>8</v>
      </c>
      <c r="H4" s="449" t="s">
        <v>9</v>
      </c>
      <c r="I4" s="449" t="s">
        <v>10</v>
      </c>
      <c r="J4" s="451" t="s">
        <v>11</v>
      </c>
      <c r="K4" s="451" t="s">
        <v>12</v>
      </c>
      <c r="L4" s="452" t="s">
        <v>121</v>
      </c>
      <c r="M4" s="452" t="s">
        <v>13</v>
      </c>
      <c r="N4" s="453" t="s">
        <v>132</v>
      </c>
    </row>
    <row r="5" spans="1:14" ht="14.4" customHeight="1" x14ac:dyDescent="0.3">
      <c r="A5" s="456" t="s">
        <v>416</v>
      </c>
      <c r="B5" s="457" t="s">
        <v>417</v>
      </c>
      <c r="C5" s="458" t="s">
        <v>425</v>
      </c>
      <c r="D5" s="459" t="s">
        <v>426</v>
      </c>
      <c r="E5" s="460">
        <v>50113001</v>
      </c>
      <c r="F5" s="459" t="s">
        <v>430</v>
      </c>
      <c r="G5" s="458" t="s">
        <v>431</v>
      </c>
      <c r="H5" s="458">
        <v>100362</v>
      </c>
      <c r="I5" s="458">
        <v>362</v>
      </c>
      <c r="J5" s="458" t="s">
        <v>432</v>
      </c>
      <c r="K5" s="458" t="s">
        <v>433</v>
      </c>
      <c r="L5" s="461">
        <v>86.439999999999984</v>
      </c>
      <c r="M5" s="461">
        <v>3</v>
      </c>
      <c r="N5" s="462">
        <v>259.31999999999994</v>
      </c>
    </row>
    <row r="6" spans="1:14" ht="14.4" customHeight="1" x14ac:dyDescent="0.3">
      <c r="A6" s="463" t="s">
        <v>416</v>
      </c>
      <c r="B6" s="464" t="s">
        <v>417</v>
      </c>
      <c r="C6" s="465" t="s">
        <v>425</v>
      </c>
      <c r="D6" s="466" t="s">
        <v>426</v>
      </c>
      <c r="E6" s="467">
        <v>50113001</v>
      </c>
      <c r="F6" s="466" t="s">
        <v>430</v>
      </c>
      <c r="G6" s="465" t="s">
        <v>431</v>
      </c>
      <c r="H6" s="465">
        <v>196610</v>
      </c>
      <c r="I6" s="465">
        <v>96610</v>
      </c>
      <c r="J6" s="465" t="s">
        <v>434</v>
      </c>
      <c r="K6" s="465" t="s">
        <v>435</v>
      </c>
      <c r="L6" s="468">
        <v>46.39</v>
      </c>
      <c r="M6" s="468">
        <v>1</v>
      </c>
      <c r="N6" s="469">
        <v>46.39</v>
      </c>
    </row>
    <row r="7" spans="1:14" ht="14.4" customHeight="1" x14ac:dyDescent="0.3">
      <c r="A7" s="463" t="s">
        <v>416</v>
      </c>
      <c r="B7" s="464" t="s">
        <v>417</v>
      </c>
      <c r="C7" s="465" t="s">
        <v>425</v>
      </c>
      <c r="D7" s="466" t="s">
        <v>426</v>
      </c>
      <c r="E7" s="467">
        <v>50113001</v>
      </c>
      <c r="F7" s="466" t="s">
        <v>430</v>
      </c>
      <c r="G7" s="465" t="s">
        <v>431</v>
      </c>
      <c r="H7" s="465">
        <v>10561</v>
      </c>
      <c r="I7" s="465">
        <v>10561</v>
      </c>
      <c r="J7" s="465" t="s">
        <v>436</v>
      </c>
      <c r="K7" s="465" t="s">
        <v>437</v>
      </c>
      <c r="L7" s="468">
        <v>250.79999999999998</v>
      </c>
      <c r="M7" s="468">
        <v>1</v>
      </c>
      <c r="N7" s="469">
        <v>250.79999999999998</v>
      </c>
    </row>
    <row r="8" spans="1:14" ht="14.4" customHeight="1" x14ac:dyDescent="0.3">
      <c r="A8" s="463" t="s">
        <v>416</v>
      </c>
      <c r="B8" s="464" t="s">
        <v>417</v>
      </c>
      <c r="C8" s="465" t="s">
        <v>425</v>
      </c>
      <c r="D8" s="466" t="s">
        <v>426</v>
      </c>
      <c r="E8" s="467">
        <v>50113001</v>
      </c>
      <c r="F8" s="466" t="s">
        <v>430</v>
      </c>
      <c r="G8" s="465" t="s">
        <v>431</v>
      </c>
      <c r="H8" s="465">
        <v>156926</v>
      </c>
      <c r="I8" s="465">
        <v>56926</v>
      </c>
      <c r="J8" s="465" t="s">
        <v>436</v>
      </c>
      <c r="K8" s="465" t="s">
        <v>438</v>
      </c>
      <c r="L8" s="468">
        <v>48.399999999999991</v>
      </c>
      <c r="M8" s="468">
        <v>7</v>
      </c>
      <c r="N8" s="469">
        <v>338.79999999999995</v>
      </c>
    </row>
    <row r="9" spans="1:14" ht="14.4" customHeight="1" x14ac:dyDescent="0.3">
      <c r="A9" s="463" t="s">
        <v>416</v>
      </c>
      <c r="B9" s="464" t="s">
        <v>417</v>
      </c>
      <c r="C9" s="465" t="s">
        <v>425</v>
      </c>
      <c r="D9" s="466" t="s">
        <v>426</v>
      </c>
      <c r="E9" s="467">
        <v>50113001</v>
      </c>
      <c r="F9" s="466" t="s">
        <v>430</v>
      </c>
      <c r="G9" s="465" t="s">
        <v>431</v>
      </c>
      <c r="H9" s="465">
        <v>102477</v>
      </c>
      <c r="I9" s="465">
        <v>2477</v>
      </c>
      <c r="J9" s="465" t="s">
        <v>439</v>
      </c>
      <c r="K9" s="465" t="s">
        <v>440</v>
      </c>
      <c r="L9" s="468">
        <v>39.9</v>
      </c>
      <c r="M9" s="468">
        <v>1</v>
      </c>
      <c r="N9" s="469">
        <v>39.9</v>
      </c>
    </row>
    <row r="10" spans="1:14" ht="14.4" customHeight="1" x14ac:dyDescent="0.3">
      <c r="A10" s="463" t="s">
        <v>416</v>
      </c>
      <c r="B10" s="464" t="s">
        <v>417</v>
      </c>
      <c r="C10" s="465" t="s">
        <v>425</v>
      </c>
      <c r="D10" s="466" t="s">
        <v>426</v>
      </c>
      <c r="E10" s="467">
        <v>50113001</v>
      </c>
      <c r="F10" s="466" t="s">
        <v>430</v>
      </c>
      <c r="G10" s="465" t="s">
        <v>431</v>
      </c>
      <c r="H10" s="465">
        <v>117011</v>
      </c>
      <c r="I10" s="465">
        <v>17011</v>
      </c>
      <c r="J10" s="465" t="s">
        <v>441</v>
      </c>
      <c r="K10" s="465" t="s">
        <v>442</v>
      </c>
      <c r="L10" s="468">
        <v>145.64000000000001</v>
      </c>
      <c r="M10" s="468">
        <v>1</v>
      </c>
      <c r="N10" s="469">
        <v>145.64000000000001</v>
      </c>
    </row>
    <row r="11" spans="1:14" ht="14.4" customHeight="1" x14ac:dyDescent="0.3">
      <c r="A11" s="463" t="s">
        <v>416</v>
      </c>
      <c r="B11" s="464" t="s">
        <v>417</v>
      </c>
      <c r="C11" s="465" t="s">
        <v>425</v>
      </c>
      <c r="D11" s="466" t="s">
        <v>426</v>
      </c>
      <c r="E11" s="467">
        <v>50113001</v>
      </c>
      <c r="F11" s="466" t="s">
        <v>430</v>
      </c>
      <c r="G11" s="465" t="s">
        <v>431</v>
      </c>
      <c r="H11" s="465">
        <v>900240</v>
      </c>
      <c r="I11" s="465">
        <v>0</v>
      </c>
      <c r="J11" s="465" t="s">
        <v>443</v>
      </c>
      <c r="K11" s="465" t="s">
        <v>418</v>
      </c>
      <c r="L11" s="468">
        <v>67.760017404687758</v>
      </c>
      <c r="M11" s="468">
        <v>1</v>
      </c>
      <c r="N11" s="469">
        <v>67.760017404687758</v>
      </c>
    </row>
    <row r="12" spans="1:14" ht="14.4" customHeight="1" x14ac:dyDescent="0.3">
      <c r="A12" s="463" t="s">
        <v>416</v>
      </c>
      <c r="B12" s="464" t="s">
        <v>417</v>
      </c>
      <c r="C12" s="465" t="s">
        <v>425</v>
      </c>
      <c r="D12" s="466" t="s">
        <v>426</v>
      </c>
      <c r="E12" s="467">
        <v>50113001</v>
      </c>
      <c r="F12" s="466" t="s">
        <v>430</v>
      </c>
      <c r="G12" s="465" t="s">
        <v>431</v>
      </c>
      <c r="H12" s="465">
        <v>849829</v>
      </c>
      <c r="I12" s="465">
        <v>162673</v>
      </c>
      <c r="J12" s="465" t="s">
        <v>444</v>
      </c>
      <c r="K12" s="465" t="s">
        <v>445</v>
      </c>
      <c r="L12" s="468">
        <v>56.14</v>
      </c>
      <c r="M12" s="468">
        <v>1</v>
      </c>
      <c r="N12" s="469">
        <v>56.14</v>
      </c>
    </row>
    <row r="13" spans="1:14" ht="14.4" customHeight="1" x14ac:dyDescent="0.3">
      <c r="A13" s="463" t="s">
        <v>416</v>
      </c>
      <c r="B13" s="464" t="s">
        <v>417</v>
      </c>
      <c r="C13" s="465" t="s">
        <v>425</v>
      </c>
      <c r="D13" s="466" t="s">
        <v>426</v>
      </c>
      <c r="E13" s="467">
        <v>50113001</v>
      </c>
      <c r="F13" s="466" t="s">
        <v>430</v>
      </c>
      <c r="G13" s="465" t="s">
        <v>431</v>
      </c>
      <c r="H13" s="465">
        <v>394712</v>
      </c>
      <c r="I13" s="465">
        <v>0</v>
      </c>
      <c r="J13" s="465" t="s">
        <v>446</v>
      </c>
      <c r="K13" s="465" t="s">
        <v>447</v>
      </c>
      <c r="L13" s="468">
        <v>23.7</v>
      </c>
      <c r="M13" s="468">
        <v>30</v>
      </c>
      <c r="N13" s="469">
        <v>711</v>
      </c>
    </row>
    <row r="14" spans="1:14" ht="14.4" customHeight="1" x14ac:dyDescent="0.3">
      <c r="A14" s="463" t="s">
        <v>416</v>
      </c>
      <c r="B14" s="464" t="s">
        <v>417</v>
      </c>
      <c r="C14" s="465" t="s">
        <v>425</v>
      </c>
      <c r="D14" s="466" t="s">
        <v>426</v>
      </c>
      <c r="E14" s="467">
        <v>50113001</v>
      </c>
      <c r="F14" s="466" t="s">
        <v>430</v>
      </c>
      <c r="G14" s="465" t="s">
        <v>431</v>
      </c>
      <c r="H14" s="465">
        <v>930444</v>
      </c>
      <c r="I14" s="465">
        <v>0</v>
      </c>
      <c r="J14" s="465" t="s">
        <v>448</v>
      </c>
      <c r="K14" s="465" t="s">
        <v>418</v>
      </c>
      <c r="L14" s="468">
        <v>37.434333333333335</v>
      </c>
      <c r="M14" s="468">
        <v>6</v>
      </c>
      <c r="N14" s="469">
        <v>224.60599999999999</v>
      </c>
    </row>
    <row r="15" spans="1:14" ht="14.4" customHeight="1" x14ac:dyDescent="0.3">
      <c r="A15" s="463" t="s">
        <v>416</v>
      </c>
      <c r="B15" s="464" t="s">
        <v>417</v>
      </c>
      <c r="C15" s="465" t="s">
        <v>425</v>
      </c>
      <c r="D15" s="466" t="s">
        <v>426</v>
      </c>
      <c r="E15" s="467">
        <v>50113001</v>
      </c>
      <c r="F15" s="466" t="s">
        <v>430</v>
      </c>
      <c r="G15" s="465" t="s">
        <v>431</v>
      </c>
      <c r="H15" s="465">
        <v>930224</v>
      </c>
      <c r="I15" s="465">
        <v>0</v>
      </c>
      <c r="J15" s="465" t="s">
        <v>449</v>
      </c>
      <c r="K15" s="465" t="s">
        <v>418</v>
      </c>
      <c r="L15" s="468">
        <v>104.73592472753917</v>
      </c>
      <c r="M15" s="468">
        <v>1</v>
      </c>
      <c r="N15" s="469">
        <v>104.73592472753917</v>
      </c>
    </row>
    <row r="16" spans="1:14" ht="14.4" customHeight="1" x14ac:dyDescent="0.3">
      <c r="A16" s="463" t="s">
        <v>416</v>
      </c>
      <c r="B16" s="464" t="s">
        <v>417</v>
      </c>
      <c r="C16" s="465" t="s">
        <v>425</v>
      </c>
      <c r="D16" s="466" t="s">
        <v>426</v>
      </c>
      <c r="E16" s="467">
        <v>50113001</v>
      </c>
      <c r="F16" s="466" t="s">
        <v>430</v>
      </c>
      <c r="G16" s="465" t="s">
        <v>431</v>
      </c>
      <c r="H16" s="465">
        <v>921454</v>
      </c>
      <c r="I16" s="465">
        <v>0</v>
      </c>
      <c r="J16" s="465" t="s">
        <v>450</v>
      </c>
      <c r="K16" s="465" t="s">
        <v>418</v>
      </c>
      <c r="L16" s="468">
        <v>37.388409392811901</v>
      </c>
      <c r="M16" s="468">
        <v>5</v>
      </c>
      <c r="N16" s="469">
        <v>186.9420469640595</v>
      </c>
    </row>
    <row r="17" spans="1:14" ht="14.4" customHeight="1" x14ac:dyDescent="0.3">
      <c r="A17" s="463" t="s">
        <v>416</v>
      </c>
      <c r="B17" s="464" t="s">
        <v>417</v>
      </c>
      <c r="C17" s="465" t="s">
        <v>425</v>
      </c>
      <c r="D17" s="466" t="s">
        <v>426</v>
      </c>
      <c r="E17" s="467">
        <v>50113001</v>
      </c>
      <c r="F17" s="466" t="s">
        <v>430</v>
      </c>
      <c r="G17" s="465" t="s">
        <v>431</v>
      </c>
      <c r="H17" s="465">
        <v>921244</v>
      </c>
      <c r="I17" s="465">
        <v>0</v>
      </c>
      <c r="J17" s="465" t="s">
        <v>451</v>
      </c>
      <c r="K17" s="465" t="s">
        <v>418</v>
      </c>
      <c r="L17" s="468">
        <v>64.721697607408984</v>
      </c>
      <c r="M17" s="468">
        <v>4</v>
      </c>
      <c r="N17" s="469">
        <v>258.88679042963594</v>
      </c>
    </row>
    <row r="18" spans="1:14" ht="14.4" customHeight="1" x14ac:dyDescent="0.3">
      <c r="A18" s="463" t="s">
        <v>416</v>
      </c>
      <c r="B18" s="464" t="s">
        <v>417</v>
      </c>
      <c r="C18" s="465" t="s">
        <v>425</v>
      </c>
      <c r="D18" s="466" t="s">
        <v>426</v>
      </c>
      <c r="E18" s="467">
        <v>50113001</v>
      </c>
      <c r="F18" s="466" t="s">
        <v>430</v>
      </c>
      <c r="G18" s="465" t="s">
        <v>431</v>
      </c>
      <c r="H18" s="465">
        <v>900513</v>
      </c>
      <c r="I18" s="465">
        <v>0</v>
      </c>
      <c r="J18" s="465" t="s">
        <v>452</v>
      </c>
      <c r="K18" s="465" t="s">
        <v>418</v>
      </c>
      <c r="L18" s="468">
        <v>62.449107830125946</v>
      </c>
      <c r="M18" s="468">
        <v>3</v>
      </c>
      <c r="N18" s="469">
        <v>187.34732349037785</v>
      </c>
    </row>
    <row r="19" spans="1:14" ht="14.4" customHeight="1" x14ac:dyDescent="0.3">
      <c r="A19" s="463" t="s">
        <v>416</v>
      </c>
      <c r="B19" s="464" t="s">
        <v>417</v>
      </c>
      <c r="C19" s="465" t="s">
        <v>425</v>
      </c>
      <c r="D19" s="466" t="s">
        <v>426</v>
      </c>
      <c r="E19" s="467">
        <v>50113001</v>
      </c>
      <c r="F19" s="466" t="s">
        <v>430</v>
      </c>
      <c r="G19" s="465" t="s">
        <v>431</v>
      </c>
      <c r="H19" s="465">
        <v>930589</v>
      </c>
      <c r="I19" s="465">
        <v>0</v>
      </c>
      <c r="J19" s="465" t="s">
        <v>453</v>
      </c>
      <c r="K19" s="465" t="s">
        <v>418</v>
      </c>
      <c r="L19" s="468">
        <v>104.76001345394502</v>
      </c>
      <c r="M19" s="468">
        <v>1</v>
      </c>
      <c r="N19" s="469">
        <v>104.76001345394502</v>
      </c>
    </row>
    <row r="20" spans="1:14" ht="14.4" customHeight="1" x14ac:dyDescent="0.3">
      <c r="A20" s="463" t="s">
        <v>416</v>
      </c>
      <c r="B20" s="464" t="s">
        <v>417</v>
      </c>
      <c r="C20" s="465" t="s">
        <v>425</v>
      </c>
      <c r="D20" s="466" t="s">
        <v>426</v>
      </c>
      <c r="E20" s="467">
        <v>50113001</v>
      </c>
      <c r="F20" s="466" t="s">
        <v>430</v>
      </c>
      <c r="G20" s="465" t="s">
        <v>431</v>
      </c>
      <c r="H20" s="465">
        <v>849383</v>
      </c>
      <c r="I20" s="465">
        <v>0</v>
      </c>
      <c r="J20" s="465" t="s">
        <v>454</v>
      </c>
      <c r="K20" s="465" t="s">
        <v>418</v>
      </c>
      <c r="L20" s="468">
        <v>189.31401839614128</v>
      </c>
      <c r="M20" s="468">
        <v>1</v>
      </c>
      <c r="N20" s="469">
        <v>189.31401839614128</v>
      </c>
    </row>
    <row r="21" spans="1:14" ht="14.4" customHeight="1" x14ac:dyDescent="0.3">
      <c r="A21" s="463" t="s">
        <v>416</v>
      </c>
      <c r="B21" s="464" t="s">
        <v>417</v>
      </c>
      <c r="C21" s="465" t="s">
        <v>425</v>
      </c>
      <c r="D21" s="466" t="s">
        <v>426</v>
      </c>
      <c r="E21" s="467">
        <v>50113001</v>
      </c>
      <c r="F21" s="466" t="s">
        <v>430</v>
      </c>
      <c r="G21" s="465" t="s">
        <v>431</v>
      </c>
      <c r="H21" s="465">
        <v>900857</v>
      </c>
      <c r="I21" s="465">
        <v>0</v>
      </c>
      <c r="J21" s="465" t="s">
        <v>455</v>
      </c>
      <c r="K21" s="465" t="s">
        <v>418</v>
      </c>
      <c r="L21" s="468">
        <v>217.29841975587033</v>
      </c>
      <c r="M21" s="468">
        <v>6</v>
      </c>
      <c r="N21" s="469">
        <v>1303.790518535222</v>
      </c>
    </row>
    <row r="22" spans="1:14" ht="14.4" customHeight="1" x14ac:dyDescent="0.3">
      <c r="A22" s="463" t="s">
        <v>416</v>
      </c>
      <c r="B22" s="464" t="s">
        <v>417</v>
      </c>
      <c r="C22" s="465" t="s">
        <v>425</v>
      </c>
      <c r="D22" s="466" t="s">
        <v>426</v>
      </c>
      <c r="E22" s="467">
        <v>50113001</v>
      </c>
      <c r="F22" s="466" t="s">
        <v>430</v>
      </c>
      <c r="G22" s="465" t="s">
        <v>431</v>
      </c>
      <c r="H22" s="465">
        <v>930673</v>
      </c>
      <c r="I22" s="465">
        <v>0</v>
      </c>
      <c r="J22" s="465" t="s">
        <v>456</v>
      </c>
      <c r="K22" s="465" t="s">
        <v>457</v>
      </c>
      <c r="L22" s="468">
        <v>140.32903317143931</v>
      </c>
      <c r="M22" s="468">
        <v>2</v>
      </c>
      <c r="N22" s="469">
        <v>280.65806634287861</v>
      </c>
    </row>
    <row r="23" spans="1:14" ht="14.4" customHeight="1" x14ac:dyDescent="0.3">
      <c r="A23" s="463" t="s">
        <v>416</v>
      </c>
      <c r="B23" s="464" t="s">
        <v>417</v>
      </c>
      <c r="C23" s="465" t="s">
        <v>425</v>
      </c>
      <c r="D23" s="466" t="s">
        <v>426</v>
      </c>
      <c r="E23" s="467">
        <v>50113001</v>
      </c>
      <c r="F23" s="466" t="s">
        <v>430</v>
      </c>
      <c r="G23" s="465" t="s">
        <v>431</v>
      </c>
      <c r="H23" s="465">
        <v>930671</v>
      </c>
      <c r="I23" s="465">
        <v>0</v>
      </c>
      <c r="J23" s="465" t="s">
        <v>458</v>
      </c>
      <c r="K23" s="465" t="s">
        <v>457</v>
      </c>
      <c r="L23" s="468">
        <v>157.76408787917606</v>
      </c>
      <c r="M23" s="468">
        <v>4</v>
      </c>
      <c r="N23" s="469">
        <v>631.05635151670424</v>
      </c>
    </row>
    <row r="24" spans="1:14" ht="14.4" customHeight="1" x14ac:dyDescent="0.3">
      <c r="A24" s="463" t="s">
        <v>416</v>
      </c>
      <c r="B24" s="464" t="s">
        <v>417</v>
      </c>
      <c r="C24" s="465" t="s">
        <v>425</v>
      </c>
      <c r="D24" s="466" t="s">
        <v>426</v>
      </c>
      <c r="E24" s="467">
        <v>50113001</v>
      </c>
      <c r="F24" s="466" t="s">
        <v>430</v>
      </c>
      <c r="G24" s="465" t="s">
        <v>431</v>
      </c>
      <c r="H24" s="465">
        <v>930670</v>
      </c>
      <c r="I24" s="465">
        <v>0</v>
      </c>
      <c r="J24" s="465" t="s">
        <v>459</v>
      </c>
      <c r="K24" s="465" t="s">
        <v>457</v>
      </c>
      <c r="L24" s="468">
        <v>69.524405719671591</v>
      </c>
      <c r="M24" s="468">
        <v>5</v>
      </c>
      <c r="N24" s="469">
        <v>347.62202859835793</v>
      </c>
    </row>
    <row r="25" spans="1:14" ht="14.4" customHeight="1" x14ac:dyDescent="0.3">
      <c r="A25" s="463" t="s">
        <v>416</v>
      </c>
      <c r="B25" s="464" t="s">
        <v>417</v>
      </c>
      <c r="C25" s="465" t="s">
        <v>425</v>
      </c>
      <c r="D25" s="466" t="s">
        <v>426</v>
      </c>
      <c r="E25" s="467">
        <v>50113001</v>
      </c>
      <c r="F25" s="466" t="s">
        <v>430</v>
      </c>
      <c r="G25" s="465" t="s">
        <v>431</v>
      </c>
      <c r="H25" s="465">
        <v>930674</v>
      </c>
      <c r="I25" s="465">
        <v>0</v>
      </c>
      <c r="J25" s="465" t="s">
        <v>460</v>
      </c>
      <c r="K25" s="465" t="s">
        <v>418</v>
      </c>
      <c r="L25" s="468">
        <v>115.92889926499778</v>
      </c>
      <c r="M25" s="468">
        <v>22</v>
      </c>
      <c r="N25" s="469">
        <v>2550.4357838299511</v>
      </c>
    </row>
    <row r="26" spans="1:14" ht="14.4" customHeight="1" x14ac:dyDescent="0.3">
      <c r="A26" s="463" t="s">
        <v>416</v>
      </c>
      <c r="B26" s="464" t="s">
        <v>417</v>
      </c>
      <c r="C26" s="465" t="s">
        <v>425</v>
      </c>
      <c r="D26" s="466" t="s">
        <v>426</v>
      </c>
      <c r="E26" s="467">
        <v>50113001</v>
      </c>
      <c r="F26" s="466" t="s">
        <v>430</v>
      </c>
      <c r="G26" s="465" t="s">
        <v>431</v>
      </c>
      <c r="H26" s="465">
        <v>921272</v>
      </c>
      <c r="I26" s="465">
        <v>0</v>
      </c>
      <c r="J26" s="465" t="s">
        <v>461</v>
      </c>
      <c r="K26" s="465" t="s">
        <v>418</v>
      </c>
      <c r="L26" s="468">
        <v>147.64099510323794</v>
      </c>
      <c r="M26" s="468">
        <v>5</v>
      </c>
      <c r="N26" s="469">
        <v>738.20497551618973</v>
      </c>
    </row>
    <row r="27" spans="1:14" ht="14.4" customHeight="1" x14ac:dyDescent="0.3">
      <c r="A27" s="463" t="s">
        <v>416</v>
      </c>
      <c r="B27" s="464" t="s">
        <v>417</v>
      </c>
      <c r="C27" s="465" t="s">
        <v>425</v>
      </c>
      <c r="D27" s="466" t="s">
        <v>426</v>
      </c>
      <c r="E27" s="467">
        <v>50113001</v>
      </c>
      <c r="F27" s="466" t="s">
        <v>430</v>
      </c>
      <c r="G27" s="465" t="s">
        <v>431</v>
      </c>
      <c r="H27" s="465">
        <v>900321</v>
      </c>
      <c r="I27" s="465">
        <v>0</v>
      </c>
      <c r="J27" s="465" t="s">
        <v>462</v>
      </c>
      <c r="K27" s="465" t="s">
        <v>418</v>
      </c>
      <c r="L27" s="468">
        <v>91.427344126809984</v>
      </c>
      <c r="M27" s="468">
        <v>9</v>
      </c>
      <c r="N27" s="469">
        <v>822.84609714128987</v>
      </c>
    </row>
    <row r="28" spans="1:14" ht="14.4" customHeight="1" x14ac:dyDescent="0.3">
      <c r="A28" s="463" t="s">
        <v>416</v>
      </c>
      <c r="B28" s="464" t="s">
        <v>417</v>
      </c>
      <c r="C28" s="465" t="s">
        <v>425</v>
      </c>
      <c r="D28" s="466" t="s">
        <v>426</v>
      </c>
      <c r="E28" s="467">
        <v>50113001</v>
      </c>
      <c r="F28" s="466" t="s">
        <v>430</v>
      </c>
      <c r="G28" s="465" t="s">
        <v>431</v>
      </c>
      <c r="H28" s="465">
        <v>501065</v>
      </c>
      <c r="I28" s="465">
        <v>0</v>
      </c>
      <c r="J28" s="465" t="s">
        <v>463</v>
      </c>
      <c r="K28" s="465" t="s">
        <v>418</v>
      </c>
      <c r="L28" s="468">
        <v>62.388027215528133</v>
      </c>
      <c r="M28" s="468">
        <v>4</v>
      </c>
      <c r="N28" s="469">
        <v>249.55210886211253</v>
      </c>
    </row>
    <row r="29" spans="1:14" ht="14.4" customHeight="1" x14ac:dyDescent="0.3">
      <c r="A29" s="463" t="s">
        <v>416</v>
      </c>
      <c r="B29" s="464" t="s">
        <v>417</v>
      </c>
      <c r="C29" s="465" t="s">
        <v>425</v>
      </c>
      <c r="D29" s="466" t="s">
        <v>426</v>
      </c>
      <c r="E29" s="467">
        <v>50113001</v>
      </c>
      <c r="F29" s="466" t="s">
        <v>430</v>
      </c>
      <c r="G29" s="465" t="s">
        <v>431</v>
      </c>
      <c r="H29" s="465">
        <v>921241</v>
      </c>
      <c r="I29" s="465">
        <v>0</v>
      </c>
      <c r="J29" s="465" t="s">
        <v>464</v>
      </c>
      <c r="K29" s="465" t="s">
        <v>418</v>
      </c>
      <c r="L29" s="468">
        <v>143.00077502786135</v>
      </c>
      <c r="M29" s="468">
        <v>1</v>
      </c>
      <c r="N29" s="469">
        <v>143.00077502786135</v>
      </c>
    </row>
    <row r="30" spans="1:14" ht="14.4" customHeight="1" x14ac:dyDescent="0.3">
      <c r="A30" s="463" t="s">
        <v>416</v>
      </c>
      <c r="B30" s="464" t="s">
        <v>417</v>
      </c>
      <c r="C30" s="465" t="s">
        <v>425</v>
      </c>
      <c r="D30" s="466" t="s">
        <v>426</v>
      </c>
      <c r="E30" s="467">
        <v>50113001</v>
      </c>
      <c r="F30" s="466" t="s">
        <v>430</v>
      </c>
      <c r="G30" s="465" t="s">
        <v>431</v>
      </c>
      <c r="H30" s="465">
        <v>920355</v>
      </c>
      <c r="I30" s="465">
        <v>0</v>
      </c>
      <c r="J30" s="465" t="s">
        <v>465</v>
      </c>
      <c r="K30" s="465" t="s">
        <v>418</v>
      </c>
      <c r="L30" s="468">
        <v>40.701594778101338</v>
      </c>
      <c r="M30" s="468">
        <v>2</v>
      </c>
      <c r="N30" s="469">
        <v>81.403189556202676</v>
      </c>
    </row>
    <row r="31" spans="1:14" ht="14.4" customHeight="1" x14ac:dyDescent="0.3">
      <c r="A31" s="463" t="s">
        <v>416</v>
      </c>
      <c r="B31" s="464" t="s">
        <v>417</v>
      </c>
      <c r="C31" s="465" t="s">
        <v>425</v>
      </c>
      <c r="D31" s="466" t="s">
        <v>426</v>
      </c>
      <c r="E31" s="467">
        <v>50113001</v>
      </c>
      <c r="F31" s="466" t="s">
        <v>430</v>
      </c>
      <c r="G31" s="465" t="s">
        <v>431</v>
      </c>
      <c r="H31" s="465">
        <v>920380</v>
      </c>
      <c r="I31" s="465">
        <v>0</v>
      </c>
      <c r="J31" s="465" t="s">
        <v>466</v>
      </c>
      <c r="K31" s="465" t="s">
        <v>418</v>
      </c>
      <c r="L31" s="468">
        <v>314.21509790701077</v>
      </c>
      <c r="M31" s="468">
        <v>1</v>
      </c>
      <c r="N31" s="469">
        <v>314.21509790701077</v>
      </c>
    </row>
    <row r="32" spans="1:14" ht="14.4" customHeight="1" x14ac:dyDescent="0.3">
      <c r="A32" s="463" t="s">
        <v>416</v>
      </c>
      <c r="B32" s="464" t="s">
        <v>417</v>
      </c>
      <c r="C32" s="465" t="s">
        <v>425</v>
      </c>
      <c r="D32" s="466" t="s">
        <v>426</v>
      </c>
      <c r="E32" s="467">
        <v>50113001</v>
      </c>
      <c r="F32" s="466" t="s">
        <v>430</v>
      </c>
      <c r="G32" s="465" t="s">
        <v>431</v>
      </c>
      <c r="H32" s="465">
        <v>920376</v>
      </c>
      <c r="I32" s="465">
        <v>0</v>
      </c>
      <c r="J32" s="465" t="s">
        <v>467</v>
      </c>
      <c r="K32" s="465" t="s">
        <v>418</v>
      </c>
      <c r="L32" s="468">
        <v>66.715674524352124</v>
      </c>
      <c r="M32" s="468">
        <v>4</v>
      </c>
      <c r="N32" s="469">
        <v>266.8626980974085</v>
      </c>
    </row>
    <row r="33" spans="1:14" ht="14.4" customHeight="1" x14ac:dyDescent="0.3">
      <c r="A33" s="463" t="s">
        <v>416</v>
      </c>
      <c r="B33" s="464" t="s">
        <v>417</v>
      </c>
      <c r="C33" s="465" t="s">
        <v>425</v>
      </c>
      <c r="D33" s="466" t="s">
        <v>426</v>
      </c>
      <c r="E33" s="467">
        <v>50113001</v>
      </c>
      <c r="F33" s="466" t="s">
        <v>430</v>
      </c>
      <c r="G33" s="465" t="s">
        <v>431</v>
      </c>
      <c r="H33" s="465">
        <v>920377</v>
      </c>
      <c r="I33" s="465">
        <v>0</v>
      </c>
      <c r="J33" s="465" t="s">
        <v>468</v>
      </c>
      <c r="K33" s="465" t="s">
        <v>418</v>
      </c>
      <c r="L33" s="468">
        <v>92.702347362602566</v>
      </c>
      <c r="M33" s="468">
        <v>4</v>
      </c>
      <c r="N33" s="469">
        <v>370.80938945041026</v>
      </c>
    </row>
    <row r="34" spans="1:14" ht="14.4" customHeight="1" x14ac:dyDescent="0.3">
      <c r="A34" s="463" t="s">
        <v>416</v>
      </c>
      <c r="B34" s="464" t="s">
        <v>417</v>
      </c>
      <c r="C34" s="465" t="s">
        <v>425</v>
      </c>
      <c r="D34" s="466" t="s">
        <v>426</v>
      </c>
      <c r="E34" s="467">
        <v>50113001</v>
      </c>
      <c r="F34" s="466" t="s">
        <v>430</v>
      </c>
      <c r="G34" s="465" t="s">
        <v>431</v>
      </c>
      <c r="H34" s="465">
        <v>921453</v>
      </c>
      <c r="I34" s="465">
        <v>0</v>
      </c>
      <c r="J34" s="465" t="s">
        <v>469</v>
      </c>
      <c r="K34" s="465" t="s">
        <v>418</v>
      </c>
      <c r="L34" s="468">
        <v>61.698900326688133</v>
      </c>
      <c r="M34" s="468">
        <v>5</v>
      </c>
      <c r="N34" s="469">
        <v>308.49450163344068</v>
      </c>
    </row>
    <row r="35" spans="1:14" ht="14.4" customHeight="1" x14ac:dyDescent="0.3">
      <c r="A35" s="463" t="s">
        <v>416</v>
      </c>
      <c r="B35" s="464" t="s">
        <v>417</v>
      </c>
      <c r="C35" s="465" t="s">
        <v>425</v>
      </c>
      <c r="D35" s="466" t="s">
        <v>426</v>
      </c>
      <c r="E35" s="467">
        <v>50113001</v>
      </c>
      <c r="F35" s="466" t="s">
        <v>430</v>
      </c>
      <c r="G35" s="465" t="s">
        <v>431</v>
      </c>
      <c r="H35" s="465">
        <v>930417</v>
      </c>
      <c r="I35" s="465">
        <v>0</v>
      </c>
      <c r="J35" s="465" t="s">
        <v>470</v>
      </c>
      <c r="K35" s="465" t="s">
        <v>418</v>
      </c>
      <c r="L35" s="468">
        <v>114.46287207036816</v>
      </c>
      <c r="M35" s="468">
        <v>5</v>
      </c>
      <c r="N35" s="469">
        <v>572.31436035184083</v>
      </c>
    </row>
    <row r="36" spans="1:14" ht="14.4" customHeight="1" x14ac:dyDescent="0.3">
      <c r="A36" s="463" t="s">
        <v>416</v>
      </c>
      <c r="B36" s="464" t="s">
        <v>417</v>
      </c>
      <c r="C36" s="465" t="s">
        <v>425</v>
      </c>
      <c r="D36" s="466" t="s">
        <v>426</v>
      </c>
      <c r="E36" s="467">
        <v>50113001</v>
      </c>
      <c r="F36" s="466" t="s">
        <v>430</v>
      </c>
      <c r="G36" s="465" t="s">
        <v>431</v>
      </c>
      <c r="H36" s="465">
        <v>921230</v>
      </c>
      <c r="I36" s="465">
        <v>0</v>
      </c>
      <c r="J36" s="465" t="s">
        <v>471</v>
      </c>
      <c r="K36" s="465" t="s">
        <v>418</v>
      </c>
      <c r="L36" s="468">
        <v>39.062200820449078</v>
      </c>
      <c r="M36" s="468">
        <v>12</v>
      </c>
      <c r="N36" s="469">
        <v>468.74640984538894</v>
      </c>
    </row>
    <row r="37" spans="1:14" ht="14.4" customHeight="1" x14ac:dyDescent="0.3">
      <c r="A37" s="463" t="s">
        <v>416</v>
      </c>
      <c r="B37" s="464" t="s">
        <v>417</v>
      </c>
      <c r="C37" s="465" t="s">
        <v>425</v>
      </c>
      <c r="D37" s="466" t="s">
        <v>426</v>
      </c>
      <c r="E37" s="467">
        <v>50113001</v>
      </c>
      <c r="F37" s="466" t="s">
        <v>430</v>
      </c>
      <c r="G37" s="465" t="s">
        <v>431</v>
      </c>
      <c r="H37" s="465">
        <v>921403</v>
      </c>
      <c r="I37" s="465">
        <v>0</v>
      </c>
      <c r="J37" s="465" t="s">
        <v>472</v>
      </c>
      <c r="K37" s="465" t="s">
        <v>418</v>
      </c>
      <c r="L37" s="468">
        <v>44.563090836334965</v>
      </c>
      <c r="M37" s="468">
        <v>1</v>
      </c>
      <c r="N37" s="469">
        <v>44.563090836334965</v>
      </c>
    </row>
    <row r="38" spans="1:14" ht="14.4" customHeight="1" x14ac:dyDescent="0.3">
      <c r="A38" s="463" t="s">
        <v>416</v>
      </c>
      <c r="B38" s="464" t="s">
        <v>417</v>
      </c>
      <c r="C38" s="465" t="s">
        <v>425</v>
      </c>
      <c r="D38" s="466" t="s">
        <v>426</v>
      </c>
      <c r="E38" s="467">
        <v>50113001</v>
      </c>
      <c r="F38" s="466" t="s">
        <v>430</v>
      </c>
      <c r="G38" s="465" t="s">
        <v>431</v>
      </c>
      <c r="H38" s="465">
        <v>203092</v>
      </c>
      <c r="I38" s="465">
        <v>203092</v>
      </c>
      <c r="J38" s="465" t="s">
        <v>473</v>
      </c>
      <c r="K38" s="465" t="s">
        <v>474</v>
      </c>
      <c r="L38" s="468">
        <v>150.33625000000004</v>
      </c>
      <c r="M38" s="468">
        <v>8</v>
      </c>
      <c r="N38" s="469">
        <v>1202.6900000000003</v>
      </c>
    </row>
    <row r="39" spans="1:14" ht="14.4" customHeight="1" x14ac:dyDescent="0.3">
      <c r="A39" s="463" t="s">
        <v>416</v>
      </c>
      <c r="B39" s="464" t="s">
        <v>417</v>
      </c>
      <c r="C39" s="465" t="s">
        <v>425</v>
      </c>
      <c r="D39" s="466" t="s">
        <v>426</v>
      </c>
      <c r="E39" s="467">
        <v>50113001</v>
      </c>
      <c r="F39" s="466" t="s">
        <v>430</v>
      </c>
      <c r="G39" s="465" t="s">
        <v>431</v>
      </c>
      <c r="H39" s="465">
        <v>100498</v>
      </c>
      <c r="I39" s="465">
        <v>498</v>
      </c>
      <c r="J39" s="465" t="s">
        <v>475</v>
      </c>
      <c r="K39" s="465" t="s">
        <v>476</v>
      </c>
      <c r="L39" s="468">
        <v>108.75000000000003</v>
      </c>
      <c r="M39" s="468">
        <v>1</v>
      </c>
      <c r="N39" s="469">
        <v>108.75000000000003</v>
      </c>
    </row>
    <row r="40" spans="1:14" ht="14.4" customHeight="1" x14ac:dyDescent="0.3">
      <c r="A40" s="463" t="s">
        <v>416</v>
      </c>
      <c r="B40" s="464" t="s">
        <v>417</v>
      </c>
      <c r="C40" s="465" t="s">
        <v>425</v>
      </c>
      <c r="D40" s="466" t="s">
        <v>426</v>
      </c>
      <c r="E40" s="467">
        <v>50113001</v>
      </c>
      <c r="F40" s="466" t="s">
        <v>430</v>
      </c>
      <c r="G40" s="465" t="s">
        <v>431</v>
      </c>
      <c r="H40" s="465">
        <v>100499</v>
      </c>
      <c r="I40" s="465">
        <v>499</v>
      </c>
      <c r="J40" s="465" t="s">
        <v>475</v>
      </c>
      <c r="K40" s="465" t="s">
        <v>477</v>
      </c>
      <c r="L40" s="468">
        <v>113.18000000000004</v>
      </c>
      <c r="M40" s="468">
        <v>1</v>
      </c>
      <c r="N40" s="469">
        <v>113.18000000000004</v>
      </c>
    </row>
    <row r="41" spans="1:14" ht="14.4" customHeight="1" x14ac:dyDescent="0.3">
      <c r="A41" s="463" t="s">
        <v>416</v>
      </c>
      <c r="B41" s="464" t="s">
        <v>417</v>
      </c>
      <c r="C41" s="465" t="s">
        <v>425</v>
      </c>
      <c r="D41" s="466" t="s">
        <v>426</v>
      </c>
      <c r="E41" s="467">
        <v>50113001</v>
      </c>
      <c r="F41" s="466" t="s">
        <v>430</v>
      </c>
      <c r="G41" s="465" t="s">
        <v>431</v>
      </c>
      <c r="H41" s="465">
        <v>215978</v>
      </c>
      <c r="I41" s="465">
        <v>215978</v>
      </c>
      <c r="J41" s="465" t="s">
        <v>478</v>
      </c>
      <c r="K41" s="465" t="s">
        <v>479</v>
      </c>
      <c r="L41" s="468">
        <v>116.60333333333331</v>
      </c>
      <c r="M41" s="468">
        <v>3</v>
      </c>
      <c r="N41" s="469">
        <v>349.80999999999995</v>
      </c>
    </row>
    <row r="42" spans="1:14" ht="14.4" customHeight="1" x14ac:dyDescent="0.3">
      <c r="A42" s="463" t="s">
        <v>416</v>
      </c>
      <c r="B42" s="464" t="s">
        <v>417</v>
      </c>
      <c r="C42" s="465" t="s">
        <v>425</v>
      </c>
      <c r="D42" s="466" t="s">
        <v>426</v>
      </c>
      <c r="E42" s="467">
        <v>50113001</v>
      </c>
      <c r="F42" s="466" t="s">
        <v>430</v>
      </c>
      <c r="G42" s="465" t="s">
        <v>431</v>
      </c>
      <c r="H42" s="465">
        <v>100502</v>
      </c>
      <c r="I42" s="465">
        <v>502</v>
      </c>
      <c r="J42" s="465" t="s">
        <v>480</v>
      </c>
      <c r="K42" s="465" t="s">
        <v>481</v>
      </c>
      <c r="L42" s="468">
        <v>238.68000000000006</v>
      </c>
      <c r="M42" s="468">
        <v>1</v>
      </c>
      <c r="N42" s="469">
        <v>238.68000000000006</v>
      </c>
    </row>
    <row r="43" spans="1:14" ht="14.4" customHeight="1" x14ac:dyDescent="0.3">
      <c r="A43" s="463" t="s">
        <v>416</v>
      </c>
      <c r="B43" s="464" t="s">
        <v>417</v>
      </c>
      <c r="C43" s="465" t="s">
        <v>425</v>
      </c>
      <c r="D43" s="466" t="s">
        <v>426</v>
      </c>
      <c r="E43" s="467">
        <v>50113001</v>
      </c>
      <c r="F43" s="466" t="s">
        <v>430</v>
      </c>
      <c r="G43" s="465" t="s">
        <v>431</v>
      </c>
      <c r="H43" s="465">
        <v>100514</v>
      </c>
      <c r="I43" s="465">
        <v>514</v>
      </c>
      <c r="J43" s="465" t="s">
        <v>482</v>
      </c>
      <c r="K43" s="465" t="s">
        <v>483</v>
      </c>
      <c r="L43" s="468">
        <v>87.6</v>
      </c>
      <c r="M43" s="468">
        <v>5</v>
      </c>
      <c r="N43" s="469">
        <v>438</v>
      </c>
    </row>
    <row r="44" spans="1:14" ht="14.4" customHeight="1" x14ac:dyDescent="0.3">
      <c r="A44" s="463" t="s">
        <v>416</v>
      </c>
      <c r="B44" s="464" t="s">
        <v>417</v>
      </c>
      <c r="C44" s="465" t="s">
        <v>425</v>
      </c>
      <c r="D44" s="466" t="s">
        <v>426</v>
      </c>
      <c r="E44" s="467">
        <v>50113001</v>
      </c>
      <c r="F44" s="466" t="s">
        <v>430</v>
      </c>
      <c r="G44" s="465" t="s">
        <v>431</v>
      </c>
      <c r="H44" s="465">
        <v>100876</v>
      </c>
      <c r="I44" s="465">
        <v>876</v>
      </c>
      <c r="J44" s="465" t="s">
        <v>484</v>
      </c>
      <c r="K44" s="465" t="s">
        <v>485</v>
      </c>
      <c r="L44" s="468">
        <v>66.330000000000013</v>
      </c>
      <c r="M44" s="468">
        <v>2</v>
      </c>
      <c r="N44" s="469">
        <v>132.66000000000003</v>
      </c>
    </row>
    <row r="45" spans="1:14" ht="14.4" customHeight="1" x14ac:dyDescent="0.3">
      <c r="A45" s="463" t="s">
        <v>416</v>
      </c>
      <c r="B45" s="464" t="s">
        <v>417</v>
      </c>
      <c r="C45" s="465" t="s">
        <v>425</v>
      </c>
      <c r="D45" s="466" t="s">
        <v>426</v>
      </c>
      <c r="E45" s="467">
        <v>50113001</v>
      </c>
      <c r="F45" s="466" t="s">
        <v>430</v>
      </c>
      <c r="G45" s="465" t="s">
        <v>431</v>
      </c>
      <c r="H45" s="465">
        <v>185793</v>
      </c>
      <c r="I45" s="465">
        <v>136395</v>
      </c>
      <c r="J45" s="465" t="s">
        <v>486</v>
      </c>
      <c r="K45" s="465" t="s">
        <v>487</v>
      </c>
      <c r="L45" s="468">
        <v>190.79</v>
      </c>
      <c r="M45" s="468">
        <v>3</v>
      </c>
      <c r="N45" s="469">
        <v>572.37</v>
      </c>
    </row>
    <row r="46" spans="1:14" ht="14.4" customHeight="1" x14ac:dyDescent="0.3">
      <c r="A46" s="463" t="s">
        <v>416</v>
      </c>
      <c r="B46" s="464" t="s">
        <v>417</v>
      </c>
      <c r="C46" s="465" t="s">
        <v>425</v>
      </c>
      <c r="D46" s="466" t="s">
        <v>426</v>
      </c>
      <c r="E46" s="467">
        <v>50113001</v>
      </c>
      <c r="F46" s="466" t="s">
        <v>430</v>
      </c>
      <c r="G46" s="465" t="s">
        <v>431</v>
      </c>
      <c r="H46" s="465">
        <v>193109</v>
      </c>
      <c r="I46" s="465">
        <v>93109</v>
      </c>
      <c r="J46" s="465" t="s">
        <v>488</v>
      </c>
      <c r="K46" s="465" t="s">
        <v>489</v>
      </c>
      <c r="L46" s="468">
        <v>151.13218181818183</v>
      </c>
      <c r="M46" s="468">
        <v>110</v>
      </c>
      <c r="N46" s="469">
        <v>16624.54</v>
      </c>
    </row>
    <row r="47" spans="1:14" ht="14.4" customHeight="1" x14ac:dyDescent="0.3">
      <c r="A47" s="463" t="s">
        <v>416</v>
      </c>
      <c r="B47" s="464" t="s">
        <v>417</v>
      </c>
      <c r="C47" s="465" t="s">
        <v>425</v>
      </c>
      <c r="D47" s="466" t="s">
        <v>426</v>
      </c>
      <c r="E47" s="467">
        <v>50113001</v>
      </c>
      <c r="F47" s="466" t="s">
        <v>430</v>
      </c>
      <c r="G47" s="465" t="s">
        <v>431</v>
      </c>
      <c r="H47" s="465">
        <v>395294</v>
      </c>
      <c r="I47" s="465">
        <v>180306</v>
      </c>
      <c r="J47" s="465" t="s">
        <v>490</v>
      </c>
      <c r="K47" s="465" t="s">
        <v>491</v>
      </c>
      <c r="L47" s="468">
        <v>175.68800000000002</v>
      </c>
      <c r="M47" s="468">
        <v>5</v>
      </c>
      <c r="N47" s="469">
        <v>878.44</v>
      </c>
    </row>
    <row r="48" spans="1:14" ht="14.4" customHeight="1" x14ac:dyDescent="0.3">
      <c r="A48" s="463" t="s">
        <v>416</v>
      </c>
      <c r="B48" s="464" t="s">
        <v>417</v>
      </c>
      <c r="C48" s="465" t="s">
        <v>425</v>
      </c>
      <c r="D48" s="466" t="s">
        <v>426</v>
      </c>
      <c r="E48" s="467">
        <v>50113001</v>
      </c>
      <c r="F48" s="466" t="s">
        <v>430</v>
      </c>
      <c r="G48" s="465" t="s">
        <v>492</v>
      </c>
      <c r="H48" s="465">
        <v>131934</v>
      </c>
      <c r="I48" s="465">
        <v>31934</v>
      </c>
      <c r="J48" s="465" t="s">
        <v>493</v>
      </c>
      <c r="K48" s="465" t="s">
        <v>494</v>
      </c>
      <c r="L48" s="468">
        <v>49.819999999999993</v>
      </c>
      <c r="M48" s="468">
        <v>1</v>
      </c>
      <c r="N48" s="469">
        <v>49.819999999999993</v>
      </c>
    </row>
    <row r="49" spans="1:14" ht="14.4" customHeight="1" x14ac:dyDescent="0.3">
      <c r="A49" s="463" t="s">
        <v>416</v>
      </c>
      <c r="B49" s="464" t="s">
        <v>417</v>
      </c>
      <c r="C49" s="465" t="s">
        <v>425</v>
      </c>
      <c r="D49" s="466" t="s">
        <v>426</v>
      </c>
      <c r="E49" s="467">
        <v>50113001</v>
      </c>
      <c r="F49" s="466" t="s">
        <v>430</v>
      </c>
      <c r="G49" s="465" t="s">
        <v>431</v>
      </c>
      <c r="H49" s="465">
        <v>100643</v>
      </c>
      <c r="I49" s="465">
        <v>643</v>
      </c>
      <c r="J49" s="465" t="s">
        <v>495</v>
      </c>
      <c r="K49" s="465" t="s">
        <v>496</v>
      </c>
      <c r="L49" s="468">
        <v>63.640000000000008</v>
      </c>
      <c r="M49" s="468">
        <v>1</v>
      </c>
      <c r="N49" s="469">
        <v>63.640000000000008</v>
      </c>
    </row>
    <row r="50" spans="1:14" ht="14.4" customHeight="1" thickBot="1" x14ac:dyDescent="0.35">
      <c r="A50" s="470" t="s">
        <v>416</v>
      </c>
      <c r="B50" s="471" t="s">
        <v>417</v>
      </c>
      <c r="C50" s="472" t="s">
        <v>425</v>
      </c>
      <c r="D50" s="473" t="s">
        <v>426</v>
      </c>
      <c r="E50" s="474">
        <v>50113013</v>
      </c>
      <c r="F50" s="473" t="s">
        <v>497</v>
      </c>
      <c r="G50" s="472" t="s">
        <v>492</v>
      </c>
      <c r="H50" s="472">
        <v>105951</v>
      </c>
      <c r="I50" s="472">
        <v>5951</v>
      </c>
      <c r="J50" s="472" t="s">
        <v>498</v>
      </c>
      <c r="K50" s="472" t="s">
        <v>499</v>
      </c>
      <c r="L50" s="475">
        <v>114.55000000000003</v>
      </c>
      <c r="M50" s="475">
        <v>3</v>
      </c>
      <c r="N50" s="476">
        <v>343.65000000000009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4" customWidth="1"/>
    <col min="2" max="2" width="10" style="189" customWidth="1"/>
    <col min="3" max="3" width="5.5546875" style="192" customWidth="1"/>
    <col min="4" max="4" width="10.88671875" style="189" customWidth="1"/>
    <col min="5" max="5" width="5.5546875" style="192" customWidth="1"/>
    <col min="6" max="6" width="10.88671875" style="189" customWidth="1"/>
    <col min="7" max="16384" width="8.88671875" style="114"/>
  </cols>
  <sheetData>
    <row r="1" spans="1:6" ht="37.200000000000003" customHeight="1" thickBot="1" x14ac:dyDescent="0.4">
      <c r="A1" s="342" t="s">
        <v>137</v>
      </c>
      <c r="B1" s="343"/>
      <c r="C1" s="343"/>
      <c r="D1" s="343"/>
      <c r="E1" s="343"/>
      <c r="F1" s="343"/>
    </row>
    <row r="2" spans="1:6" ht="14.4" customHeight="1" thickBot="1" x14ac:dyDescent="0.35">
      <c r="A2" s="207" t="s">
        <v>242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4" t="s">
        <v>109</v>
      </c>
      <c r="C3" s="345"/>
      <c r="D3" s="346" t="s">
        <v>108</v>
      </c>
      <c r="E3" s="345"/>
      <c r="F3" s="72" t="s">
        <v>3</v>
      </c>
    </row>
    <row r="4" spans="1:6" ht="14.4" customHeight="1" thickBot="1" x14ac:dyDescent="0.35">
      <c r="A4" s="477" t="s">
        <v>122</v>
      </c>
      <c r="B4" s="478" t="s">
        <v>14</v>
      </c>
      <c r="C4" s="479" t="s">
        <v>2</v>
      </c>
      <c r="D4" s="478" t="s">
        <v>14</v>
      </c>
      <c r="E4" s="479" t="s">
        <v>2</v>
      </c>
      <c r="F4" s="480" t="s">
        <v>14</v>
      </c>
    </row>
    <row r="5" spans="1:6" ht="14.4" customHeight="1" thickBot="1" x14ac:dyDescent="0.35">
      <c r="A5" s="489" t="s">
        <v>500</v>
      </c>
      <c r="B5" s="454"/>
      <c r="C5" s="481">
        <v>0</v>
      </c>
      <c r="D5" s="454">
        <v>393.47000000000008</v>
      </c>
      <c r="E5" s="481">
        <v>1</v>
      </c>
      <c r="F5" s="455">
        <v>393.47000000000008</v>
      </c>
    </row>
    <row r="6" spans="1:6" ht="14.4" customHeight="1" thickBot="1" x14ac:dyDescent="0.35">
      <c r="A6" s="485" t="s">
        <v>3</v>
      </c>
      <c r="B6" s="486"/>
      <c r="C6" s="487">
        <v>0</v>
      </c>
      <c r="D6" s="486">
        <v>393.47000000000008</v>
      </c>
      <c r="E6" s="487">
        <v>1</v>
      </c>
      <c r="F6" s="488">
        <v>393.47000000000008</v>
      </c>
    </row>
    <row r="7" spans="1:6" ht="14.4" customHeight="1" thickBot="1" x14ac:dyDescent="0.35"/>
    <row r="8" spans="1:6" ht="14.4" customHeight="1" x14ac:dyDescent="0.3">
      <c r="A8" s="495" t="s">
        <v>501</v>
      </c>
      <c r="B8" s="461"/>
      <c r="C8" s="482">
        <v>0</v>
      </c>
      <c r="D8" s="461">
        <v>49.819999999999993</v>
      </c>
      <c r="E8" s="482">
        <v>1</v>
      </c>
      <c r="F8" s="462">
        <v>49.819999999999993</v>
      </c>
    </row>
    <row r="9" spans="1:6" ht="14.4" customHeight="1" thickBot="1" x14ac:dyDescent="0.35">
      <c r="A9" s="496" t="s">
        <v>502</v>
      </c>
      <c r="B9" s="492"/>
      <c r="C9" s="493">
        <v>0</v>
      </c>
      <c r="D9" s="492">
        <v>343.65000000000009</v>
      </c>
      <c r="E9" s="493">
        <v>1</v>
      </c>
      <c r="F9" s="494">
        <v>343.65000000000009</v>
      </c>
    </row>
    <row r="10" spans="1:6" ht="14.4" customHeight="1" thickBot="1" x14ac:dyDescent="0.35">
      <c r="A10" s="485" t="s">
        <v>3</v>
      </c>
      <c r="B10" s="486"/>
      <c r="C10" s="487">
        <v>0</v>
      </c>
      <c r="D10" s="486">
        <v>393.47000000000008</v>
      </c>
      <c r="E10" s="487">
        <v>1</v>
      </c>
      <c r="F10" s="488">
        <v>393.47000000000008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2018-03-27T14:11:51Z</dcterms:modified>
</cp:coreProperties>
</file>