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30CDA0C9-A905-4984-8CA7-95ECACF402CA}" xr6:coauthVersionLast="41" xr6:coauthVersionMax="41" xr10:uidLastSave="{00000000-0000-0000-0000-000000000000}"/>
  <bookViews>
    <workbookView xWindow="-120" yWindow="-120" windowWidth="29040" windowHeight="15840" tabRatio="930" xr2:uid="{00000000-000D-0000-FFFF-FFFF00000000}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Materiál Žádanky" sheetId="420" r:id="rId12"/>
    <sheet name="MŽ Detail" sheetId="403" r:id="rId13"/>
    <sheet name="Osobní náklady" sheetId="431" r:id="rId14"/>
    <sheet name="ON Data" sheetId="432" state="hidden" r:id="rId15"/>
    <sheet name="ZV Vykáz.-A" sheetId="344" r:id="rId16"/>
    <sheet name="ZV Vykáz.-A Lékaři" sheetId="429" r:id="rId17"/>
    <sheet name="ZV Vykáz.-A Detail" sheetId="345" r:id="rId18"/>
    <sheet name="ZV Vykáz.-A Det.Lék." sheetId="430" r:id="rId19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1" hidden="1">'Materiál Žádanky'!$A$4:$I$4</definedName>
    <definedName name="_xlnm._FilterDatabase" localSheetId="12" hidden="1">'MŽ Detail'!$A$4:$K$4</definedName>
    <definedName name="_xlnm._FilterDatabase" localSheetId="18" hidden="1">'ZV Vykáz.-A Det.Lék.'!$A$5:$S$5</definedName>
    <definedName name="_xlnm._FilterDatabase" localSheetId="17" hidden="1">'ZV Vykáz.-A Detail'!$A$5:$R$5</definedName>
    <definedName name="_xlnm._FilterDatabase" localSheetId="16" hidden="1">'ZV Vykáz.-A Lékaři'!$A$4:$A$5</definedName>
    <definedName name="doměsíce">'HI Graf'!$C$11</definedName>
    <definedName name="Obdobi" localSheetId="14">'ON Data'!$B$3:$B$16</definedName>
    <definedName name="Obdobi" localSheetId="13">'ON Data'!$B$3:$B$16</definedName>
    <definedName name="Obdob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2" i="431" l="1"/>
  <c r="M9" i="431"/>
  <c r="O15" i="431"/>
  <c r="Q13" i="431"/>
  <c r="E17" i="431"/>
  <c r="K19" i="431"/>
  <c r="N12" i="431"/>
  <c r="P18" i="431"/>
  <c r="C12" i="431"/>
  <c r="C20" i="431"/>
  <c r="D15" i="431"/>
  <c r="E10" i="431"/>
  <c r="E18" i="431"/>
  <c r="F13" i="431"/>
  <c r="F21" i="431"/>
  <c r="G16" i="431"/>
  <c r="H11" i="431"/>
  <c r="H19" i="431"/>
  <c r="I14" i="431"/>
  <c r="J9" i="431"/>
  <c r="J17" i="431"/>
  <c r="K12" i="431"/>
  <c r="K20" i="431"/>
  <c r="L15" i="431"/>
  <c r="M10" i="431"/>
  <c r="M18" i="431"/>
  <c r="N13" i="431"/>
  <c r="N21" i="431"/>
  <c r="O16" i="431"/>
  <c r="P11" i="431"/>
  <c r="P19" i="431"/>
  <c r="Q14" i="431"/>
  <c r="C13" i="431"/>
  <c r="C21" i="431"/>
  <c r="D16" i="431"/>
  <c r="E11" i="431"/>
  <c r="E19" i="431"/>
  <c r="F14" i="431"/>
  <c r="G9" i="431"/>
  <c r="G17" i="431"/>
  <c r="H12" i="431"/>
  <c r="H20" i="431"/>
  <c r="I15" i="431"/>
  <c r="J10" i="431"/>
  <c r="J18" i="431"/>
  <c r="K13" i="431"/>
  <c r="K21" i="431"/>
  <c r="L16" i="431"/>
  <c r="M11" i="431"/>
  <c r="M19" i="431"/>
  <c r="N14" i="431"/>
  <c r="O9" i="431"/>
  <c r="O17" i="431"/>
  <c r="P12" i="431"/>
  <c r="P20" i="431"/>
  <c r="Q15" i="431"/>
  <c r="C14" i="431"/>
  <c r="D9" i="431"/>
  <c r="D17" i="431"/>
  <c r="E12" i="431"/>
  <c r="E20" i="431"/>
  <c r="F15" i="431"/>
  <c r="G10" i="431"/>
  <c r="G18" i="431"/>
  <c r="H13" i="431"/>
  <c r="H21" i="431"/>
  <c r="I16" i="431"/>
  <c r="J11" i="431"/>
  <c r="J19" i="431"/>
  <c r="K14" i="431"/>
  <c r="L9" i="431"/>
  <c r="L17" i="431"/>
  <c r="M12" i="431"/>
  <c r="M20" i="431"/>
  <c r="N15" i="431"/>
  <c r="O10" i="431"/>
  <c r="O18" i="431"/>
  <c r="P13" i="431"/>
  <c r="P21" i="431"/>
  <c r="Q16" i="431"/>
  <c r="C15" i="431"/>
  <c r="D10" i="431"/>
  <c r="D18" i="431"/>
  <c r="E13" i="431"/>
  <c r="E21" i="431"/>
  <c r="G19" i="431"/>
  <c r="H14" i="431"/>
  <c r="I9" i="431"/>
  <c r="I17" i="431"/>
  <c r="J12" i="431"/>
  <c r="J20" i="431"/>
  <c r="K15" i="431"/>
  <c r="L10" i="431"/>
  <c r="M13" i="431"/>
  <c r="N16" i="431"/>
  <c r="O19" i="431"/>
  <c r="Q9" i="431"/>
  <c r="G11" i="431"/>
  <c r="M21" i="431"/>
  <c r="P14" i="431"/>
  <c r="F16" i="431"/>
  <c r="L18" i="431"/>
  <c r="O11" i="431"/>
  <c r="Q17" i="431"/>
  <c r="C16" i="431"/>
  <c r="D11" i="431"/>
  <c r="D19" i="431"/>
  <c r="E14" i="431"/>
  <c r="F9" i="431"/>
  <c r="F17" i="431"/>
  <c r="G12" i="431"/>
  <c r="G20" i="431"/>
  <c r="H15" i="431"/>
  <c r="I10" i="431"/>
  <c r="I18" i="431"/>
  <c r="J13" i="431"/>
  <c r="J21" i="431"/>
  <c r="K16" i="431"/>
  <c r="L11" i="431"/>
  <c r="L19" i="431"/>
  <c r="M14" i="431"/>
  <c r="N9" i="431"/>
  <c r="N17" i="431"/>
  <c r="O12" i="431"/>
  <c r="O20" i="431"/>
  <c r="P15" i="431"/>
  <c r="Q10" i="431"/>
  <c r="Q18" i="431"/>
  <c r="C9" i="431"/>
  <c r="C17" i="431"/>
  <c r="D12" i="431"/>
  <c r="D20" i="431"/>
  <c r="E15" i="431"/>
  <c r="F10" i="431"/>
  <c r="F18" i="431"/>
  <c r="G13" i="431"/>
  <c r="G21" i="431"/>
  <c r="H16" i="431"/>
  <c r="I11" i="431"/>
  <c r="I19" i="431"/>
  <c r="J14" i="431"/>
  <c r="K9" i="431"/>
  <c r="K17" i="431"/>
  <c r="L12" i="431"/>
  <c r="L20" i="431"/>
  <c r="M15" i="431"/>
  <c r="N10" i="431"/>
  <c r="N18" i="431"/>
  <c r="O13" i="431"/>
  <c r="O21" i="431"/>
  <c r="P16" i="431"/>
  <c r="Q11" i="431"/>
  <c r="Q19" i="431"/>
  <c r="C10" i="431"/>
  <c r="C18" i="431"/>
  <c r="D13" i="431"/>
  <c r="D21" i="431"/>
  <c r="E16" i="431"/>
  <c r="F11" i="431"/>
  <c r="F19" i="431"/>
  <c r="G14" i="431"/>
  <c r="H9" i="431"/>
  <c r="H17" i="431"/>
  <c r="I12" i="431"/>
  <c r="I20" i="431"/>
  <c r="J15" i="431"/>
  <c r="K10" i="431"/>
  <c r="K18" i="431"/>
  <c r="L13" i="431"/>
  <c r="L21" i="431"/>
  <c r="M16" i="431"/>
  <c r="N11" i="431"/>
  <c r="N19" i="431"/>
  <c r="O14" i="431"/>
  <c r="P9" i="431"/>
  <c r="P17" i="431"/>
  <c r="Q12" i="431"/>
  <c r="Q20" i="431"/>
  <c r="C11" i="431"/>
  <c r="C19" i="431"/>
  <c r="D14" i="431"/>
  <c r="E9" i="431"/>
  <c r="F20" i="431"/>
  <c r="G15" i="431"/>
  <c r="H10" i="431"/>
  <c r="H18" i="431"/>
  <c r="I13" i="431"/>
  <c r="I21" i="431"/>
  <c r="J16" i="431"/>
  <c r="K11" i="431"/>
  <c r="L14" i="431"/>
  <c r="M17" i="431"/>
  <c r="N20" i="431"/>
  <c r="P10" i="431"/>
  <c r="Q21" i="431"/>
  <c r="O8" i="431"/>
  <c r="M8" i="431"/>
  <c r="H8" i="431"/>
  <c r="J8" i="431"/>
  <c r="K8" i="431"/>
  <c r="G8" i="431"/>
  <c r="D8" i="431"/>
  <c r="P8" i="431"/>
  <c r="N8" i="431"/>
  <c r="I8" i="431"/>
  <c r="Q8" i="431"/>
  <c r="C8" i="431"/>
  <c r="E8" i="431"/>
  <c r="L8" i="431"/>
  <c r="F8" i="431"/>
  <c r="S21" i="431" l="1"/>
  <c r="R21" i="431"/>
  <c r="S20" i="431"/>
  <c r="R20" i="431"/>
  <c r="S12" i="431"/>
  <c r="R12" i="431"/>
  <c r="S19" i="431"/>
  <c r="R19" i="431"/>
  <c r="S11" i="431"/>
  <c r="R11" i="431"/>
  <c r="R18" i="431"/>
  <c r="S18" i="431"/>
  <c r="R10" i="431"/>
  <c r="S10" i="431"/>
  <c r="R17" i="431"/>
  <c r="S17" i="431"/>
  <c r="R9" i="431"/>
  <c r="S9" i="431"/>
  <c r="S16" i="431"/>
  <c r="R16" i="431"/>
  <c r="S15" i="431"/>
  <c r="R15" i="431"/>
  <c r="S14" i="431"/>
  <c r="R14" i="431"/>
  <c r="S13" i="431"/>
  <c r="R13" i="431"/>
  <c r="C6" i="43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D20" i="414" l="1"/>
  <c r="E20" i="414" s="1"/>
  <c r="D19" i="414"/>
  <c r="A24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s="1"/>
  <c r="J3" i="344" l="1"/>
  <c r="D18" i="414" s="1"/>
  <c r="C11" i="339"/>
  <c r="E19" i="414"/>
  <c r="A20" i="414"/>
  <c r="A19" i="414"/>
  <c r="A18" i="414"/>
  <c r="A9" i="414" l="1"/>
  <c r="A8" i="414"/>
  <c r="A7" i="414"/>
  <c r="A22" i="383" l="1"/>
  <c r="G3" i="429"/>
  <c r="F3" i="429"/>
  <c r="E3" i="429"/>
  <c r="D3" i="429"/>
  <c r="C3" i="429"/>
  <c r="B3" i="429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16" i="383" l="1"/>
  <c r="A11" i="383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3" i="414" l="1"/>
  <c r="D7" i="414"/>
  <c r="A16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1" i="414" l="1"/>
  <c r="A17" i="414"/>
  <c r="Z3" i="344" l="1"/>
  <c r="Y3" i="344"/>
  <c r="W3" i="344"/>
  <c r="AB3" i="344" s="1"/>
  <c r="V3" i="344"/>
  <c r="T3" i="344"/>
  <c r="AA3" i="344" s="1"/>
  <c r="Q3" i="344"/>
  <c r="P3" i="344"/>
  <c r="N3" i="344"/>
  <c r="M3" i="344"/>
  <c r="K3" i="344"/>
  <c r="G3" i="344"/>
  <c r="C3" i="344"/>
  <c r="B11" i="339"/>
  <c r="J11" i="339" s="1"/>
  <c r="S3" i="344" l="1"/>
  <c r="R3" i="344"/>
  <c r="I11" i="339"/>
  <c r="F11" i="339"/>
  <c r="H11" i="339" l="1"/>
  <c r="G11" i="339"/>
  <c r="A13" i="414"/>
  <c r="A14" i="414"/>
  <c r="A4" i="414"/>
  <c r="A6" i="339" l="1"/>
  <c r="A5" i="339"/>
  <c r="D4" i="414"/>
  <c r="C14" i="414"/>
  <c r="D14" i="414"/>
  <c r="C17" i="414"/>
  <c r="D17" i="414"/>
  <c r="D8" i="414" l="1"/>
  <c r="C13" i="414" l="1"/>
  <c r="C7" i="414"/>
  <c r="E18" i="414" l="1"/>
  <c r="E13" i="414"/>
  <c r="E7" i="414"/>
  <c r="E8" i="414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F12" i="339" s="1"/>
  <c r="B12" i="339"/>
  <c r="J12" i="339" s="1"/>
  <c r="P3" i="345"/>
  <c r="O3" i="345"/>
  <c r="R3" i="345" s="1"/>
  <c r="L3" i="345"/>
  <c r="Q3" i="345" s="1"/>
  <c r="K3" i="345"/>
  <c r="H3" i="345"/>
  <c r="G3" i="345"/>
  <c r="M3" i="387"/>
  <c r="K3" i="387" s="1"/>
  <c r="L3" i="387"/>
  <c r="J3" i="387"/>
  <c r="I3" i="387"/>
  <c r="G3" i="387"/>
  <c r="F3" i="387"/>
  <c r="N3" i="220"/>
  <c r="L3" i="220" s="1"/>
  <c r="C21" i="414"/>
  <c r="D21" i="414"/>
  <c r="H3" i="387" l="1"/>
  <c r="I12" i="339"/>
  <c r="I13" i="339" s="1"/>
  <c r="F13" i="339"/>
  <c r="E13" i="339"/>
  <c r="E15" i="339" s="1"/>
  <c r="H12" i="339"/>
  <c r="G12" i="339"/>
  <c r="A4" i="383"/>
  <c r="A23" i="383"/>
  <c r="A21" i="383"/>
  <c r="A18" i="383"/>
  <c r="A17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C4" i="414"/>
  <c r="D16" i="414"/>
  <c r="J13" i="339" l="1"/>
  <c r="B15" i="339"/>
  <c r="H13" i="339"/>
  <c r="F15" i="339"/>
  <c r="E14" i="414"/>
  <c r="E4" i="414"/>
  <c r="C6" i="340"/>
  <c r="D6" i="340" s="1"/>
  <c r="B4" i="340"/>
  <c r="G13" i="339"/>
  <c r="B13" i="340" l="1"/>
  <c r="B12" i="340"/>
  <c r="G15" i="339"/>
  <c r="H15" i="339"/>
  <c r="C4" i="340"/>
  <c r="E17" i="414"/>
  <c r="E21" i="414"/>
  <c r="D4" i="340"/>
  <c r="E6" i="340"/>
  <c r="C16" i="414"/>
  <c r="E16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<sst xmlns="http://schemas.openxmlformats.org/spreadsheetml/2006/main" count="10754" uniqueCount="2202">
  <si>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</si>
  <si>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</si>
  <si>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</si>
  <si>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</si>
  <si>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</si>
  <si>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</si>
  <si>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</si>
  <si>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</si>
  <si>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</si>
  <si>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</si>
  <si>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</si>
  <si>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</si>
  <si>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</si>
  <si>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</si>
  <si>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</si>
  <si>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</si>
  <si>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</si>
  <si>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</si>
  <si>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</si>
  <si>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</si>
  <si>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</si>
  <si>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</si>
  <si>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</si>
  <si>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</si>
  <si>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</si>
  <si>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</si>
  <si>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</si>
  <si>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</si>
  <si>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</si>
  <si>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</si>
  <si>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</si>
  <si>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</si>
  <si>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</si>
  <si>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</si>
  <si>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</si>
  <si>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</si>
  <si>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</si>
  <si>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</si>
  <si>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</si>
  <si>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</si>
  <si>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</si>
  <si>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</si>
  <si>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</si>
  <si>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</si>
  <si>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</si>
  <si>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</si>
  <si>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</si>
  <si>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</si>
  <si>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</si>
  <si>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</si>
  <si>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</si>
  <si>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</si>
  <si>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</si>
  <si>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</si>
  <si>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</si>
  <si>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</si>
  <si>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</si>
  <si>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</si>
  <si>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</si>
  <si>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</si>
  <si>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</si>
  <si>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</si>
  <si>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</si>
  <si>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</si>
  <si>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</si>
  <si>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</si>
  <si>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</si>
  <si>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</si>
  <si>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</si>
  <si>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</si>
  <si>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</si>
  <si>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</si>
  <si>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</si>
  <si>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</si>
  <si>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</si>
  <si>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</si>
  <si>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</si>
  <si>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</si>
  <si>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</si>
  <si>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</si>
  <si>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</si>
  <si>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</si>
  <si>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</si>
  <si>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</si>
  <si>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</si>
  <si>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</si>
  <si>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</si>
  <si>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</si>
  <si>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</si>
  <si>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</si>
  <si>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</si>
  <si>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</si>
  <si>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</si>
  <si>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</si>
  <si>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</si>
  <si>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</si>
  <si>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</si>
  <si>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</si>
  <si>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</si>
  <si>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</si>
  <si>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</si>
  <si>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</si>
  <si>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</si>
  <si>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</si>
  <si>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</si>
  <si>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</si>
  <si>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</si>
  <si>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</si>
  <si>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</si>
  <si>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</si>
  <si>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</si>
  <si>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</si>
  <si>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</si>
  <si>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</si>
  <si>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</si>
  <si>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</si>
  <si>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</si>
  <si>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</si>
  <si>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</si>
  <si>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</si>
  <si>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</si>
  <si>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</si>
  <si>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</si>
  <si>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</si>
  <si>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LŽ PL Detail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</si>
  <si>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</si>
  <si>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</si>
  <si>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</si>
  <si>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</si>
  <si>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</si>
  <si>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</si>
  <si>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</si>
  <si>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</si>
  <si>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</si>
  <si>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</si>
  <si>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</si>
  <si>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</si>
  <si>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</si>
  <si>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</si>
  <si>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</si>
  <si>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</si>
  <si>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</si>
  <si>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</si>
  <si>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</si>
  <si>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</si>
  <si>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</si>
  <si>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</si>
  <si>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</si>
  <si>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</si>
  <si>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</si>
  <si>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</si>
  <si>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</si>
  <si>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</si>
  <si>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</si>
  <si>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</si>
  <si>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</si>
  <si>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</si>
  <si>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</si>
  <si>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</si>
  <si>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</si>
  <si>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</si>
  <si>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</si>
  <si>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</si>
  <si>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</si>
  <si>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</si>
  <si>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</si>
  <si>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</si>
  <si>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</si>
  <si>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</si>
  <si>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</si>
  <si>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</si>
  <si>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</si>
  <si>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</si>
  <si>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</si>
  <si>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</si>
  <si>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</si>
  <si>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</si>
  <si>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</si>
  <si>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</si>
  <si>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</si>
  <si>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</si>
  <si>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</si>
  <si>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</si>
  <si>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% 2015</t>
  </si>
  <si>
    <t>§</t>
  </si>
  <si>
    <t>ZV Vykáz.-A Det.Lék.</t>
  </si>
  <si>
    <t>Rozdíl 2015</t>
  </si>
  <si>
    <t>Plnění 2015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</si>
  <si>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</si>
  <si>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</si>
  <si>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</si>
  <si>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</si>
  <si>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</si>
  <si>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</si>
  <si>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</si>
  <si>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</si>
  <si>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</si>
  <si>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</si>
  <si>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</si>
  <si>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</si>
  <si>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</si>
  <si>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</si>
  <si>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</si>
  <si>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</si>
  <si>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</si>
  <si>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</si>
  <si>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</si>
  <si>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</si>
  <si>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</si>
  <si>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</si>
  <si>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</si>
  <si>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</si>
  <si>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</si>
  <si>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</si>
  <si>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</si>
  <si>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</si>
  <si>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</si>
  <si>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</si>
  <si>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</si>
  <si>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</si>
  <si>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POMĚROVÉ  PLNĚNÍ = Rozpočet na rok 2018 celkem a 1/12  ročního rozpočtu, skutečnost daných měsíců a % plnění načítané skutečnosti do data k poměrné části rozpočtu do data.</t>
  </si>
  <si>
    <t>Rozpočet výnosů pro rok 2019 je stanoven jako 100% skutečnosti referenčního období (2018)</t>
  </si>
  <si>
    <t>01/2019</t>
  </si>
  <si>
    <t>02/2019</t>
  </si>
  <si>
    <t>03/2019</t>
  </si>
  <si>
    <t>04/2019</t>
  </si>
  <si>
    <t>05/2019</t>
  </si>
  <si>
    <t>06/2019</t>
  </si>
  <si>
    <t>07/2019</t>
  </si>
  <si>
    <t>08/2019</t>
  </si>
  <si>
    <t>09/2019</t>
  </si>
  <si>
    <t>10/2019</t>
  </si>
  <si>
    <t>11/2019</t>
  </si>
  <si>
    <t>12/2019</t>
  </si>
  <si>
    <t>Rozp. 2018            CELKEM</t>
  </si>
  <si>
    <t>Skut. 2018 CELKEM</t>
  </si>
  <si>
    <t>ROZDÍL  Skut. - Rozp. 2018</t>
  </si>
  <si>
    <t>% plnění rozp.2018</t>
  </si>
  <si>
    <t>Rozp.rok 2019</t>
  </si>
  <si>
    <t>Sk.v tis 2019</t>
  </si>
  <si>
    <t>ROZDÍL (Sk.do data - Rozp.do data 2019)</t>
  </si>
  <si>
    <t>% plnění (Skut.do data/Rozp.rok 2019)</t>
  </si>
  <si>
    <r>
      <t>Zpět na Obsah</t>
    </r>
    <r>
      <rPr>
        <sz val="9"/>
        <rFont val="Calibri"/>
        <family val="2"/>
        <charset val="238"/>
        <scheme val="minor"/>
      </rPr>
      <t xml:space="preserve"> | 1.-11.měsíc | Klinika zubního lékařství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</si>
  <si>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</si>
  <si>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</si>
  <si>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</si>
  <si>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</si>
  <si>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</si>
  <si>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</si>
  <si>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</si>
  <si>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</si>
  <si>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</si>
  <si>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50113013     léky - antibiotika (LEK)</t>
  </si>
  <si>
    <t>50113190     léky - medicinální plyny (sklad SVM)</t>
  </si>
  <si>
    <t>50115     Zdravotnické prostředky</t>
  </si>
  <si>
    <t>50115020     laboratorní diagnostika-LEK (Z501)</t>
  </si>
  <si>
    <t>--</t>
  </si>
  <si>
    <t>50115040     laboratorní materiál (Z505)</t>
  </si>
  <si>
    <t>50115050     obvazový materiál (Z502)</t>
  </si>
  <si>
    <t>50115060     ZPr - ostatní (Z503)</t>
  </si>
  <si>
    <t>50115064     ZPr - šicí materiál (Z529)</t>
  </si>
  <si>
    <t>50115065     ZPr - vpichovací materiál (Z530)</t>
  </si>
  <si>
    <t>50115067     ZPr - rukavice (Z532)</t>
  </si>
  <si>
    <t>50115079     ZPr - internzivní péče (Z542)</t>
  </si>
  <si>
    <t>50115090     ZPr - zubolékařský materiál (Z509)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</si>
  <si>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</si>
  <si>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</si>
  <si>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</si>
  <si>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</si>
  <si>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</si>
  <si>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</si>
  <si>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</si>
  <si>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50117009     spotřební materiál k ZPr. (sk.V21)</t>
  </si>
  <si>
    <t>50117011     obalový mat. pro sterilizaci (sk.V20)</t>
  </si>
  <si>
    <t>50117015     IT - spotřební materiál (sk. P37, 38, 48)</t>
  </si>
  <si>
    <t>50117020     všeob.mat. - nábytek (V30) do 1tis.</t>
  </si>
  <si>
    <t>50117021     všeob.mat. - hosp.přístr.a nářadí (V32) od 1tis do 2999,99</t>
  </si>
  <si>
    <t>50117022     všeob.mat. - kuchyň tech. (V33) od 1tis do 2999,99</t>
  </si>
  <si>
    <t>50117023     všeob.mat. - kancel.tech. (V34) od 1tis do 2999,99</t>
  </si>
  <si>
    <t>50117024     všeob.mat. - ostatní-vyjímky (V44) od 0,01 do 999,99</t>
  </si>
  <si>
    <t>50118     Náhradní díly</t>
  </si>
  <si>
    <t>50118002     ND - zdravot.techn.(sklad) (sk.Z39)</t>
  </si>
  <si>
    <t>50118003     ND - ostatní techn.(OSBTK, vč.metrologa)</t>
  </si>
  <si>
    <t>50118004     ND - zdravotní techn. (OSBTK, vč.metrologa)</t>
  </si>
  <si>
    <t>50118005     ND - výpoč. techn.(sklad) (sk.P47)</t>
  </si>
  <si>
    <t>50118006     ND - ZVIT (sk.B63)</t>
  </si>
  <si>
    <t>50118009     ND - ostatní technika (UTZ)</t>
  </si>
  <si>
    <t>50119     DDHM a textil</t>
  </si>
  <si>
    <t>50119077     OOPP a prádlo pro zaměstnance (sk.T14)</t>
  </si>
  <si>
    <t>50119090     OOPP pro pacienty a doprovod (sk.T11)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</si>
  <si>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</si>
  <si>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</si>
  <si>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</si>
  <si>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</si>
  <si>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</si>
  <si>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</si>
  <si>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</si>
  <si>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50210075     plyn</t>
  </si>
  <si>
    <t>51     Služby</t>
  </si>
  <si>
    <t>51102     Technika a stavby</t>
  </si>
  <si>
    <t>51102021     opravy zdravotnické techniky - OSBTK, vč.metrologa</t>
  </si>
  <si>
    <t>51102023     opravy ostatní techniky - OSBTK, vč.metrologa</t>
  </si>
  <si>
    <t>51102024     opravy - správa budov</t>
  </si>
  <si>
    <t>51102025     opravy - hl.energetik</t>
  </si>
  <si>
    <t>51102032     opravy zdravotnické techniky - UTZ</t>
  </si>
  <si>
    <t>51102033     opravy ostatní techniky - UTZ</t>
  </si>
  <si>
    <t>51102034     opravy ostatní techniky - ELSYS</t>
  </si>
  <si>
    <t>51201     Cestovné zaměstnanců-tuzemské</t>
  </si>
  <si>
    <t>51201000     cestovné z mezd</t>
  </si>
  <si>
    <t>51201001     cestovné tuzemské - OUC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</si>
  <si>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</si>
  <si>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</si>
  <si>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</si>
  <si>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</si>
  <si>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</si>
  <si>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51804005     náj. plynových lahví</t>
  </si>
  <si>
    <t>51805     Projekt. práce a inž. čin.</t>
  </si>
  <si>
    <t>51805001     průzkumné a projektové práce</t>
  </si>
  <si>
    <t>51806     Úklid, odpad, desinf., deratizace</t>
  </si>
  <si>
    <t>51806001     úklid. služby - paušál</t>
  </si>
  <si>
    <t>51806002     úklid. služby - více práce</t>
  </si>
  <si>
    <t>51806004     popl. za DDD a ostatní služby</t>
  </si>
  <si>
    <t>51806005     odpad (spalovna)</t>
  </si>
  <si>
    <t>51806007     praní prádla</t>
  </si>
  <si>
    <t>51808     Revize a smluvní servisy majetku</t>
  </si>
  <si>
    <t>51808007     revize, sml.servis - energetik</t>
  </si>
  <si>
    <t>51808008     revize, tech.kontroly, prev.prohl.- OSBTK</t>
  </si>
  <si>
    <t>51808009     revize, sml.servis PO - OBKR</t>
  </si>
  <si>
    <t>51808013     revize - kalibrace - metrolog</t>
  </si>
  <si>
    <t>51808018     smluvní servis - OSBTK</t>
  </si>
  <si>
    <t>51809     Náklady za poplatky na bankovní služby</t>
  </si>
  <si>
    <t>51809001     poplatky za vedení účtu</t>
  </si>
  <si>
    <t>51874     Ostatní služby</t>
  </si>
  <si>
    <t>51874001     ostatní služby - provozní</t>
  </si>
  <si>
    <t>51874010     ostatní služby - zdravotní</t>
  </si>
  <si>
    <t>51874011     zkoušky kvality</t>
  </si>
  <si>
    <t>51874018     propagace, reklama, tisk (TM)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</si>
  <si>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</si>
  <si>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</si>
  <si>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</si>
  <si>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</si>
  <si>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</si>
  <si>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</si>
  <si>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</si>
  <si>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</si>
  <si>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</si>
  <si>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</si>
  <si>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</si>
  <si>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</si>
  <si>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</si>
  <si>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</si>
  <si>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525     Jiné sociální pojištění</t>
  </si>
  <si>
    <t>52510     Jiné sociální pojištění</t>
  </si>
  <si>
    <t>52510000     pojištění zaměstnanců (čtvrtletně)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</si>
  <si>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</si>
  <si>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</si>
  <si>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</si>
  <si>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</si>
  <si>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</si>
  <si>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</si>
  <si>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</si>
  <si>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</si>
  <si>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</si>
  <si>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</si>
  <si>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54972     Školení, kongres.popl.tuzemské - lékaři (pouze OPMČ)</t>
  </si>
  <si>
    <t>54972000     školení, kongres.popl.tuzemské - lékaři (pouze OPMČ)</t>
  </si>
  <si>
    <t>54977     Registrační poplatky - kongresy zahraniční (pouze OPMČ)</t>
  </si>
  <si>
    <t>54977000     registrační poplatky - kongresy zahraniční 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</si>
  <si>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</si>
  <si>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</si>
  <si>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</si>
  <si>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</si>
  <si>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</si>
  <si>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</si>
  <si>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</si>
  <si>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</si>
  <si>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55120     ZC vyřazeného DM</t>
  </si>
  <si>
    <t>55120004     ZC DHM - zdravot.techn. z odpisů</t>
  </si>
  <si>
    <t>558     Náklady z drobného dlouhodobého majetku</t>
  </si>
  <si>
    <t>55801     DDHM zdravotnický a laboratorní</t>
  </si>
  <si>
    <t>55801001     DDHM - zdravotnické přístroje (sk.N_525)</t>
  </si>
  <si>
    <t>55801080     DDHM - zdravotnický a laboratorní (věcné dary)</t>
  </si>
  <si>
    <t>55802     DDHM - provozní</t>
  </si>
  <si>
    <t>55802001     DDHM - kuchyňské zařízení a nádobí (sk.V_26)</t>
  </si>
  <si>
    <t>55802002     DDHM - ostatní provozní technika (sk.V_35)</t>
  </si>
  <si>
    <t>55802003     DDHM - kacelářská technika (sk.V_37)</t>
  </si>
  <si>
    <t>55805     DDHM - inventář</t>
  </si>
  <si>
    <t>55805002     DDHM - nábytek (sk.V_31)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</si>
  <si>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</si>
  <si>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</si>
  <si>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</si>
  <si>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</si>
  <si>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</si>
  <si>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60210354     zdr.služby - cizinci</t>
  </si>
  <si>
    <t>60210359     zdr.služby - tuzemci (plastika atd. ...)</t>
  </si>
  <si>
    <t>60228     Zdr. výkony - VZP sledov.položky    OZPI</t>
  </si>
  <si>
    <t>60228109     výkony stomatologie</t>
  </si>
  <si>
    <t>60228190     výkony pojištěncům EHS</t>
  </si>
  <si>
    <t>60228191     výkony za cizince (mimo EHS)</t>
  </si>
  <si>
    <t>60229     Zdr. výkony - ZP sled.položky  OZPI</t>
  </si>
  <si>
    <t>60229201     výkony + mater. - ZP ma výkon</t>
  </si>
  <si>
    <t>60229202     výkony pojišť.EHS, výkony za cizinci (mimo EHS)</t>
  </si>
  <si>
    <t>60229209     výkony stomatologie</t>
  </si>
  <si>
    <t>60241     Odmítnutí vykázané péče     OZPI</t>
  </si>
  <si>
    <t>60241201     odmítnutí vykázané péče, receptů, poukázek PZt, Tr - ZP</t>
  </si>
  <si>
    <t>64     Jiné provozní výnosy</t>
  </si>
  <si>
    <t>648     Čerpání fondů</t>
  </si>
  <si>
    <t>64824     Čerpání FKSP</t>
  </si>
  <si>
    <t>64824048     čerpání z FKSP - peněžité dary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</si>
  <si>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</si>
  <si>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</si>
  <si>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</si>
  <si>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</si>
  <si>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64924442     telekom.služby, soukr. hovory</t>
  </si>
  <si>
    <t>64924459     školení, stáže, odb. semináře, konference</t>
  </si>
  <si>
    <t>64980     Věcné dary</t>
  </si>
  <si>
    <t>64980001     věcné dary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</si>
  <si>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</si>
  <si>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</si>
  <si>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</si>
  <si>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</si>
  <si>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</si>
  <si>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</si>
  <si>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</si>
  <si>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</si>
  <si>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79903003     výkony dopravy - nákladní</t>
  </si>
  <si>
    <t>79905     Distribuce prádle (stř.9412)</t>
  </si>
  <si>
    <t>79905001     režie - distribuce prádla (stř.9412)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</si>
  <si>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</si>
  <si>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</si>
  <si>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</si>
  <si>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</si>
  <si>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</si>
  <si>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</si>
  <si>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</si>
  <si>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</si>
  <si>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24</t>
  </si>
  <si>
    <t>ZUBNI: Klinika zubního lékařství</t>
  </si>
  <si>
    <t/>
  </si>
  <si>
    <t>50113001 - léky - paušál (LEK)</t>
  </si>
  <si>
    <t>50113013 - léky - antibiotika (LEK)</t>
  </si>
  <si>
    <t>50113190 - léky - medicinální plyny (sklad SVM)</t>
  </si>
  <si>
    <t>ZUBNI: Klinika zubního lékařství Celkem</t>
  </si>
  <si>
    <t>SumaKL</t>
  </si>
  <si>
    <t>2421</t>
  </si>
  <si>
    <t xml:space="preserve">ZUBNI: ambulance </t>
  </si>
  <si>
    <t>ZUBNI: ambulance  Celkem</t>
  </si>
  <si>
    <t>SumaNS</t>
  </si>
  <si>
    <t>mezeraNS</t>
  </si>
  <si>
    <t>léky - paušál (LEK)</t>
  </si>
  <si>
    <t>O</t>
  </si>
  <si>
    <t>0.9% W/V SODIUM CHLORIDE I.V.</t>
  </si>
  <si>
    <t>INJ 20X10ML</t>
  </si>
  <si>
    <t>ADRENALIN LECIVA</t>
  </si>
  <si>
    <t>INJ 5X1ML/1MG</t>
  </si>
  <si>
    <t>APAURIN</t>
  </si>
  <si>
    <t>INJ 10X2ML/10MG</t>
  </si>
  <si>
    <t>AQUA PRO INJECTIONE BRAUN</t>
  </si>
  <si>
    <t>INJ SOL 20X10ML-PLA</t>
  </si>
  <si>
    <t>ARDEANUTRISOL G 40</t>
  </si>
  <si>
    <t>400G/L INF SOL 20X80ML</t>
  </si>
  <si>
    <t>ATROPIN BIOTIKA 1MG</t>
  </si>
  <si>
    <t>INJ 10X1ML/1MG</t>
  </si>
  <si>
    <t>AULIN</t>
  </si>
  <si>
    <t>POR GRA SOL30SÁČKŮ</t>
  </si>
  <si>
    <t>GRA 15X100MG(SACKY)</t>
  </si>
  <si>
    <t>BUPIVACAINE GRINDEKS</t>
  </si>
  <si>
    <t>5MG/ML INJ SOL 5X10ML</t>
  </si>
  <si>
    <t>CARBOSORB</t>
  </si>
  <si>
    <t>320MG TBL NOB 20</t>
  </si>
  <si>
    <t>DIAZEPAM SLOVAKOFARMA</t>
  </si>
  <si>
    <t>5MG TBL NOB 20(1X20)</t>
  </si>
  <si>
    <t>DICYNONE 250</t>
  </si>
  <si>
    <t>INJ SOL 4X2ML/250MG</t>
  </si>
  <si>
    <t>DZ TRIXO LIND 500ML</t>
  </si>
  <si>
    <t>ECOLAV Výplach očí 100ml</t>
  </si>
  <si>
    <t>100 ml</t>
  </si>
  <si>
    <t>ELMEX GELEE</t>
  </si>
  <si>
    <t>STM GEL 1X25GM</t>
  </si>
  <si>
    <t>ENZYMEL INTENSIVE 35 GEL antimikrob. na dásně 30ml</t>
  </si>
  <si>
    <t>HYDROCORTISON VUAB 100 MG</t>
  </si>
  <si>
    <t>INJ PLV SOL 1X100MG</t>
  </si>
  <si>
    <t>CHLORID SODNÝ 0,9% BRAUN</t>
  </si>
  <si>
    <t>INF SOL 10X250MLPELAH</t>
  </si>
  <si>
    <t>INF SOL 10X500MLPELAH</t>
  </si>
  <si>
    <t>IBALGIN 400</t>
  </si>
  <si>
    <t>400MG TBL FLM 36</t>
  </si>
  <si>
    <t>400MG TBL FLM 48</t>
  </si>
  <si>
    <t>400MG TBL FLM 24</t>
  </si>
  <si>
    <t>INFADOLAN</t>
  </si>
  <si>
    <t>1600IU/G+300IU/G UNG 30G II</t>
  </si>
  <si>
    <t>IR  AQUA STERILE OPLACH.1x1000 ml ECOTAINER</t>
  </si>
  <si>
    <t>IR OPLACH</t>
  </si>
  <si>
    <t>KAMISTAD SENZITIV</t>
  </si>
  <si>
    <t>ORM GEL 1X10GM</t>
  </si>
  <si>
    <t>KL AQUA PURIF. KUL., FAG. 1 kg</t>
  </si>
  <si>
    <t>KL BENZINUM 150g v sirokohrdle lahvi</t>
  </si>
  <si>
    <t>KL BENZINUM 500 ml/330g HVLP</t>
  </si>
  <si>
    <t>KL BENZINUM 900ml/ 600g</t>
  </si>
  <si>
    <t>KL ETHANOL.C.BENZINO 10G</t>
  </si>
  <si>
    <t>KL ETHANOL.C.BENZINO 150G v sirokohrdle lahvi</t>
  </si>
  <si>
    <t>KL ETHANOL.C.BENZINO 200G</t>
  </si>
  <si>
    <t>KL ETHANOL.C.BENZINO 75G</t>
  </si>
  <si>
    <t>KL ETHANOLUM BENZ.DENAT. 500ml  /400g/</t>
  </si>
  <si>
    <t>KL ETHANOLUM BENZ.DENAT. SPRAY 100g</t>
  </si>
  <si>
    <t>KL CHLORHEXIDINI SOL. 0,1% 1000ml</t>
  </si>
  <si>
    <t>KL CHLORHEXIDINI SOL. 0,1% 200g</t>
  </si>
  <si>
    <t>v sirokohrdle lahvi</t>
  </si>
  <si>
    <t>KL CHLORHEXIDINI SOL. 0,1% 300 g</t>
  </si>
  <si>
    <t>KL CHLORHEXIDINI SOL. 0,2% 200 g</t>
  </si>
  <si>
    <t>KL CHLORNAN SODNÝ 1% 100g v sirokohrdle lahvi</t>
  </si>
  <si>
    <t>KL CHLORNAN SODNÝ 1% 300g v sirokohrdle lahvi</t>
  </si>
  <si>
    <t>KL JODOVY OLEJ 10G</t>
  </si>
  <si>
    <t>KL JODOVÝ OLEJ 30G</t>
  </si>
  <si>
    <t>KL PRIPRAVEK</t>
  </si>
  <si>
    <t>KL ROZTOK</t>
  </si>
  <si>
    <t>KL SIGNATURY</t>
  </si>
  <si>
    <t>KL SOL.ARG.NITR.10% 10G</t>
  </si>
  <si>
    <t>KL SOL.HYD.PEROX.3% 100G v sirokohrdle lahvi</t>
  </si>
  <si>
    <t>KL SOL.HYD.PEROX.3% 10G</t>
  </si>
  <si>
    <t>KL SOL.HYD.PEROX.3% 200G v sirokohrdle lahvi</t>
  </si>
  <si>
    <t>KL SOL.HYD.PEROX.3% 300G v sirokohrdle lahvi</t>
  </si>
  <si>
    <t>KL SOL.METHYLROS.CHL.1% 10G</t>
  </si>
  <si>
    <t>KL SOL.PHENOLI CAMPHOR. 10g</t>
  </si>
  <si>
    <t>KL SOL.ZINCI CHLOR.10% 10 g</t>
  </si>
  <si>
    <t>KL UNGUENTUM</t>
  </si>
  <si>
    <t>KL VASELINUM ALBUM, 100G</t>
  </si>
  <si>
    <t>KL VASELINUM ALBUM, 20G</t>
  </si>
  <si>
    <t>KL VASELINUM ALBUM, 30G</t>
  </si>
  <si>
    <t>KL VASELINUM ALBUM, 50G</t>
  </si>
  <si>
    <t>LIDOCAIN EGIS 10 %</t>
  </si>
  <si>
    <t>DRM SPR SOL 1X38GM</t>
  </si>
  <si>
    <t>MAGNESIUM SULFURICUM BBP 10%</t>
  </si>
  <si>
    <t>INJ 5X10ML 10%</t>
  </si>
  <si>
    <t>MAGNESIUM SULFURICUM BBP 20%</t>
  </si>
  <si>
    <t>200MG/ML INJ SOL 5X10ML</t>
  </si>
  <si>
    <t>MAGNOSOLV</t>
  </si>
  <si>
    <t>365MG POR GRA SOL SCC 30</t>
  </si>
  <si>
    <t>NATRIUM CHLORATUM BBP</t>
  </si>
  <si>
    <t>9MG/ML INJ SOL 10X10ML</t>
  </si>
  <si>
    <t>NATRIUM CHLORATUM BIOTIKA ISOT.</t>
  </si>
  <si>
    <t>INJ 10X5ML</t>
  </si>
  <si>
    <t>NIMESIL</t>
  </si>
  <si>
    <t>PORGRASUS30X100MG-S</t>
  </si>
  <si>
    <t>OXAZEPAM TBL.20X10MG</t>
  </si>
  <si>
    <t>TBL 20X10MG(BLISTR)</t>
  </si>
  <si>
    <t>PARALEN 500</t>
  </si>
  <si>
    <t>POR TBL NOB 24X500MG</t>
  </si>
  <si>
    <t>SEPTANEST S ADRENALINEM 1:200 000</t>
  </si>
  <si>
    <t>40MG/ML+5MCG/ML INJ SOL 50X1,7ML+BLISTR</t>
  </si>
  <si>
    <t>SUPRACAIN 4%</t>
  </si>
  <si>
    <t>INJ 10X2ML</t>
  </si>
  <si>
    <t>TANTUM VERDE</t>
  </si>
  <si>
    <t>1,5MG/ML GGR 240 ML</t>
  </si>
  <si>
    <t>P</t>
  </si>
  <si>
    <t>VENTOLIN INHALER N</t>
  </si>
  <si>
    <t>100MCG/DÁV INH SUS PSS 200DÁV</t>
  </si>
  <si>
    <t>VITAMIN B12 LECIVA 1000RG</t>
  </si>
  <si>
    <t>INJ 5X1ML/1000RG</t>
  </si>
  <si>
    <t>ZODAC</t>
  </si>
  <si>
    <t>TBL OBD 30X10MG</t>
  </si>
  <si>
    <t>léky - antibiotika (LEK)</t>
  </si>
  <si>
    <t>AMOKSIKLAV</t>
  </si>
  <si>
    <t>TBL OBD 21X625MG</t>
  </si>
  <si>
    <t>AMOKSIKLAV 1 G</t>
  </si>
  <si>
    <t>POR TBL FLM 21X1GM</t>
  </si>
  <si>
    <t>AMOKSIKLAV 1G</t>
  </si>
  <si>
    <t>TBL OBD 14X1GM</t>
  </si>
  <si>
    <t>DALACIN C 300 MG</t>
  </si>
  <si>
    <t>POR CPS DUR 16X300MG</t>
  </si>
  <si>
    <t>2421 - ZUBNI: ambulance</t>
  </si>
  <si>
    <t>R03AC02 - SALBUTAMOL</t>
  </si>
  <si>
    <t>R06AE07 - CETIRIZIN</t>
  </si>
  <si>
    <t>J01CR02 - AMOXICILIN A  INHIBITOR BETA-LAKTAMASY</t>
  </si>
  <si>
    <t>J01CR02</t>
  </si>
  <si>
    <t>5951</t>
  </si>
  <si>
    <t>875MG/125MG TBL FLM 14</t>
  </si>
  <si>
    <t>85525</t>
  </si>
  <si>
    <t>AMOKSIKLAV 625 MG</t>
  </si>
  <si>
    <t>500MG/125MG TBL FLM 21</t>
  </si>
  <si>
    <t>R03AC02</t>
  </si>
  <si>
    <t>31934</t>
  </si>
  <si>
    <t>R06AE07</t>
  </si>
  <si>
    <t>66030</t>
  </si>
  <si>
    <t>10MG TBL FLM 30</t>
  </si>
  <si>
    <t>Přehled plnění pozitivního listu - spotřeba léčivých přípravků - orientační přehled</t>
  </si>
  <si>
    <t>24 - ZUBNI: Klinika zubního lékařství</t>
  </si>
  <si>
    <t xml:space="preserve">2421 - ZUBNI: ambulance </t>
  </si>
  <si>
    <t>50115020 - laboratorní diagnostika-LEK (Z501)</t>
  </si>
  <si>
    <t>50115040 - laboratorní materiál (Z505)</t>
  </si>
  <si>
    <t>50115050 - obvazový materiál (Z502)</t>
  </si>
  <si>
    <t>50115060 - ZPr - ostatní (Z503)</t>
  </si>
  <si>
    <t>50115064 - ZPr - šicí materiál (Z529)</t>
  </si>
  <si>
    <t>50115065 - ZPr - vpichovací materiál (Z530)</t>
  </si>
  <si>
    <t>50115067 - ZPr - rukavice (Z532)</t>
  </si>
  <si>
    <t>50115079 - ZPr - internzivní péče (Z542)</t>
  </si>
  <si>
    <t>50115090 - ZPr - zubolékařský materiál (Z509)</t>
  </si>
  <si>
    <t>50115020</t>
  </si>
  <si>
    <t>laboratorní diagnostika-LEK (Z501)</t>
  </si>
  <si>
    <t>804536</t>
  </si>
  <si>
    <t xml:space="preserve">-Diagnostikum připr. </t>
  </si>
  <si>
    <t>50115040</t>
  </si>
  <si>
    <t>laboratorní materiál (Z505)</t>
  </si>
  <si>
    <t>ZR511</t>
  </si>
  <si>
    <t>Lahev reagenÄŤnĂ­ ĹˇirokohrdlĂˇ-prachovnice, ÄŤirĂˇ, sodno-draselnĂ© sklo, standardnĂ­ zĂˇbrus, se sklenÄ›nou zĂˇtkou,  objem 250 ml, vĂ˝Ĺˇka 128 mm, vnÄ›jĹˇĂ­ prĹŻmÄ›r 69 mm, NZ 34/24 VTRA632414104250</t>
  </si>
  <si>
    <t>ZC054</t>
  </si>
  <si>
    <t>VĂˇlec odmÄ›rnĂ˝ vysokĂ˝ sklo 100 ml d713880</t>
  </si>
  <si>
    <t>ZC078</t>
  </si>
  <si>
    <t>VĂˇlec odmÄ›rnĂ˝ vysokĂ˝ sklo 50 ml 710920</t>
  </si>
  <si>
    <t>50115050</t>
  </si>
  <si>
    <t>obvazový materiál (Z502)</t>
  </si>
  <si>
    <t>ZA616</t>
  </si>
  <si>
    <t>DrenĂˇĹľ zubnĂ­ sterilnĂ­ 1 x 6 cm 0360</t>
  </si>
  <si>
    <t>ZA603</t>
  </si>
  <si>
    <t>Kompresa gĂˇza 7,5 x 7,5 cm/2 ks sterilnĂ­ karton Ăˇ 1000 ks 26005</t>
  </si>
  <si>
    <t>ZD740</t>
  </si>
  <si>
    <t>Kompresa gĂˇza sterilkompres 7,5 x 7,5 cm/5 ks, 100% bavlna, sterilnĂ­ 1325019265(1230119225)</t>
  </si>
  <si>
    <t>ZA320</t>
  </si>
  <si>
    <t>Kompresa gáza 5 x 5 cm/100 ks nesterilní 06001</t>
  </si>
  <si>
    <t>ZA602</t>
  </si>
  <si>
    <t>Kompresa gáza 5,0 x 5,0 cm/2 ks sterilní karton á 1000 ks 26001</t>
  </si>
  <si>
    <t>Kompresa gáza 7,5 x 7,5 cm/2 ks sterilní karton á 1000 ks 26005</t>
  </si>
  <si>
    <t>Kompresa gáza sterilkompres 7,5 x 7,5 cm/5 ks, 100% bavlna, sterilní 1325019265(1230119225)</t>
  </si>
  <si>
    <t>ZC854</t>
  </si>
  <si>
    <t>Kompresa NT 7,5 x 7,5 cm/2 ks sterilní 26510</t>
  </si>
  <si>
    <t>ZN200</t>
  </si>
  <si>
    <t>KrytĂ­ hemostatickĂ© traumacel new dent kostky bal. Ăˇ 50 ks 10115</t>
  </si>
  <si>
    <t>Krytí hemostatické traumacel new dent kostky bal. á 50 ks 10115</t>
  </si>
  <si>
    <t>ZB404</t>
  </si>
  <si>
    <t>NĂˇplast cosmos 8 cm x 1 m 5403353</t>
  </si>
  <si>
    <t>ZA451</t>
  </si>
  <si>
    <t>NĂˇplast omniplast 5,0 cm x 9,2 m 9004540 (900429)</t>
  </si>
  <si>
    <t>ZB084</t>
  </si>
  <si>
    <t>NĂˇplast transpore 2,50 cm x 9,14 m 1527-1 - nahrazeno ZQ117</t>
  </si>
  <si>
    <t>Náplast cosmos 8 cm x 1 m 5403353</t>
  </si>
  <si>
    <t>ZN475</t>
  </si>
  <si>
    <t>Obinadlo elastickĂ© universal   8 cm x 5 m 1323100312</t>
  </si>
  <si>
    <t>ZN477</t>
  </si>
  <si>
    <t>Obinadlo elastickĂ© universal 12 cm x 5 m 1323100314</t>
  </si>
  <si>
    <t>ZL995</t>
  </si>
  <si>
    <t>Obinadlo hyrofilnĂ­ sterilnĂ­  6 cm x 5 m  004310190</t>
  </si>
  <si>
    <t>ZA487</t>
  </si>
  <si>
    <t>Obinadlo ideal Neo 12 cm x 5 m 9310040 (9310233)</t>
  </si>
  <si>
    <t>ZG538</t>
  </si>
  <si>
    <t>Obvaz ran po chir. zákrocích COE PACK 530315</t>
  </si>
  <si>
    <t>ZL999</t>
  </si>
  <si>
    <t>Rychloobvaz 8 x 4 cm 001445510</t>
  </si>
  <si>
    <t>ZA582</t>
  </si>
  <si>
    <t>Tampon sterilnĂ­ small bal. Ăˇ 100 ks 156760</t>
  </si>
  <si>
    <t>Tampon sterilní small bal. á 100 ks 156760</t>
  </si>
  <si>
    <t>ZA604</t>
  </si>
  <si>
    <t>Tyčinka vatová sterilní jednotlivě balalená bal. á 1000 ks 5100/SG/CS</t>
  </si>
  <si>
    <t>ZQ569</t>
  </si>
  <si>
    <t>Vata buniÄŤitĂˇ dÄ›lenĂˇ cellin 2 role / 500 ks 40 x 50 mm 1230206310</t>
  </si>
  <si>
    <t>ZA446</t>
  </si>
  <si>
    <t>Vata buniÄŤitĂˇ pĹ™Ă­Ĺ™ezy 20 x 30 cm 1230200129</t>
  </si>
  <si>
    <t>Vata buničitá dělená cellin 2 role / 500 ks 40 x 50 mm 1230206310</t>
  </si>
  <si>
    <t>Vata buničitá přířezy 20 x 30 cm 1230200129</t>
  </si>
  <si>
    <t>ZA090</t>
  </si>
  <si>
    <t>Vata buničitá přířezy 37 x 57 cm 2730152</t>
  </si>
  <si>
    <t>ZM000</t>
  </si>
  <si>
    <t>Vata obvazovĂˇ sklĂˇdanĂˇ 50 g 1102323</t>
  </si>
  <si>
    <t>50115060</t>
  </si>
  <si>
    <t>ZPr - ostatní (Z503)</t>
  </si>
  <si>
    <t>ZC752</t>
  </si>
  <si>
    <t>ÄŚepelka skalpelovĂˇ 15 BB515</t>
  </si>
  <si>
    <t>ZQ836</t>
  </si>
  <si>
    <t>ÄŚepelka skalpelovĂˇ fig.15c bal. Ăˇ 100 ks B397112910026</t>
  </si>
  <si>
    <t>Čepelka skalpelová 15 BB515</t>
  </si>
  <si>
    <t>Čepelka skalpelová fig.15c bal. á 100 ks B397112910026</t>
  </si>
  <si>
    <t>ZB844</t>
  </si>
  <si>
    <t>Esmarch - pryĹľovĂ© obinadlo 60 x 1250 KVS 06125</t>
  </si>
  <si>
    <t>ZE434</t>
  </si>
  <si>
    <t>Jehelec crile jemný provl. zámek ( vlož.sk.) 162 mm 397132060450</t>
  </si>
  <si>
    <t>ZH188</t>
  </si>
  <si>
    <t>Jehelec crile-wood tvrdokovovĂ˝ 150 mm b397132910142</t>
  </si>
  <si>
    <t>ZP078</t>
  </si>
  <si>
    <t>Kontejner 25 ml PP šroubový sterilní uzávěr 2680/EST/SG</t>
  </si>
  <si>
    <t>ZF549</t>
  </si>
  <si>
    <t>NĂˇĂşstek s filtrem vĂ˝mÄ›nnĂ˝ k plynu Entonox 1043178 (ref.828-0002)</t>
  </si>
  <si>
    <t>ZF159</t>
  </si>
  <si>
    <t>NĂˇdoba na kontaminovanĂ˝ odpad 1 l 15-0002</t>
  </si>
  <si>
    <t>ZE159</t>
  </si>
  <si>
    <t>NĂˇdoba na kontaminovanĂ˝ odpad 2 l 15-0003</t>
  </si>
  <si>
    <t>Nádoba na kontaminovaný odpad 1 l 15-0002</t>
  </si>
  <si>
    <t>Nádoba na kontaminovaný odpad 2 l 15-0003</t>
  </si>
  <si>
    <t>Náústek s filtrem výměnný k plynu Entonox 1043178 (ref.828-0002)</t>
  </si>
  <si>
    <t>ZQ138</t>
  </si>
  <si>
    <t>NĹŻĹľky chirurgickĂ© rovnĂ© hrotnatĂ© 150 mm TK-AJ 025-15</t>
  </si>
  <si>
    <t>ZQ137</t>
  </si>
  <si>
    <t>NĹŻĹľky chirurgickĂ© rovnĂ© hrtonatĂ© 130 mm TK-AJ 025-13</t>
  </si>
  <si>
    <t>ZQ140</t>
  </si>
  <si>
    <t>NĹŻĹľky oÄŤnĂ­ rovnĂ© 115 mm TK-AK 432-11</t>
  </si>
  <si>
    <t>ZM705</t>
  </si>
  <si>
    <t>Pinzeta zubnĂ­ s rĂ˝hovanou ÄŤelistĂ­ lomenĂˇ 157 mm 397114500021</t>
  </si>
  <si>
    <t>ZB923</t>
  </si>
  <si>
    <t>Sonda parodontologickĂˇ 133500106</t>
  </si>
  <si>
    <t>ZR395</t>
  </si>
  <si>
    <t>StĹ™Ă­kaÄŤka injekÄŤnĂ­ 2-dĂ­lnĂˇ 2 ml L DISCARDIT LC 300928</t>
  </si>
  <si>
    <t>ZA789</t>
  </si>
  <si>
    <t>StĹ™Ă­kaÄŤka injekÄŤnĂ­ 2-dĂ­lnĂˇ 2 ml L Inject Solo 4606027V</t>
  </si>
  <si>
    <t>StĹ™Ă­kaÄŤka injekÄŤnĂ­ 2-dĂ­lnĂˇ 2 ml L Inject Solo 4606027V  - povoleno pouze pro NOVOROZENECKĂ‰ ODD.</t>
  </si>
  <si>
    <t>StĹ™Ă­kaÄŤka injekÄŤnĂ­ 2-dĂ­lnĂˇ 2 ml L Inject Solo 4606027V - nahrazuje ZR395</t>
  </si>
  <si>
    <t>StĹ™Ă­kaÄŤka injekÄŤnĂ­ 2-dĂ­lnĂˇ 2 ml L Inject Solo 4606027V - povoleno pouze PRO NOVOROZENECKĂ‰ oddÄ›lenĂ­ a KNM</t>
  </si>
  <si>
    <t>ZR396</t>
  </si>
  <si>
    <t>StĹ™Ă­kaÄŤka injekÄŤnĂ­ 2-dĂ­lnĂˇ 5 ml L DISCARDIT LE 309050</t>
  </si>
  <si>
    <t>ZA790</t>
  </si>
  <si>
    <t>StĹ™Ă­kaÄŤka injekÄŤnĂ­ 2-dĂ­lnĂˇ 5 ml L Inject Solo4606051V</t>
  </si>
  <si>
    <t>StĹ™Ă­kaÄŤka injekÄŤnĂ­ 2-dĂ­lnĂˇ 5 ml L Inject Solo4606051V - nahrazuje ZR396</t>
  </si>
  <si>
    <t>ZA754</t>
  </si>
  <si>
    <t>StĹ™Ă­kaÄŤka injekÄŤnĂ­ 3-dĂ­lnĂˇ 10 ml LL Omnifix Solo se zĂˇvitem 4617100V</t>
  </si>
  <si>
    <t>ZA787</t>
  </si>
  <si>
    <t>Stříkačka injekční 2-dílná 10 ml L Inject Solo 4606108V</t>
  </si>
  <si>
    <t>Stříkačka injekční 2-dílná 2 ml L Inject Solo 4606027V</t>
  </si>
  <si>
    <t>Stříkačka injekční 2-dílná 5 ml L Inject Solo4606051V</t>
  </si>
  <si>
    <t>ZI179</t>
  </si>
  <si>
    <t>Zkumavka s mediem+ flovakovanĂ˝ tampon eSwab rĹŻĹľovĂ˝ nos,krk,vagina,koneÄŤnĂ­k,rĂˇny,fekĂˇlnĂ­ vzo) 490CE.A</t>
  </si>
  <si>
    <t>Zkumavka s mediem+ flovakovaný tampon eSwab růžový nos,krk,vagina,konečník,rány,fekální vzo) 490CE.A</t>
  </si>
  <si>
    <t>ZB830</t>
  </si>
  <si>
    <t>ZrcĂˇtko zubnĂ­ zvÄ›tĹˇovacĂ­ 24 mm B397122510020</t>
  </si>
  <si>
    <t>Zrcátko zubní zvětšovací 24 mm B397122510020</t>
  </si>
  <si>
    <t>50115064</t>
  </si>
  <si>
    <t>ZPr - šicí materiál (Z529)</t>
  </si>
  <si>
    <t>ZC992</t>
  </si>
  <si>
    <t>Ĺ itĂ­ dafilon modrĂ˝ 4/0 (1.5) bal. Ăˇ 36 ks C0932132</t>
  </si>
  <si>
    <t>ZP245</t>
  </si>
  <si>
    <t>Ĺ itĂ­ GLYCOLON violet HR 12 6/0 USP 45 cm bal. Ăˇ 24 ks PB40204</t>
  </si>
  <si>
    <t>ZJ018</t>
  </si>
  <si>
    <t>Ĺ itĂ­ chirlac pletenĂ˝ fialovĂ˝ 3/0 bal. Ăˇ 24 ks PG0257</t>
  </si>
  <si>
    <t>ZC151</t>
  </si>
  <si>
    <t>Ĺ itĂ­ novosyn quick undy 3/0 (2) bal. Ăˇ 36 ks C3046014</t>
  </si>
  <si>
    <t>ZH392</t>
  </si>
  <si>
    <t>Ĺ itĂ­ novosyn quick undy 3/0 (2) bal. Ăˇ 36 ks C3046030</t>
  </si>
  <si>
    <t>ZO353</t>
  </si>
  <si>
    <t>Ĺ itĂ­ PGA-RESORBA pletenĂ© potahovanĂ© syntetickĂ© vstĹ™ebatelnĂ© vlĂˇkno jehla HR 22 fialovĂˇ 3/0 70cm bal.Ăˇ 24 ks PA10211</t>
  </si>
  <si>
    <t>Šití dafilon modrý 4/0 (1.5) bal. á 36 ks C0932132</t>
  </si>
  <si>
    <t>ZB978</t>
  </si>
  <si>
    <t>Šití dafilon modrý 5/0 (1) bal. á 36 ks C0932124</t>
  </si>
  <si>
    <t>Šití GLYCOLON violet HR 12 6/0 USP 45 cm bal. á 24 ks PB40204</t>
  </si>
  <si>
    <t>Šití chirlac pletený fialový 3/0 bal. á 24 ks PG0257</t>
  </si>
  <si>
    <t>ZQ686</t>
  </si>
  <si>
    <t>Šití mopylen 2 x HRT 18, síla 5-0, délka 0,90 m, PP, nevstřebatelné, barva modrá, bal. á 36 ks 70612</t>
  </si>
  <si>
    <t>ZO354</t>
  </si>
  <si>
    <t>Šití PGA-RESORBA pletené potahované syntetické vstřebatelné vlákno jehla HR 22 fialová 4/0 70 cm bal. á 24 ks PA10210</t>
  </si>
  <si>
    <t>ZD447</t>
  </si>
  <si>
    <t>Šití premicron zelený 3/0 (2) bal. á 36 ks C0026025</t>
  </si>
  <si>
    <t>ZD984</t>
  </si>
  <si>
    <t>Šití silkam černý 2/0 (3) bal. á 36 ks C0764175</t>
  </si>
  <si>
    <t>ZB461</t>
  </si>
  <si>
    <t>Šití silkam černý 3/0 (2) bal. á 36 ks C0760307</t>
  </si>
  <si>
    <t>ZB443</t>
  </si>
  <si>
    <t>Šití silkam černý 4/0 (1.5) bal. á 36 ks C0760137</t>
  </si>
  <si>
    <t>ZD736</t>
  </si>
  <si>
    <t>Šití silkam černý 4/0 (1.5) bal. á 36 ks C0760293</t>
  </si>
  <si>
    <t>50115065</t>
  </si>
  <si>
    <t>ZPr - vpichovací materiál (Z530)</t>
  </si>
  <si>
    <t>ZA834</t>
  </si>
  <si>
    <t>Jehla injekÄŤnĂ­ 0,7 x 40 mm ÄŤernĂˇ 4660021</t>
  </si>
  <si>
    <t>ZA833</t>
  </si>
  <si>
    <t>Jehla injekÄŤnĂ­ 0,8 x 40 mm zelenĂˇ 4657527</t>
  </si>
  <si>
    <t>ZB556</t>
  </si>
  <si>
    <t>Jehla injekÄŤnĂ­ 1,2 x 40 mm rĹŻĹľovĂˇ 4665120</t>
  </si>
  <si>
    <t>Jehla injekční 0,7 x 40 mm černá 4660021</t>
  </si>
  <si>
    <t>Jehla injekční 0,8 x 40 mm zelená 4657527</t>
  </si>
  <si>
    <t>ZD515</t>
  </si>
  <si>
    <t>Jehla jednorĂˇzovĂˇ septoject modrĂˇ G30 0,3 x 25 mm Ăˇ 100 ks 0038505</t>
  </si>
  <si>
    <t>Jehla jednorázová septoject modrá G30 0,3 x 25 mm á 100 ks 0038505</t>
  </si>
  <si>
    <t>ZA360</t>
  </si>
  <si>
    <t>Jehla sterican 0,5 x 25 mm oranĹľovĂˇ 9186158</t>
  </si>
  <si>
    <t>Jehla sterican 0,5 x 25 mm oranžová 9186158</t>
  </si>
  <si>
    <t>50115067</t>
  </si>
  <si>
    <t>ZPr - rukavice (Z532)</t>
  </si>
  <si>
    <t>ZK474</t>
  </si>
  <si>
    <t>Rukavice operaÄŤnĂ­ latex s pudrem sterilnĂ­ ansell, vasco surgical powderet vel. 6,5 6035518 (303503)</t>
  </si>
  <si>
    <t>ZK475</t>
  </si>
  <si>
    <t>Rukavice operaÄŤnĂ­ latex s pudrem sterilnĂ­ ansell, vasco surgical powderet vel. 7 6035526 (303504EU)</t>
  </si>
  <si>
    <t>ZK476</t>
  </si>
  <si>
    <t>Rukavice operaÄŤnĂ­ latex s pudrem sterilnĂ­ ansell, vasco surgical powderet vel. 7,5 6035534</t>
  </si>
  <si>
    <t>ZK477</t>
  </si>
  <si>
    <t>Rukavice operaÄŤnĂ­ latex s pudrem sterilnĂ­ ansell, vasco surgical powderet vel. 8 6035542 (303506EU)</t>
  </si>
  <si>
    <t>ZK473</t>
  </si>
  <si>
    <t>Rukavice operační latex s pudrem sterilní ansell medigrip plus vel. 6,0 6035500</t>
  </si>
  <si>
    <t>Rukavice operační latex s pudrem sterilní ansell, vasco surgical powderet vel. 7 6035526 (303504EU)</t>
  </si>
  <si>
    <t>Rukavice operační latex s pudrem sterilní ansell, vasco surgical powderet vel. 7,5 6035534</t>
  </si>
  <si>
    <t>Rukavice operační latex s pudrem sterilní ansell, vasco surgical powderet vel. 8 6035542 (303506EU)</t>
  </si>
  <si>
    <t>ZC063</t>
  </si>
  <si>
    <t>Rukavice vyĹˇetĹ™ovacĂ­ latex bez pudru nesterilnĂ­ M 9421615 - povoleno pouze pro ĂšÄŚOCH a KZL</t>
  </si>
  <si>
    <t>ZP363</t>
  </si>
  <si>
    <t>Rukavice vyĹˇetĹ™ovacĂ­ latex bez pudru nesterilnĂ­ superlife XS bal. Ăˇ 100 ks 8951480 - povoleno pouze pro ĂšÄŚOCH a KZL</t>
  </si>
  <si>
    <t>ZA568</t>
  </si>
  <si>
    <t>Rukavice vyĹˇetĹ™ovacĂ­ latex s pudrem nesterilnĂ­ premium  XS bal. Ăˇ 100 ks 1016863 - povoleno pouze pro ĂšÄŚOCH a KZL</t>
  </si>
  <si>
    <t>ZK098</t>
  </si>
  <si>
    <t>Rukavice vyĹˇetĹ™ovacĂ­ latex s pudrem nesterilnĂ­ superlife L bal. Ăˇ 100 ks 8951473 - povoleno pouze pro ĂšÄŚOCH a KZL</t>
  </si>
  <si>
    <t>ZP181</t>
  </si>
  <si>
    <t>Rukavice vyĹˇetĹ™ovacĂ­ latex s pudrem nesterilnĂ­ superlife M bal. Ăˇ 100 ks 8951472 - povoleno pouze pro ĂšÄŚOCH a KZL</t>
  </si>
  <si>
    <t>ZP111</t>
  </si>
  <si>
    <t>Rukavice vyĹˇetĹ™ovacĂ­ latex s pudrem nesterilnĂ­ superlife S bal. Ăˇ 100 ks 8951471 - povoleno pouze pro ĂšÄŚOCH a KZL</t>
  </si>
  <si>
    <t>ZP948</t>
  </si>
  <si>
    <t>Rukavice vyĹˇetĹ™ovacĂ­ nitril basic bez pudru modrĂ© L bal. Ăˇ 200 ks 44752</t>
  </si>
  <si>
    <t>ZP947</t>
  </si>
  <si>
    <t>Rukavice vyĹˇetĹ™ovacĂ­ nitril basic bez pudru modrĂ© M bal. Ăˇ 200 ks 44751</t>
  </si>
  <si>
    <t>ZP946</t>
  </si>
  <si>
    <t>Rukavice vyĹˇetĹ™ovacĂ­ nitril basic bez pudru modrĂ© S bal. Ăˇ 200 ks 44750</t>
  </si>
  <si>
    <t>ZP949</t>
  </si>
  <si>
    <t>Rukavice vyĹˇetĹ™ovacĂ­ nitril basic bez pudru modrĂ© XL bal. Ăˇ 170 ks 44753</t>
  </si>
  <si>
    <t>ZA034</t>
  </si>
  <si>
    <t>Rukavice vyĹˇetĹ™ovacĂ­ nitril bez pudru nesterilnĂ­ sempercare  XS bal. Ăˇ 200 ks 32615</t>
  </si>
  <si>
    <t>ZI758</t>
  </si>
  <si>
    <t>Rukavice vyĹˇetĹ™ovacĂ­ vinyl bez pudru nesterilnĂ­ M Ăˇ 100 ks EFEKTVR03</t>
  </si>
  <si>
    <t>Rukavice vyšetřovací latex bez pudru nesterilní M 9421615 - povoleno pouze pro ÚČOCH a KZL</t>
  </si>
  <si>
    <t>Rukavice vyšetřovací latex bez pudru nesterilní superlife XS bal. á 100 ks 8951480 - povoleno pouze pro ÚČOCH a KZL</t>
  </si>
  <si>
    <t>Rukavice vyšetřovací latex s pudrem nesterilní superlife L bal. á 100 ks 8951473 - povoleno pouze pro ÚČOCH a KZL výpadek do konce roku 2017</t>
  </si>
  <si>
    <t>Rukavice vyšetřovací latex s pudrem nesterilní superlife M bal. á 100 ks 8951472 - povoleno pouze pro ÚČOCH a KZL</t>
  </si>
  <si>
    <t>Rukavice vyšetřovací latex s pudrem nesterilní superlife S bal. á 100 ks 8951471 - povoleno pouze pro ÚČOCH a KZL</t>
  </si>
  <si>
    <t>Rukavice vyšetřovací nitril basic bez pudru modré L bal. á 200 ks 44752</t>
  </si>
  <si>
    <t>Rukavice vyšetřovací nitril basic bez pudru modré M bal. á 200 ks 44751</t>
  </si>
  <si>
    <t>Rukavice vyšetřovací nitril basic bez pudru modré S bal. á 200 ks 44750</t>
  </si>
  <si>
    <t>Rukavice vyšetřovací nitril basic bez pudru modré XL bal. á 170 ks 44753</t>
  </si>
  <si>
    <t>ZP950</t>
  </si>
  <si>
    <t>Rukavice vyšetřovací nitril basic bez pudru modré XS bal. á 200 ks 44749</t>
  </si>
  <si>
    <t>Rukavice vyšetřovací nitril bez pudru nesterilní sempercare  XS bal. á 200 ks 32615</t>
  </si>
  <si>
    <t>Rukavice vyšetřovací vinyl bez pudru nesterilní M á 100 ks EFEKTVR03</t>
  </si>
  <si>
    <t>50115090</t>
  </si>
  <si>
    <t>ZPr - zubolékařský materiál (Z509)</t>
  </si>
  <si>
    <t>ZC306</t>
  </si>
  <si>
    <t>Adhesor orig. 80 g N-1 prĂˇĹˇek 55 g tekutina N-1</t>
  </si>
  <si>
    <t>ZL331</t>
  </si>
  <si>
    <t>Adhezivum dentĂˇlnĂ­ single bond universal  kit 9020890</t>
  </si>
  <si>
    <t>Adhezivum dentální single bond universal  kit 9020890</t>
  </si>
  <si>
    <t>ZJ299</t>
  </si>
  <si>
    <t>Adisil Rose 1:1 silikon 2x1 101201</t>
  </si>
  <si>
    <t>ZE625</t>
  </si>
  <si>
    <t>AktivĂˇtor matric LASAK  classik 8932.3</t>
  </si>
  <si>
    <t>ZD415</t>
  </si>
  <si>
    <t>Amalgám kapslový č.2 YDM-I600</t>
  </si>
  <si>
    <t>ZB722</t>
  </si>
  <si>
    <t>Amalgam Kit 0990</t>
  </si>
  <si>
    <t>ZI927</t>
  </si>
  <si>
    <t>Amalgám YDM č. 1 YDM-I/400</t>
  </si>
  <si>
    <t>ZL893</t>
  </si>
  <si>
    <t>AplikĂˇtor M+W MicroTips ĹľlutĂ© 0500508</t>
  </si>
  <si>
    <t>ZL894</t>
  </si>
  <si>
    <t>AplikĂˇtor M+W MicroTips modrĂ˝ 0500507</t>
  </si>
  <si>
    <t>Aplikátor M+W MicroTips modrý 0500507</t>
  </si>
  <si>
    <t>Aplikátor M+W MicroTips žluté 0500508</t>
  </si>
  <si>
    <t>ZD680</t>
  </si>
  <si>
    <t>Aqua cem, fix. materiĂˇl pro zub.nĂˇhrady 30 g 88115</t>
  </si>
  <si>
    <t>Aqua cem, fix. materiál pro zub.náhrady 30 g 88115</t>
  </si>
  <si>
    <t>ZE583</t>
  </si>
  <si>
    <t>Aquasil soft putty/regular economy pack 8 x 450 ml 605.78.321</t>
  </si>
  <si>
    <t>ZC379</t>
  </si>
  <si>
    <t>Aquasil ultra LV Regular 4 x 50 ml DT678779</t>
  </si>
  <si>
    <t>ZE584</t>
  </si>
  <si>
    <t>Aquasil ultra XLV/regular set 678781</t>
  </si>
  <si>
    <t>ZI515</t>
  </si>
  <si>
    <t>ÄŚep 06 papĂ­rovĂ˝ 20 dentaclean Ăˇ 100 ks 9019137</t>
  </si>
  <si>
    <t>ZI516</t>
  </si>
  <si>
    <t>ÄŚep 06 papĂ­rovĂ˝ 25 dentaclean Ăˇ 100 ks 9019138</t>
  </si>
  <si>
    <t>ZE911</t>
  </si>
  <si>
    <t>ÄŚep 06 papĂ­rovĂ˝ 30 dentaclean Ăˇ 100 ks P64030 9019139</t>
  </si>
  <si>
    <t>ZI260</t>
  </si>
  <si>
    <t>ÄŚep gutaperÄŤovĂ˝ 040 158-608 040 (1559247)</t>
  </si>
  <si>
    <t>ZF377</t>
  </si>
  <si>
    <t>ÄŚep gutaperÄŤovĂ˝ 06 vel. 40 dentaclean 9003563</t>
  </si>
  <si>
    <t>ZP219</t>
  </si>
  <si>
    <t>ÄŚep svÄ›tlovodnĂ˝ X Core Post ÄŤ. 3 ÄŤervenĂ˝ bal. Ăˇ 10 ks X-090</t>
  </si>
  <si>
    <t>ZP731</t>
  </si>
  <si>
    <t>ÄŚep svÄ›tlovodnĂ˝ X-Core Post ÄŤ. 1 ĹľlutĂ˝ bal. Ăˇ 10 ks X-050</t>
  </si>
  <si>
    <t>ZP730</t>
  </si>
  <si>
    <t>ÄŚep svÄ›tlovodnĂ˝ X-Core Post ÄŤ. 2 oranĹľovĂ˝ bal. Ăˇ 10 ks X-070</t>
  </si>
  <si>
    <t>ZP729</t>
  </si>
  <si>
    <t>ÄŚep svÄ›tlovodnĂ˝ X-Core Post ÄŤ. 4 modrĂ˝ bal. Ăˇ 10 ks X-110</t>
  </si>
  <si>
    <t>ZM522</t>
  </si>
  <si>
    <t>ÄŚlen otiskovacĂ­ pro otevĹ™enou metodu Lasak Bioniq QR 2704.00</t>
  </si>
  <si>
    <t>ZM523</t>
  </si>
  <si>
    <t>ÄŚlen otiskovacĂ­ QR/B mostovĂ˝ 2705.00</t>
  </si>
  <si>
    <t>ZC524</t>
  </si>
  <si>
    <t>Begosol HE 5 lit. BG51096</t>
  </si>
  <si>
    <t>ZN627</t>
  </si>
  <si>
    <t>Brousek diamantovĂ˝ kuliÄŤka 2 mm 397146511020</t>
  </si>
  <si>
    <t>ZN628</t>
  </si>
  <si>
    <t>Brousek diamantovĂ˝ kuliÄŤka 3 mm 397146511030</t>
  </si>
  <si>
    <t>ZR068</t>
  </si>
  <si>
    <t>Brousek karborund kulatý medium 050, bal. á 5 ks 6030502042B</t>
  </si>
  <si>
    <t>ZC328</t>
  </si>
  <si>
    <t>Calxyd pasta 2 x 3,5 g 4142120</t>
  </si>
  <si>
    <t>ZD124</t>
  </si>
  <si>
    <t>Caries detector 6 ml 152010</t>
  </si>
  <si>
    <t>ZL574</t>
  </si>
  <si>
    <t>Cement fixační skloionomerní 0120164</t>
  </si>
  <si>
    <t>ZR369</t>
  </si>
  <si>
    <t>Cement Light Cure Band Blue  Intro  stĹ™Ă­kaÄŤka 1 x 5g J910</t>
  </si>
  <si>
    <t>ZL411</t>
  </si>
  <si>
    <t>Cement pryskyĹ™iÄŤnĂ˝ RelyX U 200 9026798</t>
  </si>
  <si>
    <t>ZI756</t>
  </si>
  <si>
    <t>Cement vĂ˝plĹovĂ˝ skloionomernĂ­ 0120193</t>
  </si>
  <si>
    <t>ZF508</t>
  </si>
  <si>
    <t>Cement výplňový provizorní 40 g 5304520</t>
  </si>
  <si>
    <t>ZD789</t>
  </si>
  <si>
    <t>Clip clip /voco/prov.vĂ˝plĹovĂ˝ materiĂˇl stĹ™Ă­kaÄŤka 2 x 4 g 1284</t>
  </si>
  <si>
    <t>Clip clip /voco/prov.výplňový materiál stříkačka 2 x 4 g 1284</t>
  </si>
  <si>
    <t>ZD396</t>
  </si>
  <si>
    <t>Cna archwires oval III 16/22 upper 101-512</t>
  </si>
  <si>
    <t>ZI895</t>
  </si>
  <si>
    <t>Čep 04 papírový 25 dentaclean 9019125</t>
  </si>
  <si>
    <t>ZI730</t>
  </si>
  <si>
    <t>Čep 04 papírový 40 dentaclean 9019128</t>
  </si>
  <si>
    <t>ZJ073</t>
  </si>
  <si>
    <t>Čep 04 papírový sada 45-80 dentaclean bal. á 100 ks 9019122</t>
  </si>
  <si>
    <t>ZI514</t>
  </si>
  <si>
    <t>Čep 06 papírový 15 dentaclean 9019136</t>
  </si>
  <si>
    <t>Čep 06 papírový 20 dentaclean á 100 ks 9019137</t>
  </si>
  <si>
    <t>Čep 06 papírový 25 dentaclean á 100 ks 9019138</t>
  </si>
  <si>
    <t>Čep 06 papírový 30 dentaclean á 100 ks P64030 9019139</t>
  </si>
  <si>
    <t>ZC253</t>
  </si>
  <si>
    <t>Čep 06 papírový 35 dentaclean 9019140</t>
  </si>
  <si>
    <t>ZM836</t>
  </si>
  <si>
    <t>Čep 06 papírový 40 dentacean 9019141</t>
  </si>
  <si>
    <t>ZJ245</t>
  </si>
  <si>
    <t>Čep gutaperčový 06 vel. 30 dentaclean bal. á 60 ks 9003559</t>
  </si>
  <si>
    <t>ZM870</t>
  </si>
  <si>
    <t>Čep gutaperčový Dentaclean .06  vel. 15 bal. á 60 ks 9003553</t>
  </si>
  <si>
    <t>ZH115</t>
  </si>
  <si>
    <t>Čep gutaperčový ProTaper F3 bal. á 60 ks 0488677</t>
  </si>
  <si>
    <t>ZI091</t>
  </si>
  <si>
    <t>Čep papírový 04% 258-0606 030 (VDW558030)</t>
  </si>
  <si>
    <t>ZI090</t>
  </si>
  <si>
    <t>Čep papírový 04% VDW558020 1569321</t>
  </si>
  <si>
    <t>ZL621</t>
  </si>
  <si>
    <t>Čep papírový ISO 80 BT930.80</t>
  </si>
  <si>
    <t>ZR081</t>
  </si>
  <si>
    <t>Čep spalitelný pro kořen.kanálky Rhein 83, 1,7/ 9 mm červený bal. á 20 ks 993012PSM17</t>
  </si>
  <si>
    <t>ZD524</t>
  </si>
  <si>
    <t>Čep vodící střední 302</t>
  </si>
  <si>
    <t>ZE626</t>
  </si>
  <si>
    <t>DeaktivĂˇtor matric LASAK  classik 9932.3</t>
  </si>
  <si>
    <t>ZL956</t>
  </si>
  <si>
    <t>Deep dentin A3,5 Ăˇ 20 g IV593213</t>
  </si>
  <si>
    <t>ZL957</t>
  </si>
  <si>
    <t>Deep dentin A4,0 á 20 g IV593214</t>
  </si>
  <si>
    <t>ZL958</t>
  </si>
  <si>
    <t>Dentin A 2 Ăˇ 20 g IV593227</t>
  </si>
  <si>
    <t>ZL959</t>
  </si>
  <si>
    <t>Dentin A 3 á 20 g IV593228</t>
  </si>
  <si>
    <t>Dentin A 3 Ăˇ 20 g IV593228</t>
  </si>
  <si>
    <t>ZL960</t>
  </si>
  <si>
    <t>Dentin D 2 á 20 g IV593239</t>
  </si>
  <si>
    <t>ZL961</t>
  </si>
  <si>
    <t>Dentin D 3 á 20 g IV593240</t>
  </si>
  <si>
    <t>ZE743</t>
  </si>
  <si>
    <t>Dentin IPS-In Line metalokeramika A 3,5 Ăˇ 20g IV593229</t>
  </si>
  <si>
    <t>ZE590</t>
  </si>
  <si>
    <t>Dentiplast 20 g SP4232110</t>
  </si>
  <si>
    <t>ZG694</t>
  </si>
  <si>
    <t>Deska bazální - dolní transparentní bal.á 50 ks 9002526</t>
  </si>
  <si>
    <t>ZG693</t>
  </si>
  <si>
    <t>Deska bazální - horní transparentní bal.á 50 ks 9002525</t>
  </si>
  <si>
    <t>ZI912</t>
  </si>
  <si>
    <t>Diamant sintrovanĂ˝ Ăˇ 6 ks  ED5000</t>
  </si>
  <si>
    <t>ZI906</t>
  </si>
  <si>
    <t>Disk dia.superflex-ÄŤervenĂ˝ ED350.514.220</t>
  </si>
  <si>
    <t>ZI907</t>
  </si>
  <si>
    <t>Disk dia.superflex-modrĂ˝ ED350.524.220</t>
  </si>
  <si>
    <t>ZI908</t>
  </si>
  <si>
    <t>Disk dia.superflex-žlutý ED353.504.220</t>
  </si>
  <si>
    <t>ZB823</t>
  </si>
  <si>
    <t>DrĂˇt kulatĂ˝ 0,8 mm IN0308</t>
  </si>
  <si>
    <t>ZC383</t>
  </si>
  <si>
    <t>DrĂˇt kulatĂ˝ pr. 9 mm IN0309</t>
  </si>
  <si>
    <t>ZM837</t>
  </si>
  <si>
    <t>DrĂˇt ligaturovĂ˝ Remaniu, kulatĂ˝, mÄ›kkĂ˝, prĹŻm. 0,25 mm, dĂ©lka 1,160 m) 501-025-00</t>
  </si>
  <si>
    <t>ZF061</t>
  </si>
  <si>
    <t>DrĂˇt NiTi 012 101-431</t>
  </si>
  <si>
    <t>ZE060</t>
  </si>
  <si>
    <t>DrĂˇt NiTi 012 upper oval form III 101-430</t>
  </si>
  <si>
    <t>ZD392</t>
  </si>
  <si>
    <t>DrĂˇt NiTi 014 lower oval form III 101-433</t>
  </si>
  <si>
    <t>ZD391</t>
  </si>
  <si>
    <t>DrĂˇt NiTi 014 upper oval form III 101-432</t>
  </si>
  <si>
    <t>ZF690</t>
  </si>
  <si>
    <t>DrĂˇt NiTi 016 lower oval form III 101-435</t>
  </si>
  <si>
    <t>ZD393</t>
  </si>
  <si>
    <t>DrĂˇt NiTi 016 upper oval form III 101-434</t>
  </si>
  <si>
    <t>ZF496</t>
  </si>
  <si>
    <t>DrĂˇt NiTi 018 101-436</t>
  </si>
  <si>
    <t>ZF484</t>
  </si>
  <si>
    <t>DrĂˇt NiTi 018 101-437</t>
  </si>
  <si>
    <t>ZF692</t>
  </si>
  <si>
    <t>DrĂˇt NiTi 16 x 22 101-443</t>
  </si>
  <si>
    <t>ZF691</t>
  </si>
  <si>
    <t>DrĂˇt NiTi 16 x 22 upper oval form III 101-442</t>
  </si>
  <si>
    <t>ZE673</t>
  </si>
  <si>
    <t>DrĂˇt NiTi 17 x 25 101-444</t>
  </si>
  <si>
    <t>ZH889</t>
  </si>
  <si>
    <t>DrĂˇt NiTi 17 x 25 101-445</t>
  </si>
  <si>
    <t>ZF489</t>
  </si>
  <si>
    <t>DrĂˇt NiTi 18 x 25 101-448</t>
  </si>
  <si>
    <t>ZE061</t>
  </si>
  <si>
    <t>DrĂˇt NiTi 18 x 25 101-449</t>
  </si>
  <si>
    <t>ZF062</t>
  </si>
  <si>
    <t>DrĂˇt NiTi 19 x 25 101-450</t>
  </si>
  <si>
    <t>ZE675</t>
  </si>
  <si>
    <t>DrĂˇt NiTi 19 x 25 101-451</t>
  </si>
  <si>
    <t>ZE062</t>
  </si>
  <si>
    <t>DrĂˇt ocelovĂ˝ 16 x 22 101-412</t>
  </si>
  <si>
    <t>ZF063</t>
  </si>
  <si>
    <t>DrĂˇt ocelovĂ˝ 16 x 22 101-413</t>
  </si>
  <si>
    <t>ZE063</t>
  </si>
  <si>
    <t>DrĂˇt ocelovĂ˝ 17 x 25 101-414</t>
  </si>
  <si>
    <t>ZF064</t>
  </si>
  <si>
    <t>DrĂˇt ocelovĂ˝ 17 x 25 101-415</t>
  </si>
  <si>
    <t>ZE064</t>
  </si>
  <si>
    <t>DrĂˇt ocelovĂ˝ 18 x 25 101-418</t>
  </si>
  <si>
    <t>ZF065</t>
  </si>
  <si>
    <t>DrĂˇt ocelovĂ˝ 18 x 25 101-419</t>
  </si>
  <si>
    <t>ZJ564</t>
  </si>
  <si>
    <t>DrĂˇt ocelovĂ˝ 19 x 25 101-420</t>
  </si>
  <si>
    <t>ZF059</t>
  </si>
  <si>
    <t>DrĂˇt ocelovĂ˝ 19 x 25 101-421</t>
  </si>
  <si>
    <t>ZQ734</t>
  </si>
  <si>
    <t>DrĂˇt ortodontickĂ˝ Leowire, pruĹľnĂ˝, prĹŻm. 0,7 mm, dĂ©lka 25 m LEC0400-07</t>
  </si>
  <si>
    <t>ZL504</t>
  </si>
  <si>
    <t>DrĂˇt retainerovĂ˝  PENTA ONE - pÄ›tiramennĂ˝, pozlacenĂ˝ 24 karat.zlato ZMRW</t>
  </si>
  <si>
    <t>ZC369</t>
  </si>
  <si>
    <t>Drát kulatý pr. 7 mm IN0307</t>
  </si>
  <si>
    <t>Drát NiTi 012 101-431</t>
  </si>
  <si>
    <t>Drát NiTi 012 upper oval form III 101-430</t>
  </si>
  <si>
    <t>Drát NiTi 014 lower oval form III 101-433</t>
  </si>
  <si>
    <t>Drát NiTi 014 upper oval form III 101-432</t>
  </si>
  <si>
    <t>Drát NiTi 016 lower oval form III 101-435</t>
  </si>
  <si>
    <t>Drát NiTi 016 upper oval form III 101-434</t>
  </si>
  <si>
    <t>Drát NiTi 018 101-436</t>
  </si>
  <si>
    <t>Drát NiTi 018 101-437</t>
  </si>
  <si>
    <t>Drát NiTi 16 x 22 upper oval form III 101-442</t>
  </si>
  <si>
    <t>Drát NiTi 17 x 25 101-444</t>
  </si>
  <si>
    <t>Drát ocelový 16 x 22 101-412</t>
  </si>
  <si>
    <t>Drát ocelový 16 x 22 101-413</t>
  </si>
  <si>
    <t>Drát ocelový 17 x 25 101-414</t>
  </si>
  <si>
    <t>Drát ocelový 17 x 25 101-415</t>
  </si>
  <si>
    <t>Drát ocelový 18 x 25 101-419</t>
  </si>
  <si>
    <t>Drát ortodontický Leowire, pružný, prům. 0,7 mm, délka 25 m LEC0400-07</t>
  </si>
  <si>
    <t>ZR720</t>
  </si>
  <si>
    <t>DrĹľĂˇk RTG snĂ­mkĹŻ  Kwik-Bite  (270),bez kruhu, s ukazatelem, autoklĂˇvovatel. do 140Â°C, bal. Ăˇ 15 ks 0025406</t>
  </si>
  <si>
    <t>ZR721</t>
  </si>
  <si>
    <t>DrĹľĂˇk RTG snĂ­mkĹŻ (1790) (zahrnuje dva typy drĹľĂˇkĹŻ  -frontĂˇlnĂ­, ÄŤervenĂ˝ a distĂˇlnĂ­, zelenĂ˝ - urÄŤenĂ© k pouĹľitĂ­ ve vĹˇech ÄŤtyĹ™ech kvadrantech a dvÄ› pomĹŻcky na vycentrovĂˇnĂ­), autoklĂˇvovatel. do 134Â°C , bal. Ăˇ 4 ks 0025411</t>
  </si>
  <si>
    <t>ZI686</t>
  </si>
  <si>
    <t>DrĹľĂˇk RTG snĂ­mkĹŻ Super-Bite 0025407</t>
  </si>
  <si>
    <t>ZQ859</t>
  </si>
  <si>
    <t>Držák RTG snímků Kwik-Bite s kruhem, pro horizontální bitewingy,  sterilizovatelný do 140°C 9003641</t>
  </si>
  <si>
    <t>Držák RTG snímků Super-Bite 0025407</t>
  </si>
  <si>
    <t>ZK182</t>
  </si>
  <si>
    <t>Dycal 4401</t>
  </si>
  <si>
    <t>ZR774</t>
  </si>
  <si>
    <t>Equator OT (titanovĂ˝ abutment) kompatibilnĂ­ se vĹˇemi systĂ©my implantĂˇtĹŻ 4.0, 12 mm, L6 993030LB</t>
  </si>
  <si>
    <t>ZP792</t>
  </si>
  <si>
    <t>Equator OT (titanový abutment) kompatibilní se všemi systémy implantátů manžeta 2 mm 993030/manžeta 2 mm</t>
  </si>
  <si>
    <t>ZP793</t>
  </si>
  <si>
    <t>Equator OT (titanový abutment) kompatibilní se všemi systémy implantátů manžeta 3 mm 993030/manžeta 3 mm</t>
  </si>
  <si>
    <t>ZM736</t>
  </si>
  <si>
    <t>Fólie erkoflex 1,0 mm/120 mm ER581210</t>
  </si>
  <si>
    <t>ZD334</t>
  </si>
  <si>
    <t>Fólie erkoflex 2,0 mm/120 mm ER581220</t>
  </si>
  <si>
    <t>ZD288</t>
  </si>
  <si>
    <t>Fólie erkoflex 4,0 mm/120 mm ER581240</t>
  </si>
  <si>
    <t>ZE417</t>
  </si>
  <si>
    <t>Fólie termopl. Erkodur 1,5/120 mm, bal.á 50 ks,  ER524215</t>
  </si>
  <si>
    <t>ZE418</t>
  </si>
  <si>
    <t>Fólie termopl. Erkodur 2,0/120 mm, bal.á 10 ks, ER52122010</t>
  </si>
  <si>
    <t>ZI824</t>
  </si>
  <si>
    <t>FrĂ©za do frĂ©zovacĂ­ho pĹ™Ă­stroje ED2466 103023</t>
  </si>
  <si>
    <t>ZI825</t>
  </si>
  <si>
    <t>FrĂ©za do frĂ©zovacĂ­ho pĹ™Ă­stroje ED2466F 103023</t>
  </si>
  <si>
    <t>ZI826</t>
  </si>
  <si>
    <t>FrĂ©za do frĂ©zovacĂ­ho pĹ™Ă­stroje ED2466F 103031</t>
  </si>
  <si>
    <t>ZI827</t>
  </si>
  <si>
    <t>FrĂ©za do frĂ©zovacĂ­ho pĹ™Ă­stroje ED2936 103010</t>
  </si>
  <si>
    <t>ZI828</t>
  </si>
  <si>
    <t>FrĂ©za do frĂ©zovacĂ­ho pĹ™Ă­stroje ED2936 103015</t>
  </si>
  <si>
    <t>ZI829</t>
  </si>
  <si>
    <t>FrĂ©za do frĂ©zovacĂ­ho pĹ™Ă­stroje ED2966F 103010</t>
  </si>
  <si>
    <t>ZJ768</t>
  </si>
  <si>
    <t>FrĂ©za fisura ÄŤtvercovĂˇ bal. Ăˇ 3 ks ER110840</t>
  </si>
  <si>
    <t>ZJ767</t>
  </si>
  <si>
    <t>FrĂ©za fisura spirĂˇlovĂˇ bal. Ăˇ 2 ks ER110836</t>
  </si>
  <si>
    <t>ZE225</t>
  </si>
  <si>
    <t>FrĂ©za na silikon S187QG23</t>
  </si>
  <si>
    <t>ZF181</t>
  </si>
  <si>
    <t>FrĂ©za na silikon S237QG65</t>
  </si>
  <si>
    <t>ZF226</t>
  </si>
  <si>
    <t>FrĂ©za na silikon S263QG60</t>
  </si>
  <si>
    <t>ZR192</t>
  </si>
  <si>
    <t>Fréza explantační  BioniQ LASAK S3.5 2429.00</t>
  </si>
  <si>
    <t>ZR193</t>
  </si>
  <si>
    <t>Fréza explantační BioniQ LASAK S4.0/T4.0 2436.00</t>
  </si>
  <si>
    <t>ZI138</t>
  </si>
  <si>
    <t>Fréza explantační D3.7 1010.3</t>
  </si>
  <si>
    <t>ZF456</t>
  </si>
  <si>
    <t>Fréza heatless bílá č.8 218</t>
  </si>
  <si>
    <t>ZF135</t>
  </si>
  <si>
    <t>Fréza malá OWA ( L2116 0001 00BO ) 999-6000/5</t>
  </si>
  <si>
    <t>Fréza na silikon S187QG23</t>
  </si>
  <si>
    <t>Fréza na silikon S237QG65</t>
  </si>
  <si>
    <t>Fréza na silikon S263QG60</t>
  </si>
  <si>
    <t>ZI928</t>
  </si>
  <si>
    <t>Gel etchin Jumbo 9024824</t>
  </si>
  <si>
    <t>ZC325</t>
  </si>
  <si>
    <t>Gel etching 4122505</t>
  </si>
  <si>
    <t>ZE576</t>
  </si>
  <si>
    <t>Glaze IPS- InLine á 3g IV602384</t>
  </si>
  <si>
    <t>Glaze IPS- InLine Ăˇ 3g IV602384</t>
  </si>
  <si>
    <t>ZF575</t>
  </si>
  <si>
    <t>Granulát BOI-OSS spongiosa granulát 1- 2 mm á 0,5 g AT500095(DGD46B307098E)</t>
  </si>
  <si>
    <t>ZQ709</t>
  </si>
  <si>
    <t>Guma leštící Alphaflex HP pro zlato, kompozity a stříbropaladiové slitiny, hnědá, průměr 2,5 mm, délka 15 mm ED0042HP</t>
  </si>
  <si>
    <t>ZR084</t>
  </si>
  <si>
    <t>Guma na leštění amalgámových výplní Amalgam reducer 050, 10,0 bal. á 12 ks 9000290</t>
  </si>
  <si>
    <t>ZF618</t>
  </si>
  <si>
    <t>GumiÄŤka separaÄŤnĂ­ Dentalastic, modrĂˇ, prĹŻm. 2,1 mm bal. Ăˇ 1000 ks 774-200-01</t>
  </si>
  <si>
    <t>ZF457</t>
  </si>
  <si>
    <t>Guttasolw 15 ml</t>
  </si>
  <si>
    <t>ZA871</t>
  </si>
  <si>
    <t>Hladítko jemné na plast.výpl. DE408R</t>
  </si>
  <si>
    <t>ZD133</t>
  </si>
  <si>
    <t>Hmota otiskovacĂ­ kettenbach 0137221</t>
  </si>
  <si>
    <t>Hmota otiskovací kettenbach 0137221</t>
  </si>
  <si>
    <t>ZC452</t>
  </si>
  <si>
    <t>Hmota zatmelovacĂ­ sherafina rapid 6 kg 1084SH</t>
  </si>
  <si>
    <t>ZD890</t>
  </si>
  <si>
    <t>Hmota zatmelovací Shera Cast 20 kg /8x2,5/</t>
  </si>
  <si>
    <t>Hmota zatmelovací sherafina rapid 6 kg 1084SH</t>
  </si>
  <si>
    <t>ZJ589</t>
  </si>
  <si>
    <t>ChrĂˇniÄŤ prstu Langenbeck 397136910001</t>
  </si>
  <si>
    <t>ZI619</t>
  </si>
  <si>
    <t>ChrĂˇniÄŤ prstu Langenbeck 397136910002</t>
  </si>
  <si>
    <t>Chránič prstu Langenbeck 397136910001</t>
  </si>
  <si>
    <t>Chránič prstu Langenbeck 397136910002</t>
  </si>
  <si>
    <t>ZR811</t>
  </si>
  <si>
    <t>ImplantĂˇt zubnĂ­ Astra Tech Dentsply ÄŤlen otiskovacĂ­  long 4.2, prĹŻm. 4,6 mm, vĂ˝Ĺˇka 22 mm, pro ASTRA TECH IMPLANT SYSTĂ‰M EV 26233</t>
  </si>
  <si>
    <t>ZR814</t>
  </si>
  <si>
    <t>ImplantĂˇt zubnĂ­ Astra Tech Dentsply ÄŤlen otiskovacĂ­ 3.0  Pick -up short  pro ASTRA TECH IMPLANT SYSTĂ‰M TX 24950</t>
  </si>
  <si>
    <t>ZR816</t>
  </si>
  <si>
    <t>ImplantĂˇt zubnĂ­ Astra Tech Dentsply ÄŤlen otiskovacĂ­ 3.5/4.0   Pick -up long pro ASTRA TECH IMPLANT SYSTĂ‰M TX 24948</t>
  </si>
  <si>
    <t>ZR815</t>
  </si>
  <si>
    <t>ImplantĂˇt zubnĂ­ Astra Tech Dentsply ÄŤlen otiskovacĂ­ 3.5/4.0 Pick -up short pro ASTRA TECH IMPLANT SYSTĂ‰M TX 24947</t>
  </si>
  <si>
    <t>ZR818</t>
  </si>
  <si>
    <t>ImplantĂˇt zubnĂ­ Astra Tech Dentsply ÄŤlen otiskovacĂ­ 4.5/5.0   Pick -up long 24946 pro ASTRA TECH IMPLANT SYSTĂ‰M TX 24946</t>
  </si>
  <si>
    <t>ZR817</t>
  </si>
  <si>
    <t>ImplantĂˇt zubnĂ­ Astra Tech Dentsply ÄŤlen otiskovacĂ­ 4.5/5.0   Pick -up short 24938 pro ASTRA TECH IMPLANT SYSTĂ‰M TX 24938</t>
  </si>
  <si>
    <t>ZR809</t>
  </si>
  <si>
    <t>ImplantĂˇt zubnĂ­ Astra Tech Dentsply ÄŤlen otiskovacĂ­ long 4.8, prĹŻm. 4,6 mm, vĂ˝Ĺˇka 22 mm, pro ASTRA TECH IMPLANT SYSTĂ‰M  EV 26234</t>
  </si>
  <si>
    <t>ZR812</t>
  </si>
  <si>
    <t>ImplantĂˇt zubnĂ­ Astra Tech Dentsply ÄŤlen otiskovacĂ­ short 3.6,  prĹŻm. 4,6 mm, vĂ˝Ĺˇka 16,5 mm, pro ASTRA TECH IMPLANT SYSTĂ‰M EV 26227</t>
  </si>
  <si>
    <t>ZR813</t>
  </si>
  <si>
    <t>ImplantĂˇt zubnĂ­ Astra Tech Dentsply ÄŤlen otiskovacĂ­ short 3.6, prĹŻm. 4,6 mm, vĂ˝Ĺˇka 22 mm, pro ASTRA TECH IMPLANT SYSTĂ‰M EV 26232</t>
  </si>
  <si>
    <t>ZR810</t>
  </si>
  <si>
    <t>ImplantĂˇt zubnĂ­ Astra Tech Dentsply ÄŤlen otiskovacĂ­ short 4.2, prĹŻm. 4,6 mm, vĂ˝Ĺˇka 16,5 mm,  pro ASTRA TECH IMPLANT SYSTĂ‰M EV 26228</t>
  </si>
  <si>
    <t>ZR808</t>
  </si>
  <si>
    <t>ImplantĂˇt zubnĂ­ Astra Tech Dentsply ÄŤlen otiskovacĂ­ short 4.8, prĹŻm. 4,6 mm, vĂ˝Ĺˇka 16,5 mm, pro ASTRA TECH IMPLANT SYSTĂ‰M  EV 26229</t>
  </si>
  <si>
    <t>ZO871</t>
  </si>
  <si>
    <t>ImplantĂˇt zubnĂ­ Astra Tech TX 5. 0S 24972</t>
  </si>
  <si>
    <t>ZN095</t>
  </si>
  <si>
    <t>ImplantĂˇt zubnĂ­ BioniQ S4,0/L10 2009.10</t>
  </si>
  <si>
    <t>ZE330</t>
  </si>
  <si>
    <t>Implantát zubní Astra Tech 24932</t>
  </si>
  <si>
    <t>ZR185</t>
  </si>
  <si>
    <t>Implantát zubní Astra Tech Dentsply OsseoSpeed TX prům. 3.0 mm S, délka 11 mm, titanium, sterilní 24982</t>
  </si>
  <si>
    <t>ZR186</t>
  </si>
  <si>
    <t>Implantát zubní Astra Tech Dentsply OsseoSpeed TX prům. 4.5 mm, délka 11 mm, titanium, sterilní 24952</t>
  </si>
  <si>
    <t>ZL044</t>
  </si>
  <si>
    <t>Implantát zubní Astra Tech TX 4.0 S 24941</t>
  </si>
  <si>
    <t>ZL045</t>
  </si>
  <si>
    <t>Implantát zubní Astra Tech TX 4.0 S 24942</t>
  </si>
  <si>
    <t>ZQ604</t>
  </si>
  <si>
    <t>Implantát zubní BioniQ analog implantátu QR, sada  á 5 kusů 2803.05</t>
  </si>
  <si>
    <t>ZR041</t>
  </si>
  <si>
    <t>Implantát zubní TiDesign Profile EV 4.8 O 7 - 3 mm 25598</t>
  </si>
  <si>
    <t>ZC299</t>
  </si>
  <si>
    <t>Impression Compound, bal. á 5 ks, 1DDCEIC</t>
  </si>
  <si>
    <t>ZC535</t>
  </si>
  <si>
    <t>Induret gel C100700</t>
  </si>
  <si>
    <t>ZQ664</t>
  </si>
  <si>
    <t>Ingoty HT IPS e.max Press barva A1, bal. Ăˇ 5 ks 9024639</t>
  </si>
  <si>
    <t>ZR846</t>
  </si>
  <si>
    <t>Ingoty LT IPS e.max Press, barva B3, bal. Ăˇ 5 ks 0941909</t>
  </si>
  <si>
    <t>ZL181</t>
  </si>
  <si>
    <t>Ingoty LT IPS e-max Press barva A3 bal. Ăˇ 5 ks IV605275</t>
  </si>
  <si>
    <t>ZR716</t>
  </si>
  <si>
    <t>Instrument Matrix inserting Bredent pro  Vario-Soft 3 mini sv bal. Ăˇ 2 ks 430 0736 4</t>
  </si>
  <si>
    <t>ZD117</t>
  </si>
  <si>
    <t>Interim Stand 0658696</t>
  </si>
  <si>
    <t>ZD118</t>
  </si>
  <si>
    <t>Interim Stand pěn.vložky 0658697</t>
  </si>
  <si>
    <t>ZC415</t>
  </si>
  <si>
    <t>Interwaxit s rozpraĹˇovaÄŤem Ăˇ 200 ml 413</t>
  </si>
  <si>
    <t>ZC075</t>
  </si>
  <si>
    <t>IPS e.max Press Ignoty HT A2 ,bal.5 ks, IV626321</t>
  </si>
  <si>
    <t>ZL701</t>
  </si>
  <si>
    <t>IPS PressVest Spead pow. Premium IV685586AN</t>
  </si>
  <si>
    <t>ZL702</t>
  </si>
  <si>
    <t>IPS PressVest Speed lig.Premium IV685588</t>
  </si>
  <si>
    <t>ZM869</t>
  </si>
  <si>
    <t>Jehla jednorĂˇzovĂˇ septoject zelenĂˇ G 30 0,3 x 16 mm bal. Ăˇ 100 ks 9009059</t>
  </si>
  <si>
    <t>ZH084</t>
  </si>
  <si>
    <t>KamĂ­nek na Zirkonoxid-ÄŤoÄŤka Z772</t>
  </si>
  <si>
    <t>ZH086</t>
  </si>
  <si>
    <t>KamĂ­nek na Zirkonoxid-kĂłnus Z736</t>
  </si>
  <si>
    <t>ZH083</t>
  </si>
  <si>
    <t>KamĂ­nek na Zirkonoxid-malĂ© vajĂ­ÄŤko Z667</t>
  </si>
  <si>
    <t>ZH079</t>
  </si>
  <si>
    <t>KamĂ­nek na Zirkonoxid-nĂ­zkĂ˝ vĂˇleÄŤek Z623</t>
  </si>
  <si>
    <t>ZH082</t>
  </si>
  <si>
    <t>KamĂ­nek na Zirkonoxid-vajĂ­ÄŤko Z660</t>
  </si>
  <si>
    <t>ZH085</t>
  </si>
  <si>
    <t>KamĂ­nek na Zirkonoxid-vysokĂ˝ vĂˇleÄŤek Z732</t>
  </si>
  <si>
    <t>Kamínek na Zirkonoxid-čočka Z772</t>
  </si>
  <si>
    <t>Kamínek na Zirkonoxid-malé vajíčko Z667</t>
  </si>
  <si>
    <t>Kamínek na Zirkonoxid-nízký váleček Z623</t>
  </si>
  <si>
    <t>ZH081</t>
  </si>
  <si>
    <t>Kamínek na Zirkonoxid-špička Z652R</t>
  </si>
  <si>
    <t>ZE155</t>
  </si>
  <si>
    <t>Kanyla M+W pro leptacĂ­ gel 0100102</t>
  </si>
  <si>
    <t>ZK616</t>
  </si>
  <si>
    <t>Kanyla RMO FLI 16 A08734</t>
  </si>
  <si>
    <t>ZK610</t>
  </si>
  <si>
    <t>Kanyla RMO FLI 17 A08736</t>
  </si>
  <si>
    <t>ZK608</t>
  </si>
  <si>
    <t>Kanyla RMO FLI 26 A08735</t>
  </si>
  <si>
    <t>ZK609</t>
  </si>
  <si>
    <t>Kanyla RMO FLI 36 A08744</t>
  </si>
  <si>
    <t>ZK607</t>
  </si>
  <si>
    <t>Kanyla RMO FLI 37 A08746</t>
  </si>
  <si>
    <t>ZK605</t>
  </si>
  <si>
    <t>Kanyla RMO FLI 46 A08745</t>
  </si>
  <si>
    <t>ZK611</t>
  </si>
  <si>
    <t>Kanyla RMO FLI 47 A08747</t>
  </si>
  <si>
    <t>ZB498</t>
  </si>
  <si>
    <t>KartĂˇÄŤek ÄŤistĂ­cĂ­ na vrtĂˇÄŤky 9002460</t>
  </si>
  <si>
    <t>ZC455</t>
  </si>
  <si>
    <t>KartĂˇÄŤek nylon do kolĂ©nka BT260.23N</t>
  </si>
  <si>
    <t>ZC326</t>
  </si>
  <si>
    <t>Kartáček na kořenové nástroje 954361 (14360NI)</t>
  </si>
  <si>
    <t>Kartáček nylon do kolénka BT260.23N</t>
  </si>
  <si>
    <t>ZC570</t>
  </si>
  <si>
    <t>Kavitan LC A2 12 g prĂˇĹˇku + 5 g tekutiny 4113411</t>
  </si>
  <si>
    <t>Kavitan LC A2 12 g prášku + 5 g tekutiny 4113411</t>
  </si>
  <si>
    <t>ZC386</t>
  </si>
  <si>
    <t>Kavitan pro A3 15 g prášek 10 g LIQ 4113312</t>
  </si>
  <si>
    <t>ZG149</t>
  </si>
  <si>
    <t>Kazeta a stojĂˇnek na rotaÄŤnĂ­ nĂˇstroje 397139500740</t>
  </si>
  <si>
    <t>Kazeta a stojánek na rotační nástroje 397139500740</t>
  </si>
  <si>
    <t>ZR845</t>
  </si>
  <si>
    <t>Keramika  IPS e.max Ceram Dentin, B1, 20g 0641933</t>
  </si>
  <si>
    <t>ZR078</t>
  </si>
  <si>
    <t>Keramika IPS e.max Ceram Deep Dentin A2, 20 g 0741943</t>
  </si>
  <si>
    <t>ZO002</t>
  </si>
  <si>
    <t>Keramika IPS e.max Ceram dentin B2 20 g 596964</t>
  </si>
  <si>
    <t>ZR079</t>
  </si>
  <si>
    <t>Keramika IPS e.max Ceram Glaze and Stains Liquid allround, 15 ml 9024616</t>
  </si>
  <si>
    <t>ZM571</t>
  </si>
  <si>
    <t>Keramika IPS InLine Intensive - gingiva 1 á 20 g IV593295</t>
  </si>
  <si>
    <t>ZD068</t>
  </si>
  <si>
    <t>Keramika IPS InLine PoM Opaquer A-D A2 IV593161</t>
  </si>
  <si>
    <t>ZD532</t>
  </si>
  <si>
    <t>Keramika IPS InLine PoM Opaquer A-D D3 IV593174</t>
  </si>
  <si>
    <t>ZE586</t>
  </si>
  <si>
    <t>Ketac cem easymix 56900</t>
  </si>
  <si>
    <t>ZC371</t>
  </si>
  <si>
    <t>KlĂ­nek mezizubnĂ­ (oranĹľ.) Ăˇ 100 ks 00116</t>
  </si>
  <si>
    <t>ZC372</t>
  </si>
  <si>
    <t>KlĂ­nek mezizubnĂ­ modrĂ˝, bal.Ăˇ 100 ks</t>
  </si>
  <si>
    <t>ZD201</t>
  </si>
  <si>
    <t>KlĂ­nky dĹ™evÄ›nĂ©, bal.Ăˇ 400 ks, PD5040</t>
  </si>
  <si>
    <t>ZI811</t>
  </si>
  <si>
    <t>Klínek derotační 400-301</t>
  </si>
  <si>
    <t>ZC423</t>
  </si>
  <si>
    <t>Klínek mezizubní bezbarvý, bal.á 100 ks 00115</t>
  </si>
  <si>
    <t>Klínek mezizubní modrý, bal.á 100 ks</t>
  </si>
  <si>
    <t>ZA977</t>
  </si>
  <si>
    <t>Klínek světlovodný tenký, měkký KE771 S</t>
  </si>
  <si>
    <t>Klínky dřevěné, bal.á 400 ks, PD5040</t>
  </si>
  <si>
    <t>ZQ787</t>
  </si>
  <si>
    <t>KnoflĂ­k titanovĂ˝ s pozlacenĂ˝m Ĺ™etĂ­zkem GOLD EXTRUSION HOOK WITH CHAIN (14 KARAT), pro urychlenĂ­ proĹ™ezĂˇnĂ­ -  vytaĹľenĂ­, neproĹ™ezenĂ©ho zoubku, kulatĂˇ bĂˇze EXHK14K</t>
  </si>
  <si>
    <t>Knoflík titanový s pozlaceným řetízkem GOLD EXTRUSION HOOK WITH CHAIN (14 KARAT), pro urychlení prořezání -  vytažení, neprořezeného zoubku, kulatá báze EXHK14K</t>
  </si>
  <si>
    <t>ZL587</t>
  </si>
  <si>
    <t>Koferdam Medium</t>
  </si>
  <si>
    <t>ZF218</t>
  </si>
  <si>
    <t>Koferdam Medium 620003904</t>
  </si>
  <si>
    <t>ZF678</t>
  </si>
  <si>
    <t>Koncovka k nĂˇsadce topnĂ© k pĹ™Ă­stroji Waxletric II RE2155-0103</t>
  </si>
  <si>
    <t>ZD787</t>
  </si>
  <si>
    <t>Koncovka žl.intra oral tips,na míchací kanylu 0088259</t>
  </si>
  <si>
    <t>ZC308</t>
  </si>
  <si>
    <t>KotouÄŤ leĹˇtĂ­cĂ­ liskoid ER223205</t>
  </si>
  <si>
    <t>ZC309</t>
  </si>
  <si>
    <t>KotouÄŤ leĹˇtĂ­cĂ­ lisko-S ER223105</t>
  </si>
  <si>
    <t>ZD523</t>
  </si>
  <si>
    <t>KotouÄŤ Ĺ™ezacĂ­ pr.40/0,5 mm, Ăˇ 10 ks, 370000107</t>
  </si>
  <si>
    <t>ZQ718</t>
  </si>
  <si>
    <t>Kotouč leštící HP jelenice na kovy a pryskyřice 25 mm bal. á 6 ks IN0809</t>
  </si>
  <si>
    <t>ZC518</t>
  </si>
  <si>
    <t>Kromopan 100 450 g, 1/X2710</t>
  </si>
  <si>
    <t>ZR350</t>
  </si>
  <si>
    <t>KrouĹľek ortodontickĂ˝ MR2 1 st MOLAR  UR6, trojkanyla, nekonvertibilnĂ­, TPA velikost 16-24 540-000(UR6)</t>
  </si>
  <si>
    <t>ZR353</t>
  </si>
  <si>
    <t>KrouĹľek ortodontickĂ˝ MR2 1 st MOLAR LL6, dvojkanyla, nekonvertibilnĂ­, dvojhĂˇÄŤek,velikost 13-24 550-000(LL6)</t>
  </si>
  <si>
    <t>ZR352</t>
  </si>
  <si>
    <t>KrouĹľek ortodontickĂ˝ MR2 1 st MOLAR LR6, dvojkanyla, nekonvertibilnĂ­, dvojhĂˇÄŤek,velikost 13-24 550-000(LR6)</t>
  </si>
  <si>
    <t>ZR356</t>
  </si>
  <si>
    <t>KrouĹľek ortodontickĂ˝ MR2 2 nd MOLAR  LR7, jednokanyla, nekonvertibilnĂ­, dvojhĂˇÄŤek,velikost 14-24 610-000(LR7)</t>
  </si>
  <si>
    <t>ZR355</t>
  </si>
  <si>
    <t>KrouĹľek ortodontickĂ˝ MR2 2 nd MOLAR UL7, jednokanyla, nekonvertibilnĂ­, dvojhĂˇÄŤek,velikost 13-24 600-000(UL7)</t>
  </si>
  <si>
    <t>ZR354</t>
  </si>
  <si>
    <t>KrouĹľek ortodontickĂ˝ MR2 2 nd MOLAR UR7, jednokanyla, nekonvertibilnĂ­, dvojhĂˇÄŤek,velikost 13-24 600-000(UR7)</t>
  </si>
  <si>
    <t>ZH306</t>
  </si>
  <si>
    <t>Ĺ pendlĂ­k-spona 0,7 mm Ăˇ 100 ks 620-107 00</t>
  </si>
  <si>
    <t>ZH308</t>
  </si>
  <si>
    <t>Ĺ pendlĂ­k-spona 0,9 mm Ăˇ 100 ks 620-109 00</t>
  </si>
  <si>
    <t>ZR804</t>
  </si>
  <si>
    <t>Ĺ roub Mini Jeil, prĹŻm. 1,6 mm, dĂ©lka 8 mm 16-G2-008</t>
  </si>
  <si>
    <t>ZR802</t>
  </si>
  <si>
    <t>Ĺ roub Mini Jeil, prĹŻm. 1,6mm, dĂ©lka 6 mm 16-JD-006</t>
  </si>
  <si>
    <t>ZR803</t>
  </si>
  <si>
    <t>Ĺ roub Mini Jeil, prĹŻm. 1,6mm, dĂ©lka 8 mm 16-JD-008</t>
  </si>
  <si>
    <t>ZR806</t>
  </si>
  <si>
    <t>Ĺ roub Mini Jeil, prĹŻm. 2,0 mm, dĂ©lka 6 mm 20-JB-010</t>
  </si>
  <si>
    <t>ZR805</t>
  </si>
  <si>
    <t>Ĺ roub Mini Jeil, prĹŻm. 2,0 mm, dĂ©lka 8 mm 20-JB-008</t>
  </si>
  <si>
    <t>ZE858</t>
  </si>
  <si>
    <t>Ĺ roub ortodontickĂ˝ 600-300</t>
  </si>
  <si>
    <t>ZB044</t>
  </si>
  <si>
    <t>Ĺ roub ortodontickĂ˝ Bertoni 602-606-1</t>
  </si>
  <si>
    <t>ZB933</t>
  </si>
  <si>
    <t>Ĺ tÄ›teÄŤky aplikaÄŤnĂ­, Ăˇ 400 ks, SD8100123</t>
  </si>
  <si>
    <t>ZK532</t>
  </si>
  <si>
    <t>LahviÄŤka na ortocryl 16210000</t>
  </si>
  <si>
    <t>Lahvička na ortocryl 16210000</t>
  </si>
  <si>
    <t>ZE738</t>
  </si>
  <si>
    <t>ĹetĂ­zek elast. ÄŤirĂ˝-light 400-317LF</t>
  </si>
  <si>
    <t>ZR496</t>
  </si>
  <si>
    <t>Ligatura elastickĂˇ na tyÄŤce, MINI, perleĹĄovĂˇ modrĂˇ bal. 100 tyÄŤek tj. 1000 ligatur J00338</t>
  </si>
  <si>
    <t>ZR495</t>
  </si>
  <si>
    <t>Ligatura elastickĂˇ na tyÄŤce, MINI, perleĹĄovĂˇ, bal. 100 tyÄŤek tj. 1000 ligatur J00337</t>
  </si>
  <si>
    <t>ZQ167</t>
  </si>
  <si>
    <t>Ligatura prefabrikovaná krátká Kobayashi Twists 100.014 bal. á 100 ks SHK014</t>
  </si>
  <si>
    <t>ZF002</t>
  </si>
  <si>
    <t>Light bond primer 7cc LBS/7F</t>
  </si>
  <si>
    <t>ZD798</t>
  </si>
  <si>
    <t>Light bond stříkačky á 4 ks LBPPF</t>
  </si>
  <si>
    <t>ZL231</t>
  </si>
  <si>
    <t>LĹľĂ­ce otiskovacĂ­ Dentaurum dolnĂ­  /ÄŤervenĂˇ/, vel. L2, bal. Ăˇ 20 ks 150-222-00</t>
  </si>
  <si>
    <t>ZL232</t>
  </si>
  <si>
    <t>LĹľĂ­ce otiskovacĂ­ Dentaurum dolnĂ­  /modrĂˇ/, vel. L3, bal. Ăˇ 20 ks 150-223-00</t>
  </si>
  <si>
    <t>ZL233</t>
  </si>
  <si>
    <t>LĹľĂ­ce otiskovacĂ­ Dentaurum dolnĂ­  /zelenĂˇ/, vel. L4, bal. Ăˇ 20 ks 150-224-00</t>
  </si>
  <si>
    <t>ZL230</t>
  </si>
  <si>
    <t>LĹľĂ­ce otiskovacĂ­ Dentaurum dolnĂ­ /ĹľlutĂˇ/, vel. L1, bal. Ăˇ 20 ks 150-221-00</t>
  </si>
  <si>
    <t>ZL227</t>
  </si>
  <si>
    <t>LĹľĂ­ce otiskovacĂ­ Dentaurum hornĂ­  /ÄŤervenĂˇ/, vel. U2, bal. Ăˇ 20 ks 150-202-00</t>
  </si>
  <si>
    <t>ZL228</t>
  </si>
  <si>
    <t>LĹľĂ­ce otiskovacĂ­ Dentaurum hornĂ­  /modrĂˇ/, vel. U3, bal. Ăˇ 20 ks 150-203-00</t>
  </si>
  <si>
    <t>ZL226</t>
  </si>
  <si>
    <t>LĹľĂ­ce otiskovacĂ­ Dentaurum hornĂ­ /ĹľlutĂˇ/, vel. U1, bal. Ăˇ 20 ks 150-201-00</t>
  </si>
  <si>
    <t>ZL229</t>
  </si>
  <si>
    <t>LĹľĂ­ce otiskovacĂ­ Dentaurum hornĂ­ /zelenĂˇ/, vel. U4, bal. Ăˇ 20 ks 150-204-00</t>
  </si>
  <si>
    <t>ZD047</t>
  </si>
  <si>
    <t>Lopatka na cement 10 cm 121520010</t>
  </si>
  <si>
    <t>ZC539</t>
  </si>
  <si>
    <t>Lopatka na cement 18 cm 121520020</t>
  </si>
  <si>
    <t>ZR715</t>
  </si>
  <si>
    <t>Mandrel paralleling  universal Bredent pro  vks-sg/sv 360 0115 1</t>
  </si>
  <si>
    <t>ZN774</t>
  </si>
  <si>
    <t>MateriĂˇl fotokompozitnĂ­ pro bezkovovĂ© nĂˇhrady Signum ceramis dentin A3 bal. 4g Her66022943</t>
  </si>
  <si>
    <t>ZN883</t>
  </si>
  <si>
    <t>MateriĂˇl fotokompozitnĂ­ pro bezkovovĂ© nĂˇhrady Signum ceramis dentin D2 bal. 4g Her66022954</t>
  </si>
  <si>
    <t>ZR793</t>
  </si>
  <si>
    <t>MateriĂˇl fotokompozitnĂ­ pro uĹˇlechtilĂ© i nĂˇhradnĂ­ slitiny nĂˇhrad Signum ceramis enamel ED bal. Ăˇ 4g HK66022959</t>
  </si>
  <si>
    <t>ZP114</t>
  </si>
  <si>
    <t>MateriĂˇl fotokompozitnĂ­ pro uĹˇlechtilĂ© i nĂˇhradnĂ­ slitiny nĂˇhrad Signum enamel ED bal. 4 g HK66020036</t>
  </si>
  <si>
    <t>ZL469</t>
  </si>
  <si>
    <t>MateriĂˇl kompozitnĂ­ Filtek Ultimate A2-B 9025146</t>
  </si>
  <si>
    <t>ZL470</t>
  </si>
  <si>
    <t>MateriĂˇl kompozitnĂ­ Filtek ultimate A3-B 9025147</t>
  </si>
  <si>
    <t>ZL576</t>
  </si>
  <si>
    <t>MateriĂˇl kompozitnĂ­ Filtek ultimate Flowable A3 9025773</t>
  </si>
  <si>
    <t>ZR077</t>
  </si>
  <si>
    <t>Materiál fotokompozitní  Signum composite dentine OUW2, bal. á 3 g 66020082</t>
  </si>
  <si>
    <t>ZP112</t>
  </si>
  <si>
    <t>Materiál fotokompozitní pro bezkovové náhrady Signum ceramis dentin B4 bal. 4g HK66022949</t>
  </si>
  <si>
    <t>ZN780</t>
  </si>
  <si>
    <t>Materiál fotokompozitní pro bezkovové náhrady Signum ceramis dentin D3 bal. 4g Her66022955</t>
  </si>
  <si>
    <t>ZN882</t>
  </si>
  <si>
    <t>Materiál fotokompozitní pro bezkovové náhrady Signum ceramis dentin D4 bal. 4g Her66022945</t>
  </si>
  <si>
    <t>ZN885</t>
  </si>
  <si>
    <t>Materiál fotokompozitní pro bezkovové náhrady Signum ceramis dentin EM bal. 4g Her66022958</t>
  </si>
  <si>
    <t>Materiál fotokompozitní pro ušlechtilé i náhradní slitiny náhrad Signum enamel ED bal. 4 g HK66020036</t>
  </si>
  <si>
    <t>ZR076</t>
  </si>
  <si>
    <t>Materiál fotokompozitní Signum opaque F  OUW2, bal. á 3 g 66033468</t>
  </si>
  <si>
    <t>ZQ963</t>
  </si>
  <si>
    <t>Materiál kompozitní bis-akrylátový  pro výrobu provizor. náhrad Protemp 4 doplň.balení A2 (1 x 50ml kartuše  A2, 16 x míchací kanyly - modré) 9020139</t>
  </si>
  <si>
    <t>ZQ962</t>
  </si>
  <si>
    <t>Materiál kompozitní bis-akrylátový  pro výrobu provizor. náhrad Protemp 4 zaváděcí balení A2 (1 x 50ml kartuše A2, 16 x míchací kanyly-modré, Garant dispenzer 10:1) 9020137</t>
  </si>
  <si>
    <t>ZQ105</t>
  </si>
  <si>
    <t>Materiál kompozitní Filtek ultimate A1-B tuba 4 g ES3920A1B</t>
  </si>
  <si>
    <t>Materiál kompozitní Filtek Ultimate A2-B 9025146</t>
  </si>
  <si>
    <t>ZQ883</t>
  </si>
  <si>
    <t>Materiál kompozitní Filtek Ultimate A2-D, bal. tuba 4g 9025137</t>
  </si>
  <si>
    <t>ZQ884</t>
  </si>
  <si>
    <t>Materiál kompozitní Filtek Ultimate A2-E, bal. tuba 4g 9025158</t>
  </si>
  <si>
    <t>Materiál kompozitní Filtek ultimate A3-B 9025147</t>
  </si>
  <si>
    <t>ZL942</t>
  </si>
  <si>
    <t>Materiál kompozitní Filtek Ultimate A3-D,  bal. tuba 4g 9025140</t>
  </si>
  <si>
    <t>ZQ885</t>
  </si>
  <si>
    <t>Materiál kompozitní Filtek Ultimate A3-E, bal. tuba 4g 9025159</t>
  </si>
  <si>
    <t>ZQ106</t>
  </si>
  <si>
    <t>Materiál kompozitní Filtek ultimate Flowable A1 tuby 2 x 2 g ES3930A1</t>
  </si>
  <si>
    <t>ZL575</t>
  </si>
  <si>
    <t>Materiál kompozitní Filtek ultimate Flowable A2  9025772</t>
  </si>
  <si>
    <t>Materiál kompozitní Filtek ultimate Flowable A3 9025773</t>
  </si>
  <si>
    <t>ZP109</t>
  </si>
  <si>
    <t>Materiál kostní výplňový membrána Cytoplast Ti-250 14 x 24 mm výztužná neresorbovatelná TI250AS-1</t>
  </si>
  <si>
    <t>ZP110</t>
  </si>
  <si>
    <t>Materiál kostní výplňový membrána Cytoplast Ti-250 25 x 30 mm výztužná neresorbovatelná TI250PL-1</t>
  </si>
  <si>
    <t>ZL520</t>
  </si>
  <si>
    <t>Materiál kostní výplňový R.T.R. 0056610</t>
  </si>
  <si>
    <t>ZR429</t>
  </si>
  <si>
    <t>Matice ke kondylĂˇtorĹŻm Gerber, UkotvenĂ­ ÄŤ. 502, mosaz, Ĺˇestihran bal. Ăˇ 20 ks 4599718</t>
  </si>
  <si>
    <t>ZH722</t>
  </si>
  <si>
    <t>Matrice Fender Wedge 58122XS</t>
  </si>
  <si>
    <t>ZL447</t>
  </si>
  <si>
    <t>Matrice Hawe adapt 0,038 mm bal. á 30 ks 581207</t>
  </si>
  <si>
    <t>Matrice Hawe adapt 0,038 mm bal. Ăˇ 30 ks 581207</t>
  </si>
  <si>
    <t>ZL444</t>
  </si>
  <si>
    <t>Matrice Hawe adapt 1202581202</t>
  </si>
  <si>
    <t>ZE521</t>
  </si>
  <si>
    <t>Matrice Hawe adapt 1202581203</t>
  </si>
  <si>
    <t>ZL448</t>
  </si>
  <si>
    <t>Matrice Hawe adapt 1205581205</t>
  </si>
  <si>
    <t>ZL446</t>
  </si>
  <si>
    <t>Matrice Hawe adapt 1208581208</t>
  </si>
  <si>
    <t>ZC336</t>
  </si>
  <si>
    <t>Matrice Hawe Striproll šířka 6 mm délka 15 m transparentní HW686</t>
  </si>
  <si>
    <t>ZP795</t>
  </si>
  <si>
    <t>Matrice pro OT Equator, sada (1 x nerez pouzdro, 1 x laboratorní matrice -černá, 4 x retenční matrice -žlutá 0,6 kg, fialová 2,7 kg, bílá 1,8 kg, růžová 1,2 kg, 1 x ochranný disk) 993192ECE</t>
  </si>
  <si>
    <t>ZR083</t>
  </si>
  <si>
    <t>Matrice retenční OT Cap Rhein 83 micro, standardní, bílá  bal. á 6 ks 993040CRM</t>
  </si>
  <si>
    <t>ZQ191</t>
  </si>
  <si>
    <t>Matrice sekční Palodent V3 5,5 mm bal. á 50 ks 9032911</t>
  </si>
  <si>
    <t>ZQ192</t>
  </si>
  <si>
    <t>Matrice sekční Palodent V3 6,5 mm bal. á 50 ks 9032912</t>
  </si>
  <si>
    <t>ZQ899</t>
  </si>
  <si>
    <t>Matrice sekční Palodent V3 EZ 7,5 mm bal. á  50 ks 9032907</t>
  </si>
  <si>
    <t>ZQ687</t>
  </si>
  <si>
    <t>Membrána Bio-Gide Compressed 20x30mm AT500372</t>
  </si>
  <si>
    <t>ZP863</t>
  </si>
  <si>
    <t>MikroĹˇroub s hlaviÄŤkou na jeden zub 6 mm bal. Ăˇ 10 ks LEA0665-06</t>
  </si>
  <si>
    <t>ZR082</t>
  </si>
  <si>
    <t>Mikropouzdro OT Cap Rhein 83,  nerez, prům. 1,8 mm, bal. á 2 ks 993041CAM</t>
  </si>
  <si>
    <t>ZF449</t>
  </si>
  <si>
    <t>Mřížka tvarovaná-pozlac.á 10 ks DM 318-104</t>
  </si>
  <si>
    <t>ZR807</t>
  </si>
  <si>
    <t>NĂˇsada do drĹľĂˇku pro Contra Angle Jeil, dĂ©lka 20 mm 113-MJ-203</t>
  </si>
  <si>
    <t>ZG935</t>
  </si>
  <si>
    <t>NĂˇsada do drĹľĂˇku pro Contra Angle Jeil, dĂ©lka 25 mm (ĹˇroubovĂˇk pro implantĂˇty) 113-JB-201</t>
  </si>
  <si>
    <t>ZC422</t>
  </si>
  <si>
    <t>NĂˇsadka topnĂˇ ÄŤervenĂˇ k Waxlectric II RE2154-0002</t>
  </si>
  <si>
    <t>ZC403</t>
  </si>
  <si>
    <t>NĂˇstroj na zubnĂ­ kĂˇmen srpkovĂ˝ 0,6 mm 155 mm 397147510030</t>
  </si>
  <si>
    <t>ZG518</t>
  </si>
  <si>
    <t>NĂˇvlek na senzor RVG  bal. Ăˇ 500 ks 582024</t>
  </si>
  <si>
    <t>ZQ010</t>
  </si>
  <si>
    <t>Nástroj kořenový ProTaper Gold SX 19 mm sterilní bal. á 6 ks 9035292</t>
  </si>
  <si>
    <t>ZQ837</t>
  </si>
  <si>
    <t>Nástroj kořenový ProTaper Gold SX-F3  31 mm sterilní, bal. á 6 ks 9035084</t>
  </si>
  <si>
    <t>ZQ124</t>
  </si>
  <si>
    <t>Nástroj leštící (guma) Occlupol pro kovy L 22,0 mm Size O 1/10 mm 030 střední ED1102UM</t>
  </si>
  <si>
    <t>ZN792</t>
  </si>
  <si>
    <t>Nástroje na opracování materiálu Signum tool kit (11ks) HER66015677</t>
  </si>
  <si>
    <t>ZC517</t>
  </si>
  <si>
    <t>Nit dentĂˇlnĂ­ BT485</t>
  </si>
  <si>
    <t>Nit dentální BT485</t>
  </si>
  <si>
    <t>ZI810</t>
  </si>
  <si>
    <t>Nit elastická kulatá hrubá J0388</t>
  </si>
  <si>
    <t>ZE413</t>
  </si>
  <si>
    <t>Nůž na sádru 180 mm 121520050</t>
  </si>
  <si>
    <t>ZC821</t>
  </si>
  <si>
    <t>Occlu spray zelenĂ˝ 75 ml 00093</t>
  </si>
  <si>
    <t>Occlu spray zelený 75 ml 00093</t>
  </si>
  <si>
    <t>ZA940</t>
  </si>
  <si>
    <t>Occlusal dentin orange á 20g IV593271</t>
  </si>
  <si>
    <t>ZC922</t>
  </si>
  <si>
    <t>Očko Opti-MIM 430-005</t>
  </si>
  <si>
    <t>ZN176</t>
  </si>
  <si>
    <t>Ochrana měkké tkáně 018 čirá 400-326</t>
  </si>
  <si>
    <t>ZG296</t>
  </si>
  <si>
    <t>OptiBond FL 0036191</t>
  </si>
  <si>
    <t>ZC400</t>
  </si>
  <si>
    <t>Opticor flow 2 G A2</t>
  </si>
  <si>
    <t>ZC382</t>
  </si>
  <si>
    <t>Opticor flow barva A2 1008A2</t>
  </si>
  <si>
    <t>ZF313</t>
  </si>
  <si>
    <t>Opticor flow barva A3 4000009</t>
  </si>
  <si>
    <t>ZC485</t>
  </si>
  <si>
    <t>Oralium 1000 g 1600/0</t>
  </si>
  <si>
    <t>ZD313</t>
  </si>
  <si>
    <t>Oranwash L 140 ml IX2877</t>
  </si>
  <si>
    <t>ZC451</t>
  </si>
  <si>
    <t>Orthocryl E Q prĂˇĹˇek transparent 1kg 160-300</t>
  </si>
  <si>
    <t>ZD386</t>
  </si>
  <si>
    <t>Orthocryl lig.ÄŤirĂ© 500 161-100</t>
  </si>
  <si>
    <t>ZA477</t>
  </si>
  <si>
    <t>Orthocryl neon 250ml oranž. 161-136</t>
  </si>
  <si>
    <t>ZC331</t>
  </si>
  <si>
    <t>Orthocryl neon 250ml pink. 161-137</t>
  </si>
  <si>
    <t>ZC316</t>
  </si>
  <si>
    <t>Orthocryl Neon oranž. 160-001</t>
  </si>
  <si>
    <t>ZG192</t>
  </si>
  <si>
    <t>PĂˇjka NiCr-Sold 1 Ăˇ 3 g 180000332</t>
  </si>
  <si>
    <t>ZR080</t>
  </si>
  <si>
    <t>PĂˇska diamantovĂˇ perf. PCXDS3 15Âµ/3,75mm, ĹľlutĂˇ, s pilkou bal. Ăˇ 10 ks 0307832</t>
  </si>
  <si>
    <t>ZR371</t>
  </si>
  <si>
    <t>PĂˇsky stripovacĂ­ perforovanĂ© KOMET WS 37 A, diamant. abrazivum, autoklĂˇvovatelnĂ©, bal.Ăˇ 15 ks WS37A</t>
  </si>
  <si>
    <t>ZB984</t>
  </si>
  <si>
    <t>PĂˇtradlo zubnĂ­ lomenĂ©-krĂˇtkĂ© 397133510040</t>
  </si>
  <si>
    <t>ZK345</t>
  </si>
  <si>
    <t>Paletky míchací M+W jednorázové 0098500</t>
  </si>
  <si>
    <t>ZR841</t>
  </si>
  <si>
    <t>PapĂ­r artikulaÄŤnĂ­ Bausch BK15 mikrotenkĂ˝ 40 Âµ, modrĂ˝, role, ĹˇĂ­Ĺ™ka 22 mm, dĂ©lka 10 m 0008938</t>
  </si>
  <si>
    <t>ZC319</t>
  </si>
  <si>
    <t>PapĂ­r artikulaÄŤnĂ­ modroÄŤerv. l 12 x 10 listĹŻ 102</t>
  </si>
  <si>
    <t>PapĂ­r artikulaÄŤnĂ­ modroÄŤerv. l 12x10lis 102</t>
  </si>
  <si>
    <t>ZD357</t>
  </si>
  <si>
    <t>PapĂ­r artikulaÄŤnĂ­ modroÄŤerv. U 6 x 10 lis. 103</t>
  </si>
  <si>
    <t>Papír artikulační modročerv. l 12x10lis 102</t>
  </si>
  <si>
    <t>Papír artikulační modročerv. U 6 x 10 lis. 103</t>
  </si>
  <si>
    <t>ZC508</t>
  </si>
  <si>
    <t>PĂ­sek do pĂ­skov. Korund-hnÄ›dĂ˝ ÄŤ. 46</t>
  </si>
  <si>
    <t>ZC462</t>
  </si>
  <si>
    <t>PĂ­sek Interalox 250 7 kg 00404</t>
  </si>
  <si>
    <t>ZH734</t>
  </si>
  <si>
    <t>Pásek matricový ocelový Hawe 6 mm 0,03 mm 3 m H399B 9005742</t>
  </si>
  <si>
    <t>ZG865</t>
  </si>
  <si>
    <t>Pásek strippingový 106-221</t>
  </si>
  <si>
    <t>Páska diamantová perf. PCXDS3 15µ/3,75mm, žlutá, s pilkou bal. á 10 ks 0307832</t>
  </si>
  <si>
    <t>ZC317</t>
  </si>
  <si>
    <t>Pásky dentapreg bridge PFU, bal.á 3 pásky, IXD-503</t>
  </si>
  <si>
    <t>ZH899</t>
  </si>
  <si>
    <t>Pásky stripovací jednostranné 106-220</t>
  </si>
  <si>
    <t>ZQ527</t>
  </si>
  <si>
    <t>Pásky voskové KKD Utility Wax Strips, hranaté, bílé, O 4,8mm, bal. á 350 g  -  tj. 55 ks 6423</t>
  </si>
  <si>
    <t>ZC300</t>
  </si>
  <si>
    <t>Pasta Depural Neo 60 g 4816210</t>
  </si>
  <si>
    <t>ZE019</t>
  </si>
  <si>
    <t>Pasta leĹˇtĂ­cĂ­ Opal 35 g 520.0000RE</t>
  </si>
  <si>
    <t>Pasta leštící Opal 35 g 520.0000RE</t>
  </si>
  <si>
    <t>ZJ765</t>
  </si>
  <si>
    <t>Pasta pro vypalovĂˇnĂ­ v keramickĂ© peci Ăˇ 12 g VIEFP12</t>
  </si>
  <si>
    <t>Pasta pro vypalování v keramické peci á 12 g VIEFP12</t>
  </si>
  <si>
    <t>ZC522</t>
  </si>
  <si>
    <t>Pasta Superpolish 1719</t>
  </si>
  <si>
    <t>ZD589</t>
  </si>
  <si>
    <t>Pattern Resin-prĂˇĹˇek 100 g GCREPR001</t>
  </si>
  <si>
    <t>Pattern Resin-prášek 100 g GCREPR001</t>
  </si>
  <si>
    <t>ZQ890</t>
  </si>
  <si>
    <t>Perličky pro profylaxi Prophypearls, pro Prophyflex 3, příchť neutrání, bal. 80x15 g 0082890</t>
  </si>
  <si>
    <t>ZR785</t>
  </si>
  <si>
    <t>PilĂ­Ĺ™ Attachment LOCATOR QR/L2.0, prĹŻmÄ›r 3,85 mm 01286</t>
  </si>
  <si>
    <t>ZR051</t>
  </si>
  <si>
    <t>PilĂ­Ĺ™ Attachment LOCATOR QR/L3.0, prĹŻmÄ›r 3,85 mm 01287</t>
  </si>
  <si>
    <t>ZG717</t>
  </si>
  <si>
    <t>Pilíř attachment locator D3.7/L2 01209</t>
  </si>
  <si>
    <t>ZG718</t>
  </si>
  <si>
    <t>Pilíř attachment locator D3.7/L3 01210</t>
  </si>
  <si>
    <t>ZR049</t>
  </si>
  <si>
    <t>Pilíř Attachment LOCATOR L0,5 mm, průměr 3,85 mm 01289</t>
  </si>
  <si>
    <t>ZR050</t>
  </si>
  <si>
    <t>Pilíř Attachment LOCATOR L0,6 mm, průměr 3,85 mm 01290</t>
  </si>
  <si>
    <t>Pilíř Attachment LOCATOR QR/L3.0, průměr 3,85 mm 01287</t>
  </si>
  <si>
    <t>ZR052</t>
  </si>
  <si>
    <t>Pilíř Attachment LOCATOR QR/L4.0, průměr 3,85 mm 01288</t>
  </si>
  <si>
    <t>ZH843</t>
  </si>
  <si>
    <t>Pilíř locator attachmenty D3.7/L1 01208</t>
  </si>
  <si>
    <t>ZR538</t>
  </si>
  <si>
    <t>Pilka Jiffy proximĂˇlnĂ­, ĹˇĂ­Ĺ™ka 8 mm, sterilizovatelnĂˇ bal. Ăˇ 12 ks 9008337</t>
  </si>
  <si>
    <t>ZP877</t>
  </si>
  <si>
    <t>PilnĂ­k dĂ©lka 25 mm 025 025, ISO 025 bal. Ăˇ 60 ks</t>
  </si>
  <si>
    <t>ZJ754</t>
  </si>
  <si>
    <t>PilnĂ­k K - Files 029 015</t>
  </si>
  <si>
    <t>ZP248</t>
  </si>
  <si>
    <t>Pilník Files 025 015 délka 25 mm ISO 015, bal. á 6 ks 006996</t>
  </si>
  <si>
    <t>ZK543</t>
  </si>
  <si>
    <t>Pilník K - File 397144518662</t>
  </si>
  <si>
    <t>ZQ673</t>
  </si>
  <si>
    <t>Pilník K-File průměr 0,15 délka 31 mm sada = 6 ks 397144519052</t>
  </si>
  <si>
    <t>ZC320</t>
  </si>
  <si>
    <t>Písek Cobra White 50 my 1 kg</t>
  </si>
  <si>
    <t>Písek Interalox 250 7 kg 00404</t>
  </si>
  <si>
    <t>ZL441</t>
  </si>
  <si>
    <t>PĹ™edvrtĂˇvaÄŤ ÄŤ. 02 FCO-050 Conial Drill FCO-050</t>
  </si>
  <si>
    <t>ZL442</t>
  </si>
  <si>
    <t>PĹ™edvrtĂˇvaÄŤ ÄŤ. 02 FCO-070 Conial Drill FCO-070</t>
  </si>
  <si>
    <t>ZL443</t>
  </si>
  <si>
    <t>PĹ™edvrtĂˇvaÄŤ ÄŤ. 03 FCO-090 Conial Drill FCO-090</t>
  </si>
  <si>
    <t>ZR873</t>
  </si>
  <si>
    <t>PĹ™edvrtĂˇvaÄŤ ÄŤ. 04 FCO- 110 Conial Drill FCO-110</t>
  </si>
  <si>
    <t>ZE945</t>
  </si>
  <si>
    <t>PolĂ­rka elastickĂˇ meisinger 9573S</t>
  </si>
  <si>
    <t>ZE944</t>
  </si>
  <si>
    <t>PolĂ­rka elastickĂˇ meisinger 9573U</t>
  </si>
  <si>
    <t>ZO907</t>
  </si>
  <si>
    <t>Pomůcka k odtažení rtů Optragate Regular bezlatexová bal. á 80 ks 0091611</t>
  </si>
  <si>
    <t>ZQ255</t>
  </si>
  <si>
    <t>Pomůcka k odtažení rtů Optragate small bezlatexová bal. á 80 ks 0091612</t>
  </si>
  <si>
    <t>ZQ798</t>
  </si>
  <si>
    <t>Prášek  pro výrobu pryskyřičného těsta Leocryl powder polymer clear 1,0 kg LER6032-00</t>
  </si>
  <si>
    <t>ZQ889</t>
  </si>
  <si>
    <t>Prášek do pískovače RondoFlex, k air-abrasion ošetření, vel. částic  50 µm, bal. á 1000 g 0182004</t>
  </si>
  <si>
    <t>ZD466</t>
  </si>
  <si>
    <t>Preci Post 50+50 AD2003L</t>
  </si>
  <si>
    <t>ZG406</t>
  </si>
  <si>
    <t>Preci-clix Female yellow á 6 ks 1231</t>
  </si>
  <si>
    <t>ZE020</t>
  </si>
  <si>
    <t>Preci-vertix P sada (6 ks patric 1813, 6 ks žlutých matric, 1 ks zavaděč) AD1811</t>
  </si>
  <si>
    <t>ZC360</t>
  </si>
  <si>
    <t>Premacryl liq.bezbarvĂ˝ 250 ml 4342921</t>
  </si>
  <si>
    <t>Premacryl liq.bezbarvý 250 ml 4342921</t>
  </si>
  <si>
    <t>ZC565</t>
  </si>
  <si>
    <t>Premacryl prĂˇĹˇek rĹŻĹľovĂ˝ 500 g 4342405</t>
  </si>
  <si>
    <t>Premacryl prášek růžový 500 g 4342405</t>
  </si>
  <si>
    <t>ZC453</t>
  </si>
  <si>
    <t>Prime-bond 60667240</t>
  </si>
  <si>
    <t>ZB277</t>
  </si>
  <si>
    <t>PronikaÄŤ K - File 063025015</t>
  </si>
  <si>
    <t>ZR179</t>
  </si>
  <si>
    <t>PronikaÄŤ K-Reamer L31, prĹŻmÄ›r 0,30 mm, dĂ©lka 31 mm, sada = 6 ks 397144517812</t>
  </si>
  <si>
    <t>ZF935</t>
  </si>
  <si>
    <t>Pronikač 053025015</t>
  </si>
  <si>
    <t>Pronikač K - File 063025015</t>
  </si>
  <si>
    <t>ZH124</t>
  </si>
  <si>
    <t>Pronikač K - File VDW063025010</t>
  </si>
  <si>
    <t>ZP134</t>
  </si>
  <si>
    <t>Pronikač K-Reamer L25 průměr 0,80 mm délka 25 mm sada = 6 kusů 397144517502</t>
  </si>
  <si>
    <t>Pronikač K-Reamer L31, průměr 0,30 mm, délka 31 mm, sada = 6 ks 397144517812</t>
  </si>
  <si>
    <t>ZI095</t>
  </si>
  <si>
    <t>Pronikač k-reamers 053025010</t>
  </si>
  <si>
    <t>ZP874</t>
  </si>
  <si>
    <t>Pronikač MM délka 25 mm 025 030, ISO 030 bal. á 60 ks</t>
  </si>
  <si>
    <t>ZG856</t>
  </si>
  <si>
    <t>ProstĹ™edek na ÄŤiĹˇĹĄ. koĹ™en. kanĂˇlkĹŻ FileCare EDTA/vdw/ stĹ™Ă­kaÄŤky 5 x 3 ml 0858649</t>
  </si>
  <si>
    <t>ZO132</t>
  </si>
  <si>
    <t>ProtahovĂˇÄŤek h-file 0,08 397144515832</t>
  </si>
  <si>
    <t>ZP364</t>
  </si>
  <si>
    <t>ProtahovĂˇÄŤek H-File 025 dĂ©lka 31 mm ÄŤervenĂ˝ bal. Ăˇ 6 ks 397144515432</t>
  </si>
  <si>
    <t>ZI098</t>
  </si>
  <si>
    <t>ProtahovĂˇÄŤek h-file 073025030</t>
  </si>
  <si>
    <t>ZI100</t>
  </si>
  <si>
    <t>ProtahovĂˇÄŤek h-file 073025040</t>
  </si>
  <si>
    <t>ZC928</t>
  </si>
  <si>
    <t>Protahováček Hedstrém 073025015</t>
  </si>
  <si>
    <t>ZC417</t>
  </si>
  <si>
    <t>Protemp 3 Garant 1 x 50 ml A3</t>
  </si>
  <si>
    <t>ZK658</t>
  </si>
  <si>
    <t>Protemp 4 50 ml A3 ES46957</t>
  </si>
  <si>
    <t>ZC921</t>
  </si>
  <si>
    <t>PruĹľina open v cĂ­vce (100-751) F00062</t>
  </si>
  <si>
    <t>Pružina open v cívce (100-751) F00062</t>
  </si>
  <si>
    <t>ZJ766</t>
  </si>
  <si>
    <t>PryskyĹ™ice LC Block-out resin sada UD240</t>
  </si>
  <si>
    <t>ZC533</t>
  </si>
  <si>
    <t>Relyx temp NE001</t>
  </si>
  <si>
    <t>ZJ369</t>
  </si>
  <si>
    <t>Remanium 2000+ kovová slitina á 1000g 102-600-10</t>
  </si>
  <si>
    <t>ZC312</t>
  </si>
  <si>
    <t>Remanium CS 1 kg, 102-403</t>
  </si>
  <si>
    <t>ZG423</t>
  </si>
  <si>
    <t>Remanium g-weich Ăˇ 1000g 100-001</t>
  </si>
  <si>
    <t>ZC313</t>
  </si>
  <si>
    <t>Repin 800 g orig. 4241110</t>
  </si>
  <si>
    <t>ZQ059</t>
  </si>
  <si>
    <t>Roztok k ochranÄ› gigivy Rubber Dam Liquid - tekutĂ˝ kofferdam, bal. 1 x 1,2 ml 9033141</t>
  </si>
  <si>
    <t>Roztok k ochraně gigivy Rubber Dam Liquid - tekutý kofferdam, bal. 1 x 1,2 ml 9033141</t>
  </si>
  <si>
    <t>ZM729</t>
  </si>
  <si>
    <t>Roztok na otiskovacĂ­ hmotu VPS Tray Adhezivum ES7307</t>
  </si>
  <si>
    <t>ZE676</t>
  </si>
  <si>
    <t>Řetízek elastický, dlouhý, délka  4,572 m (CLEAR LIGHT FORCE CHAIN 15' LONG ) 400-318LF</t>
  </si>
  <si>
    <t>ZC527</t>
  </si>
  <si>
    <t>SĂˇdra alabastr. 0301/25 Ăˇ 25 kg</t>
  </si>
  <si>
    <t>ZC450</t>
  </si>
  <si>
    <t>SĂˇdra efektor otisk 25 kg 4251135</t>
  </si>
  <si>
    <t>ZA277</t>
  </si>
  <si>
    <t>SĂˇdra Hinristone zelenĂ˝ 25 kg 0612/25</t>
  </si>
  <si>
    <t>ZD469</t>
  </si>
  <si>
    <t>SĂˇdra Hinristone zlatoh. 25 kg 0613/25</t>
  </si>
  <si>
    <t>ZC441</t>
  </si>
  <si>
    <t>SĂˇdra marmodent 0208/25 Ăˇ 25 kg</t>
  </si>
  <si>
    <t>ZN548</t>
  </si>
  <si>
    <t>Sada flexistone Plus DC005115</t>
  </si>
  <si>
    <t>ZQ829</t>
  </si>
  <si>
    <t>Sada Lasak BioniQ - Protetická plánovací včetně plastových pilířů á 4 ks každého druhu pilíře (celkem 124 ks) 2822.00</t>
  </si>
  <si>
    <t>ZL506</t>
  </si>
  <si>
    <t>Sada na leptání porcelain etch silane 9007952</t>
  </si>
  <si>
    <t>ZC561</t>
  </si>
  <si>
    <t>Sada na leštění amalgam. výplní (2 ks Amalgam reducerů, 5 ks Alphaflex hnědé, 5 ks Alphaflex zelené) 9000288</t>
  </si>
  <si>
    <t>ZG719</t>
  </si>
  <si>
    <t>Sada protetická locator á 2 ks 08519-2</t>
  </si>
  <si>
    <t>Sada protetickĂˇ locator Ăˇ 2 ks 08519-2</t>
  </si>
  <si>
    <t>Sádra alabastr. 0301/25 á 25 kg</t>
  </si>
  <si>
    <t>Sádra efektor otisk 25 kg 4251135</t>
  </si>
  <si>
    <t>Sádra Hinristone zelený 25 kg 0612/25</t>
  </si>
  <si>
    <t>Sádra Hinristone zlatoh. 25 kg 0613/25</t>
  </si>
  <si>
    <t>Sádra marmodent 0208/25 á 25 kg</t>
  </si>
  <si>
    <t>ZQ678</t>
  </si>
  <si>
    <t>Savka Hygovac V 1000G zelenĂ©, PP, dĂ©lka 140 mm konce 45Â° a S autoklĂˇvovatelnĂ© bal. Ăˇ 100 ks V1000G</t>
  </si>
  <si>
    <t>ZQ988</t>
  </si>
  <si>
    <t>Savka M+W pro děti, zelená, délka 10,8 cm, šířka 1 cm, spojka o průměru 16 mm, autoklávovatelná, bal. á 10 ks 0300612</t>
  </si>
  <si>
    <t>ZQ987</t>
  </si>
  <si>
    <t>Savka M+W pro dospÄ›lĂ©, modrĂˇ, dĂ©lka 12,4 cm, ĹˇĂ­Ĺ™ka 1,5 cm, spojka o prĹŻmÄ›ru 16 mm, autoklĂˇvovatelnĂˇ, bal. Ăˇ 10 ks 0300603</t>
  </si>
  <si>
    <t>Savka M+W pro dospělé, modrá, délka 12,4 cm, šířka 1,5 cm, spojka o průměru 16 mm, autoklávovatelná, bal. á 10 ks 0300603</t>
  </si>
  <si>
    <t>ZL468</t>
  </si>
  <si>
    <t>Savka s odnĂ­m.koncovkou - transp. bal.Ăˇ 100 ks,  MSF6007</t>
  </si>
  <si>
    <t>Savka s odním.koncovkou - transp. bal.á 100 ks,  MSF6007</t>
  </si>
  <si>
    <t>ZB986</t>
  </si>
  <si>
    <t>Seal Protect  606.04.700</t>
  </si>
  <si>
    <t>ZD005</t>
  </si>
  <si>
    <t>Separating fluid 500 ml 1/V3651</t>
  </si>
  <si>
    <t>ZB927</t>
  </si>
  <si>
    <t>Set no. 106 CON106</t>
  </si>
  <si>
    <t>ZR539</t>
  </si>
  <si>
    <t>Set zkuĹˇebnĂ­ Relyx Ultimate Clicker - A1 (obsahuje 1x1,5ml Single Bond Universal, 1x3ml leptacĂ­ gel, 1x4,5g RelyX Ultimate Clicker A1, pĹ™Ă­sluĹˇenstvĂ­) 5346ZA1</t>
  </si>
  <si>
    <t>ZF735</t>
  </si>
  <si>
    <t>Signum ceramis margin M2 4g HK66031432</t>
  </si>
  <si>
    <t>ZF058</t>
  </si>
  <si>
    <t>Signum Dentin 1x4g D3 HK66020020 (4951000A)</t>
  </si>
  <si>
    <t>ZD114</t>
  </si>
  <si>
    <t>Signum Dentin á 4 g HK660200 (4950993A)</t>
  </si>
  <si>
    <t>ZC481</t>
  </si>
  <si>
    <t>Siloflex plus catal. 60 g 4213310</t>
  </si>
  <si>
    <t>ZC480</t>
  </si>
  <si>
    <t>Siloflex plus light 200 g 4213210</t>
  </si>
  <si>
    <t>ZC479</t>
  </si>
  <si>
    <t>Siloflex plus putty 1350 g 4213110</t>
  </si>
  <si>
    <t>ZF338</t>
  </si>
  <si>
    <t>Sof-lex disky ES8692M</t>
  </si>
  <si>
    <t>ZC416</t>
  </si>
  <si>
    <t>Sof-lex mandrel 2 ks 8695CA</t>
  </si>
  <si>
    <t>ZC457</t>
  </si>
  <si>
    <t>Solitine (Kerr) 60084</t>
  </si>
  <si>
    <t>ZD351</t>
  </si>
  <si>
    <t>Speedex Universal Aktivator 1 x 60 ml - 60 g IX4990</t>
  </si>
  <si>
    <t>ZC471</t>
  </si>
  <si>
    <t>Spofacryl orig. 100g O 4318200</t>
  </si>
  <si>
    <t>ZR719</t>
  </si>
  <si>
    <t>Spoj zĂˇsuvnĂ˝  Matrix Duplicating Bredent white vs 3 mini sv bal. Ăˇ 8 ks 430 0734 1</t>
  </si>
  <si>
    <t>ZR718</t>
  </si>
  <si>
    <t>Spoj zĂˇsuvnĂ˝ Matrix Bredent yellow vs 3 mini sv bal. bal. Ăˇ 8 ks 430 0733 3</t>
  </si>
  <si>
    <t>ZR717</t>
  </si>
  <si>
    <t>Spoj zĂˇsuvnĂ˝ Patrix Bredent blue vs 3 mini sv bal. Ăˇ 8 ks 430 0734 3</t>
  </si>
  <si>
    <t>ZC373</t>
  </si>
  <si>
    <t>Sprej cognoscin orig. 120 g 1IX1140</t>
  </si>
  <si>
    <t>ZL577</t>
  </si>
  <si>
    <t>Sprej Kavo 4119640KA</t>
  </si>
  <si>
    <t>ZH467</t>
  </si>
  <si>
    <t>Sprej Kavo QUATTROCARE á 6 ks (6 lahví) KaVo QUATTROcare spreje a 500 ml 1.011.5720</t>
  </si>
  <si>
    <t>Sprej Kavo QUATTROCARE Ăˇ 6 ks (6 lahvĂ­) KaVo QUATTROcare spreje a 500 ml 1.011.5720</t>
  </si>
  <si>
    <t>ZM898</t>
  </si>
  <si>
    <t>Sprej pro skenovĂˇnĂ­ 3D bal. Ăˇ 400 ml Laserscanning Anti-clare-spray 119990001</t>
  </si>
  <si>
    <t>ZC388</t>
  </si>
  <si>
    <t>Steribox DD355139</t>
  </si>
  <si>
    <t>ZE013</t>
  </si>
  <si>
    <t>StojĂˇnek na vrtĂˇÄŤky 142911002 RA</t>
  </si>
  <si>
    <t>ZM904</t>
  </si>
  <si>
    <t>Stojánek keramický G VIB009</t>
  </si>
  <si>
    <t>ZC304</t>
  </si>
  <si>
    <t>Stomaflex varnish (lak) 140 g 4817330</t>
  </si>
  <si>
    <t>ZC358</t>
  </si>
  <si>
    <t>Superacryl plus liq. 250 ml 4328902</t>
  </si>
  <si>
    <t>ZD531</t>
  </si>
  <si>
    <t>Superacryl plus PLV. 500 g 4328417</t>
  </si>
  <si>
    <t>ZC357</t>
  </si>
  <si>
    <t>Superacryl plus Z a 500 gr pl 4328414</t>
  </si>
  <si>
    <t>ZF676</t>
  </si>
  <si>
    <t>Superpont dentin 100g 4324220</t>
  </si>
  <si>
    <t>ZJ301</t>
  </si>
  <si>
    <t>SystĂ©m adhezivnĂ­ F-Splint-Aid (1x lahviÄŤka s pĂˇskou a bondem ĹˇĂ­Ĺ™ka 4 mm, dĂ©lka 12 cm + 5x aplikaÄŤnĂ­ svorka)</t>
  </si>
  <si>
    <t>Systém adhezivní F-Splint-Aid (1x lahvička s páskou a bondem šířka 4 mm, délka 12 cm + 5x aplikační svorka)</t>
  </si>
  <si>
    <t>ZP886</t>
  </si>
  <si>
    <t>Šroub kotevní Dia Jeil 1,4 x 8 mm 14-G1-008</t>
  </si>
  <si>
    <t>ZR188</t>
  </si>
  <si>
    <t>Šroub kotevní Dia Jeil 1,6 x 10 mm 16-G1-010</t>
  </si>
  <si>
    <t>ZR189</t>
  </si>
  <si>
    <t>Šroub kotevní Dia Jeil 2,0 x 8 mm 20-G1-008</t>
  </si>
  <si>
    <t>Šroub ortodontický Bertoni 602-606-1</t>
  </si>
  <si>
    <t>ZP388</t>
  </si>
  <si>
    <t>Šroubovák dlouhý Bioniq hex I.25/32 2406.00</t>
  </si>
  <si>
    <t>ZM662</t>
  </si>
  <si>
    <t>Šroubovák hex krátký I.25/L23 2405.00</t>
  </si>
  <si>
    <t>Štětečky aplikační, á 400 ks, SD8100123</t>
  </si>
  <si>
    <t>ZF481</t>
  </si>
  <si>
    <t>Tah gumový intraor.-medium 1/4" 407-041S</t>
  </si>
  <si>
    <t>ZF689</t>
  </si>
  <si>
    <t>Tahy gumové intraor.-medium 1/8" 407-021S</t>
  </si>
  <si>
    <t>ZD390</t>
  </si>
  <si>
    <t>Tahy gumové intraor.-medium 3/16" 407-031S</t>
  </si>
  <si>
    <t>ZL705</t>
  </si>
  <si>
    <t>Tekutina Build-UP liquid IV593352</t>
  </si>
  <si>
    <t>ZD095</t>
  </si>
  <si>
    <t>Tekutina expanznĂ­ sheraifina 1l 1501SH</t>
  </si>
  <si>
    <t>Tekutina expanzní sheraifina 1l 1501SH</t>
  </si>
  <si>
    <t>ZG079</t>
  </si>
  <si>
    <t>Tekutina Invex liquid 1000 ml ivo597064</t>
  </si>
  <si>
    <t>ZD217</t>
  </si>
  <si>
    <t>Tekutina Pattern Resin lig. LS</t>
  </si>
  <si>
    <t>ZQ795</t>
  </si>
  <si>
    <t>Tekutina pro výrobu pryskyřičného těsta Leocryl liquid E purple 0,5 l LER6135-00</t>
  </si>
  <si>
    <t>ZQ796</t>
  </si>
  <si>
    <t>Tekutina pro výrobu pryskyřičného těsta Leocryl liquid F magenta 0,5 l LER6136-00</t>
  </si>
  <si>
    <t>ZQ797</t>
  </si>
  <si>
    <t>Tekutina pro výrobu pryskyřičného těsta Leocryl liquid monomer A clear 1,0 l LER6142-02</t>
  </si>
  <si>
    <t>ZR075</t>
  </si>
  <si>
    <t>Tekutina pro výrobu pryskyřičného těsta Leocryl liquid monomer L turquoise 0,5 l LER6140-00</t>
  </si>
  <si>
    <t>ZR074</t>
  </si>
  <si>
    <t>Tekutina pro výrobu pryskyřičného těsta Leocryl liquid monomer M blue 0,5 l LER6141-00</t>
  </si>
  <si>
    <t>ZD290</t>
  </si>
  <si>
    <t>Tetric Evo 2g Flow A2</t>
  </si>
  <si>
    <t>ZC563</t>
  </si>
  <si>
    <t>Tokuso rebase 1/X7045</t>
  </si>
  <si>
    <t>ZK601</t>
  </si>
  <si>
    <t>Top Gloss sortiment ED1945</t>
  </si>
  <si>
    <t>ZL965</t>
  </si>
  <si>
    <t>Transpa incizal TI 1 Ăˇ 20 g IV593262</t>
  </si>
  <si>
    <t>ZL966</t>
  </si>
  <si>
    <t>Transpa incizal TI 2 á 20 g IV593263</t>
  </si>
  <si>
    <t>ZL967</t>
  </si>
  <si>
    <t>Transpa incizal TI 3 á 20 g IV593264</t>
  </si>
  <si>
    <t>ZM531</t>
  </si>
  <si>
    <t>VĂˇleÄŤek vhojovacĂ­ QR/d5.2/L4 ĹˇirokĂ˝ 2110.04</t>
  </si>
  <si>
    <t>ZM532</t>
  </si>
  <si>
    <t>VĂˇleÄŤek vhojovacĂ­ QR/d5.2/L6 ĹˇirokĂ˝ 2110.06</t>
  </si>
  <si>
    <t>ZQ425</t>
  </si>
  <si>
    <t>VĂˇleÄŤek zubnĂ­ DENTALPAD vel. 2 prĹŻm. 10 mm bal. Ăˇ 750 ks 1320200503</t>
  </si>
  <si>
    <t>ZR187</t>
  </si>
  <si>
    <t>Váleček vhojovací Dentsply 3.0, prům. 4 mm, výška 6 mm, cem.práce, titanium, sterilní 25017</t>
  </si>
  <si>
    <t>Váleček zubní DENTALPAD vel. 2 prům. 10 mm bal. á 750 ks 1320200503</t>
  </si>
  <si>
    <t>ZG158</t>
  </si>
  <si>
    <t>VlĂˇkno wedjets na kofferdam 2,1 m barva ĹľlutĂˇ 0035117</t>
  </si>
  <si>
    <t>ZL943</t>
  </si>
  <si>
    <t>VlĂˇkno zubnĂ­ super floss 0098890</t>
  </si>
  <si>
    <t>ZC952</t>
  </si>
  <si>
    <t>Vlákno retrakční Ultrapack 1 UD9334</t>
  </si>
  <si>
    <t>ZF154</t>
  </si>
  <si>
    <t>Vlákno Ultrapak č. 1 509334</t>
  </si>
  <si>
    <t>ZF145</t>
  </si>
  <si>
    <t>Vlákno Ultrapak č. 2 509335</t>
  </si>
  <si>
    <t>Vlákno wedjets na kofferdam 2,1 m barva žlutá 0035117</t>
  </si>
  <si>
    <t>Vlákno zubní super floss 0098890</t>
  </si>
  <si>
    <t>ZC555</t>
  </si>
  <si>
    <t>Vosk mÄ›kkĂ˝ modelovacĂ­ ceradent 1000 g vosku v destiÄŤkĂˇch 155 x 75 mm s tlouĹˇĹĄkou 1,2 - 1,4 mm 4411115</t>
  </si>
  <si>
    <t>Vosk měkký modelovací ceradent 1000 g vosku v destičkách 155 x 75 mm s tloušťkou 1,2 - 1,4 mm 4411115</t>
  </si>
  <si>
    <t>ZG695</t>
  </si>
  <si>
    <t>Vosk modelovacĂ­ - speciĂˇl letnĂ­ 1,5 mm 2500 g 9001516</t>
  </si>
  <si>
    <t>Vosk modelovací - speciál letní 1,5 mm 2500 g 9001516</t>
  </si>
  <si>
    <t>ZK722</t>
  </si>
  <si>
    <t>Vosk vykrĂ˝vacĂ­ bĂ­lĂ˝ 50g IN0194</t>
  </si>
  <si>
    <t>Vosk vykrývací bílý 50g IN0194</t>
  </si>
  <si>
    <t>ZJ769</t>
  </si>
  <si>
    <t>VrtĂˇk spirĂˇlovĂ˝ HSS prĹŻm.1,0mm bal. 3 ks ER110876</t>
  </si>
  <si>
    <t>ZR190</t>
  </si>
  <si>
    <t>Vrták kulový BioniQ LASAK d 1.8 2443.00</t>
  </si>
  <si>
    <t>ZR191</t>
  </si>
  <si>
    <t>Vrták pilotní BioniQ LASAK d 1.5 2446.00</t>
  </si>
  <si>
    <t>ZK415</t>
  </si>
  <si>
    <t>Vzorník primodent PO1612</t>
  </si>
  <si>
    <t>ZC301</t>
  </si>
  <si>
    <t>Ypeen 800 g dĂłza 100066</t>
  </si>
  <si>
    <t>Ypeen 800 g dóza 100066</t>
  </si>
  <si>
    <t>ZC920</t>
  </si>
  <si>
    <t>ZĂˇmky elite medium twin set. 022 707-398</t>
  </si>
  <si>
    <t>ZR370</t>
  </si>
  <si>
    <t>ZĂˇmky keramickĂ© Crystal Clear Bracket, transparentnĂ­, vĂ˝Ĺˇka 2 mm, kompatibilnĂ­ s jakĂ˝mkoliv ortodontickĂ˝m lepidlem, mikrokrystalickĂˇ struktura bĂˇze, zaoblenĂ© tvary, snadnĂ˝ identifikaÄŤnĂ­ systĂ©m 700-221</t>
  </si>
  <si>
    <t>Zámky elite medium twin set. 022 707-398</t>
  </si>
  <si>
    <t>ZD946</t>
  </si>
  <si>
    <t>ZavadÄ›ÄŤ pilĂ­Ĺ™e LASAK  pro ĹˇroubovanĂ© nĂˇhrady krĂˇtkĂ˝ D3.7 (D2.9)/L5/L17 7113.3</t>
  </si>
  <si>
    <t>ZR780</t>
  </si>
  <si>
    <t>ZavadÄ›ÄŤ pilĂ­Ĺ™e LASAK pro ĹˇroubovanĂ© nĂˇhrady dlouhĂ˝ D3.7 (D2.9)/L10/L22 70113.3</t>
  </si>
  <si>
    <t>ZR842</t>
  </si>
  <si>
    <t>ZrcĂˇtko zubnĂ­ kĹ™iĹˇtĂˇlovĂ© Relax FS Ultra Hahnenkratt 5, prĹŻmÄ›r 24 mm, set (1 x bĂ­lĂ©, 1 x antracitovĂ©, 1 x ĹľlutĂ©, 1 x modrĂ©, 2 x levandulovĂ©, 2 x mĂˇtovĂ©, 2 x rĹŻĹľovĂ©), autoklĂˇvovatelnĂ© set. Ăˇ 10 ks 7310</t>
  </si>
  <si>
    <t>ZE025</t>
  </si>
  <si>
    <t>Zuby primodent pĹ™ednĂ­ PO609</t>
  </si>
  <si>
    <t>Zuby primodent přední PO609</t>
  </si>
  <si>
    <t>ZD528</t>
  </si>
  <si>
    <t>Zuby primodent zadnĂ­ PO610</t>
  </si>
  <si>
    <t>Zuby primodent zadní PO610</t>
  </si>
  <si>
    <t>Spotřeba zdravotnického materiálu - orientační přehled</t>
  </si>
  <si>
    <t>3 NLZP</t>
  </si>
  <si>
    <t>4 THP</t>
  </si>
  <si>
    <t>(prázdné)</t>
  </si>
  <si>
    <t>1 Celkem</t>
  </si>
  <si>
    <t>2 Celkem</t>
  </si>
  <si>
    <t>3 Celkem</t>
  </si>
  <si>
    <t>4 Celkem</t>
  </si>
  <si>
    <t>5 Celkem</t>
  </si>
  <si>
    <t>6 Celkem</t>
  </si>
  <si>
    <t>7 Celkem</t>
  </si>
  <si>
    <t>8 Celkem</t>
  </si>
  <si>
    <t>9 Celkem</t>
  </si>
  <si>
    <t>10 Celkem</t>
  </si>
  <si>
    <t>11 Celkem</t>
  </si>
  <si>
    <t>ON Data</t>
  </si>
  <si>
    <t>lékaři pod odborným dozorem</t>
  </si>
  <si>
    <t>zubní lékaři</t>
  </si>
  <si>
    <t>zubní lékaři specialisté</t>
  </si>
  <si>
    <t>všeobecné sestry bez dohl.</t>
  </si>
  <si>
    <t>všeobecné sestry bez dohl., spec.</t>
  </si>
  <si>
    <t>radiologičtí asistenti</t>
  </si>
  <si>
    <t>zubní technici</t>
  </si>
  <si>
    <t>dělníci</t>
  </si>
  <si>
    <t>THP</t>
  </si>
  <si>
    <t>Specializovaná ambulantní péče</t>
  </si>
  <si>
    <t>014 - Pracoviště praktického zubního lékaře</t>
  </si>
  <si>
    <t>015 - Pracoviště čelistní ortopedie</t>
  </si>
  <si>
    <t>Zdravotní výkony vykázané na pracovišti v rámci ambulantní péče *</t>
  </si>
  <si>
    <t>beze jména</t>
  </si>
  <si>
    <t>2422</t>
  </si>
  <si>
    <t>2423</t>
  </si>
  <si>
    <t>2424</t>
  </si>
  <si>
    <t>2425</t>
  </si>
  <si>
    <t>* Legenda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</si>
  <si>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</si>
  <si>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</si>
  <si>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Zdravotní výkony vykázané na pracovišti v rámci ambulantní péče dle lékařů *</t>
  </si>
  <si>
    <t>014</t>
  </si>
  <si>
    <t>4</t>
  </si>
  <si>
    <t>0060300</t>
  </si>
  <si>
    <t>0070001</t>
  </si>
  <si>
    <t>0071601</t>
  </si>
  <si>
    <t>0072001</t>
  </si>
  <si>
    <t>0074021</t>
  </si>
  <si>
    <t>0080001</t>
  </si>
  <si>
    <t>0080002</t>
  </si>
  <si>
    <t>0080004</t>
  </si>
  <si>
    <t>0080011</t>
  </si>
  <si>
    <t>0080012</t>
  </si>
  <si>
    <t>0080021</t>
  </si>
  <si>
    <t>0080031</t>
  </si>
  <si>
    <t>0080051</t>
  </si>
  <si>
    <t>0080061</t>
  </si>
  <si>
    <t>0081042</t>
  </si>
  <si>
    <t>0081052</t>
  </si>
  <si>
    <t>0081102</t>
  </si>
  <si>
    <t>0081112</t>
  </si>
  <si>
    <t>0081114</t>
  </si>
  <si>
    <t>0081115</t>
  </si>
  <si>
    <t>0081124</t>
  </si>
  <si>
    <t>0081132</t>
  </si>
  <si>
    <t>0081231</t>
  </si>
  <si>
    <t>0081303</t>
  </si>
  <si>
    <t>0081311</t>
  </si>
  <si>
    <t>0081312</t>
  </si>
  <si>
    <t>0081531</t>
  </si>
  <si>
    <t>0081601</t>
  </si>
  <si>
    <t>0081611</t>
  </si>
  <si>
    <t>0081612</t>
  </si>
  <si>
    <t>0081621</t>
  </si>
  <si>
    <t>0082001</t>
  </si>
  <si>
    <t>0082002</t>
  </si>
  <si>
    <t>0082011</t>
  </si>
  <si>
    <t>0082014</t>
  </si>
  <si>
    <t>0082114</t>
  </si>
  <si>
    <t>0082115</t>
  </si>
  <si>
    <t>0082201</t>
  </si>
  <si>
    <t>0082211</t>
  </si>
  <si>
    <t>0082213</t>
  </si>
  <si>
    <t>0082301</t>
  </si>
  <si>
    <t>0082311</t>
  </si>
  <si>
    <t>0082320</t>
  </si>
  <si>
    <t>0082331</t>
  </si>
  <si>
    <t>0082332</t>
  </si>
  <si>
    <t>0083001</t>
  </si>
  <si>
    <t>0083003</t>
  </si>
  <si>
    <t>0084021</t>
  </si>
  <si>
    <t>0181115</t>
  </si>
  <si>
    <t>0181132</t>
  </si>
  <si>
    <t>0082354</t>
  </si>
  <si>
    <t>0081202</t>
  </si>
  <si>
    <t>0081222</t>
  </si>
  <si>
    <t>0082105</t>
  </si>
  <si>
    <t>0181231</t>
  </si>
  <si>
    <t>0082204</t>
  </si>
  <si>
    <t>0082353</t>
  </si>
  <si>
    <t>0081203</t>
  </si>
  <si>
    <t>0081032</t>
  </si>
  <si>
    <t>0071132</t>
  </si>
  <si>
    <t>0082031</t>
  </si>
  <si>
    <t>0082032</t>
  </si>
  <si>
    <t>0081411</t>
  </si>
  <si>
    <t>0071102</t>
  </si>
  <si>
    <t>0082205</t>
  </si>
  <si>
    <t>0171132</t>
  </si>
  <si>
    <t>0081261</t>
  </si>
  <si>
    <t>0081302</t>
  </si>
  <si>
    <t>0081401</t>
  </si>
  <si>
    <t>0081521</t>
  </si>
  <si>
    <t>0081212</t>
  </si>
  <si>
    <t>0181203</t>
  </si>
  <si>
    <t>0081201</t>
  </si>
  <si>
    <t>0082021</t>
  </si>
  <si>
    <t>0082351</t>
  </si>
  <si>
    <t>0081041</t>
  </si>
  <si>
    <t>0082214</t>
  </si>
  <si>
    <t>0082104</t>
  </si>
  <si>
    <t>0081072</t>
  </si>
  <si>
    <t>0082352</t>
  </si>
  <si>
    <t>0081101</t>
  </si>
  <si>
    <t>0082106</t>
  </si>
  <si>
    <t>0060060</t>
  </si>
  <si>
    <t>0071114</t>
  </si>
  <si>
    <t>0081122</t>
  </si>
  <si>
    <t>0082033</t>
  </si>
  <si>
    <t>0081031</t>
  </si>
  <si>
    <t>0071521</t>
  </si>
  <si>
    <t>V</t>
  </si>
  <si>
    <t>00900</t>
  </si>
  <si>
    <t xml:space="preserve">KOMPLEXNÍ VYŠETŘENÍ ZUBNÍM LÉKAŘEM PŘI REGISTRACI </t>
  </si>
  <si>
    <t>00901</t>
  </si>
  <si>
    <t>OPAKOVANÉ KOMPLEXNÍ VYŠETŘENÍ A OŠETŘENÍ REGISTROV</t>
  </si>
  <si>
    <t>00910</t>
  </si>
  <si>
    <t>ZHOTOVENÍ INTRAORÁLNÍHO RENTGENOVÉHO SNÍMKU</t>
  </si>
  <si>
    <t>00911</t>
  </si>
  <si>
    <t>ZHOTOVENÍ EXTRAORÁLNÍHO RENTGENOVÉHO SNÍMKU</t>
  </si>
  <si>
    <t>00915</t>
  </si>
  <si>
    <t>ZHOTOVENÍ TELERENTGENOVÉHO SNÍMKU LBI</t>
  </si>
  <si>
    <t>00916</t>
  </si>
  <si>
    <t>ANESTEZIE NA FORAMEN MANDIBULAE A INFRAORBITALE</t>
  </si>
  <si>
    <t>00921</t>
  </si>
  <si>
    <t>OŠETŘENÍ ZUBNÍHO KAZU - STÁLÝ ZUB</t>
  </si>
  <si>
    <t>00925</t>
  </si>
  <si>
    <t xml:space="preserve">KONZERVATIVNÍ LÉČBA KOMPLIKACÍ ZUBNÍHO KAZU II. - </t>
  </si>
  <si>
    <t>00931</t>
  </si>
  <si>
    <t>KOMPLEXNÍ LÉČBA CHRONICKÝCH ONEMOCNĚNÍ PARODONTU</t>
  </si>
  <si>
    <t>00935</t>
  </si>
  <si>
    <t>SUBGINGIVÁLNÍ OŠETŘENÍ</t>
  </si>
  <si>
    <t>00945</t>
  </si>
  <si>
    <t>CÍLENÉ VYŠETŘENÍ</t>
  </si>
  <si>
    <t>00946</t>
  </si>
  <si>
    <t>00950</t>
  </si>
  <si>
    <t>EXTRAKCE STÁLÉHO ZUBU NEBO DOČASNÉHO MOLÁRU S NERE</t>
  </si>
  <si>
    <t>00951</t>
  </si>
  <si>
    <t>CHIRURGIE TVRDÝCH TKÁNÍ DUTINY ÚSTNÍ MALÉHO ROZSAH</t>
  </si>
  <si>
    <t>00955</t>
  </si>
  <si>
    <t>CHIRURGIE MĚKKÝCH TKÁNÍ DUTINY ÚSTNÍ A JEJÍHO OKOL</t>
  </si>
  <si>
    <t>00961</t>
  </si>
  <si>
    <t xml:space="preserve">OŠETŘENÍ KOMPLIKACÍ CHIRURGICKÝCH VÝKONŮ V DUTINĚ </t>
  </si>
  <si>
    <t>00970</t>
  </si>
  <si>
    <t>SEJMUTÍ FIXNÍ NÁHRADY - ZA KAŽDOU PILÍŘOVOU KONSTR</t>
  </si>
  <si>
    <t>00971</t>
  </si>
  <si>
    <t>PROVIZORNÍ OCHRANNÁ KORUNKA</t>
  </si>
  <si>
    <t>00974</t>
  </si>
  <si>
    <t>ODEVZDÁNÍ STOMATOLOGICKÉHO VÝROBKU</t>
  </si>
  <si>
    <t>00913</t>
  </si>
  <si>
    <t>ZHOTOVENÍ ORTOPANTOMOGRAMU</t>
  </si>
  <si>
    <t>09543</t>
  </si>
  <si>
    <t>Signalni kod</t>
  </si>
  <si>
    <t>00909</t>
  </si>
  <si>
    <t>KLINICKÉ STOMATOLOGICKÉ VYŠETŘENÍ</t>
  </si>
  <si>
    <t>00963</t>
  </si>
  <si>
    <t>INJEKCE I.M., I.V., I.D., S.C.</t>
  </si>
  <si>
    <t>00914</t>
  </si>
  <si>
    <t>VYHODNOCENÍ ORTOPANTOMOGRAMU</t>
  </si>
  <si>
    <t>99999</t>
  </si>
  <si>
    <t>Nespecifikovany vykon</t>
  </si>
  <si>
    <t>00932</t>
  </si>
  <si>
    <t>LÉČBA CHRONICKÝCH ONEMOCNĚNÍ PARODONTU</t>
  </si>
  <si>
    <t>00917</t>
  </si>
  <si>
    <t>ANESTEZIE INFILTRAČNÍ</t>
  </si>
  <si>
    <t>00973</t>
  </si>
  <si>
    <t>OPRAVA NEBO ÚPRAVA SNÍMATELNÉ NÁHRADY V ORDINACI</t>
  </si>
  <si>
    <t>00949</t>
  </si>
  <si>
    <t>BĚŽNÁ EXTRAKCE DOČASNÉHO ZUBU</t>
  </si>
  <si>
    <t>00923</t>
  </si>
  <si>
    <t>KONZERVATIVNÍ LÉČBA KOMPLIKACÍ ZUBNÍHO KAZU - STÁL</t>
  </si>
  <si>
    <t>00922</t>
  </si>
  <si>
    <t>OŠETŘENÍ ZUBNÍHO KAZU - DOČASNÝ ZUB</t>
  </si>
  <si>
    <t>00959</t>
  </si>
  <si>
    <t>INTRAORÁLNÍ INCIZE</t>
  </si>
  <si>
    <t>00938</t>
  </si>
  <si>
    <t>PŘECHODNÉ DLAHY KE STABILIZACI ZUBŮ S OSLABENÝM PA</t>
  </si>
  <si>
    <t>00908</t>
  </si>
  <si>
    <t>AKUTNÍ OŠETŘENÍ A VYŠETŘENÍ NEREGISTROVANÉHO POJIŠ</t>
  </si>
  <si>
    <t>00947</t>
  </si>
  <si>
    <t>PÉČE O REGISTROVANÉHO POJIŠTĚNCE NAD 18 LET VĚKU I</t>
  </si>
  <si>
    <t>00903</t>
  </si>
  <si>
    <t>VYŽÁDANÉ VYŠETŘENÍ ODBORNÍKEM NEBO SPECIALISTOU</t>
  </si>
  <si>
    <t>00904</t>
  </si>
  <si>
    <t>STOMATOLOGICKÉ VYŠETŘENÍ REGISTROVANÉHO POJIŠTĚNCE</t>
  </si>
  <si>
    <t>00902</t>
  </si>
  <si>
    <t>PÉČE O REGISTROVANÉHO POJIŠTĚNCE NAD 18 LET VĚKU</t>
  </si>
  <si>
    <t>00918</t>
  </si>
  <si>
    <t>OŠETŘENÍ ZUBNÍHO KAZU U DĚTÍ DO 15 LET, U TĚHOTNÝC</t>
  </si>
  <si>
    <t>00948</t>
  </si>
  <si>
    <t>ZAJIŠTĚNÍ SUTUROU V RÁMCI VÝKONU EXTRAKCE</t>
  </si>
  <si>
    <t>00906</t>
  </si>
  <si>
    <t>STOMATOLOGICKÉ OŠETŘENÍ POJIŠTĚNCE DO 6 LET NEBO H</t>
  </si>
  <si>
    <t>00920</t>
  </si>
  <si>
    <t>OŠETŘENÍ ZUBNÍHO KAZU - STÁLÝ ZUB - FOTOKOMPOZITNÍ</t>
  </si>
  <si>
    <t>09547</t>
  </si>
  <si>
    <t>REGULAČNÍ POPLATEK -- POJIŠTĚNEC OD ÚHRADY POPLATK</t>
  </si>
  <si>
    <t>00907</t>
  </si>
  <si>
    <t>STOMATOLOGICKÉ OŠETŘENÍ  POJIŠTĚNCE OD 6 DO 15 LET</t>
  </si>
  <si>
    <t>00933</t>
  </si>
  <si>
    <t>CHIRURGICKÁ LÉČBA ONEMOCNĚNÍ PARODONTU MALÉHO ROZS</t>
  </si>
  <si>
    <t>00976</t>
  </si>
  <si>
    <t>(VZP) BONIFIKAČNÍ KÓD PRO ÚHRADU V ORDINACI PZL ZA</t>
  </si>
  <si>
    <t>0072041</t>
  </si>
  <si>
    <t>0074001</t>
  </si>
  <si>
    <t>0072311</t>
  </si>
  <si>
    <t>0070011</t>
  </si>
  <si>
    <t>0071111</t>
  </si>
  <si>
    <t>0072201</t>
  </si>
  <si>
    <t>00936</t>
  </si>
  <si>
    <t>ODEBRÁNÍ A ZAJIŠTĚNÍ PŘENOSU TRANSPLANTÁTU</t>
  </si>
  <si>
    <t>00940</t>
  </si>
  <si>
    <t>KOMPLEXNÍ VYŠETŘENÍ A NÁVRH LÉČBY ONEMOCNĚNÍ ÚSTNÍ</t>
  </si>
  <si>
    <t>00956</t>
  </si>
  <si>
    <t>00953</t>
  </si>
  <si>
    <t>CHIRURGICKÉ OŠETŘOVÁNÍ RETENCE ZUBŮ</t>
  </si>
  <si>
    <t>00952</t>
  </si>
  <si>
    <t>CHIRURGIE TVRDÝCH TKÁNÍ DUTINY ÚSTNÍ VELKÉHO ROZSA</t>
  </si>
  <si>
    <t>00957</t>
  </si>
  <si>
    <t>TRAUMATOLOGIE TVRDÝCH TKÁNÍ DUTINY ÚSTNÍ MALÉHO RO</t>
  </si>
  <si>
    <t>00954</t>
  </si>
  <si>
    <t>KONZERVAČNĚ-CHIRURGICKÁ LÉČBA KOMPLIKACÍ ZUBNÍHO K</t>
  </si>
  <si>
    <t>00958</t>
  </si>
  <si>
    <t>TRAUMATOLOGIE TVRDÝCH TKÁNÍ DUTINY ÚSTNÍ VELKÉHO R</t>
  </si>
  <si>
    <t>00941</t>
  </si>
  <si>
    <t>KONTROLNÍ VYŠETŘENÍ A LÉČBA ONEMOCNĚNÍ ÚSTNÍ SLIZN</t>
  </si>
  <si>
    <t>00934</t>
  </si>
  <si>
    <t>CHIRURGICKÁ LÉČBA ONEMOCNĚNÍ PARODONTU VELKÉHO ROZ</t>
  </si>
  <si>
    <t>00962</t>
  </si>
  <si>
    <t>KONZERVATIVNÍ LÉČBA TEMPOROMANDIBULÁRNÍCH PORUCH</t>
  </si>
  <si>
    <t>00943</t>
  </si>
  <si>
    <t>MĚŘENÍ GALVANICKÝCH PROUDŮ</t>
  </si>
  <si>
    <t>00912</t>
  </si>
  <si>
    <t>NÁPLŇ SLINNÉ ŽLÁZY KONTRASTNÍ LÁTKOU</t>
  </si>
  <si>
    <t>00937</t>
  </si>
  <si>
    <t>ARTIKULACE CHRUPU</t>
  </si>
  <si>
    <t>015</t>
  </si>
  <si>
    <t>00986</t>
  </si>
  <si>
    <t>KONTROLA VE FÁZI RETENCE NEBO AKTIVNÍ SLEDOVÁNÍ VE</t>
  </si>
  <si>
    <t>0076001</t>
  </si>
  <si>
    <t>0076011</t>
  </si>
  <si>
    <t>0076014</t>
  </si>
  <si>
    <t>0076017</t>
  </si>
  <si>
    <t>0076030</t>
  </si>
  <si>
    <t>0076031</t>
  </si>
  <si>
    <t>0076033</t>
  </si>
  <si>
    <t>0076034</t>
  </si>
  <si>
    <t>0076041</t>
  </si>
  <si>
    <t>0076070</t>
  </si>
  <si>
    <t>0076071</t>
  </si>
  <si>
    <t>0076080</t>
  </si>
  <si>
    <t>0076081</t>
  </si>
  <si>
    <t>0086001</t>
  </si>
  <si>
    <t>0086031</t>
  </si>
  <si>
    <t>0086034</t>
  </si>
  <si>
    <t>0086071</t>
  </si>
  <si>
    <t>0086080</t>
  </si>
  <si>
    <t>0086081</t>
  </si>
  <si>
    <t>9999999</t>
  </si>
  <si>
    <t>0086070</t>
  </si>
  <si>
    <t>0086030</t>
  </si>
  <si>
    <t>0070002</t>
  </si>
  <si>
    <t>0070004</t>
  </si>
  <si>
    <t>0084034</t>
  </si>
  <si>
    <t>0086017</t>
  </si>
  <si>
    <t>0074034</t>
  </si>
  <si>
    <t>0086033</t>
  </si>
  <si>
    <t>0086011</t>
  </si>
  <si>
    <t>00981</t>
  </si>
  <si>
    <t>DIAGNOSTIKA ORTODONTICKÝCH ANOMÁLIÍ</t>
  </si>
  <si>
    <t>00984</t>
  </si>
  <si>
    <t>KONTROLA LÉČBY ORTODONTICKÝCH ANOMÁLIÍ JINÝMI POST</t>
  </si>
  <si>
    <t>00985</t>
  </si>
  <si>
    <t xml:space="preserve">UKONČENÍ LÉČBY ORTODONTICKÝCH ANOMÁLIÍ S POUŽITÍM </t>
  </si>
  <si>
    <t>00990</t>
  </si>
  <si>
    <t>DIAGNOSTICKÁ PŘESTAVBA ORTODONTICKÉHO MODELU</t>
  </si>
  <si>
    <t>00994</t>
  </si>
  <si>
    <t>ZAHÁJENÍ LÉČBY ORTODONTICKÝCH ANOMÁLIÍ MALÝM FIXNÍ</t>
  </si>
  <si>
    <t>00982</t>
  </si>
  <si>
    <t>ZAHÁJENÍ LÉČBY ORTODONTICKÝCH ANOMÁLIÍ FIXNÍM ORTO</t>
  </si>
  <si>
    <t>00989</t>
  </si>
  <si>
    <t>ANALÝZA ORTODONTICKÝCH MODELŮ</t>
  </si>
  <si>
    <t>00987</t>
  </si>
  <si>
    <t>STANOVENÍ FÁZE RŮSTU</t>
  </si>
  <si>
    <t>00988</t>
  </si>
  <si>
    <t>ANALÝZA TELERENTGENOVÉHO SNÍMKU LBI</t>
  </si>
  <si>
    <t>00983</t>
  </si>
  <si>
    <t xml:space="preserve">KONTROLA LÉČBY ORTODONTICKÝCH ANOMÁLIÍ S POUŽITÍM </t>
  </si>
  <si>
    <t>00993</t>
  </si>
  <si>
    <t>NAVÁZÁNÍ PARCIÁLNÍHO OBLOUKU</t>
  </si>
  <si>
    <t>00992</t>
  </si>
  <si>
    <t>NASAZENÍ EXTRAORÁLNÍHO TAHU NEBO OBLIČEJOVÉ MASKY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</si>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</sst>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2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</numFmts>
  <fonts count="62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24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555">
    <xf numFmtId="0" fontId="0" fillId="0" borderId="0" xfId="0"/>
    <xf numFmtId="0" fontId="27" fillId="2" borderId="18" xfId="81" applyFont="1" applyFill="1" applyBorder="1"/>
    <xf numFmtId="0" fontId="28" fillId="2" borderId="19" xfId="81" applyFont="1" applyFill="1" applyBorder="1"/>
    <xf numFmtId="3" fontId="28" fillId="2" borderId="20" xfId="81" applyNumberFormat="1" applyFont="1" applyFill="1" applyBorder="1"/>
    <xf numFmtId="0" fontId="28" fillId="4" borderId="19" xfId="81" applyFont="1" applyFill="1" applyBorder="1"/>
    <xf numFmtId="3" fontId="28" fillId="4" borderId="20" xfId="81" applyNumberFormat="1" applyFont="1" applyFill="1" applyBorder="1"/>
    <xf numFmtId="171" fontId="28" fillId="3" borderId="20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3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4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6" fillId="2" borderId="35" xfId="0" applyFont="1" applyFill="1" applyBorder="1" applyAlignment="1">
      <alignment vertical="top"/>
    </xf>
    <xf numFmtId="0" fontId="34" fillId="2" borderId="36" xfId="0" applyFont="1" applyFill="1" applyBorder="1" applyAlignment="1">
      <alignment vertical="top"/>
    </xf>
    <xf numFmtId="0" fontId="37" fillId="2" borderId="9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7" fillId="2" borderId="24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 wrapText="1"/>
    </xf>
    <xf numFmtId="0" fontId="38" fillId="2" borderId="24" xfId="0" applyFont="1" applyFill="1" applyBorder="1" applyAlignment="1">
      <alignment horizontal="center" vertical="center" wrapText="1"/>
    </xf>
    <xf numFmtId="0" fontId="36" fillId="2" borderId="24" xfId="0" applyFont="1" applyFill="1" applyBorder="1" applyAlignment="1">
      <alignment horizontal="center" vertical="center" wrapText="1"/>
    </xf>
    <xf numFmtId="3" fontId="27" fillId="5" borderId="5" xfId="81" applyNumberFormat="1" applyFont="1" applyFill="1" applyBorder="1"/>
    <xf numFmtId="3" fontId="27" fillId="5" borderId="30" xfId="81" applyNumberFormat="1" applyFont="1" applyFill="1" applyBorder="1"/>
    <xf numFmtId="3" fontId="27" fillId="5" borderId="26" xfId="81" applyNumberFormat="1" applyFont="1" applyFill="1" applyBorder="1"/>
    <xf numFmtId="3" fontId="27" fillId="5" borderId="10" xfId="81" applyNumberFormat="1" applyFont="1" applyFill="1" applyBorder="1"/>
    <xf numFmtId="3" fontId="27" fillId="5" borderId="11" xfId="81" applyNumberFormat="1" applyFont="1" applyFill="1" applyBorder="1"/>
    <xf numFmtId="3" fontId="27" fillId="5" borderId="14" xfId="81" applyNumberFormat="1" applyFont="1" applyFill="1" applyBorder="1"/>
    <xf numFmtId="3" fontId="27" fillId="5" borderId="15" xfId="81" applyNumberFormat="1" applyFont="1" applyFill="1" applyBorder="1"/>
    <xf numFmtId="3" fontId="28" fillId="2" borderId="28" xfId="81" applyNumberFormat="1" applyFont="1" applyFill="1" applyBorder="1"/>
    <xf numFmtId="3" fontId="28" fillId="2" borderId="21" xfId="81" applyNumberFormat="1" applyFont="1" applyFill="1" applyBorder="1"/>
    <xf numFmtId="3" fontId="28" fillId="4" borderId="28" xfId="81" applyNumberFormat="1" applyFont="1" applyFill="1" applyBorder="1"/>
    <xf numFmtId="3" fontId="28" fillId="4" borderId="21" xfId="81" applyNumberFormat="1" applyFont="1" applyFill="1" applyBorder="1"/>
    <xf numFmtId="171" fontId="28" fillId="3" borderId="28" xfId="81" applyNumberFormat="1" applyFont="1" applyFill="1" applyBorder="1"/>
    <xf numFmtId="171" fontId="28" fillId="3" borderId="21" xfId="81" applyNumberFormat="1" applyFont="1" applyFill="1" applyBorder="1"/>
    <xf numFmtId="0" fontId="31" fillId="2" borderId="26" xfId="81" applyFont="1" applyFill="1" applyBorder="1" applyAlignment="1">
      <alignment horizontal="center"/>
    </xf>
    <xf numFmtId="0" fontId="39" fillId="0" borderId="2" xfId="0" applyFont="1" applyFill="1" applyBorder="1"/>
    <xf numFmtId="0" fontId="39" fillId="0" borderId="3" xfId="0" applyFont="1" applyFill="1" applyBorder="1"/>
    <xf numFmtId="3" fontId="28" fillId="0" borderId="28" xfId="78" applyNumberFormat="1" applyFont="1" applyFill="1" applyBorder="1" applyAlignment="1">
      <alignment horizontal="right"/>
    </xf>
    <xf numFmtId="9" fontId="28" fillId="0" borderId="28" xfId="78" applyNumberFormat="1" applyFont="1" applyFill="1" applyBorder="1" applyAlignment="1">
      <alignment horizontal="right"/>
    </xf>
    <xf numFmtId="3" fontId="28" fillId="0" borderId="21" xfId="78" applyNumberFormat="1" applyFont="1" applyFill="1" applyBorder="1" applyAlignment="1">
      <alignment horizontal="right"/>
    </xf>
    <xf numFmtId="0" fontId="32" fillId="0" borderId="37" xfId="0" applyFont="1" applyFill="1" applyBorder="1" applyAlignment="1"/>
    <xf numFmtId="0" fontId="41" fillId="0" borderId="0" xfId="0" applyFont="1" applyFill="1" applyBorder="1" applyAlignment="1"/>
    <xf numFmtId="3" fontId="33" fillId="0" borderId="8" xfId="0" applyNumberFormat="1" applyFont="1" applyFill="1" applyBorder="1" applyAlignment="1">
      <alignment horizontal="right" vertical="top"/>
    </xf>
    <xf numFmtId="3" fontId="33" fillId="0" borderId="6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3" fillId="0" borderId="12" xfId="0" applyNumberFormat="1" applyFont="1" applyFill="1" applyBorder="1" applyAlignment="1">
      <alignment horizontal="right" vertical="top"/>
    </xf>
    <xf numFmtId="3" fontId="33" fillId="0" borderId="10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2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3" fillId="0" borderId="33" xfId="0" applyNumberFormat="1" applyFont="1" applyFill="1" applyBorder="1" applyAlignment="1">
      <alignment horizontal="right" vertical="top"/>
    </xf>
    <xf numFmtId="3" fontId="33" fillId="0" borderId="24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7" xfId="82" applyFont="1" applyFill="1" applyBorder="1" applyAlignment="1"/>
    <xf numFmtId="0" fontId="29" fillId="0" borderId="0" xfId="49" applyFont="1" applyFill="1"/>
    <xf numFmtId="3" fontId="6" fillId="0" borderId="0" xfId="78" applyNumberFormat="1" applyFont="1" applyFill="1" applyAlignment="1">
      <alignment horizontal="left"/>
    </xf>
    <xf numFmtId="9" fontId="6" fillId="0" borderId="0" xfId="78" applyNumberFormat="1" applyFont="1" applyFill="1"/>
    <xf numFmtId="3" fontId="6" fillId="0" borderId="0" xfId="78" applyNumberFormat="1" applyFont="1" applyFill="1"/>
    <xf numFmtId="164" fontId="3" fillId="0" borderId="60" xfId="53" applyNumberFormat="1" applyFont="1" applyFill="1" applyBorder="1"/>
    <xf numFmtId="9" fontId="3" fillId="0" borderId="60" xfId="53" applyNumberFormat="1" applyFont="1" applyFill="1" applyBorder="1"/>
    <xf numFmtId="0" fontId="32" fillId="0" borderId="31" xfId="0" applyFont="1" applyFill="1" applyBorder="1" applyAlignment="1"/>
    <xf numFmtId="0" fontId="32" fillId="0" borderId="32" xfId="0" applyFont="1" applyFill="1" applyBorder="1" applyAlignment="1"/>
    <xf numFmtId="0" fontId="32" fillId="0" borderId="55" xfId="0" applyFont="1" applyFill="1" applyBorder="1" applyAlignment="1"/>
    <xf numFmtId="0" fontId="28" fillId="2" borderId="27" xfId="78" applyFont="1" applyFill="1" applyBorder="1" applyAlignment="1">
      <alignment horizontal="right"/>
    </xf>
    <xf numFmtId="3" fontId="28" fillId="2" borderId="54" xfId="78" applyNumberFormat="1" applyFont="1" applyFill="1" applyBorder="1"/>
    <xf numFmtId="0" fontId="3" fillId="2" borderId="58" xfId="53" applyFont="1" applyFill="1" applyBorder="1" applyAlignment="1">
      <alignment horizontal="right"/>
    </xf>
    <xf numFmtId="0" fontId="32" fillId="0" borderId="26" xfId="0" applyFont="1" applyBorder="1" applyAlignment="1"/>
    <xf numFmtId="0" fontId="32" fillId="5" borderId="7" xfId="0" applyFont="1" applyFill="1" applyBorder="1"/>
    <xf numFmtId="0" fontId="32" fillId="5" borderId="11" xfId="0" applyFont="1" applyFill="1" applyBorder="1"/>
    <xf numFmtId="0" fontId="32" fillId="5" borderId="23" xfId="0" applyFont="1" applyFill="1" applyBorder="1"/>
    <xf numFmtId="0" fontId="32" fillId="5" borderId="37" xfId="0" applyFont="1" applyFill="1" applyBorder="1"/>
    <xf numFmtId="0" fontId="32" fillId="5" borderId="45" xfId="0" applyFont="1" applyFill="1" applyBorder="1"/>
    <xf numFmtId="9" fontId="34" fillId="0" borderId="7" xfId="0" applyNumberFormat="1" applyFont="1" applyFill="1" applyBorder="1" applyAlignment="1">
      <alignment horizontal="right" vertical="top"/>
    </xf>
    <xf numFmtId="9" fontId="34" fillId="0" borderId="11" xfId="0" applyNumberFormat="1" applyFont="1" applyFill="1" applyBorder="1" applyAlignment="1">
      <alignment horizontal="right" vertical="top"/>
    </xf>
    <xf numFmtId="9" fontId="36" fillId="0" borderId="11" xfId="0" applyNumberFormat="1" applyFont="1" applyFill="1" applyBorder="1" applyAlignment="1">
      <alignment horizontal="right" vertical="top"/>
    </xf>
    <xf numFmtId="9" fontId="34" fillId="0" borderId="23" xfId="0" applyNumberFormat="1" applyFont="1" applyFill="1" applyBorder="1" applyAlignment="1">
      <alignment horizontal="right" vertical="top"/>
    </xf>
    <xf numFmtId="3" fontId="31" fillId="0" borderId="30" xfId="53" applyNumberFormat="1" applyFont="1" applyFill="1" applyBorder="1"/>
    <xf numFmtId="3" fontId="31" fillId="0" borderId="26" xfId="53" applyNumberFormat="1" applyFont="1" applyFill="1" applyBorder="1"/>
    <xf numFmtId="0" fontId="28" fillId="0" borderId="3" xfId="78" applyFont="1" applyFill="1" applyBorder="1" applyAlignment="1">
      <alignment horizontal="left"/>
    </xf>
    <xf numFmtId="0" fontId="31" fillId="2" borderId="45" xfId="0" applyFont="1" applyFill="1" applyBorder="1" applyAlignment="1">
      <alignment horizontal="center"/>
    </xf>
    <xf numFmtId="3" fontId="3" fillId="0" borderId="59" xfId="53" applyNumberFormat="1" applyFont="1" applyFill="1" applyBorder="1"/>
    <xf numFmtId="3" fontId="3" fillId="0" borderId="60" xfId="53" applyNumberFormat="1" applyFont="1" applyFill="1" applyBorder="1"/>
    <xf numFmtId="3" fontId="3" fillId="0" borderId="61" xfId="53" applyNumberFormat="1" applyFont="1" applyFill="1" applyBorder="1"/>
    <xf numFmtId="169" fontId="32" fillId="0" borderId="0" xfId="0" applyNumberFormat="1" applyFont="1" applyFill="1"/>
    <xf numFmtId="0" fontId="31" fillId="2" borderId="41" xfId="74" applyFont="1" applyFill="1" applyBorder="1" applyAlignment="1">
      <alignment horizontal="center"/>
    </xf>
    <xf numFmtId="0" fontId="27" fillId="5" borderId="37" xfId="81" applyFont="1" applyFill="1" applyBorder="1"/>
    <xf numFmtId="0" fontId="31" fillId="2" borderId="24" xfId="81" applyFont="1" applyFill="1" applyBorder="1" applyAlignment="1">
      <alignment horizontal="center"/>
    </xf>
    <xf numFmtId="0" fontId="31" fillId="2" borderId="23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6" fillId="2" borderId="18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2" fillId="0" borderId="30" xfId="0" applyNumberFormat="1" applyFont="1" applyFill="1" applyBorder="1"/>
    <xf numFmtId="3" fontId="32" fillId="0" borderId="25" xfId="0" applyNumberFormat="1" applyFont="1" applyFill="1" applyBorder="1"/>
    <xf numFmtId="3" fontId="32" fillId="0" borderId="9" xfId="0" applyNumberFormat="1" applyFont="1" applyFill="1" applyBorder="1"/>
    <xf numFmtId="3" fontId="32" fillId="0" borderId="10" xfId="0" applyNumberFormat="1" applyFont="1" applyFill="1" applyBorder="1"/>
    <xf numFmtId="3" fontId="32" fillId="0" borderId="13" xfId="0" applyNumberFormat="1" applyFont="1" applyFill="1" applyBorder="1"/>
    <xf numFmtId="3" fontId="32" fillId="0" borderId="14" xfId="0" applyNumberFormat="1" applyFont="1" applyFill="1" applyBorder="1"/>
    <xf numFmtId="9" fontId="32" fillId="0" borderId="26" xfId="0" applyNumberFormat="1" applyFont="1" applyFill="1" applyBorder="1"/>
    <xf numFmtId="9" fontId="32" fillId="0" borderId="11" xfId="0" applyNumberFormat="1" applyFont="1" applyFill="1" applyBorder="1"/>
    <xf numFmtId="9" fontId="32" fillId="0" borderId="15" xfId="0" applyNumberFormat="1" applyFont="1" applyFill="1" applyBorder="1"/>
    <xf numFmtId="9" fontId="28" fillId="2" borderId="21" xfId="81" applyNumberFormat="1" applyFont="1" applyFill="1" applyBorder="1"/>
    <xf numFmtId="9" fontId="28" fillId="4" borderId="21" xfId="81" applyNumberFormat="1" applyFont="1" applyFill="1" applyBorder="1"/>
    <xf numFmtId="9" fontId="28" fillId="3" borderId="21" xfId="81" applyNumberFormat="1" applyFont="1" applyFill="1" applyBorder="1"/>
    <xf numFmtId="0" fontId="31" fillId="2" borderId="22" xfId="81" applyFont="1" applyFill="1" applyBorder="1" applyAlignment="1">
      <alignment horizontal="center"/>
    </xf>
    <xf numFmtId="0" fontId="32" fillId="0" borderId="0" xfId="0" applyFont="1" applyFill="1"/>
    <xf numFmtId="0" fontId="32" fillId="0" borderId="45" xfId="0" applyFont="1" applyFill="1" applyBorder="1" applyAlignment="1"/>
    <xf numFmtId="0" fontId="32" fillId="0" borderId="0" xfId="0" applyFont="1" applyFill="1" applyAlignment="1"/>
    <xf numFmtId="0" fontId="46" fillId="4" borderId="34" xfId="1" applyFont="1" applyFill="1" applyBorder="1"/>
    <xf numFmtId="0" fontId="46" fillId="4" borderId="18" xfId="1" applyFont="1" applyFill="1" applyBorder="1"/>
    <xf numFmtId="0" fontId="46" fillId="3" borderId="19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164" fontId="31" fillId="2" borderId="25" xfId="53" applyNumberFormat="1" applyFont="1" applyFill="1" applyBorder="1" applyAlignment="1">
      <alignment horizontal="right"/>
    </xf>
    <xf numFmtId="0" fontId="46" fillId="3" borderId="9" xfId="1" applyFont="1" applyFill="1" applyBorder="1"/>
    <xf numFmtId="0" fontId="46" fillId="3" borderId="5" xfId="1" applyFont="1" applyFill="1" applyBorder="1"/>
    <xf numFmtId="0" fontId="46" fillId="6" borderId="5" xfId="1" applyFont="1" applyFill="1" applyBorder="1"/>
    <xf numFmtId="0" fontId="46" fillId="6" borderId="53" xfId="1" applyFont="1" applyFill="1" applyBorder="1"/>
    <xf numFmtId="0" fontId="46" fillId="2" borderId="5" xfId="1" applyFont="1" applyFill="1" applyBorder="1"/>
    <xf numFmtId="0" fontId="46" fillId="4" borderId="5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8" xfId="0" applyNumberFormat="1" applyFont="1" applyFill="1" applyBorder="1"/>
    <xf numFmtId="3" fontId="39" fillId="2" borderId="50" xfId="0" applyNumberFormat="1" applyFont="1" applyFill="1" applyBorder="1"/>
    <xf numFmtId="9" fontId="39" fillId="2" borderId="54" xfId="0" applyNumberFormat="1" applyFont="1" applyFill="1" applyBorder="1"/>
    <xf numFmtId="0" fontId="50" fillId="2" borderId="19" xfId="1" applyFont="1" applyFill="1" applyBorder="1" applyAlignment="1"/>
    <xf numFmtId="0" fontId="32" fillId="2" borderId="29" xfId="0" applyFont="1" applyFill="1" applyBorder="1" applyAlignment="1"/>
    <xf numFmtId="3" fontId="32" fillId="2" borderId="28" xfId="0" applyNumberFormat="1" applyFont="1" applyFill="1" applyBorder="1" applyAlignment="1"/>
    <xf numFmtId="9" fontId="32" fillId="2" borderId="21" xfId="0" applyNumberFormat="1" applyFont="1" applyFill="1" applyBorder="1" applyAlignment="1"/>
    <xf numFmtId="0" fontId="39" fillId="2" borderId="52" xfId="0" applyFont="1" applyFill="1" applyBorder="1" applyAlignment="1"/>
    <xf numFmtId="0" fontId="32" fillId="0" borderId="8" xfId="0" applyFont="1" applyBorder="1" applyAlignment="1"/>
    <xf numFmtId="3" fontId="32" fillId="0" borderId="6" xfId="0" applyNumberFormat="1" applyFont="1" applyBorder="1" applyAlignment="1"/>
    <xf numFmtId="9" fontId="32" fillId="0" borderId="11" xfId="0" applyNumberFormat="1" applyFont="1" applyBorder="1" applyAlignment="1"/>
    <xf numFmtId="0" fontId="29" fillId="2" borderId="35" xfId="1" applyFont="1" applyFill="1" applyBorder="1" applyAlignment="1">
      <alignment horizontal="left" indent="2"/>
    </xf>
    <xf numFmtId="0" fontId="32" fillId="0" borderId="12" xfId="0" applyFont="1" applyBorder="1" applyAlignment="1"/>
    <xf numFmtId="3" fontId="32" fillId="0" borderId="10" xfId="0" applyNumberFormat="1" applyFont="1" applyBorder="1" applyAlignment="1"/>
    <xf numFmtId="9" fontId="32" fillId="0" borderId="10" xfId="0" applyNumberFormat="1" applyFont="1" applyBorder="1" applyAlignment="1"/>
    <xf numFmtId="0" fontId="32" fillId="2" borderId="35" xfId="0" applyFont="1" applyFill="1" applyBorder="1" applyAlignment="1">
      <alignment horizontal="left" indent="2"/>
    </xf>
    <xf numFmtId="0" fontId="31" fillId="2" borderId="35" xfId="1" applyFont="1" applyFill="1" applyBorder="1" applyAlignment="1"/>
    <xf numFmtId="0" fontId="46" fillId="2" borderId="35" xfId="1" applyFont="1" applyFill="1" applyBorder="1" applyAlignment="1">
      <alignment horizontal="left" indent="2"/>
    </xf>
    <xf numFmtId="0" fontId="50" fillId="2" borderId="35" xfId="1" applyFont="1" applyFill="1" applyBorder="1" applyAlignment="1"/>
    <xf numFmtId="0" fontId="32" fillId="0" borderId="33" xfId="0" applyFont="1" applyBorder="1" applyAlignment="1"/>
    <xf numFmtId="3" fontId="32" fillId="0" borderId="24" xfId="0" applyNumberFormat="1" applyFont="1" applyBorder="1" applyAlignment="1"/>
    <xf numFmtId="9" fontId="32" fillId="0" borderId="23" xfId="0" applyNumberFormat="1" applyFont="1" applyBorder="1" applyAlignment="1"/>
    <xf numFmtId="0" fontId="39" fillId="0" borderId="37" xfId="0" applyFont="1" applyFill="1" applyBorder="1" applyAlignment="1">
      <alignment horizontal="left" indent="2"/>
    </xf>
    <xf numFmtId="0" fontId="32" fillId="0" borderId="37" xfId="0" applyFont="1" applyBorder="1" applyAlignment="1"/>
    <xf numFmtId="3" fontId="32" fillId="0" borderId="37" xfId="0" applyNumberFormat="1" applyFont="1" applyBorder="1" applyAlignment="1"/>
    <xf numFmtId="9" fontId="32" fillId="0" borderId="37" xfId="0" applyNumberFormat="1" applyFont="1" applyBorder="1" applyAlignment="1"/>
    <xf numFmtId="0" fontId="50" fillId="4" borderId="19" xfId="1" applyFont="1" applyFill="1" applyBorder="1" applyAlignment="1">
      <alignment horizontal="left"/>
    </xf>
    <xf numFmtId="0" fontId="32" fillId="4" borderId="29" xfId="0" applyFont="1" applyFill="1" applyBorder="1" applyAlignment="1"/>
    <xf numFmtId="3" fontId="32" fillId="4" borderId="28" xfId="0" applyNumberFormat="1" applyFont="1" applyFill="1" applyBorder="1" applyAlignment="1"/>
    <xf numFmtId="9" fontId="32" fillId="4" borderId="21" xfId="0" applyNumberFormat="1" applyFont="1" applyFill="1" applyBorder="1" applyAlignment="1"/>
    <xf numFmtId="0" fontId="50" fillId="4" borderId="52" xfId="1" applyFont="1" applyFill="1" applyBorder="1" applyAlignment="1">
      <alignment horizontal="left"/>
    </xf>
    <xf numFmtId="0" fontId="50" fillId="4" borderId="35" xfId="1" applyFont="1" applyFill="1" applyBorder="1" applyAlignment="1">
      <alignment horizontal="left"/>
    </xf>
    <xf numFmtId="0" fontId="32" fillId="4" borderId="36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5" xfId="0" applyNumberFormat="1" applyFont="1" applyBorder="1" applyAlignment="1"/>
    <xf numFmtId="0" fontId="39" fillId="3" borderId="19" xfId="0" applyFont="1" applyFill="1" applyBorder="1" applyAlignment="1"/>
    <xf numFmtId="0" fontId="32" fillId="3" borderId="29" xfId="0" applyFont="1" applyFill="1" applyBorder="1" applyAlignment="1"/>
    <xf numFmtId="3" fontId="32" fillId="3" borderId="28" xfId="0" applyNumberFormat="1" applyFont="1" applyFill="1" applyBorder="1" applyAlignment="1"/>
    <xf numFmtId="9" fontId="32" fillId="3" borderId="21" xfId="0" applyNumberFormat="1" applyFont="1" applyFill="1" applyBorder="1" applyAlignment="1"/>
    <xf numFmtId="0" fontId="40" fillId="0" borderId="0" xfId="0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1" fontId="41" fillId="0" borderId="0" xfId="0" applyNumberFormat="1" applyFont="1" applyFill="1"/>
    <xf numFmtId="172" fontId="41" fillId="0" borderId="0" xfId="0" applyNumberFormat="1" applyFont="1" applyFill="1"/>
    <xf numFmtId="3" fontId="41" fillId="0" borderId="0" xfId="0" applyNumberFormat="1" applyFont="1" applyFill="1"/>
    <xf numFmtId="0" fontId="7" fillId="0" borderId="0" xfId="81" applyFont="1" applyFill="1"/>
    <xf numFmtId="0" fontId="51" fillId="0" borderId="37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9" fontId="6" fillId="0" borderId="0" xfId="78" applyNumberFormat="1" applyFont="1" applyFill="1" applyBorder="1" applyAlignment="1"/>
    <xf numFmtId="0" fontId="39" fillId="2" borderId="27" xfId="0" applyFont="1" applyFill="1" applyBorder="1" applyAlignment="1">
      <alignment horizontal="right"/>
    </xf>
    <xf numFmtId="169" fontId="39" fillId="0" borderId="20" xfId="0" applyNumberFormat="1" applyFont="1" applyFill="1" applyBorder="1" applyAlignment="1"/>
    <xf numFmtId="169" fontId="39" fillId="0" borderId="28" xfId="0" applyNumberFormat="1" applyFont="1" applyFill="1" applyBorder="1" applyAlignment="1"/>
    <xf numFmtId="9" fontId="39" fillId="0" borderId="21" xfId="0" applyNumberFormat="1" applyFont="1" applyFill="1" applyBorder="1" applyAlignment="1"/>
    <xf numFmtId="169" fontId="39" fillId="0" borderId="29" xfId="0" applyNumberFormat="1" applyFont="1" applyFill="1" applyBorder="1" applyAlignment="1"/>
    <xf numFmtId="9" fontId="39" fillId="0" borderId="47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0" xfId="0" applyNumberFormat="1" applyFont="1" applyFill="1" applyBorder="1" applyAlignment="1"/>
    <xf numFmtId="3" fontId="0" fillId="0" borderId="0" xfId="0" applyNumberFormat="1"/>
    <xf numFmtId="0" fontId="54" fillId="0" borderId="0" xfId="1" applyFont="1" applyFill="1"/>
    <xf numFmtId="3" fontId="52" fillId="0" borderId="0" xfId="26" applyNumberFormat="1" applyFont="1" applyFill="1" applyBorder="1" applyAlignment="1"/>
    <xf numFmtId="0" fontId="57" fillId="0" borderId="0" xfId="0" applyFont="1" applyAlignment="1">
      <alignment horizontal="left" vertical="center" indent="1"/>
    </xf>
    <xf numFmtId="0" fontId="57" fillId="0" borderId="0" xfId="0" applyFont="1" applyAlignment="1">
      <alignment vertical="center"/>
    </xf>
    <xf numFmtId="0" fontId="0" fillId="0" borderId="0" xfId="0" applyAlignment="1"/>
    <xf numFmtId="0" fontId="58" fillId="0" borderId="0" xfId="0" applyFont="1"/>
    <xf numFmtId="0" fontId="31" fillId="2" borderId="87" xfId="74" applyFont="1" applyFill="1" applyBorder="1" applyAlignment="1">
      <alignment horizontal="center"/>
    </xf>
    <xf numFmtId="0" fontId="31" fillId="2" borderId="69" xfId="81" applyFont="1" applyFill="1" applyBorder="1" applyAlignment="1">
      <alignment horizontal="center"/>
    </xf>
    <xf numFmtId="0" fontId="31" fillId="2" borderId="70" xfId="81" applyFont="1" applyFill="1" applyBorder="1" applyAlignment="1">
      <alignment horizontal="center"/>
    </xf>
    <xf numFmtId="0" fontId="31" fillId="2" borderId="71" xfId="81" applyFont="1" applyFill="1" applyBorder="1" applyAlignment="1">
      <alignment horizontal="center"/>
    </xf>
    <xf numFmtId="0" fontId="31" fillId="2" borderId="72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2" fillId="0" borderId="28" xfId="0" applyNumberFormat="1" applyFont="1" applyFill="1" applyBorder="1"/>
    <xf numFmtId="9" fontId="32" fillId="0" borderId="21" xfId="0" applyNumberFormat="1" applyFont="1" applyFill="1" applyBorder="1"/>
    <xf numFmtId="9" fontId="32" fillId="0" borderId="29" xfId="0" applyNumberFormat="1" applyFont="1" applyFill="1" applyBorder="1"/>
    <xf numFmtId="3" fontId="6" fillId="0" borderId="20" xfId="78" applyNumberFormat="1" applyFont="1" applyFill="1" applyBorder="1" applyAlignment="1"/>
    <xf numFmtId="3" fontId="6" fillId="0" borderId="28" xfId="78" applyNumberFormat="1" applyFont="1" applyFill="1" applyBorder="1" applyAlignment="1"/>
    <xf numFmtId="3" fontId="6" fillId="0" borderId="21" xfId="78" applyNumberFormat="1" applyFont="1" applyFill="1" applyBorder="1" applyAlignment="1"/>
    <xf numFmtId="0" fontId="32" fillId="5" borderId="77" xfId="0" applyFont="1" applyFill="1" applyBorder="1"/>
    <xf numFmtId="0" fontId="32" fillId="0" borderId="78" xfId="0" applyFont="1" applyBorder="1" applyAlignment="1"/>
    <xf numFmtId="9" fontId="32" fillId="0" borderId="76" xfId="0" applyNumberFormat="1" applyFont="1" applyBorder="1" applyAlignment="1"/>
    <xf numFmtId="0" fontId="25" fillId="2" borderId="35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3" fontId="39" fillId="0" borderId="20" xfId="0" applyNumberFormat="1" applyFont="1" applyFill="1" applyBorder="1" applyAlignment="1"/>
    <xf numFmtId="3" fontId="39" fillId="0" borderId="28" xfId="0" applyNumberFormat="1" applyFont="1" applyFill="1" applyBorder="1" applyAlignment="1"/>
    <xf numFmtId="169" fontId="39" fillId="0" borderId="21" xfId="0" applyNumberFormat="1" applyFont="1" applyFill="1" applyBorder="1" applyAlignment="1"/>
    <xf numFmtId="49" fontId="37" fillId="2" borderId="76" xfId="0" quotePrefix="1" applyNumberFormat="1" applyFont="1" applyFill="1" applyBorder="1" applyAlignment="1">
      <alignment horizontal="center" vertical="center"/>
    </xf>
    <xf numFmtId="0" fontId="25" fillId="4" borderId="74" xfId="1" applyFill="1" applyBorder="1" applyAlignment="1">
      <alignment horizontal="left" indent="4"/>
    </xf>
    <xf numFmtId="0" fontId="25" fillId="4" borderId="35" xfId="1" applyFill="1" applyBorder="1" applyAlignment="1">
      <alignment horizontal="left" indent="2"/>
    </xf>
    <xf numFmtId="0" fontId="32" fillId="0" borderId="75" xfId="0" applyFont="1" applyBorder="1"/>
    <xf numFmtId="0" fontId="31" fillId="2" borderId="65" xfId="0" applyFont="1" applyFill="1" applyBorder="1" applyAlignment="1">
      <alignment horizontal="center" vertical="top" wrapText="1"/>
    </xf>
    <xf numFmtId="0" fontId="25" fillId="6" borderId="5" xfId="1" applyFill="1" applyBorder="1"/>
    <xf numFmtId="0" fontId="31" fillId="2" borderId="39" xfId="81" applyFont="1" applyFill="1" applyBorder="1" applyAlignment="1">
      <alignment horizontal="center"/>
    </xf>
    <xf numFmtId="0" fontId="31" fillId="2" borderId="40" xfId="81" applyFont="1" applyFill="1" applyBorder="1" applyAlignment="1">
      <alignment horizontal="center"/>
    </xf>
    <xf numFmtId="0" fontId="31" fillId="2" borderId="25" xfId="74" applyFont="1" applyFill="1" applyBorder="1" applyAlignment="1">
      <alignment horizontal="center"/>
    </xf>
    <xf numFmtId="0" fontId="6" fillId="0" borderId="3" xfId="78" applyFont="1" applyFill="1" applyBorder="1" applyAlignment="1"/>
    <xf numFmtId="3" fontId="39" fillId="0" borderId="21" xfId="0" applyNumberFormat="1" applyFont="1" applyFill="1" applyBorder="1" applyAlignment="1"/>
    <xf numFmtId="0" fontId="39" fillId="2" borderId="19" xfId="0" applyFont="1" applyFill="1" applyBorder="1" applyAlignment="1">
      <alignment horizontal="right"/>
    </xf>
    <xf numFmtId="0" fontId="27" fillId="0" borderId="0" xfId="78" applyNumberFormat="1" applyFont="1" applyFill="1" applyBorder="1" applyAlignment="1"/>
    <xf numFmtId="0" fontId="32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8" fillId="0" borderId="0" xfId="0" applyFont="1" applyFill="1" applyAlignment="1">
      <alignment horizontal="left" indent="2"/>
    </xf>
    <xf numFmtId="176" fontId="39" fillId="0" borderId="16" xfId="0" applyNumberFormat="1" applyFont="1" applyBorder="1" applyAlignment="1">
      <alignment vertical="center"/>
    </xf>
    <xf numFmtId="173" fontId="39" fillId="0" borderId="32" xfId="0" applyNumberFormat="1" applyFont="1" applyBorder="1" applyAlignment="1">
      <alignment vertical="center"/>
    </xf>
    <xf numFmtId="173" fontId="32" fillId="0" borderId="17" xfId="0" applyNumberFormat="1" applyFont="1" applyBorder="1" applyAlignment="1">
      <alignment vertical="center"/>
    </xf>
    <xf numFmtId="173" fontId="32" fillId="0" borderId="0" xfId="0" applyNumberFormat="1" applyFont="1" applyBorder="1" applyAlignment="1">
      <alignment vertical="center"/>
    </xf>
    <xf numFmtId="173" fontId="32" fillId="0" borderId="16" xfId="0" applyNumberFormat="1" applyFont="1" applyBorder="1" applyAlignment="1">
      <alignment vertical="center"/>
    </xf>
    <xf numFmtId="174" fontId="32" fillId="0" borderId="0" xfId="0" applyNumberFormat="1" applyFont="1" applyBorder="1" applyAlignment="1">
      <alignment vertical="center"/>
    </xf>
    <xf numFmtId="0" fontId="55" fillId="0" borderId="17" xfId="0" applyFont="1" applyFill="1" applyBorder="1" applyAlignment="1">
      <alignment horizontal="left" vertical="center"/>
    </xf>
    <xf numFmtId="0" fontId="39" fillId="2" borderId="0" xfId="0" applyFont="1" applyFill="1" applyBorder="1" applyAlignment="1">
      <alignment horizontal="center" vertical="center"/>
    </xf>
    <xf numFmtId="173" fontId="32" fillId="0" borderId="0" xfId="0" applyNumberFormat="1" applyFont="1" applyBorder="1" applyAlignment="1">
      <alignment horizontal="right" vertical="center"/>
    </xf>
    <xf numFmtId="175" fontId="32" fillId="0" borderId="0" xfId="0" applyNumberFormat="1" applyFont="1" applyBorder="1" applyAlignment="1">
      <alignment horizontal="right" vertical="center"/>
    </xf>
    <xf numFmtId="3" fontId="39" fillId="0" borderId="57" xfId="0" applyNumberFormat="1" applyFont="1" applyBorder="1" applyAlignment="1">
      <alignment horizontal="right" vertical="center"/>
    </xf>
    <xf numFmtId="9" fontId="39" fillId="0" borderId="94" xfId="0" applyNumberFormat="1" applyFont="1" applyBorder="1" applyAlignment="1">
      <alignment horizontal="right" vertical="center"/>
    </xf>
    <xf numFmtId="173" fontId="39" fillId="0" borderId="94" xfId="0" applyNumberFormat="1" applyFont="1" applyBorder="1" applyAlignment="1">
      <alignment horizontal="right" vertical="center"/>
    </xf>
    <xf numFmtId="173" fontId="39" fillId="0" borderId="63" xfId="0" applyNumberFormat="1" applyFont="1" applyBorder="1" applyAlignment="1">
      <alignment horizontal="right" vertical="center"/>
    </xf>
    <xf numFmtId="173" fontId="39" fillId="0" borderId="65" xfId="0" applyNumberFormat="1" applyFont="1" applyBorder="1" applyAlignment="1">
      <alignment vertical="center"/>
    </xf>
    <xf numFmtId="173" fontId="39" fillId="0" borderId="95" xfId="0" applyNumberFormat="1" applyFont="1" applyBorder="1" applyAlignment="1">
      <alignment vertical="center"/>
    </xf>
    <xf numFmtId="173" fontId="39" fillId="0" borderId="94" xfId="0" applyNumberFormat="1" applyFont="1" applyBorder="1" applyAlignment="1">
      <alignment vertical="center"/>
    </xf>
    <xf numFmtId="173" fontId="39" fillId="0" borderId="63" xfId="0" applyNumberFormat="1" applyFont="1" applyBorder="1" applyAlignment="1">
      <alignment vertical="center"/>
    </xf>
    <xf numFmtId="173" fontId="39" fillId="0" borderId="96" xfId="0" applyNumberFormat="1" applyFont="1" applyBorder="1" applyAlignment="1">
      <alignment vertical="center"/>
    </xf>
    <xf numFmtId="174" fontId="39" fillId="0" borderId="97" xfId="0" applyNumberFormat="1" applyFont="1" applyBorder="1" applyAlignment="1">
      <alignment vertical="center"/>
    </xf>
    <xf numFmtId="174" fontId="39" fillId="0" borderId="94" xfId="0" applyNumberFormat="1" applyFont="1" applyBorder="1" applyAlignment="1">
      <alignment vertical="center"/>
    </xf>
    <xf numFmtId="174" fontId="39" fillId="0" borderId="63" xfId="0" applyNumberFormat="1" applyFont="1" applyBorder="1" applyAlignment="1">
      <alignment vertical="center"/>
    </xf>
    <xf numFmtId="168" fontId="39" fillId="0" borderId="88" xfId="0" applyNumberFormat="1" applyFont="1" applyBorder="1" applyAlignment="1">
      <alignment vertical="center"/>
    </xf>
    <xf numFmtId="0" fontId="32" fillId="0" borderId="95" xfId="0" applyFont="1" applyBorder="1" applyAlignment="1">
      <alignment horizontal="center" vertical="center"/>
    </xf>
    <xf numFmtId="166" fontId="39" fillId="2" borderId="63" xfId="0" applyNumberFormat="1" applyFont="1" applyFill="1" applyBorder="1" applyAlignment="1">
      <alignment horizontal="center" vertical="center"/>
    </xf>
    <xf numFmtId="173" fontId="39" fillId="0" borderId="72" xfId="0" applyNumberFormat="1" applyFont="1" applyBorder="1" applyAlignment="1">
      <alignment horizontal="right" vertical="center"/>
    </xf>
    <xf numFmtId="175" fontId="39" fillId="0" borderId="71" xfId="0" applyNumberFormat="1" applyFont="1" applyBorder="1" applyAlignment="1">
      <alignment horizontal="right" vertical="center"/>
    </xf>
    <xf numFmtId="173" fontId="39" fillId="0" borderId="71" xfId="0" applyNumberFormat="1" applyFont="1" applyBorder="1" applyAlignment="1">
      <alignment horizontal="right" vertical="center"/>
    </xf>
    <xf numFmtId="173" fontId="39" fillId="0" borderId="72" xfId="0" applyNumberFormat="1" applyFont="1" applyBorder="1" applyAlignment="1">
      <alignment vertical="center"/>
    </xf>
    <xf numFmtId="173" fontId="39" fillId="0" borderId="71" xfId="0" applyNumberFormat="1" applyFont="1" applyBorder="1" applyAlignment="1">
      <alignment vertical="center"/>
    </xf>
    <xf numFmtId="173" fontId="39" fillId="0" borderId="70" xfId="0" applyNumberFormat="1" applyFont="1" applyBorder="1" applyAlignment="1">
      <alignment vertical="center"/>
    </xf>
    <xf numFmtId="176" fontId="39" fillId="0" borderId="70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5" fillId="9" borderId="76" xfId="0" quotePrefix="1" applyFont="1" applyFill="1" applyBorder="1" applyAlignment="1">
      <alignment horizontal="center" vertical="center" wrapText="1"/>
    </xf>
    <xf numFmtId="0" fontId="40" fillId="9" borderId="76" xfId="0" quotePrefix="1" applyFont="1" applyFill="1" applyBorder="1" applyAlignment="1">
      <alignment horizontal="center" vertical="center" wrapText="1"/>
    </xf>
    <xf numFmtId="0" fontId="40" fillId="9" borderId="75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103" xfId="0" applyNumberFormat="1" applyFont="1" applyFill="1" applyBorder="1"/>
    <xf numFmtId="3" fontId="0" fillId="7" borderId="64" xfId="0" applyNumberFormat="1" applyFont="1" applyFill="1" applyBorder="1"/>
    <xf numFmtId="0" fontId="0" fillId="0" borderId="104" xfId="0" applyNumberFormat="1" applyFont="1" applyBorder="1"/>
    <xf numFmtId="3" fontId="0" fillId="0" borderId="105" xfId="0" applyNumberFormat="1" applyFont="1" applyBorder="1"/>
    <xf numFmtId="0" fontId="0" fillId="7" borderId="104" xfId="0" applyNumberFormat="1" applyFont="1" applyFill="1" applyBorder="1"/>
    <xf numFmtId="3" fontId="0" fillId="7" borderId="105" xfId="0" applyNumberFormat="1" applyFont="1" applyFill="1" applyBorder="1"/>
    <xf numFmtId="0" fontId="53" fillId="8" borderId="104" xfId="0" applyNumberFormat="1" applyFont="1" applyFill="1" applyBorder="1"/>
    <xf numFmtId="3" fontId="53" fillId="8" borderId="105" xfId="0" applyNumberFormat="1" applyFont="1" applyFill="1" applyBorder="1"/>
    <xf numFmtId="0" fontId="39" fillId="3" borderId="27" xfId="0" applyFont="1" applyFill="1" applyBorder="1" applyAlignment="1"/>
    <xf numFmtId="0" fontId="32" fillId="0" borderId="38" xfId="0" applyFont="1" applyBorder="1" applyAlignment="1"/>
    <xf numFmtId="0" fontId="39" fillId="2" borderId="27" xfId="0" applyFont="1" applyFill="1" applyBorder="1" applyAlignment="1"/>
    <xf numFmtId="0" fontId="39" fillId="4" borderId="27" xfId="0" applyFont="1" applyFill="1" applyBorder="1" applyAlignment="1"/>
    <xf numFmtId="0" fontId="42" fillId="0" borderId="2" xfId="0" applyFont="1" applyFill="1" applyBorder="1" applyAlignment="1"/>
    <xf numFmtId="0" fontId="42" fillId="0" borderId="2" xfId="0" applyFont="1" applyBorder="1" applyAlignment="1"/>
    <xf numFmtId="0" fontId="30" fillId="5" borderId="17" xfId="81" applyFont="1" applyFill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31" fillId="2" borderId="43" xfId="81" applyFont="1" applyFill="1" applyBorder="1" applyAlignment="1">
      <alignment horizontal="center"/>
    </xf>
    <xf numFmtId="0" fontId="31" fillId="2" borderId="44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62" xfId="81" applyFont="1" applyFill="1" applyBorder="1" applyAlignment="1">
      <alignment horizontal="center"/>
    </xf>
    <xf numFmtId="0" fontId="31" fillId="2" borderId="42" xfId="81" applyFont="1" applyFill="1" applyBorder="1" applyAlignment="1">
      <alignment horizontal="center"/>
    </xf>
    <xf numFmtId="0" fontId="31" fillId="2" borderId="87" xfId="81" applyFont="1" applyFill="1" applyBorder="1" applyAlignment="1">
      <alignment horizontal="center"/>
    </xf>
    <xf numFmtId="0" fontId="31" fillId="2" borderId="73" xfId="81" applyFont="1" applyFill="1" applyBorder="1" applyAlignment="1">
      <alignment horizontal="center"/>
    </xf>
    <xf numFmtId="0" fontId="42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8" fillId="2" borderId="25" xfId="0" applyFont="1" applyFill="1" applyBorder="1" applyAlignment="1">
      <alignment horizontal="center"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11" xfId="0" applyFont="1" applyFill="1" applyBorder="1" applyAlignment="1">
      <alignment horizontal="center" vertical="center"/>
    </xf>
    <xf numFmtId="0" fontId="5" fillId="0" borderId="2" xfId="0" applyFont="1" applyFill="1" applyBorder="1" applyAlignment="1"/>
    <xf numFmtId="0" fontId="32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38" fillId="2" borderId="3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0" fontId="32" fillId="2" borderId="24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6" fillId="2" borderId="11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1" fillId="2" borderId="85" xfId="81" applyFont="1" applyFill="1" applyBorder="1" applyAlignment="1">
      <alignment horizontal="center"/>
    </xf>
    <xf numFmtId="0" fontId="31" fillId="2" borderId="86" xfId="81" applyFont="1" applyFill="1" applyBorder="1" applyAlignment="1">
      <alignment horizontal="center"/>
    </xf>
    <xf numFmtId="0" fontId="31" fillId="2" borderId="81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2" fillId="0" borderId="2" xfId="14" applyFont="1" applyFill="1" applyBorder="1" applyAlignment="1"/>
    <xf numFmtId="0" fontId="0" fillId="0" borderId="2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5" xfId="53" applyNumberFormat="1" applyFont="1" applyFill="1" applyBorder="1" applyAlignment="1">
      <alignment horizontal="right"/>
    </xf>
    <xf numFmtId="164" fontId="29" fillId="2" borderId="30" xfId="79" applyNumberFormat="1" applyFont="1" applyFill="1" applyBorder="1" applyAlignment="1">
      <alignment horizontal="right"/>
    </xf>
    <xf numFmtId="164" fontId="43" fillId="0" borderId="2" xfId="14" applyNumberFormat="1" applyFont="1" applyFill="1" applyBorder="1" applyAlignment="1"/>
    <xf numFmtId="0" fontId="5" fillId="0" borderId="2" xfId="14" applyFont="1" applyFill="1" applyBorder="1" applyAlignment="1">
      <alignment wrapText="1"/>
    </xf>
    <xf numFmtId="0" fontId="5" fillId="0" borderId="2" xfId="14" applyFont="1" applyFill="1" applyBorder="1" applyAlignment="1"/>
    <xf numFmtId="3" fontId="28" fillId="2" borderId="56" xfId="78" applyNumberFormat="1" applyFont="1" applyFill="1" applyBorder="1" applyAlignment="1">
      <alignment horizontal="left"/>
    </xf>
    <xf numFmtId="0" fontId="32" fillId="2" borderId="49" xfId="0" applyFont="1" applyFill="1" applyBorder="1" applyAlignment="1"/>
    <xf numFmtId="3" fontId="28" fillId="2" borderId="51" xfId="78" applyNumberFormat="1" applyFont="1" applyFill="1" applyBorder="1" applyAlignment="1"/>
    <xf numFmtId="0" fontId="39" fillId="2" borderId="56" xfId="0" applyFont="1" applyFill="1" applyBorder="1" applyAlignment="1">
      <alignment horizontal="left"/>
    </xf>
    <xf numFmtId="0" fontId="32" fillId="2" borderId="45" xfId="0" applyFont="1" applyFill="1" applyBorder="1" applyAlignment="1">
      <alignment horizontal="left"/>
    </xf>
    <xf numFmtId="0" fontId="32" fillId="2" borderId="49" xfId="0" applyFont="1" applyFill="1" applyBorder="1" applyAlignment="1">
      <alignment horizontal="left"/>
    </xf>
    <xf numFmtId="0" fontId="39" fillId="2" borderId="51" xfId="0" applyFont="1" applyFill="1" applyBorder="1" applyAlignment="1">
      <alignment horizontal="left"/>
    </xf>
    <xf numFmtId="3" fontId="39" fillId="2" borderId="51" xfId="0" applyNumberFormat="1" applyFont="1" applyFill="1" applyBorder="1" applyAlignment="1">
      <alignment horizontal="left"/>
    </xf>
    <xf numFmtId="3" fontId="32" fillId="2" borderId="46" xfId="0" applyNumberFormat="1" applyFont="1" applyFill="1" applyBorder="1" applyAlignment="1">
      <alignment horizontal="left"/>
    </xf>
    <xf numFmtId="9" fontId="3" fillId="2" borderId="90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89" xfId="80" applyNumberFormat="1" applyFont="1" applyFill="1" applyBorder="1" applyAlignment="1">
      <alignment horizontal="left"/>
    </xf>
    <xf numFmtId="3" fontId="3" fillId="2" borderId="83" xfId="80" applyNumberFormat="1" applyFont="1" applyFill="1" applyBorder="1" applyAlignment="1">
      <alignment horizontal="left"/>
    </xf>
    <xf numFmtId="166" fontId="39" fillId="2" borderId="70" xfId="0" applyNumberFormat="1" applyFont="1" applyFill="1" applyBorder="1" applyAlignment="1">
      <alignment horizontal="center" vertical="center"/>
    </xf>
    <xf numFmtId="0" fontId="32" fillId="0" borderId="98" xfId="0" applyFont="1" applyBorder="1" applyAlignment="1">
      <alignment horizontal="center" vertical="center"/>
    </xf>
    <xf numFmtId="0" fontId="55" fillId="4" borderId="91" xfId="0" applyFont="1" applyFill="1" applyBorder="1" applyAlignment="1">
      <alignment horizontal="center" vertical="center" wrapText="1"/>
    </xf>
    <xf numFmtId="0" fontId="55" fillId="4" borderId="99" xfId="0" applyFont="1" applyFill="1" applyBorder="1" applyAlignment="1">
      <alignment horizontal="center" vertical="center" wrapText="1"/>
    </xf>
    <xf numFmtId="0" fontId="55" fillId="4" borderId="79" xfId="0" applyFont="1" applyFill="1" applyBorder="1" applyAlignment="1">
      <alignment horizontal="center" vertical="center" wrapText="1"/>
    </xf>
    <xf numFmtId="0" fontId="55" fillId="4" borderId="92" xfId="0" applyFont="1" applyFill="1" applyBorder="1" applyAlignment="1">
      <alignment horizontal="center" vertical="center" wrapText="1"/>
    </xf>
    <xf numFmtId="0" fontId="55" fillId="4" borderId="80" xfId="0" applyFont="1" applyFill="1" applyBorder="1" applyAlignment="1">
      <alignment horizontal="center" vertical="center" wrapText="1"/>
    </xf>
    <xf numFmtId="0" fontId="55" fillId="4" borderId="93" xfId="0" applyFont="1" applyFill="1" applyBorder="1" applyAlignment="1">
      <alignment horizontal="center" vertical="center" wrapText="1"/>
    </xf>
    <xf numFmtId="0" fontId="39" fillId="4" borderId="1" xfId="0" applyFont="1" applyFill="1" applyBorder="1" applyAlignment="1">
      <alignment horizontal="center" vertical="center" wrapText="1"/>
    </xf>
    <xf numFmtId="0" fontId="39" fillId="4" borderId="3" xfId="0" applyFont="1" applyFill="1" applyBorder="1" applyAlignment="1">
      <alignment horizontal="center" vertical="center" wrapText="1"/>
    </xf>
    <xf numFmtId="168" fontId="55" fillId="2" borderId="91" xfId="0" applyNumberFormat="1" applyFont="1" applyFill="1" applyBorder="1" applyAlignment="1">
      <alignment horizontal="center" vertical="center" wrapText="1"/>
    </xf>
    <xf numFmtId="168" fontId="55" fillId="2" borderId="99" xfId="0" applyNumberFormat="1" applyFont="1" applyFill="1" applyBorder="1" applyAlignment="1">
      <alignment horizontal="center" vertical="center" wrapText="1"/>
    </xf>
    <xf numFmtId="0" fontId="55" fillId="2" borderId="79" xfId="0" applyFont="1" applyFill="1" applyBorder="1" applyAlignment="1">
      <alignment horizontal="center" vertical="center" wrapText="1"/>
    </xf>
    <xf numFmtId="0" fontId="55" fillId="2" borderId="92" xfId="0" applyFont="1" applyFill="1" applyBorder="1" applyAlignment="1">
      <alignment horizontal="center" vertical="center" wrapText="1"/>
    </xf>
    <xf numFmtId="0" fontId="55" fillId="2" borderId="80" xfId="0" applyFont="1" applyFill="1" applyBorder="1" applyAlignment="1">
      <alignment horizontal="center" vertical="center" wrapText="1"/>
    </xf>
    <xf numFmtId="0" fontId="55" fillId="2" borderId="93" xfId="0" applyFont="1" applyFill="1" applyBorder="1" applyAlignment="1">
      <alignment horizontal="center" vertical="center" wrapText="1"/>
    </xf>
    <xf numFmtId="0" fontId="2" fillId="0" borderId="2" xfId="26" applyFont="1" applyFill="1" applyBorder="1" applyAlignment="1"/>
    <xf numFmtId="3" fontId="55" fillId="4" borderId="79" xfId="0" applyNumberFormat="1" applyFont="1" applyFill="1" applyBorder="1" applyAlignment="1">
      <alignment horizontal="center" vertical="center"/>
    </xf>
    <xf numFmtId="3" fontId="55" fillId="4" borderId="92" xfId="0" applyNumberFormat="1" applyFont="1" applyFill="1" applyBorder="1" applyAlignment="1">
      <alignment horizontal="center" vertical="center"/>
    </xf>
    <xf numFmtId="9" fontId="55" fillId="4" borderId="79" xfId="0" applyNumberFormat="1" applyFont="1" applyFill="1" applyBorder="1" applyAlignment="1">
      <alignment horizontal="center" vertical="center"/>
    </xf>
    <xf numFmtId="9" fontId="55" fillId="4" borderId="92" xfId="0" applyNumberFormat="1" applyFont="1" applyFill="1" applyBorder="1" applyAlignment="1">
      <alignment horizontal="center" vertical="center"/>
    </xf>
    <xf numFmtId="3" fontId="55" fillId="4" borderId="80" xfId="0" applyNumberFormat="1" applyFont="1" applyFill="1" applyBorder="1" applyAlignment="1">
      <alignment horizontal="center" vertical="center" wrapText="1"/>
    </xf>
    <xf numFmtId="3" fontId="55" fillId="4" borderId="93" xfId="0" applyNumberFormat="1" applyFont="1" applyFill="1" applyBorder="1" applyAlignment="1">
      <alignment horizontal="center" vertical="center" wrapText="1"/>
    </xf>
    <xf numFmtId="0" fontId="39" fillId="2" borderId="100" xfId="0" applyFont="1" applyFill="1" applyBorder="1" applyAlignment="1">
      <alignment horizontal="center" vertical="center" wrapText="1"/>
    </xf>
    <xf numFmtId="0" fontId="39" fillId="2" borderId="83" xfId="0" applyFont="1" applyFill="1" applyBorder="1" applyAlignment="1">
      <alignment horizontal="center" vertical="center" wrapText="1"/>
    </xf>
    <xf numFmtId="0" fontId="55" fillId="9" borderId="102" xfId="0" applyFont="1" applyFill="1" applyBorder="1" applyAlignment="1">
      <alignment horizontal="center"/>
    </xf>
    <xf numFmtId="0" fontId="55" fillId="9" borderId="101" xfId="0" applyFont="1" applyFill="1" applyBorder="1" applyAlignment="1">
      <alignment horizontal="center"/>
    </xf>
    <xf numFmtId="0" fontId="55" fillId="9" borderId="78" xfId="0" applyFont="1" applyFill="1" applyBorder="1" applyAlignment="1">
      <alignment horizontal="center"/>
    </xf>
    <xf numFmtId="0" fontId="39" fillId="4" borderId="88" xfId="0" applyFont="1" applyFill="1" applyBorder="1" applyAlignment="1">
      <alignment horizontal="center" vertical="center" wrapText="1"/>
    </xf>
    <xf numFmtId="0" fontId="39" fillId="4" borderId="66" xfId="0" applyFont="1" applyFill="1" applyBorder="1" applyAlignment="1">
      <alignment horizontal="center" vertical="center" wrapText="1"/>
    </xf>
    <xf numFmtId="0" fontId="59" fillId="2" borderId="41" xfId="0" applyFont="1" applyFill="1" applyBorder="1" applyAlignment="1">
      <alignment horizontal="center"/>
    </xf>
    <xf numFmtId="0" fontId="59" fillId="2" borderId="85" xfId="0" applyFont="1" applyFill="1" applyBorder="1" applyAlignment="1">
      <alignment horizontal="center"/>
    </xf>
    <xf numFmtId="0" fontId="59" fillId="2" borderId="73" xfId="0" applyFont="1" applyFill="1" applyBorder="1" applyAlignment="1">
      <alignment horizontal="center"/>
    </xf>
    <xf numFmtId="0" fontId="59" fillId="4" borderId="25" xfId="0" applyFont="1" applyFill="1" applyBorder="1" applyAlignment="1">
      <alignment horizontal="center"/>
    </xf>
    <xf numFmtId="0" fontId="59" fillId="4" borderId="68" xfId="0" applyFont="1" applyFill="1" applyBorder="1" applyAlignment="1">
      <alignment horizontal="center"/>
    </xf>
    <xf numFmtId="0" fontId="59" fillId="4" borderId="69" xfId="0" applyFont="1" applyFill="1" applyBorder="1" applyAlignment="1">
      <alignment horizontal="center"/>
    </xf>
    <xf numFmtId="0" fontId="59" fillId="2" borderId="25" xfId="0" applyFont="1" applyFill="1" applyBorder="1" applyAlignment="1">
      <alignment horizontal="center"/>
    </xf>
    <xf numFmtId="0" fontId="59" fillId="2" borderId="68" xfId="0" applyFont="1" applyFill="1" applyBorder="1" applyAlignment="1">
      <alignment horizontal="center"/>
    </xf>
    <xf numFmtId="0" fontId="59" fillId="2" borderId="69" xfId="0" applyFont="1" applyFill="1" applyBorder="1" applyAlignment="1">
      <alignment horizontal="center"/>
    </xf>
    <xf numFmtId="0" fontId="2" fillId="0" borderId="2" xfId="0" applyFont="1" applyFill="1" applyBorder="1" applyAlignment="1">
      <alignment wrapText="1"/>
    </xf>
    <xf numFmtId="0" fontId="39" fillId="2" borderId="54" xfId="0" applyFont="1" applyFill="1" applyBorder="1" applyAlignment="1">
      <alignment vertical="center"/>
    </xf>
    <xf numFmtId="3" fontId="31" fillId="2" borderId="56" xfId="26" applyNumberFormat="1" applyFont="1" applyFill="1" applyBorder="1" applyAlignment="1">
      <alignment horizontal="center"/>
    </xf>
    <xf numFmtId="3" fontId="31" fillId="2" borderId="45" xfId="26" applyNumberFormat="1" applyFont="1" applyFill="1" applyBorder="1" applyAlignment="1">
      <alignment horizontal="center"/>
    </xf>
    <xf numFmtId="3" fontId="31" fillId="2" borderId="84" xfId="26" applyNumberFormat="1" applyFont="1" applyFill="1" applyBorder="1" applyAlignment="1">
      <alignment horizontal="center"/>
    </xf>
    <xf numFmtId="3" fontId="31" fillId="2" borderId="46" xfId="26" applyNumberFormat="1" applyFont="1" applyFill="1" applyBorder="1" applyAlignment="1">
      <alignment horizontal="center"/>
    </xf>
    <xf numFmtId="3" fontId="31" fillId="2" borderId="88" xfId="26" applyNumberFormat="1" applyFont="1" applyFill="1" applyBorder="1" applyAlignment="1">
      <alignment horizontal="center"/>
    </xf>
    <xf numFmtId="3" fontId="31" fillId="2" borderId="66" xfId="26" applyNumberFormat="1" applyFont="1" applyFill="1" applyBorder="1" applyAlignment="1">
      <alignment horizontal="center"/>
    </xf>
    <xf numFmtId="0" fontId="31" fillId="2" borderId="31" xfId="0" applyFont="1" applyFill="1" applyBorder="1" applyAlignment="1">
      <alignment horizontal="center" vertical="top" wrapText="1"/>
    </xf>
    <xf numFmtId="3" fontId="31" fillId="2" borderId="46" xfId="0" applyNumberFormat="1" applyFont="1" applyFill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center"/>
    </xf>
    <xf numFmtId="0" fontId="31" fillId="2" borderId="56" xfId="0" quotePrefix="1" applyFont="1" applyFill="1" applyBorder="1" applyAlignment="1">
      <alignment horizontal="center"/>
    </xf>
    <xf numFmtId="0" fontId="31" fillId="2" borderId="46" xfId="0" applyFont="1" applyFill="1" applyBorder="1" applyAlignment="1">
      <alignment horizontal="center"/>
    </xf>
    <xf numFmtId="9" fontId="44" fillId="2" borderId="46" xfId="0" applyNumberFormat="1" applyFont="1" applyFill="1" applyBorder="1" applyAlignment="1">
      <alignment horizontal="center" vertical="top"/>
    </xf>
    <xf numFmtId="0" fontId="31" fillId="2" borderId="65" xfId="0" applyNumberFormat="1" applyFont="1" applyFill="1" applyBorder="1" applyAlignment="1">
      <alignment horizontal="center" vertical="top"/>
    </xf>
    <xf numFmtId="0" fontId="31" fillId="2" borderId="65" xfId="0" applyFont="1" applyFill="1" applyBorder="1" applyAlignment="1">
      <alignment horizontal="center" vertical="top" wrapText="1"/>
    </xf>
    <xf numFmtId="3" fontId="33" fillId="10" borderId="107" xfId="0" applyNumberFormat="1" applyFont="1" applyFill="1" applyBorder="1" applyAlignment="1">
      <alignment horizontal="right" vertical="top"/>
    </xf>
    <xf numFmtId="3" fontId="33" fillId="10" borderId="108" xfId="0" applyNumberFormat="1" applyFont="1" applyFill="1" applyBorder="1" applyAlignment="1">
      <alignment horizontal="right" vertical="top"/>
    </xf>
    <xf numFmtId="177" fontId="33" fillId="10" borderId="109" xfId="0" applyNumberFormat="1" applyFont="1" applyFill="1" applyBorder="1" applyAlignment="1">
      <alignment horizontal="right" vertical="top"/>
    </xf>
    <xf numFmtId="3" fontId="33" fillId="0" borderId="107" xfId="0" applyNumberFormat="1" applyFont="1" applyBorder="1" applyAlignment="1">
      <alignment horizontal="right" vertical="top"/>
    </xf>
    <xf numFmtId="177" fontId="33" fillId="10" borderId="110" xfId="0" applyNumberFormat="1" applyFont="1" applyFill="1" applyBorder="1" applyAlignment="1">
      <alignment horizontal="right" vertical="top"/>
    </xf>
    <xf numFmtId="3" fontId="35" fillId="10" borderId="112" xfId="0" applyNumberFormat="1" applyFont="1" applyFill="1" applyBorder="1" applyAlignment="1">
      <alignment horizontal="right" vertical="top"/>
    </xf>
    <xf numFmtId="3" fontId="35" fillId="10" borderId="113" xfId="0" applyNumberFormat="1" applyFont="1" applyFill="1" applyBorder="1" applyAlignment="1">
      <alignment horizontal="right" vertical="top"/>
    </xf>
    <xf numFmtId="0" fontId="35" fillId="10" borderId="114" xfId="0" applyFont="1" applyFill="1" applyBorder="1" applyAlignment="1">
      <alignment horizontal="right" vertical="top"/>
    </xf>
    <xf numFmtId="3" fontId="35" fillId="0" borderId="112" xfId="0" applyNumberFormat="1" applyFont="1" applyBorder="1" applyAlignment="1">
      <alignment horizontal="right" vertical="top"/>
    </xf>
    <xf numFmtId="0" fontId="35" fillId="10" borderId="115" xfId="0" applyFont="1" applyFill="1" applyBorder="1" applyAlignment="1">
      <alignment horizontal="right" vertical="top"/>
    </xf>
    <xf numFmtId="0" fontId="33" fillId="10" borderId="109" xfId="0" applyFont="1" applyFill="1" applyBorder="1" applyAlignment="1">
      <alignment horizontal="right" vertical="top"/>
    </xf>
    <xf numFmtId="0" fontId="33" fillId="10" borderId="110" xfId="0" applyFont="1" applyFill="1" applyBorder="1" applyAlignment="1">
      <alignment horizontal="right" vertical="top"/>
    </xf>
    <xf numFmtId="177" fontId="35" fillId="10" borderId="114" xfId="0" applyNumberFormat="1" applyFont="1" applyFill="1" applyBorder="1" applyAlignment="1">
      <alignment horizontal="right" vertical="top"/>
    </xf>
    <xf numFmtId="177" fontId="35" fillId="10" borderId="115" xfId="0" applyNumberFormat="1" applyFont="1" applyFill="1" applyBorder="1" applyAlignment="1">
      <alignment horizontal="right" vertical="top"/>
    </xf>
    <xf numFmtId="3" fontId="35" fillId="0" borderId="116" xfId="0" applyNumberFormat="1" applyFont="1" applyBorder="1" applyAlignment="1">
      <alignment horizontal="right" vertical="top"/>
    </xf>
    <xf numFmtId="3" fontId="35" fillId="0" borderId="117" xfId="0" applyNumberFormat="1" applyFont="1" applyBorder="1" applyAlignment="1">
      <alignment horizontal="right" vertical="top"/>
    </xf>
    <xf numFmtId="3" fontId="35" fillId="0" borderId="118" xfId="0" applyNumberFormat="1" applyFont="1" applyBorder="1" applyAlignment="1">
      <alignment horizontal="right" vertical="top"/>
    </xf>
    <xf numFmtId="177" fontId="35" fillId="10" borderId="119" xfId="0" applyNumberFormat="1" applyFont="1" applyFill="1" applyBorder="1" applyAlignment="1">
      <alignment horizontal="right" vertical="top"/>
    </xf>
    <xf numFmtId="0" fontId="37" fillId="11" borderId="106" xfId="0" applyFont="1" applyFill="1" applyBorder="1" applyAlignment="1">
      <alignment vertical="top"/>
    </xf>
    <xf numFmtId="0" fontId="37" fillId="11" borderId="106" xfId="0" applyFont="1" applyFill="1" applyBorder="1" applyAlignment="1">
      <alignment vertical="top" indent="2"/>
    </xf>
    <xf numFmtId="0" fontId="37" fillId="11" borderId="106" xfId="0" applyFont="1" applyFill="1" applyBorder="1" applyAlignment="1">
      <alignment vertical="top" indent="4"/>
    </xf>
    <xf numFmtId="0" fontId="38" fillId="11" borderId="111" xfId="0" applyFont="1" applyFill="1" applyBorder="1" applyAlignment="1">
      <alignment vertical="top" indent="6"/>
    </xf>
    <xf numFmtId="0" fontId="37" fillId="11" borderId="106" xfId="0" applyFont="1" applyFill="1" applyBorder="1" applyAlignment="1">
      <alignment vertical="top" indent="8"/>
    </xf>
    <xf numFmtId="0" fontId="38" fillId="11" borderId="111" xfId="0" applyFont="1" applyFill="1" applyBorder="1" applyAlignment="1">
      <alignment vertical="top" indent="2"/>
    </xf>
    <xf numFmtId="0" fontId="37" fillId="11" borderId="106" xfId="0" applyFont="1" applyFill="1" applyBorder="1" applyAlignment="1">
      <alignment vertical="top" indent="6"/>
    </xf>
    <xf numFmtId="0" fontId="38" fillId="11" borderId="111" xfId="0" applyFont="1" applyFill="1" applyBorder="1" applyAlignment="1">
      <alignment vertical="top" indent="4"/>
    </xf>
    <xf numFmtId="0" fontId="32" fillId="11" borderId="106" xfId="0" applyFont="1" applyFill="1" applyBorder="1"/>
    <xf numFmtId="0" fontId="38" fillId="11" borderId="19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96" xfId="53" applyNumberFormat="1" applyFont="1" applyFill="1" applyBorder="1" applyAlignment="1">
      <alignment horizontal="left"/>
    </xf>
    <xf numFmtId="164" fontId="31" fillId="2" borderId="120" xfId="53" applyNumberFormat="1" applyFont="1" applyFill="1" applyBorder="1" applyAlignment="1">
      <alignment horizontal="left"/>
    </xf>
    <xf numFmtId="0" fontId="31" fillId="2" borderId="120" xfId="53" applyNumberFormat="1" applyFont="1" applyFill="1" applyBorder="1" applyAlignment="1">
      <alignment horizontal="left"/>
    </xf>
    <xf numFmtId="164" fontId="31" fillId="2" borderId="94" xfId="53" applyNumberFormat="1" applyFont="1" applyFill="1" applyBorder="1" applyAlignment="1">
      <alignment horizontal="left"/>
    </xf>
    <xf numFmtId="3" fontId="31" fillId="2" borderId="94" xfId="53" applyNumberFormat="1" applyFont="1" applyFill="1" applyBorder="1" applyAlignment="1">
      <alignment horizontal="left"/>
    </xf>
    <xf numFmtId="3" fontId="31" fillId="2" borderId="57" xfId="53" applyNumberFormat="1" applyFont="1" applyFill="1" applyBorder="1" applyAlignment="1">
      <alignment horizontal="left"/>
    </xf>
    <xf numFmtId="3" fontId="32" fillId="0" borderId="120" xfId="0" applyNumberFormat="1" applyFont="1" applyFill="1" applyBorder="1"/>
    <xf numFmtId="3" fontId="32" fillId="0" borderId="95" xfId="0" applyNumberFormat="1" applyFont="1" applyFill="1" applyBorder="1"/>
    <xf numFmtId="0" fontId="32" fillId="0" borderId="67" xfId="0" applyFont="1" applyFill="1" applyBorder="1"/>
    <xf numFmtId="0" fontId="32" fillId="0" borderId="68" xfId="0" applyFont="1" applyFill="1" applyBorder="1"/>
    <xf numFmtId="164" fontId="32" fillId="0" borderId="68" xfId="0" applyNumberFormat="1" applyFont="1" applyFill="1" applyBorder="1"/>
    <xf numFmtId="164" fontId="32" fillId="0" borderId="68" xfId="0" applyNumberFormat="1" applyFont="1" applyFill="1" applyBorder="1" applyAlignment="1">
      <alignment horizontal="right"/>
    </xf>
    <xf numFmtId="0" fontId="32" fillId="0" borderId="68" xfId="0" applyNumberFormat="1" applyFont="1" applyFill="1" applyBorder="1"/>
    <xf numFmtId="3" fontId="32" fillId="0" borderId="68" xfId="0" applyNumberFormat="1" applyFont="1" applyFill="1" applyBorder="1"/>
    <xf numFmtId="3" fontId="32" fillId="0" borderId="69" xfId="0" applyNumberFormat="1" applyFont="1" applyFill="1" applyBorder="1"/>
    <xf numFmtId="0" fontId="32" fillId="0" borderId="75" xfId="0" applyFont="1" applyFill="1" applyBorder="1"/>
    <xf numFmtId="0" fontId="32" fillId="0" borderId="76" xfId="0" applyFont="1" applyFill="1" applyBorder="1"/>
    <xf numFmtId="164" fontId="32" fillId="0" borderId="76" xfId="0" applyNumberFormat="1" applyFont="1" applyFill="1" applyBorder="1"/>
    <xf numFmtId="164" fontId="32" fillId="0" borderId="76" xfId="0" applyNumberFormat="1" applyFont="1" applyFill="1" applyBorder="1" applyAlignment="1">
      <alignment horizontal="right"/>
    </xf>
    <xf numFmtId="0" fontId="32" fillId="0" borderId="76" xfId="0" applyNumberFormat="1" applyFont="1" applyFill="1" applyBorder="1"/>
    <xf numFmtId="3" fontId="32" fillId="0" borderId="76" xfId="0" applyNumberFormat="1" applyFont="1" applyFill="1" applyBorder="1"/>
    <xf numFmtId="3" fontId="32" fillId="0" borderId="77" xfId="0" applyNumberFormat="1" applyFont="1" applyFill="1" applyBorder="1"/>
    <xf numFmtId="0" fontId="32" fillId="0" borderId="70" xfId="0" applyFont="1" applyFill="1" applyBorder="1"/>
    <xf numFmtId="0" fontId="32" fillId="0" borderId="71" xfId="0" applyFont="1" applyFill="1" applyBorder="1"/>
    <xf numFmtId="164" fontId="32" fillId="0" borderId="71" xfId="0" applyNumberFormat="1" applyFont="1" applyFill="1" applyBorder="1"/>
    <xf numFmtId="164" fontId="32" fillId="0" borderId="71" xfId="0" applyNumberFormat="1" applyFont="1" applyFill="1" applyBorder="1" applyAlignment="1">
      <alignment horizontal="right"/>
    </xf>
    <xf numFmtId="0" fontId="32" fillId="0" borderId="71" xfId="0" applyNumberFormat="1" applyFont="1" applyFill="1" applyBorder="1"/>
    <xf numFmtId="3" fontId="32" fillId="0" borderId="71" xfId="0" applyNumberFormat="1" applyFont="1" applyFill="1" applyBorder="1"/>
    <xf numFmtId="3" fontId="32" fillId="0" borderId="72" xfId="0" applyNumberFormat="1" applyFont="1" applyFill="1" applyBorder="1"/>
    <xf numFmtId="0" fontId="39" fillId="2" borderId="96" xfId="0" applyFont="1" applyFill="1" applyBorder="1"/>
    <xf numFmtId="3" fontId="39" fillId="2" borderId="97" xfId="0" applyNumberFormat="1" applyFont="1" applyFill="1" applyBorder="1"/>
    <xf numFmtId="9" fontId="39" fillId="2" borderId="63" xfId="0" applyNumberFormat="1" applyFont="1" applyFill="1" applyBorder="1"/>
    <xf numFmtId="3" fontId="39" fillId="2" borderId="57" xfId="0" applyNumberFormat="1" applyFont="1" applyFill="1" applyBorder="1"/>
    <xf numFmtId="9" fontId="32" fillId="0" borderId="120" xfId="0" applyNumberFormat="1" applyFont="1" applyFill="1" applyBorder="1"/>
    <xf numFmtId="9" fontId="32" fillId="0" borderId="68" xfId="0" applyNumberFormat="1" applyFont="1" applyFill="1" applyBorder="1"/>
    <xf numFmtId="9" fontId="32" fillId="0" borderId="71" xfId="0" applyNumberFormat="1" applyFont="1" applyFill="1" applyBorder="1"/>
    <xf numFmtId="3" fontId="32" fillId="0" borderId="28" xfId="0" applyNumberFormat="1" applyFont="1" applyFill="1" applyBorder="1"/>
    <xf numFmtId="0" fontId="39" fillId="11" borderId="20" xfId="0" applyFont="1" applyFill="1" applyBorder="1"/>
    <xf numFmtId="3" fontId="39" fillId="11" borderId="28" xfId="0" applyNumberFormat="1" applyFont="1" applyFill="1" applyBorder="1"/>
    <xf numFmtId="9" fontId="39" fillId="11" borderId="28" xfId="0" applyNumberFormat="1" applyFont="1" applyFill="1" applyBorder="1"/>
    <xf numFmtId="3" fontId="39" fillId="11" borderId="21" xfId="0" applyNumberFormat="1" applyFont="1" applyFill="1" applyBorder="1"/>
    <xf numFmtId="0" fontId="39" fillId="0" borderId="96" xfId="0" applyFont="1" applyFill="1" applyBorder="1"/>
    <xf numFmtId="0" fontId="32" fillId="5" borderId="11" xfId="0" applyFont="1" applyFill="1" applyBorder="1" applyAlignment="1">
      <alignment wrapText="1"/>
    </xf>
    <xf numFmtId="9" fontId="32" fillId="0" borderId="76" xfId="0" applyNumberFormat="1" applyFont="1" applyFill="1" applyBorder="1"/>
    <xf numFmtId="3" fontId="32" fillId="0" borderId="79" xfId="0" applyNumberFormat="1" applyFont="1" applyFill="1" applyBorder="1"/>
    <xf numFmtId="9" fontId="32" fillId="0" borderId="79" xfId="0" applyNumberFormat="1" applyFont="1" applyFill="1" applyBorder="1"/>
    <xf numFmtId="3" fontId="32" fillId="0" borderId="80" xfId="0" applyNumberFormat="1" applyFont="1" applyFill="1" applyBorder="1"/>
    <xf numFmtId="0" fontId="39" fillId="0" borderId="67" xfId="0" applyFont="1" applyFill="1" applyBorder="1"/>
    <xf numFmtId="0" fontId="39" fillId="0" borderId="75" xfId="0" applyFont="1" applyFill="1" applyBorder="1"/>
    <xf numFmtId="0" fontId="39" fillId="0" borderId="91" xfId="0" applyFont="1" applyFill="1" applyBorder="1"/>
    <xf numFmtId="0" fontId="39" fillId="2" borderId="120" xfId="0" applyFont="1" applyFill="1" applyBorder="1"/>
    <xf numFmtId="3" fontId="39" fillId="2" borderId="0" xfId="0" applyNumberFormat="1" applyFont="1" applyFill="1" applyBorder="1"/>
    <xf numFmtId="3" fontId="39" fillId="2" borderId="17" xfId="0" applyNumberFormat="1" applyFont="1" applyFill="1" applyBorder="1"/>
    <xf numFmtId="0" fontId="3" fillId="2" borderId="96" xfId="79" applyFont="1" applyFill="1" applyBorder="1" applyAlignment="1">
      <alignment horizontal="left"/>
    </xf>
    <xf numFmtId="3" fontId="3" fillId="2" borderId="79" xfId="80" applyNumberFormat="1" applyFont="1" applyFill="1" applyBorder="1"/>
    <xf numFmtId="3" fontId="3" fillId="2" borderId="80" xfId="80" applyNumberFormat="1" applyFont="1" applyFill="1" applyBorder="1"/>
    <xf numFmtId="9" fontId="3" fillId="2" borderId="121" xfId="80" applyNumberFormat="1" applyFont="1" applyFill="1" applyBorder="1"/>
    <xf numFmtId="9" fontId="3" fillId="2" borderId="79" xfId="80" applyNumberFormat="1" applyFont="1" applyFill="1" applyBorder="1"/>
    <xf numFmtId="9" fontId="3" fillId="2" borderId="80" xfId="80" applyNumberFormat="1" applyFont="1" applyFill="1" applyBorder="1"/>
    <xf numFmtId="9" fontId="32" fillId="0" borderId="69" xfId="0" applyNumberFormat="1" applyFont="1" applyFill="1" applyBorder="1"/>
    <xf numFmtId="9" fontId="32" fillId="0" borderId="72" xfId="0" applyNumberFormat="1" applyFont="1" applyFill="1" applyBorder="1"/>
    <xf numFmtId="0" fontId="39" fillId="0" borderId="87" xfId="0" applyFont="1" applyFill="1" applyBorder="1"/>
    <xf numFmtId="0" fontId="39" fillId="0" borderId="86" xfId="0" applyFont="1" applyFill="1" applyBorder="1" applyAlignment="1">
      <alignment horizontal="left" indent="1"/>
    </xf>
    <xf numFmtId="9" fontId="32" fillId="0" borderId="122" xfId="0" applyNumberFormat="1" applyFont="1" applyFill="1" applyBorder="1"/>
    <xf numFmtId="9" fontId="32" fillId="0" borderId="82" xfId="0" applyNumberFormat="1" applyFont="1" applyFill="1" applyBorder="1"/>
    <xf numFmtId="3" fontId="32" fillId="0" borderId="67" xfId="0" applyNumberFormat="1" applyFont="1" applyFill="1" applyBorder="1"/>
    <xf numFmtId="3" fontId="32" fillId="0" borderId="70" xfId="0" applyNumberFormat="1" applyFont="1" applyFill="1" applyBorder="1"/>
    <xf numFmtId="9" fontId="32" fillId="0" borderId="123" xfId="0" applyNumberFormat="1" applyFont="1" applyFill="1" applyBorder="1"/>
    <xf numFmtId="9" fontId="32" fillId="0" borderId="98" xfId="0" applyNumberFormat="1" applyFont="1" applyFill="1" applyBorder="1"/>
    <xf numFmtId="0" fontId="32" fillId="2" borderId="57" xfId="0" applyFont="1" applyFill="1" applyBorder="1" applyAlignment="1">
      <alignment vertical="center"/>
    </xf>
    <xf numFmtId="0" fontId="31" fillId="2" borderId="16" xfId="26" applyNumberFormat="1" applyFont="1" applyFill="1" applyBorder="1"/>
    <xf numFmtId="0" fontId="31" fillId="2" borderId="0" xfId="26" applyNumberFormat="1" applyFont="1" applyFill="1" applyBorder="1"/>
    <xf numFmtId="9" fontId="31" fillId="2" borderId="0" xfId="26" quotePrefix="1" applyNumberFormat="1" applyFont="1" applyFill="1" applyBorder="1" applyAlignment="1">
      <alignment horizontal="right"/>
    </xf>
    <xf numFmtId="9" fontId="31" fillId="2" borderId="17" xfId="26" applyNumberFormat="1" applyFont="1" applyFill="1" applyBorder="1" applyAlignment="1">
      <alignment horizontal="right"/>
    </xf>
    <xf numFmtId="0" fontId="59" fillId="4" borderId="67" xfId="0" applyFont="1" applyFill="1" applyBorder="1" applyAlignment="1">
      <alignment horizontal="left"/>
    </xf>
    <xf numFmtId="169" fontId="59" fillId="4" borderId="68" xfId="0" applyNumberFormat="1" applyFont="1" applyFill="1" applyBorder="1"/>
    <xf numFmtId="9" fontId="59" fillId="4" borderId="68" xfId="0" applyNumberFormat="1" applyFont="1" applyFill="1" applyBorder="1"/>
    <xf numFmtId="9" fontId="59" fillId="4" borderId="69" xfId="0" applyNumberFormat="1" applyFont="1" applyFill="1" applyBorder="1"/>
    <xf numFmtId="169" fontId="0" fillId="0" borderId="76" xfId="0" applyNumberFormat="1" applyBorder="1"/>
    <xf numFmtId="9" fontId="0" fillId="0" borderId="76" xfId="0" applyNumberFormat="1" applyBorder="1"/>
    <xf numFmtId="9" fontId="0" fillId="0" borderId="77" xfId="0" applyNumberFormat="1" applyBorder="1"/>
    <xf numFmtId="169" fontId="0" fillId="0" borderId="71" xfId="0" applyNumberFormat="1" applyBorder="1"/>
    <xf numFmtId="9" fontId="0" fillId="0" borderId="71" xfId="0" applyNumberFormat="1" applyBorder="1"/>
    <xf numFmtId="9" fontId="0" fillId="0" borderId="72" xfId="0" applyNumberFormat="1" applyBorder="1"/>
    <xf numFmtId="0" fontId="59" fillId="0" borderId="75" xfId="0" applyFont="1" applyBorder="1" applyAlignment="1">
      <alignment horizontal="left" indent="1"/>
    </xf>
    <xf numFmtId="0" fontId="59" fillId="0" borderId="70" xfId="0" applyFont="1" applyBorder="1" applyAlignment="1">
      <alignment horizontal="left" indent="1"/>
    </xf>
    <xf numFmtId="0" fontId="59" fillId="4" borderId="75" xfId="0" applyFont="1" applyFill="1" applyBorder="1" applyAlignment="1">
      <alignment horizontal="left"/>
    </xf>
    <xf numFmtId="169" fontId="59" fillId="4" borderId="76" xfId="0" applyNumberFormat="1" applyFont="1" applyFill="1" applyBorder="1"/>
    <xf numFmtId="9" fontId="59" fillId="4" borderId="76" xfId="0" applyNumberFormat="1" applyFont="1" applyFill="1" applyBorder="1"/>
    <xf numFmtId="9" fontId="59" fillId="4" borderId="77" xfId="0" applyNumberFormat="1" applyFont="1" applyFill="1" applyBorder="1"/>
    <xf numFmtId="0" fontId="60" fillId="0" borderId="0" xfId="0" applyFont="1" applyFill="1"/>
    <xf numFmtId="0" fontId="61" fillId="0" borderId="0" xfId="0" applyFont="1" applyFill="1"/>
    <xf numFmtId="0" fontId="31" fillId="2" borderId="17" xfId="26" applyNumberFormat="1" applyFont="1" applyFill="1" applyBorder="1"/>
    <xf numFmtId="169" fontId="32" fillId="0" borderId="28" xfId="0" applyNumberFormat="1" applyFont="1" applyFill="1" applyBorder="1"/>
    <xf numFmtId="169" fontId="32" fillId="0" borderId="21" xfId="0" applyNumberFormat="1" applyFont="1" applyFill="1" applyBorder="1"/>
    <xf numFmtId="0" fontId="39" fillId="0" borderId="20" xfId="0" applyFont="1" applyFill="1" applyBorder="1"/>
    <xf numFmtId="0" fontId="32" fillId="2" borderId="32" xfId="0" applyFont="1" applyFill="1" applyBorder="1" applyAlignment="1">
      <alignment horizontal="center" vertical="top" wrapText="1"/>
    </xf>
    <xf numFmtId="0" fontId="31" fillId="2" borderId="32" xfId="0" applyFont="1" applyFill="1" applyBorder="1" applyAlignment="1">
      <alignment horizontal="center" vertical="top" wrapText="1"/>
    </xf>
    <xf numFmtId="0" fontId="31" fillId="2" borderId="32" xfId="0" applyFont="1" applyFill="1" applyBorder="1" applyAlignment="1">
      <alignment horizontal="center" vertical="top"/>
    </xf>
    <xf numFmtId="0" fontId="0" fillId="0" borderId="32" xfId="0" applyNumberFormat="1" applyBorder="1" applyAlignment="1">
      <alignment horizontal="center" vertical="top"/>
    </xf>
    <xf numFmtId="0" fontId="31" fillId="2" borderId="32" xfId="0" applyFont="1" applyFill="1" applyBorder="1" applyAlignment="1">
      <alignment horizontal="center" vertical="center"/>
    </xf>
    <xf numFmtId="3" fontId="31" fillId="2" borderId="16" xfId="0" applyNumberFormat="1" applyFont="1" applyFill="1" applyBorder="1" applyAlignment="1">
      <alignment horizontal="left"/>
    </xf>
    <xf numFmtId="3" fontId="31" fillId="2" borderId="17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4" fillId="2" borderId="17" xfId="0" applyNumberFormat="1" applyFont="1" applyFill="1" applyBorder="1" applyAlignment="1">
      <alignment horizontal="center" vertical="top"/>
    </xf>
    <xf numFmtId="3" fontId="31" fillId="2" borderId="17" xfId="0" applyNumberFormat="1" applyFont="1" applyFill="1" applyBorder="1" applyAlignment="1">
      <alignment horizontal="center" vertical="top"/>
    </xf>
    <xf numFmtId="0" fontId="31" fillId="2" borderId="32" xfId="0" applyFont="1" applyFill="1" applyBorder="1" applyAlignment="1">
      <alignment horizontal="center" vertical="top" wrapText="1"/>
    </xf>
  </cellXfs>
  <cellStyles count="98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7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LEK_FNOL 2" xfId="80" xr:uid="{00000000-0005-0000-0000-000051000000}"/>
    <cellStyle name="normální_Manažerské tabulky" xfId="81" xr:uid="{00000000-0005-0000-0000-000052000000}"/>
    <cellStyle name="normální_Sestava hospodaření" xfId="82" xr:uid="{00000000-0005-0000-0000-000053000000}"/>
    <cellStyle name="Procenta 10" xfId="83" xr:uid="{00000000-0005-0000-0000-000055000000}"/>
    <cellStyle name="Procenta 11" xfId="84" xr:uid="{00000000-0005-0000-0000-000056000000}"/>
    <cellStyle name="Procenta 2" xfId="85" xr:uid="{00000000-0005-0000-0000-000057000000}"/>
    <cellStyle name="Procenta 2 2" xfId="86" xr:uid="{00000000-0005-0000-0000-000058000000}"/>
    <cellStyle name="Procenta 2 2 2" xfId="87" xr:uid="{00000000-0005-0000-0000-000059000000}"/>
    <cellStyle name="Procenta 2 3" xfId="88" xr:uid="{00000000-0005-0000-0000-00005A000000}"/>
    <cellStyle name="Procenta 3" xfId="89" xr:uid="{00000000-0005-0000-0000-00005B000000}"/>
    <cellStyle name="Procenta 3 2" xfId="90" xr:uid="{00000000-0005-0000-0000-00005C000000}"/>
    <cellStyle name="Procenta 4" xfId="91" xr:uid="{00000000-0005-0000-0000-00005D000000}"/>
    <cellStyle name="Procenta 5" xfId="92" xr:uid="{00000000-0005-0000-0000-00005E000000}"/>
    <cellStyle name="Procenta 6" xfId="93" xr:uid="{00000000-0005-0000-0000-00005F000000}"/>
    <cellStyle name="Procenta 7" xfId="94" xr:uid="{00000000-0005-0000-0000-000060000000}"/>
    <cellStyle name="Procenta 8" xfId="95" xr:uid="{00000000-0005-0000-0000-000061000000}"/>
    <cellStyle name="Procenta 9" xfId="96" xr:uid="{00000000-0005-0000-0000-000062000000}"/>
  </cellStyles>
  <dxfs count="90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89"/>
      <tableStyleElement type="headerRow" dxfId="88"/>
      <tableStyleElement type="totalRow" dxfId="87"/>
      <tableStyleElement type="firstColumn" dxfId="86"/>
      <tableStyleElement type="lastColumn" dxfId="85"/>
      <tableStyleElement type="firstRowStripe" dxfId="84"/>
      <tableStyleElement type="firstColumnStripe" dxfId="83"/>
    </tableStyle>
    <tableStyle name="TableStyleMedium2 2" pivot="0" count="7" xr9:uid="{00000000-0011-0000-FFFF-FFFF01000000}">
      <tableStyleElement type="wholeTable" dxfId="82"/>
      <tableStyleElement type="headerRow" dxfId="81"/>
      <tableStyleElement type="totalRow" dxfId="80"/>
      <tableStyleElement type="firstColumn" dxfId="79"/>
      <tableStyleElement type="lastColumn" dxfId="78"/>
      <tableStyleElement type="firstRowStripe" dxfId="77"/>
      <tableStyleElement type="firstColumnStripe" dxfId="76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Graf'!$B$4:$L$4</c:f>
              <c:numCache>
                <c:formatCode>General</c:formatCode>
                <c:ptCount val="11"/>
                <c:pt idx="0">
                  <c:v>0.51379850570130592</c:v>
                </c:pt>
                <c:pt idx="1">
                  <c:v>0.48790467094621653</c:v>
                </c:pt>
                <c:pt idx="2">
                  <c:v>0.48218706856371651</c:v>
                </c:pt>
                <c:pt idx="3">
                  <c:v>0.49588333749291358</c:v>
                </c:pt>
                <c:pt idx="4">
                  <c:v>0.47539405104854399</c:v>
                </c:pt>
                <c:pt idx="5">
                  <c:v>0.44198671004975754</c:v>
                </c:pt>
                <c:pt idx="6">
                  <c:v>0.39459293233568365</c:v>
                </c:pt>
                <c:pt idx="7">
                  <c:v>0.37455100356251597</c:v>
                </c:pt>
                <c:pt idx="8">
                  <c:v>0.38184915274938902</c:v>
                </c:pt>
                <c:pt idx="9">
                  <c:v>0.40858657328603826</c:v>
                </c:pt>
                <c:pt idx="10">
                  <c:v>0.40685500376821704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78790560"/>
        <c:axId val="-585227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0.42990907045401161</c:v>
                </c:pt>
                <c:pt idx="1">
                  <c:v>0.42990907045401161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9488"/>
        <c:axId val="-585228192"/>
      </c:scatterChart>
      <c:catAx>
        <c:axId val="-1978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2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78790560"/>
        <c:crosses val="autoZero"/>
        <c:crossBetween val="between"/>
      </c:valAx>
      <c:valAx>
        <c:axId val="-58521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28192"/>
        <c:crosses val="max"/>
        <c:crossBetween val="midCat"/>
      </c:valAx>
      <c:valAx>
        <c:axId val="-58522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8521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>
          <a:extLst>
            <a:ext uri="{FF2B5EF4-FFF2-40B4-BE49-F238E27FC236}">
              <a16:creationId xmlns:a16="http://schemas.microsoft.com/office/drawing/2014/main" id="{00000000-0008-0000-0400-00006128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21" totalsRowShown="0" headerRowDxfId="75" tableBorderDxfId="74">
  <autoFilter ref="A7:S21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73"/>
    <tableColumn id="2" xr3:uid="{00000000-0010-0000-0000-000002000000}" name="popis" dataDxfId="72"/>
    <tableColumn id="3" xr3:uid="{00000000-0010-0000-0000-000003000000}" name="01 uv_sk" dataDxfId="7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xr3:uid="{00000000-0010-0000-0000-000004000000}" name="02 uv_pla" dataDxfId="7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xr3:uid="{00000000-0010-0000-0000-000005000000}" name="03 uv_pln" dataDxfId="6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xr3:uid="{00000000-0010-0000-0000-000006000000}" name="04 uv_rozd" dataDxfId="6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xr3:uid="{00000000-0010-0000-0000-000007000000}" name="05 h_vram" dataDxfId="6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xr3:uid="{00000000-0010-0000-0000-000008000000}" name="06 h_naduv" dataDxfId="6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xr3:uid="{00000000-0010-0000-0000-000009000000}" name="07 h_nadzk" dataDxfId="6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xr3:uid="{00000000-0010-0000-0000-00000A000000}" name="08 h_oon" dataDxfId="6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xr3:uid="{00000000-0010-0000-0000-00000B000000}" name="09 m_kl" dataDxfId="6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xr3:uid="{00000000-0010-0000-0000-00000C000000}" name="10 m_gr" dataDxfId="6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xr3:uid="{00000000-0010-0000-0000-00000D000000}" name="11 m_jo" dataDxfId="6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xr3:uid="{00000000-0010-0000-0000-00000E000000}" name="12 m_oc" dataDxfId="6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xr3:uid="{00000000-0010-0000-0000-00000F000000}" name="13 m_sk" dataDxfId="5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xr3:uid="{00000000-0010-0000-0000-000011000000}" name="14_vzsk" dataDxfId="5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xr3:uid="{00000000-0010-0000-0000-000012000000}" name="15_vzpl" dataDxfId="5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xr3:uid="{00000000-0010-0000-0000-000013000000}" name="16_vzpln" dataDxfId="56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55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ONData" displayName="ONData" ref="C3:S158" totalsRowShown="0">
  <autoFilter ref="C3:S158" xr:uid="{00000000-0009-0000-0100-000007000000}"/>
  <tableColumns count="17">
    <tableColumn id="1" xr3:uid="{00000000-0010-0000-0100-000001000000}" name="mesic"/>
    <tableColumn id="2" xr3:uid="{00000000-0010-0000-0100-000002000000}" name="kat"/>
    <tableColumn id="3" xr3:uid="{00000000-0010-0000-0100-000003000000}" name="01 uv_sk"/>
    <tableColumn id="4" xr3:uid="{00000000-0010-0000-0100-000004000000}" name="02 uv_pla"/>
    <tableColumn id="5" xr3:uid="{00000000-0010-0000-0100-000005000000}" name="03 uv_pln"/>
    <tableColumn id="6" xr3:uid="{00000000-0010-0000-0100-000006000000}" name="04 uv_rozd"/>
    <tableColumn id="7" xr3:uid="{00000000-0010-0000-0100-000007000000}" name="05 h_vram"/>
    <tableColumn id="8" xr3:uid="{00000000-0010-0000-0100-000008000000}" name="06 h_naduv"/>
    <tableColumn id="9" xr3:uid="{00000000-0010-0000-0100-000009000000}" name="07 h_nadzk"/>
    <tableColumn id="10" xr3:uid="{00000000-0010-0000-0100-00000A000000}" name="08 h_oon"/>
    <tableColumn id="11" xr3:uid="{00000000-0010-0000-0100-00000B000000}" name="09 m_kl"/>
    <tableColumn id="12" xr3:uid="{00000000-0010-0000-0100-00000C000000}" name="10 m_gr"/>
    <tableColumn id="13" xr3:uid="{00000000-0010-0000-0100-00000D000000}" name="11 m_jo"/>
    <tableColumn id="14" xr3:uid="{00000000-0010-0000-0100-00000E000000}" name="12 m_oc"/>
    <tableColumn id="15" xr3:uid="{00000000-0010-0000-0100-00000F000000}" name="13 m_sk"/>
    <tableColumn id="16" xr3:uid="{00000000-0010-0000-0100-000010000000}" name="14_vzsk"/>
    <tableColumn id="17" xr3:uid="{00000000-0010-0000-0100-000011000000}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24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114" bestFit="1" customWidth="1"/>
    <col min="2" max="2" width="102.28515625" style="114" bestFit="1" customWidth="1"/>
    <col min="3" max="3" width="16.140625" style="47" hidden="1" customWidth="1"/>
    <col min="4" max="16384" width="8.85546875" style="114"/>
  </cols>
  <sheetData>
    <row r="1" spans="1:3" ht="18.600000000000001" customHeight="1" thickBot="1" x14ac:dyDescent="0.35">
      <c r="A1" s="304" t="s">
        <v>92</v>
      </c>
      <c r="B1" s="304"/>
    </row>
    <row r="2" spans="1:3" ht="14.45" customHeight="1" thickBot="1" x14ac:dyDescent="0.25">
      <c r="A2" s="207" t="s">
        <v>242</v>
      </c>
      <c r="B2" s="46"/>
    </row>
    <row r="3" spans="1:3" ht="14.45" customHeight="1" thickBot="1" x14ac:dyDescent="0.25">
      <c r="A3" s="300" t="s">
        <v>119</v>
      </c>
      <c r="B3" s="301"/>
    </row>
    <row r="4" spans="1:3" ht="14.45" customHeight="1" x14ac:dyDescent="0.2">
      <c r="A4" s="127" t="str">
        <f t="shared" ref="A4:A8" si="0">HYPERLINK("#'"&amp;C4&amp;"'!A1",C4)</f>
        <v>Motivace</v>
      </c>
      <c r="B4" s="74" t="s">
        <v>103</v>
      </c>
      <c r="C4" s="47" t="s">
        <v>104</v>
      </c>
    </row>
    <row r="5" spans="1:3" ht="14.45" customHeight="1" x14ac:dyDescent="0.2">
      <c r="A5" s="128" t="str">
        <f t="shared" si="0"/>
        <v>HI</v>
      </c>
      <c r="B5" s="75" t="s">
        <v>116</v>
      </c>
      <c r="C5" s="47" t="s">
        <v>95</v>
      </c>
    </row>
    <row r="6" spans="1:3" ht="14.45" customHeight="1" x14ac:dyDescent="0.2">
      <c r="A6" s="129" t="str">
        <f t="shared" si="0"/>
        <v>HI Graf</v>
      </c>
      <c r="B6" s="76" t="s">
        <v>89</v>
      </c>
      <c r="C6" s="47" t="s">
        <v>96</v>
      </c>
    </row>
    <row r="7" spans="1:3" ht="14.45" customHeight="1" x14ac:dyDescent="0.2">
      <c r="A7" s="129" t="str">
        <f t="shared" si="0"/>
        <v>Man Tab</v>
      </c>
      <c r="B7" s="76" t="s">
        <v>244</v>
      </c>
      <c r="C7" s="47" t="s">
        <v>97</v>
      </c>
    </row>
    <row r="8" spans="1:3" ht="14.45" customHeight="1" thickBot="1" x14ac:dyDescent="0.25">
      <c r="A8" s="130" t="str">
        <f t="shared" si="0"/>
        <v>HV</v>
      </c>
      <c r="B8" s="77" t="s">
        <v>48</v>
      </c>
      <c r="C8" s="47" t="s">
        <v>53</v>
      </c>
    </row>
    <row r="9" spans="1:3" ht="14.45" customHeight="1" thickBot="1" x14ac:dyDescent="0.25">
      <c r="A9" s="78"/>
      <c r="B9" s="78"/>
    </row>
    <row r="10" spans="1:3" ht="14.45" customHeight="1" thickBot="1" x14ac:dyDescent="0.25">
      <c r="A10" s="302" t="s">
        <v>93</v>
      </c>
      <c r="B10" s="301"/>
    </row>
    <row r="11" spans="1:3" ht="14.45" customHeight="1" x14ac:dyDescent="0.2">
      <c r="A11" s="131" t="str">
        <f t="shared" ref="A11" si="1">HYPERLINK("#'"&amp;C11&amp;"'!A1",C11)</f>
        <v>Léky Žádanky</v>
      </c>
      <c r="B11" s="75" t="s">
        <v>117</v>
      </c>
      <c r="C11" s="47" t="s">
        <v>98</v>
      </c>
    </row>
    <row r="12" spans="1:3" ht="14.45" customHeight="1" x14ac:dyDescent="0.2">
      <c r="A12" s="129" t="str">
        <f t="shared" ref="A12:A18" si="2">HYPERLINK("#'"&amp;C12&amp;"'!A1",C12)</f>
        <v>LŽ Detail</v>
      </c>
      <c r="B12" s="76" t="s">
        <v>136</v>
      </c>
      <c r="C12" s="47" t="s">
        <v>99</v>
      </c>
    </row>
    <row r="13" spans="1:3" ht="28.9" customHeight="1" x14ac:dyDescent="0.2">
      <c r="A13" s="129" t="str">
        <f t="shared" si="2"/>
        <v>LŽ PL</v>
      </c>
      <c r="B13" s="490" t="s">
        <v>137</v>
      </c>
      <c r="C13" s="47" t="s">
        <v>123</v>
      </c>
    </row>
    <row r="14" spans="1:3" ht="14.45" customHeight="1" x14ac:dyDescent="0.2">
      <c r="A14" s="129" t="str">
        <f t="shared" si="2"/>
        <v>LŽ PL Detail</v>
      </c>
      <c r="B14" s="76" t="s">
        <v>585</v>
      </c>
      <c r="C14" s="47" t="s">
        <v>124</v>
      </c>
    </row>
    <row r="15" spans="1:3" ht="14.45" customHeight="1" x14ac:dyDescent="0.2">
      <c r="A15" s="129" t="str">
        <f t="shared" si="2"/>
        <v>LŽ Statim</v>
      </c>
      <c r="B15" s="229" t="s">
        <v>168</v>
      </c>
      <c r="C15" s="47" t="s">
        <v>178</v>
      </c>
    </row>
    <row r="16" spans="1:3" ht="14.45" customHeight="1" x14ac:dyDescent="0.2">
      <c r="A16" s="131" t="str">
        <f t="shared" ref="A16" si="3">HYPERLINK("#'"&amp;C16&amp;"'!A1",C16)</f>
        <v>Materiál Žádanky</v>
      </c>
      <c r="B16" s="76" t="s">
        <v>118</v>
      </c>
      <c r="C16" s="47" t="s">
        <v>100</v>
      </c>
    </row>
    <row r="17" spans="1:3" ht="14.45" customHeight="1" x14ac:dyDescent="0.2">
      <c r="A17" s="129" t="str">
        <f t="shared" si="2"/>
        <v>MŽ Detail</v>
      </c>
      <c r="B17" s="76" t="s">
        <v>1891</v>
      </c>
      <c r="C17" s="47" t="s">
        <v>101</v>
      </c>
    </row>
    <row r="18" spans="1:3" ht="14.45" customHeight="1" thickBot="1" x14ac:dyDescent="0.25">
      <c r="A18" s="131" t="str">
        <f t="shared" si="2"/>
        <v>Osobní náklady</v>
      </c>
      <c r="B18" s="76" t="s">
        <v>90</v>
      </c>
      <c r="C18" s="47" t="s">
        <v>102</v>
      </c>
    </row>
    <row r="19" spans="1:3" ht="14.45" customHeight="1" thickBot="1" x14ac:dyDescent="0.25">
      <c r="A19" s="79"/>
      <c r="B19" s="79"/>
    </row>
    <row r="20" spans="1:3" ht="14.45" customHeight="1" thickBot="1" x14ac:dyDescent="0.25">
      <c r="A20" s="303" t="s">
        <v>94</v>
      </c>
      <c r="B20" s="301"/>
    </row>
    <row r="21" spans="1:3" ht="14.45" customHeight="1" x14ac:dyDescent="0.2">
      <c r="A21" s="132" t="str">
        <f t="shared" ref="A21:A23" si="4">HYPERLINK("#'"&amp;C21&amp;"'!A1",C21)</f>
        <v>ZV Vykáz.-A</v>
      </c>
      <c r="B21" s="75" t="s">
        <v>1919</v>
      </c>
      <c r="C21" s="47" t="s">
        <v>105</v>
      </c>
    </row>
    <row r="22" spans="1:3" ht="14.45" customHeight="1" x14ac:dyDescent="0.2">
      <c r="A22" s="129" t="str">
        <f t="shared" ref="A22" si="5">HYPERLINK("#'"&amp;C22&amp;"'!A1",C22)</f>
        <v>ZV Vykáz.-A Lékaři</v>
      </c>
      <c r="B22" s="76" t="s">
        <v>1928</v>
      </c>
      <c r="C22" s="47" t="s">
        <v>181</v>
      </c>
    </row>
    <row r="23" spans="1:3" ht="14.45" customHeight="1" x14ac:dyDescent="0.2">
      <c r="A23" s="129" t="str">
        <f t="shared" si="4"/>
        <v>ZV Vykáz.-A Detail</v>
      </c>
      <c r="B23" s="76" t="s">
        <v>2200</v>
      </c>
      <c r="C23" s="47" t="s">
        <v>106</v>
      </c>
    </row>
    <row r="24" spans="1:3" ht="14.45" customHeight="1" x14ac:dyDescent="0.25">
      <c r="A24" s="242" t="str">
        <f>HYPERLINK("#'"&amp;C24&amp;"'!A1",C24)</f>
        <v>ZV Vykáz.-A Det.Lék.</v>
      </c>
      <c r="B24" s="76" t="s">
        <v>2201</v>
      </c>
      <c r="C24" s="47" t="s">
        <v>185</v>
      </c>
    </row>
  </sheetData>
  <mergeCells count="4">
    <mergeCell ref="A3:B3"/>
    <mergeCell ref="A10:B10"/>
    <mergeCell ref="A20:B20"/>
    <mergeCell ref="A1:B1"/>
  </mergeCells>
  <hyperlinks>
    <hyperlink ref="A2" location="Obsah!A1" display="Zpět na Obsah  KL 01  1.-4.měsíc" xr:uid="{03F8D240-0B10-422A-B929-80EDC6254C4B}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27">
    <tabColor theme="0" tint="-0.249977111117893"/>
    <pageSetUpPr fitToPage="1"/>
  </sheetPr>
  <dimension ref="A1:M9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5.7109375" style="114" bestFit="1" customWidth="1"/>
    <col min="2" max="2" width="8.85546875" style="114" bestFit="1" customWidth="1"/>
    <col min="3" max="3" width="7" style="114" bestFit="1" customWidth="1"/>
    <col min="4" max="4" width="53.42578125" style="114" bestFit="1" customWidth="1"/>
    <col min="5" max="5" width="28.42578125" style="114" bestFit="1" customWidth="1"/>
    <col min="6" max="6" width="6.7109375" style="189" customWidth="1"/>
    <col min="7" max="7" width="10" style="189" customWidth="1"/>
    <col min="8" max="8" width="6.7109375" style="192" bestFit="1" customWidth="1"/>
    <col min="9" max="9" width="6.7109375" style="189" customWidth="1"/>
    <col min="10" max="10" width="10.85546875" style="189" customWidth="1"/>
    <col min="11" max="11" width="6.7109375" style="192" bestFit="1" customWidth="1"/>
    <col min="12" max="12" width="6.7109375" style="189" customWidth="1"/>
    <col min="13" max="13" width="10.85546875" style="189" customWidth="1"/>
    <col min="14" max="16384" width="8.85546875" style="114"/>
  </cols>
  <sheetData>
    <row r="1" spans="1:13" ht="18.600000000000001" customHeight="1" thickBot="1" x14ac:dyDescent="0.35">
      <c r="A1" s="343" t="s">
        <v>585</v>
      </c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304"/>
      <c r="M1" s="304"/>
    </row>
    <row r="2" spans="1:13" ht="14.45" customHeight="1" thickBot="1" x14ac:dyDescent="0.25">
      <c r="A2" s="207" t="s">
        <v>242</v>
      </c>
      <c r="B2" s="188"/>
      <c r="C2" s="188"/>
      <c r="D2" s="188"/>
      <c r="E2" s="188"/>
      <c r="F2" s="196"/>
      <c r="G2" s="196"/>
      <c r="H2" s="197"/>
      <c r="I2" s="196"/>
      <c r="J2" s="196"/>
      <c r="K2" s="197"/>
      <c r="L2" s="196"/>
    </row>
    <row r="3" spans="1:13" ht="14.45" customHeight="1" thickBot="1" x14ac:dyDescent="0.25">
      <c r="E3" s="71" t="s">
        <v>107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9</v>
      </c>
      <c r="J3" s="43">
        <f>SUBTOTAL(9,J6:J1048576)</f>
        <v>618.94000000000017</v>
      </c>
      <c r="K3" s="44">
        <f>IF(M3=0,0,J3/M3)</f>
        <v>1</v>
      </c>
      <c r="L3" s="43">
        <f>SUBTOTAL(9,L6:L1048576)</f>
        <v>9</v>
      </c>
      <c r="M3" s="45">
        <f>SUBTOTAL(9,M6:M1048576)</f>
        <v>618.94000000000017</v>
      </c>
    </row>
    <row r="4" spans="1:13" ht="14.45" customHeight="1" thickBot="1" x14ac:dyDescent="0.25">
      <c r="A4" s="41"/>
      <c r="B4" s="41"/>
      <c r="C4" s="41"/>
      <c r="D4" s="41"/>
      <c r="E4" s="42"/>
      <c r="F4" s="347" t="s">
        <v>109</v>
      </c>
      <c r="G4" s="348"/>
      <c r="H4" s="349"/>
      <c r="I4" s="350" t="s">
        <v>108</v>
      </c>
      <c r="J4" s="348"/>
      <c r="K4" s="349"/>
      <c r="L4" s="351" t="s">
        <v>3</v>
      </c>
      <c r="M4" s="352"/>
    </row>
    <row r="5" spans="1:13" ht="14.45" customHeight="1" thickBot="1" x14ac:dyDescent="0.25">
      <c r="A5" s="477" t="s">
        <v>110</v>
      </c>
      <c r="B5" s="498" t="s">
        <v>111</v>
      </c>
      <c r="C5" s="498" t="s">
        <v>57</v>
      </c>
      <c r="D5" s="498" t="s">
        <v>112</v>
      </c>
      <c r="E5" s="498" t="s">
        <v>113</v>
      </c>
      <c r="F5" s="499" t="s">
        <v>15</v>
      </c>
      <c r="G5" s="499" t="s">
        <v>14</v>
      </c>
      <c r="H5" s="479" t="s">
        <v>114</v>
      </c>
      <c r="I5" s="478" t="s">
        <v>15</v>
      </c>
      <c r="J5" s="499" t="s">
        <v>14</v>
      </c>
      <c r="K5" s="479" t="s">
        <v>114</v>
      </c>
      <c r="L5" s="478" t="s">
        <v>15</v>
      </c>
      <c r="M5" s="500" t="s">
        <v>14</v>
      </c>
    </row>
    <row r="6" spans="1:13" ht="14.45" customHeight="1" x14ac:dyDescent="0.2">
      <c r="A6" s="456" t="s">
        <v>444</v>
      </c>
      <c r="B6" s="457" t="s">
        <v>574</v>
      </c>
      <c r="C6" s="457" t="s">
        <v>575</v>
      </c>
      <c r="D6" s="457" t="s">
        <v>564</v>
      </c>
      <c r="E6" s="457" t="s">
        <v>576</v>
      </c>
      <c r="F6" s="461"/>
      <c r="G6" s="461"/>
      <c r="H6" s="482">
        <v>0</v>
      </c>
      <c r="I6" s="461">
        <v>2</v>
      </c>
      <c r="J6" s="461">
        <v>228.72000000000003</v>
      </c>
      <c r="K6" s="482">
        <v>1</v>
      </c>
      <c r="L6" s="461">
        <v>2</v>
      </c>
      <c r="M6" s="462">
        <v>228.72000000000003</v>
      </c>
    </row>
    <row r="7" spans="1:13" ht="14.45" customHeight="1" x14ac:dyDescent="0.2">
      <c r="A7" s="463" t="s">
        <v>444</v>
      </c>
      <c r="B7" s="464" t="s">
        <v>574</v>
      </c>
      <c r="C7" s="464" t="s">
        <v>577</v>
      </c>
      <c r="D7" s="464" t="s">
        <v>578</v>
      </c>
      <c r="E7" s="464" t="s">
        <v>579</v>
      </c>
      <c r="F7" s="468"/>
      <c r="G7" s="468"/>
      <c r="H7" s="491">
        <v>0</v>
      </c>
      <c r="I7" s="468">
        <v>1</v>
      </c>
      <c r="J7" s="468">
        <v>111.31000000000002</v>
      </c>
      <c r="K7" s="491">
        <v>1</v>
      </c>
      <c r="L7" s="468">
        <v>1</v>
      </c>
      <c r="M7" s="469">
        <v>111.31000000000002</v>
      </c>
    </row>
    <row r="8" spans="1:13" ht="14.45" customHeight="1" x14ac:dyDescent="0.2">
      <c r="A8" s="463" t="s">
        <v>444</v>
      </c>
      <c r="B8" s="464" t="s">
        <v>580</v>
      </c>
      <c r="C8" s="464" t="s">
        <v>581</v>
      </c>
      <c r="D8" s="464" t="s">
        <v>555</v>
      </c>
      <c r="E8" s="464" t="s">
        <v>556</v>
      </c>
      <c r="F8" s="468"/>
      <c r="G8" s="468"/>
      <c r="H8" s="491">
        <v>0</v>
      </c>
      <c r="I8" s="468">
        <v>5</v>
      </c>
      <c r="J8" s="468">
        <v>249.06000000000006</v>
      </c>
      <c r="K8" s="491">
        <v>1</v>
      </c>
      <c r="L8" s="468">
        <v>5</v>
      </c>
      <c r="M8" s="469">
        <v>249.06000000000006</v>
      </c>
    </row>
    <row r="9" spans="1:13" ht="14.45" customHeight="1" thickBot="1" x14ac:dyDescent="0.25">
      <c r="A9" s="470" t="s">
        <v>444</v>
      </c>
      <c r="B9" s="471" t="s">
        <v>582</v>
      </c>
      <c r="C9" s="471" t="s">
        <v>583</v>
      </c>
      <c r="D9" s="471" t="s">
        <v>559</v>
      </c>
      <c r="E9" s="471" t="s">
        <v>584</v>
      </c>
      <c r="F9" s="475"/>
      <c r="G9" s="475"/>
      <c r="H9" s="483">
        <v>0</v>
      </c>
      <c r="I9" s="475">
        <v>1</v>
      </c>
      <c r="J9" s="475">
        <v>29.85</v>
      </c>
      <c r="K9" s="483">
        <v>1</v>
      </c>
      <c r="L9" s="475">
        <v>1</v>
      </c>
      <c r="M9" s="476">
        <v>29.85</v>
      </c>
    </row>
  </sheetData>
  <autoFilter ref="A5:M374" xr:uid="{00000000-0009-0000-0000-00000D000000}"/>
  <mergeCells count="4">
    <mergeCell ref="F4:H4"/>
    <mergeCell ref="I4:K4"/>
    <mergeCell ref="L4:M4"/>
    <mergeCell ref="A1:M1"/>
  </mergeCells>
  <conditionalFormatting sqref="H3 H6:H1048576">
    <cfRule type="cellIs" dxfId="22" priority="4" operator="greaterThan">
      <formula>0.1</formula>
    </cfRule>
  </conditionalFormatting>
  <hyperlinks>
    <hyperlink ref="A2" location="Obsah!A1" display="Zpět na Obsah  KL 01  1.-4.měsíc" xr:uid="{1770E0C8-7153-42ED-AAA5-3F6CB289A421}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ColWidth="8.85546875" defaultRowHeight="14.45" customHeight="1" x14ac:dyDescent="0.2"/>
  <cols>
    <col min="1" max="1" width="50" style="233" customWidth="1"/>
    <col min="2" max="2" width="5.42578125" style="189" bestFit="1" customWidth="1"/>
    <col min="3" max="3" width="6.140625" style="189" bestFit="1" customWidth="1"/>
    <col min="4" max="4" width="7.42578125" style="189" bestFit="1" customWidth="1"/>
    <col min="5" max="5" width="6.28515625" style="189" bestFit="1" customWidth="1"/>
    <col min="6" max="6" width="6.28515625" style="192" bestFit="1" customWidth="1"/>
    <col min="7" max="7" width="6.140625" style="192" bestFit="1" customWidth="1"/>
    <col min="8" max="8" width="7.42578125" style="192" bestFit="1" customWidth="1"/>
    <col min="9" max="9" width="6.28515625" style="192" bestFit="1" customWidth="1"/>
    <col min="10" max="10" width="5.42578125" style="189" bestFit="1" customWidth="1"/>
    <col min="11" max="11" width="6.140625" style="189" bestFit="1" customWidth="1"/>
    <col min="12" max="12" width="7.42578125" style="189" bestFit="1" customWidth="1"/>
    <col min="13" max="13" width="6.28515625" style="189" bestFit="1" customWidth="1"/>
    <col min="14" max="14" width="5.28515625" style="192" bestFit="1" customWidth="1"/>
    <col min="15" max="15" width="6.140625" style="192" bestFit="1" customWidth="1"/>
    <col min="16" max="16" width="7.42578125" style="192" bestFit="1" customWidth="1"/>
    <col min="17" max="17" width="6.28515625" style="192" bestFit="1" customWidth="1"/>
    <col min="18" max="16384" width="8.85546875" style="114"/>
  </cols>
  <sheetData>
    <row r="1" spans="1:17" ht="18.600000000000001" customHeight="1" thickBot="1" x14ac:dyDescent="0.35">
      <c r="A1" s="343" t="s">
        <v>168</v>
      </c>
      <c r="B1" s="343"/>
      <c r="C1" s="343"/>
      <c r="D1" s="343"/>
      <c r="E1" s="343"/>
      <c r="F1" s="305"/>
      <c r="G1" s="305"/>
      <c r="H1" s="305"/>
      <c r="I1" s="305"/>
      <c r="J1" s="336"/>
      <c r="K1" s="336"/>
      <c r="L1" s="336"/>
      <c r="M1" s="336"/>
      <c r="N1" s="336"/>
      <c r="O1" s="336"/>
      <c r="P1" s="336"/>
      <c r="Q1" s="336"/>
    </row>
    <row r="2" spans="1:17" ht="14.45" customHeight="1" thickBot="1" x14ac:dyDescent="0.25">
      <c r="A2" s="207" t="s">
        <v>242</v>
      </c>
      <c r="B2" s="196"/>
      <c r="C2" s="196"/>
      <c r="D2" s="196"/>
      <c r="E2" s="196"/>
    </row>
    <row r="3" spans="1:17" ht="14.45" customHeight="1" thickBot="1" x14ac:dyDescent="0.25">
      <c r="A3" s="222" t="s">
        <v>3</v>
      </c>
      <c r="B3" s="226">
        <f>SUM(B6:B1048576)</f>
        <v>898</v>
      </c>
      <c r="C3" s="227">
        <f>SUM(C6:C1048576)</f>
        <v>0</v>
      </c>
      <c r="D3" s="227">
        <f>SUM(D6:D1048576)</f>
        <v>0</v>
      </c>
      <c r="E3" s="228">
        <f>SUM(E6:E1048576)</f>
        <v>0</v>
      </c>
      <c r="F3" s="225">
        <f>IF(SUM($B3:$E3)=0,"",B3/SUM($B3:$E3))</f>
        <v>1</v>
      </c>
      <c r="G3" s="223">
        <f t="shared" ref="G3:I3" si="0">IF(SUM($B3:$E3)=0,"",C3/SUM($B3:$E3))</f>
        <v>0</v>
      </c>
      <c r="H3" s="223">
        <f t="shared" si="0"/>
        <v>0</v>
      </c>
      <c r="I3" s="224">
        <f t="shared" si="0"/>
        <v>0</v>
      </c>
      <c r="J3" s="227">
        <f>SUM(J6:J1048576)</f>
        <v>157</v>
      </c>
      <c r="K3" s="227">
        <f>SUM(K6:K1048576)</f>
        <v>0</v>
      </c>
      <c r="L3" s="227">
        <f>SUM(L6:L1048576)</f>
        <v>0</v>
      </c>
      <c r="M3" s="228">
        <f>SUM(M6:M1048576)</f>
        <v>0</v>
      </c>
      <c r="N3" s="225">
        <f>IF(SUM($J3:$M3)=0,"",J3/SUM($J3:$M3))</f>
        <v>1</v>
      </c>
      <c r="O3" s="223">
        <f t="shared" ref="O3:Q3" si="1">IF(SUM($J3:$M3)=0,"",K3/SUM($J3:$M3))</f>
        <v>0</v>
      </c>
      <c r="P3" s="223">
        <f t="shared" si="1"/>
        <v>0</v>
      </c>
      <c r="Q3" s="224">
        <f t="shared" si="1"/>
        <v>0</v>
      </c>
    </row>
    <row r="4" spans="1:17" ht="14.45" customHeight="1" thickBot="1" x14ac:dyDescent="0.25">
      <c r="A4" s="221"/>
      <c r="B4" s="356" t="s">
        <v>170</v>
      </c>
      <c r="C4" s="357"/>
      <c r="D4" s="357"/>
      <c r="E4" s="358"/>
      <c r="F4" s="353" t="s">
        <v>175</v>
      </c>
      <c r="G4" s="354"/>
      <c r="H4" s="354"/>
      <c r="I4" s="355"/>
      <c r="J4" s="356" t="s">
        <v>176</v>
      </c>
      <c r="K4" s="357"/>
      <c r="L4" s="357"/>
      <c r="M4" s="358"/>
      <c r="N4" s="353" t="s">
        <v>177</v>
      </c>
      <c r="O4" s="354"/>
      <c r="P4" s="354"/>
      <c r="Q4" s="355"/>
    </row>
    <row r="5" spans="1:17" ht="14.45" customHeight="1" thickBot="1" x14ac:dyDescent="0.25">
      <c r="A5" s="501" t="s">
        <v>169</v>
      </c>
      <c r="B5" s="502" t="s">
        <v>171</v>
      </c>
      <c r="C5" s="502" t="s">
        <v>172</v>
      </c>
      <c r="D5" s="502" t="s">
        <v>173</v>
      </c>
      <c r="E5" s="503" t="s">
        <v>174</v>
      </c>
      <c r="F5" s="504" t="s">
        <v>171</v>
      </c>
      <c r="G5" s="505" t="s">
        <v>172</v>
      </c>
      <c r="H5" s="505" t="s">
        <v>173</v>
      </c>
      <c r="I5" s="506" t="s">
        <v>174</v>
      </c>
      <c r="J5" s="502" t="s">
        <v>171</v>
      </c>
      <c r="K5" s="502" t="s">
        <v>172</v>
      </c>
      <c r="L5" s="502" t="s">
        <v>173</v>
      </c>
      <c r="M5" s="503" t="s">
        <v>174</v>
      </c>
      <c r="N5" s="504" t="s">
        <v>171</v>
      </c>
      <c r="O5" s="505" t="s">
        <v>172</v>
      </c>
      <c r="P5" s="505" t="s">
        <v>173</v>
      </c>
      <c r="Q5" s="506" t="s">
        <v>174</v>
      </c>
    </row>
    <row r="6" spans="1:17" ht="14.45" customHeight="1" x14ac:dyDescent="0.2">
      <c r="A6" s="509" t="s">
        <v>586</v>
      </c>
      <c r="B6" s="513"/>
      <c r="C6" s="461"/>
      <c r="D6" s="461"/>
      <c r="E6" s="462"/>
      <c r="F6" s="511"/>
      <c r="G6" s="482"/>
      <c r="H6" s="482"/>
      <c r="I6" s="515"/>
      <c r="J6" s="513"/>
      <c r="K6" s="461"/>
      <c r="L6" s="461"/>
      <c r="M6" s="462"/>
      <c r="N6" s="511"/>
      <c r="O6" s="482"/>
      <c r="P6" s="482"/>
      <c r="Q6" s="507"/>
    </row>
    <row r="7" spans="1:17" ht="14.45" customHeight="1" thickBot="1" x14ac:dyDescent="0.25">
      <c r="A7" s="510" t="s">
        <v>587</v>
      </c>
      <c r="B7" s="514">
        <v>898</v>
      </c>
      <c r="C7" s="475"/>
      <c r="D7" s="475"/>
      <c r="E7" s="476"/>
      <c r="F7" s="512">
        <v>1</v>
      </c>
      <c r="G7" s="483">
        <v>0</v>
      </c>
      <c r="H7" s="483">
        <v>0</v>
      </c>
      <c r="I7" s="516">
        <v>0</v>
      </c>
      <c r="J7" s="514">
        <v>157</v>
      </c>
      <c r="K7" s="475"/>
      <c r="L7" s="475"/>
      <c r="M7" s="476"/>
      <c r="N7" s="512">
        <v>1</v>
      </c>
      <c r="O7" s="483">
        <v>0</v>
      </c>
      <c r="P7" s="483">
        <v>0</v>
      </c>
      <c r="Q7" s="508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1" priority="1" operator="greaterThan">
      <formula>0.3</formula>
    </cfRule>
  </conditionalFormatting>
  <hyperlinks>
    <hyperlink ref="A2" location="Obsah!A1" display="Zpět na Obsah  KL 01  1.-4.měsíc" xr:uid="{5214B4EE-28BD-455B-82BF-B656B651151D}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51">
    <tabColor theme="3" tint="0.39997558519241921"/>
    <pageSetUpPr fitToPage="1"/>
  </sheetPr>
  <dimension ref="A1:J3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190" customWidth="1"/>
    <col min="2" max="2" width="61.140625" style="190" customWidth="1"/>
    <col min="3" max="3" width="9.5703125" style="114" hidden="1" customWidth="1" outlineLevel="1"/>
    <col min="4" max="4" width="9.5703125" style="191" customWidth="1" collapsed="1"/>
    <col min="5" max="5" width="2.28515625" style="191" customWidth="1"/>
    <col min="6" max="6" width="9.5703125" style="192" customWidth="1"/>
    <col min="7" max="7" width="9.5703125" style="189" customWidth="1"/>
    <col min="8" max="9" width="9.5703125" style="114" customWidth="1"/>
    <col min="10" max="10" width="0" style="114" hidden="1" customWidth="1"/>
    <col min="11" max="16384" width="8.85546875" style="114"/>
  </cols>
  <sheetData>
    <row r="1" spans="1:10" ht="18.600000000000001" customHeight="1" thickBot="1" x14ac:dyDescent="0.35">
      <c r="A1" s="334" t="s">
        <v>118</v>
      </c>
      <c r="B1" s="335"/>
      <c r="C1" s="335"/>
      <c r="D1" s="335"/>
      <c r="E1" s="335"/>
      <c r="F1" s="335"/>
      <c r="G1" s="305"/>
      <c r="H1" s="336"/>
      <c r="I1" s="336"/>
    </row>
    <row r="2" spans="1:10" ht="14.45" customHeight="1" thickBot="1" x14ac:dyDescent="0.25">
      <c r="A2" s="207" t="s">
        <v>242</v>
      </c>
      <c r="B2" s="188"/>
      <c r="C2" s="188"/>
      <c r="D2" s="188"/>
      <c r="E2" s="188"/>
      <c r="F2" s="188"/>
    </row>
    <row r="3" spans="1:10" ht="14.45" customHeight="1" thickBot="1" x14ac:dyDescent="0.25">
      <c r="A3" s="207"/>
      <c r="B3" s="246"/>
      <c r="C3" s="213">
        <v>2015</v>
      </c>
      <c r="D3" s="214">
        <v>2018</v>
      </c>
      <c r="E3" s="7"/>
      <c r="F3" s="313">
        <v>2019</v>
      </c>
      <c r="G3" s="331"/>
      <c r="H3" s="331"/>
      <c r="I3" s="314"/>
    </row>
    <row r="4" spans="1:10" ht="14.45" customHeight="1" thickBot="1" x14ac:dyDescent="0.25">
      <c r="A4" s="218" t="s">
        <v>0</v>
      </c>
      <c r="B4" s="219" t="s">
        <v>167</v>
      </c>
      <c r="C4" s="332" t="s">
        <v>59</v>
      </c>
      <c r="D4" s="333"/>
      <c r="E4" s="220"/>
      <c r="F4" s="215" t="s">
        <v>59</v>
      </c>
      <c r="G4" s="216" t="s">
        <v>60</v>
      </c>
      <c r="H4" s="216" t="s">
        <v>54</v>
      </c>
      <c r="I4" s="217" t="s">
        <v>61</v>
      </c>
    </row>
    <row r="5" spans="1:10" ht="14.45" customHeight="1" x14ac:dyDescent="0.2">
      <c r="A5" s="443" t="s">
        <v>436</v>
      </c>
      <c r="B5" s="444" t="s">
        <v>437</v>
      </c>
      <c r="C5" s="445" t="s">
        <v>438</v>
      </c>
      <c r="D5" s="445" t="s">
        <v>438</v>
      </c>
      <c r="E5" s="445"/>
      <c r="F5" s="445" t="s">
        <v>438</v>
      </c>
      <c r="G5" s="445" t="s">
        <v>438</v>
      </c>
      <c r="H5" s="445" t="s">
        <v>438</v>
      </c>
      <c r="I5" s="446" t="s">
        <v>438</v>
      </c>
      <c r="J5" s="447" t="s">
        <v>55</v>
      </c>
    </row>
    <row r="6" spans="1:10" ht="14.45" customHeight="1" x14ac:dyDescent="0.2">
      <c r="A6" s="443" t="s">
        <v>436</v>
      </c>
      <c r="B6" s="444" t="s">
        <v>588</v>
      </c>
      <c r="C6" s="445">
        <v>0</v>
      </c>
      <c r="D6" s="445">
        <v>0</v>
      </c>
      <c r="E6" s="445"/>
      <c r="F6" s="445">
        <v>0.24137</v>
      </c>
      <c r="G6" s="445">
        <v>0</v>
      </c>
      <c r="H6" s="445">
        <v>0.24137</v>
      </c>
      <c r="I6" s="446" t="s">
        <v>438</v>
      </c>
      <c r="J6" s="447" t="s">
        <v>1</v>
      </c>
    </row>
    <row r="7" spans="1:10" ht="14.45" customHeight="1" x14ac:dyDescent="0.2">
      <c r="A7" s="443" t="s">
        <v>436</v>
      </c>
      <c r="B7" s="444" t="s">
        <v>589</v>
      </c>
      <c r="C7" s="445">
        <v>0.74389999999999989</v>
      </c>
      <c r="D7" s="445">
        <v>1.0201600000000002</v>
      </c>
      <c r="E7" s="445"/>
      <c r="F7" s="445">
        <v>1.23468</v>
      </c>
      <c r="G7" s="445">
        <v>0.91666668701171872</v>
      </c>
      <c r="H7" s="445">
        <v>0.31801331298828128</v>
      </c>
      <c r="I7" s="446">
        <v>1.3469236064692027</v>
      </c>
      <c r="J7" s="447" t="s">
        <v>1</v>
      </c>
    </row>
    <row r="8" spans="1:10" ht="14.45" customHeight="1" x14ac:dyDescent="0.2">
      <c r="A8" s="443" t="s">
        <v>436</v>
      </c>
      <c r="B8" s="444" t="s">
        <v>590</v>
      </c>
      <c r="C8" s="445">
        <v>51.747940000000007</v>
      </c>
      <c r="D8" s="445">
        <v>31.616100000000007</v>
      </c>
      <c r="E8" s="445"/>
      <c r="F8" s="445">
        <v>23.625549999999997</v>
      </c>
      <c r="G8" s="445">
        <v>36.666664062499997</v>
      </c>
      <c r="H8" s="445">
        <v>-13.0411140625</v>
      </c>
      <c r="I8" s="446">
        <v>0.64433322758048484</v>
      </c>
      <c r="J8" s="447" t="s">
        <v>1</v>
      </c>
    </row>
    <row r="9" spans="1:10" ht="14.45" customHeight="1" x14ac:dyDescent="0.2">
      <c r="A9" s="443" t="s">
        <v>436</v>
      </c>
      <c r="B9" s="444" t="s">
        <v>591</v>
      </c>
      <c r="C9" s="445">
        <v>67.974169999999987</v>
      </c>
      <c r="D9" s="445">
        <v>72.960029999999989</v>
      </c>
      <c r="E9" s="445"/>
      <c r="F9" s="445">
        <v>58.711579999999998</v>
      </c>
      <c r="G9" s="445">
        <v>82.5</v>
      </c>
      <c r="H9" s="445">
        <v>-23.788420000000002</v>
      </c>
      <c r="I9" s="446">
        <v>0.71165551515151515</v>
      </c>
      <c r="J9" s="447" t="s">
        <v>1</v>
      </c>
    </row>
    <row r="10" spans="1:10" ht="14.45" customHeight="1" x14ac:dyDescent="0.2">
      <c r="A10" s="443" t="s">
        <v>436</v>
      </c>
      <c r="B10" s="444" t="s">
        <v>592</v>
      </c>
      <c r="C10" s="445">
        <v>91.084009999999992</v>
      </c>
      <c r="D10" s="445">
        <v>46.405650000000001</v>
      </c>
      <c r="E10" s="445"/>
      <c r="F10" s="445">
        <v>61.847020000000001</v>
      </c>
      <c r="G10" s="445">
        <v>50.416667968749998</v>
      </c>
      <c r="H10" s="445">
        <v>11.430352031250003</v>
      </c>
      <c r="I10" s="446">
        <v>1.2267177203843564</v>
      </c>
      <c r="J10" s="447" t="s">
        <v>1</v>
      </c>
    </row>
    <row r="11" spans="1:10" ht="14.45" customHeight="1" x14ac:dyDescent="0.2">
      <c r="A11" s="443" t="s">
        <v>436</v>
      </c>
      <c r="B11" s="444" t="s">
        <v>593</v>
      </c>
      <c r="C11" s="445">
        <v>8.7742000000000004</v>
      </c>
      <c r="D11" s="445">
        <v>12.460629999999998</v>
      </c>
      <c r="E11" s="445"/>
      <c r="F11" s="445">
        <v>10.88923</v>
      </c>
      <c r="G11" s="445">
        <v>13.75</v>
      </c>
      <c r="H11" s="445">
        <v>-2.8607700000000005</v>
      </c>
      <c r="I11" s="446">
        <v>0.79194399999999998</v>
      </c>
      <c r="J11" s="447" t="s">
        <v>1</v>
      </c>
    </row>
    <row r="12" spans="1:10" ht="14.45" customHeight="1" x14ac:dyDescent="0.2">
      <c r="A12" s="443" t="s">
        <v>436</v>
      </c>
      <c r="B12" s="444" t="s">
        <v>594</v>
      </c>
      <c r="C12" s="445">
        <v>161.29046</v>
      </c>
      <c r="D12" s="445">
        <v>150.75565000000003</v>
      </c>
      <c r="E12" s="445"/>
      <c r="F12" s="445">
        <v>134.62449999999998</v>
      </c>
      <c r="G12" s="445">
        <v>155.83334375000001</v>
      </c>
      <c r="H12" s="445">
        <v>-21.208843750000028</v>
      </c>
      <c r="I12" s="446">
        <v>0.86390047701200001</v>
      </c>
      <c r="J12" s="447" t="s">
        <v>1</v>
      </c>
    </row>
    <row r="13" spans="1:10" ht="14.45" customHeight="1" x14ac:dyDescent="0.2">
      <c r="A13" s="443" t="s">
        <v>436</v>
      </c>
      <c r="B13" s="444" t="s">
        <v>595</v>
      </c>
      <c r="C13" s="445">
        <v>0.70735999999999999</v>
      </c>
      <c r="D13" s="445">
        <v>1.0557000000000001</v>
      </c>
      <c r="E13" s="445"/>
      <c r="F13" s="445">
        <v>0</v>
      </c>
      <c r="G13" s="445">
        <v>0.91666668701171872</v>
      </c>
      <c r="H13" s="445">
        <v>-0.91666668701171872</v>
      </c>
      <c r="I13" s="446">
        <v>0</v>
      </c>
      <c r="J13" s="447" t="s">
        <v>1</v>
      </c>
    </row>
    <row r="14" spans="1:10" ht="14.45" customHeight="1" x14ac:dyDescent="0.2">
      <c r="A14" s="443" t="s">
        <v>436</v>
      </c>
      <c r="B14" s="444" t="s">
        <v>596</v>
      </c>
      <c r="C14" s="445">
        <v>2919.3569999999991</v>
      </c>
      <c r="D14" s="445">
        <v>2917.861269999999</v>
      </c>
      <c r="E14" s="445"/>
      <c r="F14" s="445">
        <v>2607.1049199999998</v>
      </c>
      <c r="G14" s="445">
        <v>3025</v>
      </c>
      <c r="H14" s="445">
        <v>-417.89508000000023</v>
      </c>
      <c r="I14" s="446">
        <v>0.86185286611570244</v>
      </c>
      <c r="J14" s="447" t="s">
        <v>1</v>
      </c>
    </row>
    <row r="15" spans="1:10" ht="14.45" customHeight="1" x14ac:dyDescent="0.2">
      <c r="A15" s="443" t="s">
        <v>436</v>
      </c>
      <c r="B15" s="444" t="s">
        <v>442</v>
      </c>
      <c r="C15" s="445">
        <v>3301.6790399999991</v>
      </c>
      <c r="D15" s="445">
        <v>3234.1351899999991</v>
      </c>
      <c r="E15" s="445"/>
      <c r="F15" s="445">
        <v>2898.2788499999997</v>
      </c>
      <c r="G15" s="445">
        <v>3366.0000091552733</v>
      </c>
      <c r="H15" s="445">
        <v>-467.72115915527365</v>
      </c>
      <c r="I15" s="446">
        <v>0.86104540764019422</v>
      </c>
      <c r="J15" s="447" t="s">
        <v>443</v>
      </c>
    </row>
    <row r="17" spans="1:10" ht="14.45" customHeight="1" x14ac:dyDescent="0.2">
      <c r="A17" s="443" t="s">
        <v>436</v>
      </c>
      <c r="B17" s="444" t="s">
        <v>437</v>
      </c>
      <c r="C17" s="445" t="s">
        <v>438</v>
      </c>
      <c r="D17" s="445" t="s">
        <v>438</v>
      </c>
      <c r="E17" s="445"/>
      <c r="F17" s="445" t="s">
        <v>438</v>
      </c>
      <c r="G17" s="445" t="s">
        <v>438</v>
      </c>
      <c r="H17" s="445" t="s">
        <v>438</v>
      </c>
      <c r="I17" s="446" t="s">
        <v>438</v>
      </c>
      <c r="J17" s="447" t="s">
        <v>55</v>
      </c>
    </row>
    <row r="18" spans="1:10" ht="14.45" customHeight="1" x14ac:dyDescent="0.2">
      <c r="A18" s="443" t="s">
        <v>444</v>
      </c>
      <c r="B18" s="444" t="s">
        <v>445</v>
      </c>
      <c r="C18" s="445" t="s">
        <v>438</v>
      </c>
      <c r="D18" s="445" t="s">
        <v>438</v>
      </c>
      <c r="E18" s="445"/>
      <c r="F18" s="445" t="s">
        <v>438</v>
      </c>
      <c r="G18" s="445" t="s">
        <v>438</v>
      </c>
      <c r="H18" s="445" t="s">
        <v>438</v>
      </c>
      <c r="I18" s="446" t="s">
        <v>438</v>
      </c>
      <c r="J18" s="447" t="s">
        <v>0</v>
      </c>
    </row>
    <row r="19" spans="1:10" ht="14.45" customHeight="1" x14ac:dyDescent="0.2">
      <c r="A19" s="443" t="s">
        <v>444</v>
      </c>
      <c r="B19" s="444" t="s">
        <v>588</v>
      </c>
      <c r="C19" s="445">
        <v>0</v>
      </c>
      <c r="D19" s="445">
        <v>0</v>
      </c>
      <c r="E19" s="445"/>
      <c r="F19" s="445">
        <v>0.24137</v>
      </c>
      <c r="G19" s="445">
        <v>0</v>
      </c>
      <c r="H19" s="445">
        <v>0.24137</v>
      </c>
      <c r="I19" s="446" t="s">
        <v>438</v>
      </c>
      <c r="J19" s="447" t="s">
        <v>1</v>
      </c>
    </row>
    <row r="20" spans="1:10" ht="14.45" customHeight="1" x14ac:dyDescent="0.2">
      <c r="A20" s="443" t="s">
        <v>444</v>
      </c>
      <c r="B20" s="444" t="s">
        <v>589</v>
      </c>
      <c r="C20" s="445">
        <v>0.74389999999999989</v>
      </c>
      <c r="D20" s="445">
        <v>1.0201600000000002</v>
      </c>
      <c r="E20" s="445"/>
      <c r="F20" s="445">
        <v>1.23468</v>
      </c>
      <c r="G20" s="445">
        <v>1</v>
      </c>
      <c r="H20" s="445">
        <v>0.23468</v>
      </c>
      <c r="I20" s="446">
        <v>1.23468</v>
      </c>
      <c r="J20" s="447" t="s">
        <v>1</v>
      </c>
    </row>
    <row r="21" spans="1:10" ht="14.45" customHeight="1" x14ac:dyDescent="0.2">
      <c r="A21" s="443" t="s">
        <v>444</v>
      </c>
      <c r="B21" s="444" t="s">
        <v>590</v>
      </c>
      <c r="C21" s="445">
        <v>51.747940000000007</v>
      </c>
      <c r="D21" s="445">
        <v>31.616100000000007</v>
      </c>
      <c r="E21" s="445"/>
      <c r="F21" s="445">
        <v>23.625549999999997</v>
      </c>
      <c r="G21" s="445">
        <v>37</v>
      </c>
      <c r="H21" s="445">
        <v>-13.374450000000003</v>
      </c>
      <c r="I21" s="446">
        <v>0.63852837837837828</v>
      </c>
      <c r="J21" s="447" t="s">
        <v>1</v>
      </c>
    </row>
    <row r="22" spans="1:10" ht="14.45" customHeight="1" x14ac:dyDescent="0.2">
      <c r="A22" s="443" t="s">
        <v>444</v>
      </c>
      <c r="B22" s="444" t="s">
        <v>591</v>
      </c>
      <c r="C22" s="445">
        <v>67.974169999999987</v>
      </c>
      <c r="D22" s="445">
        <v>72.960029999999989</v>
      </c>
      <c r="E22" s="445"/>
      <c r="F22" s="445">
        <v>58.711579999999998</v>
      </c>
      <c r="G22" s="445">
        <v>83</v>
      </c>
      <c r="H22" s="445">
        <v>-24.288420000000002</v>
      </c>
      <c r="I22" s="446">
        <v>0.70736843373493974</v>
      </c>
      <c r="J22" s="447" t="s">
        <v>1</v>
      </c>
    </row>
    <row r="23" spans="1:10" ht="14.45" customHeight="1" x14ac:dyDescent="0.2">
      <c r="A23" s="443" t="s">
        <v>444</v>
      </c>
      <c r="B23" s="444" t="s">
        <v>592</v>
      </c>
      <c r="C23" s="445">
        <v>91.084009999999992</v>
      </c>
      <c r="D23" s="445">
        <v>46.405650000000001</v>
      </c>
      <c r="E23" s="445"/>
      <c r="F23" s="445">
        <v>61.847020000000001</v>
      </c>
      <c r="G23" s="445">
        <v>50</v>
      </c>
      <c r="H23" s="445">
        <v>11.847020000000001</v>
      </c>
      <c r="I23" s="446">
        <v>1.2369403999999999</v>
      </c>
      <c r="J23" s="447" t="s">
        <v>1</v>
      </c>
    </row>
    <row r="24" spans="1:10" ht="14.45" customHeight="1" x14ac:dyDescent="0.2">
      <c r="A24" s="443" t="s">
        <v>444</v>
      </c>
      <c r="B24" s="444" t="s">
        <v>593</v>
      </c>
      <c r="C24" s="445">
        <v>8.7742000000000004</v>
      </c>
      <c r="D24" s="445">
        <v>12.460629999999998</v>
      </c>
      <c r="E24" s="445"/>
      <c r="F24" s="445">
        <v>10.88923</v>
      </c>
      <c r="G24" s="445">
        <v>14</v>
      </c>
      <c r="H24" s="445">
        <v>-3.1107700000000005</v>
      </c>
      <c r="I24" s="446">
        <v>0.77780214285714278</v>
      </c>
      <c r="J24" s="447" t="s">
        <v>1</v>
      </c>
    </row>
    <row r="25" spans="1:10" ht="14.45" customHeight="1" x14ac:dyDescent="0.2">
      <c r="A25" s="443" t="s">
        <v>444</v>
      </c>
      <c r="B25" s="444" t="s">
        <v>594</v>
      </c>
      <c r="C25" s="445">
        <v>161.29046</v>
      </c>
      <c r="D25" s="445">
        <v>150.75565000000003</v>
      </c>
      <c r="E25" s="445"/>
      <c r="F25" s="445">
        <v>134.62449999999998</v>
      </c>
      <c r="G25" s="445">
        <v>156</v>
      </c>
      <c r="H25" s="445">
        <v>-21.375500000000017</v>
      </c>
      <c r="I25" s="446">
        <v>0.86297756410256399</v>
      </c>
      <c r="J25" s="447" t="s">
        <v>1</v>
      </c>
    </row>
    <row r="26" spans="1:10" ht="14.45" customHeight="1" x14ac:dyDescent="0.2">
      <c r="A26" s="443" t="s">
        <v>444</v>
      </c>
      <c r="B26" s="444" t="s">
        <v>595</v>
      </c>
      <c r="C26" s="445">
        <v>0.70735999999999999</v>
      </c>
      <c r="D26" s="445">
        <v>1.0557000000000001</v>
      </c>
      <c r="E26" s="445"/>
      <c r="F26" s="445">
        <v>0</v>
      </c>
      <c r="G26" s="445">
        <v>1</v>
      </c>
      <c r="H26" s="445">
        <v>-1</v>
      </c>
      <c r="I26" s="446">
        <v>0</v>
      </c>
      <c r="J26" s="447" t="s">
        <v>1</v>
      </c>
    </row>
    <row r="27" spans="1:10" ht="14.45" customHeight="1" x14ac:dyDescent="0.2">
      <c r="A27" s="443" t="s">
        <v>444</v>
      </c>
      <c r="B27" s="444" t="s">
        <v>596</v>
      </c>
      <c r="C27" s="445">
        <v>2919.3569999999991</v>
      </c>
      <c r="D27" s="445">
        <v>2917.861269999999</v>
      </c>
      <c r="E27" s="445"/>
      <c r="F27" s="445">
        <v>2607.1049199999998</v>
      </c>
      <c r="G27" s="445">
        <v>3025</v>
      </c>
      <c r="H27" s="445">
        <v>-417.89508000000023</v>
      </c>
      <c r="I27" s="446">
        <v>0.86185286611570244</v>
      </c>
      <c r="J27" s="447" t="s">
        <v>1</v>
      </c>
    </row>
    <row r="28" spans="1:10" ht="14.45" customHeight="1" x14ac:dyDescent="0.2">
      <c r="A28" s="443" t="s">
        <v>444</v>
      </c>
      <c r="B28" s="444" t="s">
        <v>446</v>
      </c>
      <c r="C28" s="445">
        <v>3301.6790399999991</v>
      </c>
      <c r="D28" s="445">
        <v>3234.1351899999991</v>
      </c>
      <c r="E28" s="445"/>
      <c r="F28" s="445">
        <v>2898.2788499999997</v>
      </c>
      <c r="G28" s="445">
        <v>3366</v>
      </c>
      <c r="H28" s="445">
        <v>-467.72115000000031</v>
      </c>
      <c r="I28" s="446">
        <v>0.8610454099821746</v>
      </c>
      <c r="J28" s="447" t="s">
        <v>447</v>
      </c>
    </row>
    <row r="29" spans="1:10" ht="14.45" customHeight="1" x14ac:dyDescent="0.2">
      <c r="A29" s="443" t="s">
        <v>438</v>
      </c>
      <c r="B29" s="444" t="s">
        <v>438</v>
      </c>
      <c r="C29" s="445" t="s">
        <v>438</v>
      </c>
      <c r="D29" s="445" t="s">
        <v>438</v>
      </c>
      <c r="E29" s="445"/>
      <c r="F29" s="445" t="s">
        <v>438</v>
      </c>
      <c r="G29" s="445" t="s">
        <v>438</v>
      </c>
      <c r="H29" s="445" t="s">
        <v>438</v>
      </c>
      <c r="I29" s="446" t="s">
        <v>438</v>
      </c>
      <c r="J29" s="447" t="s">
        <v>448</v>
      </c>
    </row>
    <row r="30" spans="1:10" ht="14.45" customHeight="1" x14ac:dyDescent="0.2">
      <c r="A30" s="443" t="s">
        <v>436</v>
      </c>
      <c r="B30" s="444" t="s">
        <v>442</v>
      </c>
      <c r="C30" s="445">
        <v>3301.6790399999991</v>
      </c>
      <c r="D30" s="445">
        <v>3234.1351899999991</v>
      </c>
      <c r="E30" s="445"/>
      <c r="F30" s="445">
        <v>2898.2788499999997</v>
      </c>
      <c r="G30" s="445">
        <v>3366</v>
      </c>
      <c r="H30" s="445">
        <v>-467.72115000000031</v>
      </c>
      <c r="I30" s="446">
        <v>0.8610454099821746</v>
      </c>
      <c r="J30" s="447" t="s">
        <v>443</v>
      </c>
    </row>
  </sheetData>
  <mergeCells count="3">
    <mergeCell ref="A1:I1"/>
    <mergeCell ref="F3:I3"/>
    <mergeCell ref="C4:D4"/>
  </mergeCells>
  <conditionalFormatting sqref="F16 F31:F65537">
    <cfRule type="cellIs" dxfId="20" priority="18" stopIfTrue="1" operator="greaterThan">
      <formula>1</formula>
    </cfRule>
  </conditionalFormatting>
  <conditionalFormatting sqref="H5:H15">
    <cfRule type="expression" dxfId="19" priority="14">
      <formula>$H5&gt;0</formula>
    </cfRule>
  </conditionalFormatting>
  <conditionalFormatting sqref="I5:I15">
    <cfRule type="expression" dxfId="18" priority="15">
      <formula>$I5&gt;1</formula>
    </cfRule>
  </conditionalFormatting>
  <conditionalFormatting sqref="B5:B15">
    <cfRule type="expression" dxfId="17" priority="11">
      <formula>OR($J5="NS",$J5="SumaNS",$J5="Účet")</formula>
    </cfRule>
  </conditionalFormatting>
  <conditionalFormatting sqref="F5:I15 B5:D15">
    <cfRule type="expression" dxfId="16" priority="17">
      <formula>AND($J5&lt;&gt;"",$J5&lt;&gt;"mezeraKL")</formula>
    </cfRule>
  </conditionalFormatting>
  <conditionalFormatting sqref="B5:D15 F5:I15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5 F5:I15">
    <cfRule type="expression" dxfId="14" priority="13">
      <formula>OR($J5="SumaNS",$J5="NS")</formula>
    </cfRule>
  </conditionalFormatting>
  <conditionalFormatting sqref="A5:A15">
    <cfRule type="expression" dxfId="13" priority="9">
      <formula>AND($J5&lt;&gt;"mezeraKL",$J5&lt;&gt;"")</formula>
    </cfRule>
  </conditionalFormatting>
  <conditionalFormatting sqref="A5:A15">
    <cfRule type="expression" dxfId="12" priority="10">
      <formula>AND($J5&lt;&gt;"",$J5&lt;&gt;"mezeraKL")</formula>
    </cfRule>
  </conditionalFormatting>
  <conditionalFormatting sqref="H17:H30">
    <cfRule type="expression" dxfId="11" priority="6">
      <formula>$H17&gt;0</formula>
    </cfRule>
  </conditionalFormatting>
  <conditionalFormatting sqref="A17:A30">
    <cfRule type="expression" dxfId="10" priority="5">
      <formula>AND($J17&lt;&gt;"mezeraKL",$J17&lt;&gt;"")</formula>
    </cfRule>
  </conditionalFormatting>
  <conditionalFormatting sqref="I17:I30">
    <cfRule type="expression" dxfId="9" priority="7">
      <formula>$I17&gt;1</formula>
    </cfRule>
  </conditionalFormatting>
  <conditionalFormatting sqref="B17:B30">
    <cfRule type="expression" dxfId="8" priority="4">
      <formula>OR($J17="NS",$J17="SumaNS",$J17="Účet")</formula>
    </cfRule>
  </conditionalFormatting>
  <conditionalFormatting sqref="A17:D30 F17:I30">
    <cfRule type="expression" dxfId="7" priority="8">
      <formula>AND($J17&lt;&gt;"",$J17&lt;&gt;"mezeraKL")</formula>
    </cfRule>
  </conditionalFormatting>
  <conditionalFormatting sqref="B17:D30 F17:I30">
    <cfRule type="expression" dxfId="6" priority="1">
      <formula>OR($J17="KL",$J17="SumaKL")</formula>
    </cfRule>
    <cfRule type="expression" priority="3" stopIfTrue="1">
      <formula>OR($J17="mezeraNS",$J17="mezeraKL")</formula>
    </cfRule>
  </conditionalFormatting>
  <conditionalFormatting sqref="B17:D30 F17:I30">
    <cfRule type="expression" dxfId="5" priority="2">
      <formula>OR($J17="SumaNS",$J17="NS")</formula>
    </cfRule>
  </conditionalFormatting>
  <hyperlinks>
    <hyperlink ref="A2" location="Obsah!A1" display="Zpět na Obsah  KL 01  1.-4.měsíc" xr:uid="{AEE77BB0-0505-4466-9194-9701BE0868AB}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141">
    <tabColor theme="0" tint="-0.249977111117893"/>
    <pageSetUpPr fitToPage="1"/>
  </sheetPr>
  <dimension ref="A1:K708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ColWidth="8.85546875" defaultRowHeight="14.45" customHeight="1" outlineLevelCol="1" x14ac:dyDescent="0.2"/>
  <cols>
    <col min="1" max="1" width="6.7109375" style="114" hidden="1" customWidth="1" outlineLevel="1"/>
    <col min="2" max="2" width="28.28515625" style="114" hidden="1" customWidth="1" outlineLevel="1"/>
    <col min="3" max="3" width="5.28515625" style="191" bestFit="1" customWidth="1" collapsed="1"/>
    <col min="4" max="4" width="18.7109375" style="195" customWidth="1"/>
    <col min="5" max="5" width="9" style="191" bestFit="1" customWidth="1"/>
    <col min="6" max="6" width="18.7109375" style="195" customWidth="1"/>
    <col min="7" max="7" width="12.42578125" style="191" hidden="1" customWidth="1" outlineLevel="1"/>
    <col min="8" max="8" width="25.7109375" style="191" customWidth="1" collapsed="1"/>
    <col min="9" max="9" width="7.7109375" style="189" customWidth="1"/>
    <col min="10" max="10" width="10" style="189" customWidth="1"/>
    <col min="11" max="11" width="11.140625" style="189" customWidth="1"/>
    <col min="12" max="16384" width="8.85546875" style="114"/>
  </cols>
  <sheetData>
    <row r="1" spans="1:11" ht="18.600000000000001" customHeight="1" thickBot="1" x14ac:dyDescent="0.35">
      <c r="A1" s="341" t="s">
        <v>1891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</row>
    <row r="2" spans="1:11" ht="14.45" customHeight="1" thickBot="1" x14ac:dyDescent="0.25">
      <c r="A2" s="207" t="s">
        <v>242</v>
      </c>
      <c r="B2" s="62"/>
      <c r="C2" s="193"/>
      <c r="D2" s="193"/>
      <c r="E2" s="193"/>
      <c r="F2" s="193"/>
      <c r="G2" s="193"/>
      <c r="H2" s="193"/>
      <c r="I2" s="194"/>
      <c r="J2" s="194"/>
      <c r="K2" s="194"/>
    </row>
    <row r="3" spans="1:11" ht="14.45" customHeight="1" thickBot="1" x14ac:dyDescent="0.25">
      <c r="A3" s="62"/>
      <c r="B3" s="62"/>
      <c r="C3" s="337"/>
      <c r="D3" s="338"/>
      <c r="E3" s="338"/>
      <c r="F3" s="338"/>
      <c r="G3" s="338"/>
      <c r="H3" s="126" t="s">
        <v>107</v>
      </c>
      <c r="I3" s="84">
        <f>IF(J3&lt;&gt;0,K3/J3,0)</f>
        <v>9.0736928837504323</v>
      </c>
      <c r="J3" s="84">
        <f>SUBTOTAL(9,J5:J1048576)</f>
        <v>317121</v>
      </c>
      <c r="K3" s="85">
        <f>SUBTOTAL(9,K5:K1048576)</f>
        <v>2877458.5609878208</v>
      </c>
    </row>
    <row r="4" spans="1:11" s="190" customFormat="1" ht="14.45" customHeight="1" thickBot="1" x14ac:dyDescent="0.25">
      <c r="A4" s="448" t="s">
        <v>4</v>
      </c>
      <c r="B4" s="449" t="s">
        <v>5</v>
      </c>
      <c r="C4" s="449" t="s">
        <v>0</v>
      </c>
      <c r="D4" s="449" t="s">
        <v>6</v>
      </c>
      <c r="E4" s="449" t="s">
        <v>7</v>
      </c>
      <c r="F4" s="449" t="s">
        <v>1</v>
      </c>
      <c r="G4" s="449" t="s">
        <v>57</v>
      </c>
      <c r="H4" s="451" t="s">
        <v>11</v>
      </c>
      <c r="I4" s="452" t="s">
        <v>121</v>
      </c>
      <c r="J4" s="452" t="s">
        <v>13</v>
      </c>
      <c r="K4" s="453" t="s">
        <v>132</v>
      </c>
    </row>
    <row r="5" spans="1:11" ht="14.45" customHeight="1" x14ac:dyDescent="0.2">
      <c r="A5" s="456" t="s">
        <v>436</v>
      </c>
      <c r="B5" s="457" t="s">
        <v>437</v>
      </c>
      <c r="C5" s="458" t="s">
        <v>444</v>
      </c>
      <c r="D5" s="459" t="s">
        <v>445</v>
      </c>
      <c r="E5" s="458" t="s">
        <v>597</v>
      </c>
      <c r="F5" s="459" t="s">
        <v>598</v>
      </c>
      <c r="G5" s="458" t="s">
        <v>599</v>
      </c>
      <c r="H5" s="458" t="s">
        <v>600</v>
      </c>
      <c r="I5" s="461">
        <v>406.75446712023233</v>
      </c>
      <c r="J5" s="461">
        <v>1</v>
      </c>
      <c r="K5" s="462">
        <v>406.75446712023233</v>
      </c>
    </row>
    <row r="6" spans="1:11" ht="14.45" customHeight="1" x14ac:dyDescent="0.2">
      <c r="A6" s="463" t="s">
        <v>436</v>
      </c>
      <c r="B6" s="464" t="s">
        <v>437</v>
      </c>
      <c r="C6" s="465" t="s">
        <v>444</v>
      </c>
      <c r="D6" s="466" t="s">
        <v>445</v>
      </c>
      <c r="E6" s="465" t="s">
        <v>601</v>
      </c>
      <c r="F6" s="466" t="s">
        <v>602</v>
      </c>
      <c r="G6" s="465" t="s">
        <v>603</v>
      </c>
      <c r="H6" s="465" t="s">
        <v>604</v>
      </c>
      <c r="I6" s="468">
        <v>69.75</v>
      </c>
      <c r="J6" s="468">
        <v>7</v>
      </c>
      <c r="K6" s="469">
        <v>488.260009765625</v>
      </c>
    </row>
    <row r="7" spans="1:11" ht="14.45" customHeight="1" x14ac:dyDescent="0.2">
      <c r="A7" s="463" t="s">
        <v>436</v>
      </c>
      <c r="B7" s="464" t="s">
        <v>437</v>
      </c>
      <c r="C7" s="465" t="s">
        <v>444</v>
      </c>
      <c r="D7" s="466" t="s">
        <v>445</v>
      </c>
      <c r="E7" s="465" t="s">
        <v>601</v>
      </c>
      <c r="F7" s="466" t="s">
        <v>602</v>
      </c>
      <c r="G7" s="465" t="s">
        <v>605</v>
      </c>
      <c r="H7" s="465" t="s">
        <v>606</v>
      </c>
      <c r="I7" s="468">
        <v>91.699996948242188</v>
      </c>
      <c r="J7" s="468">
        <v>6</v>
      </c>
      <c r="K7" s="469">
        <v>550.19999694824219</v>
      </c>
    </row>
    <row r="8" spans="1:11" ht="14.45" customHeight="1" x14ac:dyDescent="0.2">
      <c r="A8" s="463" t="s">
        <v>436</v>
      </c>
      <c r="B8" s="464" t="s">
        <v>437</v>
      </c>
      <c r="C8" s="465" t="s">
        <v>444</v>
      </c>
      <c r="D8" s="466" t="s">
        <v>445</v>
      </c>
      <c r="E8" s="465" t="s">
        <v>601</v>
      </c>
      <c r="F8" s="466" t="s">
        <v>602</v>
      </c>
      <c r="G8" s="465" t="s">
        <v>607</v>
      </c>
      <c r="H8" s="465" t="s">
        <v>608</v>
      </c>
      <c r="I8" s="468">
        <v>98.110000610351563</v>
      </c>
      <c r="J8" s="468">
        <v>2</v>
      </c>
      <c r="K8" s="469">
        <v>196.22000122070313</v>
      </c>
    </row>
    <row r="9" spans="1:11" ht="14.45" customHeight="1" x14ac:dyDescent="0.2">
      <c r="A9" s="463" t="s">
        <v>436</v>
      </c>
      <c r="B9" s="464" t="s">
        <v>437</v>
      </c>
      <c r="C9" s="465" t="s">
        <v>444</v>
      </c>
      <c r="D9" s="466" t="s">
        <v>445</v>
      </c>
      <c r="E9" s="465" t="s">
        <v>609</v>
      </c>
      <c r="F9" s="466" t="s">
        <v>610</v>
      </c>
      <c r="G9" s="465" t="s">
        <v>611</v>
      </c>
      <c r="H9" s="465" t="s">
        <v>612</v>
      </c>
      <c r="I9" s="468">
        <v>7.9200000762939453</v>
      </c>
      <c r="J9" s="468">
        <v>60</v>
      </c>
      <c r="K9" s="469">
        <v>475.41000366210938</v>
      </c>
    </row>
    <row r="10" spans="1:11" ht="14.45" customHeight="1" x14ac:dyDescent="0.2">
      <c r="A10" s="463" t="s">
        <v>436</v>
      </c>
      <c r="B10" s="464" t="s">
        <v>437</v>
      </c>
      <c r="C10" s="465" t="s">
        <v>444</v>
      </c>
      <c r="D10" s="466" t="s">
        <v>445</v>
      </c>
      <c r="E10" s="465" t="s">
        <v>609</v>
      </c>
      <c r="F10" s="466" t="s">
        <v>610</v>
      </c>
      <c r="G10" s="465" t="s">
        <v>613</v>
      </c>
      <c r="H10" s="465" t="s">
        <v>614</v>
      </c>
      <c r="I10" s="468">
        <v>0.63999998569488525</v>
      </c>
      <c r="J10" s="468">
        <v>2000</v>
      </c>
      <c r="K10" s="469">
        <v>1276.5</v>
      </c>
    </row>
    <row r="11" spans="1:11" ht="14.45" customHeight="1" x14ac:dyDescent="0.2">
      <c r="A11" s="463" t="s">
        <v>436</v>
      </c>
      <c r="B11" s="464" t="s">
        <v>437</v>
      </c>
      <c r="C11" s="465" t="s">
        <v>444</v>
      </c>
      <c r="D11" s="466" t="s">
        <v>445</v>
      </c>
      <c r="E11" s="465" t="s">
        <v>609</v>
      </c>
      <c r="F11" s="466" t="s">
        <v>610</v>
      </c>
      <c r="G11" s="465" t="s">
        <v>615</v>
      </c>
      <c r="H11" s="465" t="s">
        <v>616</v>
      </c>
      <c r="I11" s="468">
        <v>0.58666664361953735</v>
      </c>
      <c r="J11" s="468">
        <v>7500</v>
      </c>
      <c r="K11" s="469">
        <v>4400</v>
      </c>
    </row>
    <row r="12" spans="1:11" ht="14.45" customHeight="1" x14ac:dyDescent="0.2">
      <c r="A12" s="463" t="s">
        <v>436</v>
      </c>
      <c r="B12" s="464" t="s">
        <v>437</v>
      </c>
      <c r="C12" s="465" t="s">
        <v>444</v>
      </c>
      <c r="D12" s="466" t="s">
        <v>445</v>
      </c>
      <c r="E12" s="465" t="s">
        <v>609</v>
      </c>
      <c r="F12" s="466" t="s">
        <v>610</v>
      </c>
      <c r="G12" s="465" t="s">
        <v>617</v>
      </c>
      <c r="H12" s="465" t="s">
        <v>618</v>
      </c>
      <c r="I12" s="468">
        <v>0.15000000596046448</v>
      </c>
      <c r="J12" s="468">
        <v>500</v>
      </c>
      <c r="K12" s="469">
        <v>75</v>
      </c>
    </row>
    <row r="13" spans="1:11" ht="14.45" customHeight="1" x14ac:dyDescent="0.2">
      <c r="A13" s="463" t="s">
        <v>436</v>
      </c>
      <c r="B13" s="464" t="s">
        <v>437</v>
      </c>
      <c r="C13" s="465" t="s">
        <v>444</v>
      </c>
      <c r="D13" s="466" t="s">
        <v>445</v>
      </c>
      <c r="E13" s="465" t="s">
        <v>609</v>
      </c>
      <c r="F13" s="466" t="s">
        <v>610</v>
      </c>
      <c r="G13" s="465" t="s">
        <v>619</v>
      </c>
      <c r="H13" s="465" t="s">
        <v>620</v>
      </c>
      <c r="I13" s="468">
        <v>0.41999998688697815</v>
      </c>
      <c r="J13" s="468">
        <v>1000</v>
      </c>
      <c r="K13" s="469">
        <v>419.75</v>
      </c>
    </row>
    <row r="14" spans="1:11" ht="14.45" customHeight="1" x14ac:dyDescent="0.2">
      <c r="A14" s="463" t="s">
        <v>436</v>
      </c>
      <c r="B14" s="464" t="s">
        <v>437</v>
      </c>
      <c r="C14" s="465" t="s">
        <v>444</v>
      </c>
      <c r="D14" s="466" t="s">
        <v>445</v>
      </c>
      <c r="E14" s="465" t="s">
        <v>609</v>
      </c>
      <c r="F14" s="466" t="s">
        <v>610</v>
      </c>
      <c r="G14" s="465" t="s">
        <v>613</v>
      </c>
      <c r="H14" s="465" t="s">
        <v>621</v>
      </c>
      <c r="I14" s="468">
        <v>0.63999998569488525</v>
      </c>
      <c r="J14" s="468">
        <v>3000</v>
      </c>
      <c r="K14" s="469">
        <v>1914.75</v>
      </c>
    </row>
    <row r="15" spans="1:11" ht="14.45" customHeight="1" x14ac:dyDescent="0.2">
      <c r="A15" s="463" t="s">
        <v>436</v>
      </c>
      <c r="B15" s="464" t="s">
        <v>437</v>
      </c>
      <c r="C15" s="465" t="s">
        <v>444</v>
      </c>
      <c r="D15" s="466" t="s">
        <v>445</v>
      </c>
      <c r="E15" s="465" t="s">
        <v>609</v>
      </c>
      <c r="F15" s="466" t="s">
        <v>610</v>
      </c>
      <c r="G15" s="465" t="s">
        <v>615</v>
      </c>
      <c r="H15" s="465" t="s">
        <v>622</v>
      </c>
      <c r="I15" s="468">
        <v>0.58599997758865352</v>
      </c>
      <c r="J15" s="468">
        <v>6700</v>
      </c>
      <c r="K15" s="469">
        <v>3948</v>
      </c>
    </row>
    <row r="16" spans="1:11" ht="14.45" customHeight="1" x14ac:dyDescent="0.2">
      <c r="A16" s="463" t="s">
        <v>436</v>
      </c>
      <c r="B16" s="464" t="s">
        <v>437</v>
      </c>
      <c r="C16" s="465" t="s">
        <v>444</v>
      </c>
      <c r="D16" s="466" t="s">
        <v>445</v>
      </c>
      <c r="E16" s="465" t="s">
        <v>609</v>
      </c>
      <c r="F16" s="466" t="s">
        <v>610</v>
      </c>
      <c r="G16" s="465" t="s">
        <v>623</v>
      </c>
      <c r="H16" s="465" t="s">
        <v>624</v>
      </c>
      <c r="I16" s="468">
        <v>1.1699999570846558</v>
      </c>
      <c r="J16" s="468">
        <v>500</v>
      </c>
      <c r="K16" s="469">
        <v>585</v>
      </c>
    </row>
    <row r="17" spans="1:11" ht="14.45" customHeight="1" x14ac:dyDescent="0.2">
      <c r="A17" s="463" t="s">
        <v>436</v>
      </c>
      <c r="B17" s="464" t="s">
        <v>437</v>
      </c>
      <c r="C17" s="465" t="s">
        <v>444</v>
      </c>
      <c r="D17" s="466" t="s">
        <v>445</v>
      </c>
      <c r="E17" s="465" t="s">
        <v>609</v>
      </c>
      <c r="F17" s="466" t="s">
        <v>610</v>
      </c>
      <c r="G17" s="465" t="s">
        <v>625</v>
      </c>
      <c r="H17" s="465" t="s">
        <v>626</v>
      </c>
      <c r="I17" s="468">
        <v>18.399999618530273</v>
      </c>
      <c r="J17" s="468">
        <v>50</v>
      </c>
      <c r="K17" s="469">
        <v>920</v>
      </c>
    </row>
    <row r="18" spans="1:11" ht="14.45" customHeight="1" x14ac:dyDescent="0.2">
      <c r="A18" s="463" t="s">
        <v>436</v>
      </c>
      <c r="B18" s="464" t="s">
        <v>437</v>
      </c>
      <c r="C18" s="465" t="s">
        <v>444</v>
      </c>
      <c r="D18" s="466" t="s">
        <v>445</v>
      </c>
      <c r="E18" s="465" t="s">
        <v>609</v>
      </c>
      <c r="F18" s="466" t="s">
        <v>610</v>
      </c>
      <c r="G18" s="465" t="s">
        <v>625</v>
      </c>
      <c r="H18" s="465" t="s">
        <v>627</v>
      </c>
      <c r="I18" s="468">
        <v>18.399999618530273</v>
      </c>
      <c r="J18" s="468">
        <v>50</v>
      </c>
      <c r="K18" s="469">
        <v>919.80999755859375</v>
      </c>
    </row>
    <row r="19" spans="1:11" ht="14.45" customHeight="1" x14ac:dyDescent="0.2">
      <c r="A19" s="463" t="s">
        <v>436</v>
      </c>
      <c r="B19" s="464" t="s">
        <v>437</v>
      </c>
      <c r="C19" s="465" t="s">
        <v>444</v>
      </c>
      <c r="D19" s="466" t="s">
        <v>445</v>
      </c>
      <c r="E19" s="465" t="s">
        <v>609</v>
      </c>
      <c r="F19" s="466" t="s">
        <v>610</v>
      </c>
      <c r="G19" s="465" t="s">
        <v>628</v>
      </c>
      <c r="H19" s="465" t="s">
        <v>629</v>
      </c>
      <c r="I19" s="468">
        <v>13.020000457763672</v>
      </c>
      <c r="J19" s="468">
        <v>8</v>
      </c>
      <c r="K19" s="469">
        <v>104.15999984741211</v>
      </c>
    </row>
    <row r="20" spans="1:11" ht="14.45" customHeight="1" x14ac:dyDescent="0.2">
      <c r="A20" s="463" t="s">
        <v>436</v>
      </c>
      <c r="B20" s="464" t="s">
        <v>437</v>
      </c>
      <c r="C20" s="465" t="s">
        <v>444</v>
      </c>
      <c r="D20" s="466" t="s">
        <v>445</v>
      </c>
      <c r="E20" s="465" t="s">
        <v>609</v>
      </c>
      <c r="F20" s="466" t="s">
        <v>610</v>
      </c>
      <c r="G20" s="465" t="s">
        <v>630</v>
      </c>
      <c r="H20" s="465" t="s">
        <v>631</v>
      </c>
      <c r="I20" s="468">
        <v>46.319999694824219</v>
      </c>
      <c r="J20" s="468">
        <v>6</v>
      </c>
      <c r="K20" s="469">
        <v>277.92001342773438</v>
      </c>
    </row>
    <row r="21" spans="1:11" ht="14.45" customHeight="1" x14ac:dyDescent="0.2">
      <c r="A21" s="463" t="s">
        <v>436</v>
      </c>
      <c r="B21" s="464" t="s">
        <v>437</v>
      </c>
      <c r="C21" s="465" t="s">
        <v>444</v>
      </c>
      <c r="D21" s="466" t="s">
        <v>445</v>
      </c>
      <c r="E21" s="465" t="s">
        <v>609</v>
      </c>
      <c r="F21" s="466" t="s">
        <v>610</v>
      </c>
      <c r="G21" s="465" t="s">
        <v>632</v>
      </c>
      <c r="H21" s="465" t="s">
        <v>633</v>
      </c>
      <c r="I21" s="468">
        <v>13.079999923706055</v>
      </c>
      <c r="J21" s="468">
        <v>12</v>
      </c>
      <c r="K21" s="469">
        <v>156.96000671386719</v>
      </c>
    </row>
    <row r="22" spans="1:11" ht="14.45" customHeight="1" x14ac:dyDescent="0.2">
      <c r="A22" s="463" t="s">
        <v>436</v>
      </c>
      <c r="B22" s="464" t="s">
        <v>437</v>
      </c>
      <c r="C22" s="465" t="s">
        <v>444</v>
      </c>
      <c r="D22" s="466" t="s">
        <v>445</v>
      </c>
      <c r="E22" s="465" t="s">
        <v>609</v>
      </c>
      <c r="F22" s="466" t="s">
        <v>610</v>
      </c>
      <c r="G22" s="465" t="s">
        <v>628</v>
      </c>
      <c r="H22" s="465" t="s">
        <v>634</v>
      </c>
      <c r="I22" s="468">
        <v>13.020000457763672</v>
      </c>
      <c r="J22" s="468">
        <v>3</v>
      </c>
      <c r="K22" s="469">
        <v>39.060001373291016</v>
      </c>
    </row>
    <row r="23" spans="1:11" ht="14.45" customHeight="1" x14ac:dyDescent="0.2">
      <c r="A23" s="463" t="s">
        <v>436</v>
      </c>
      <c r="B23" s="464" t="s">
        <v>437</v>
      </c>
      <c r="C23" s="465" t="s">
        <v>444</v>
      </c>
      <c r="D23" s="466" t="s">
        <v>445</v>
      </c>
      <c r="E23" s="465" t="s">
        <v>609</v>
      </c>
      <c r="F23" s="466" t="s">
        <v>610</v>
      </c>
      <c r="G23" s="465" t="s">
        <v>635</v>
      </c>
      <c r="H23" s="465" t="s">
        <v>636</v>
      </c>
      <c r="I23" s="468">
        <v>7.5900001525878906</v>
      </c>
      <c r="J23" s="468">
        <v>2</v>
      </c>
      <c r="K23" s="469">
        <v>15.180000305175781</v>
      </c>
    </row>
    <row r="24" spans="1:11" ht="14.45" customHeight="1" x14ac:dyDescent="0.2">
      <c r="A24" s="463" t="s">
        <v>436</v>
      </c>
      <c r="B24" s="464" t="s">
        <v>437</v>
      </c>
      <c r="C24" s="465" t="s">
        <v>444</v>
      </c>
      <c r="D24" s="466" t="s">
        <v>445</v>
      </c>
      <c r="E24" s="465" t="s">
        <v>609</v>
      </c>
      <c r="F24" s="466" t="s">
        <v>610</v>
      </c>
      <c r="G24" s="465" t="s">
        <v>637</v>
      </c>
      <c r="H24" s="465" t="s">
        <v>638</v>
      </c>
      <c r="I24" s="468">
        <v>10.520000457763672</v>
      </c>
      <c r="J24" s="468">
        <v>2</v>
      </c>
      <c r="K24" s="469">
        <v>21.040000915527344</v>
      </c>
    </row>
    <row r="25" spans="1:11" ht="14.45" customHeight="1" x14ac:dyDescent="0.2">
      <c r="A25" s="463" t="s">
        <v>436</v>
      </c>
      <c r="B25" s="464" t="s">
        <v>437</v>
      </c>
      <c r="C25" s="465" t="s">
        <v>444</v>
      </c>
      <c r="D25" s="466" t="s">
        <v>445</v>
      </c>
      <c r="E25" s="465" t="s">
        <v>609</v>
      </c>
      <c r="F25" s="466" t="s">
        <v>610</v>
      </c>
      <c r="G25" s="465" t="s">
        <v>639</v>
      </c>
      <c r="H25" s="465" t="s">
        <v>640</v>
      </c>
      <c r="I25" s="468">
        <v>7.1100001335144043</v>
      </c>
      <c r="J25" s="468">
        <v>4</v>
      </c>
      <c r="K25" s="469">
        <v>28.420000076293945</v>
      </c>
    </row>
    <row r="26" spans="1:11" ht="14.45" customHeight="1" x14ac:dyDescent="0.2">
      <c r="A26" s="463" t="s">
        <v>436</v>
      </c>
      <c r="B26" s="464" t="s">
        <v>437</v>
      </c>
      <c r="C26" s="465" t="s">
        <v>444</v>
      </c>
      <c r="D26" s="466" t="s">
        <v>445</v>
      </c>
      <c r="E26" s="465" t="s">
        <v>609</v>
      </c>
      <c r="F26" s="466" t="s">
        <v>610</v>
      </c>
      <c r="G26" s="465" t="s">
        <v>641</v>
      </c>
      <c r="H26" s="465" t="s">
        <v>642</v>
      </c>
      <c r="I26" s="468">
        <v>28.870000839233398</v>
      </c>
      <c r="J26" s="468">
        <v>2</v>
      </c>
      <c r="K26" s="469">
        <v>57.729999542236328</v>
      </c>
    </row>
    <row r="27" spans="1:11" ht="14.45" customHeight="1" x14ac:dyDescent="0.2">
      <c r="A27" s="463" t="s">
        <v>436</v>
      </c>
      <c r="B27" s="464" t="s">
        <v>437</v>
      </c>
      <c r="C27" s="465" t="s">
        <v>444</v>
      </c>
      <c r="D27" s="466" t="s">
        <v>445</v>
      </c>
      <c r="E27" s="465" t="s">
        <v>609</v>
      </c>
      <c r="F27" s="466" t="s">
        <v>610</v>
      </c>
      <c r="G27" s="465" t="s">
        <v>643</v>
      </c>
      <c r="H27" s="465" t="s">
        <v>644</v>
      </c>
      <c r="I27" s="468">
        <v>1500.010009765625</v>
      </c>
      <c r="J27" s="468">
        <v>2</v>
      </c>
      <c r="K27" s="469">
        <v>3000.010009765625</v>
      </c>
    </row>
    <row r="28" spans="1:11" ht="14.45" customHeight="1" x14ac:dyDescent="0.2">
      <c r="A28" s="463" t="s">
        <v>436</v>
      </c>
      <c r="B28" s="464" t="s">
        <v>437</v>
      </c>
      <c r="C28" s="465" t="s">
        <v>444</v>
      </c>
      <c r="D28" s="466" t="s">
        <v>445</v>
      </c>
      <c r="E28" s="465" t="s">
        <v>609</v>
      </c>
      <c r="F28" s="466" t="s">
        <v>610</v>
      </c>
      <c r="G28" s="465" t="s">
        <v>645</v>
      </c>
      <c r="H28" s="465" t="s">
        <v>646</v>
      </c>
      <c r="I28" s="468">
        <v>2.7400000095367432</v>
      </c>
      <c r="J28" s="468">
        <v>12</v>
      </c>
      <c r="K28" s="469">
        <v>32.880001068115234</v>
      </c>
    </row>
    <row r="29" spans="1:11" ht="14.45" customHeight="1" x14ac:dyDescent="0.2">
      <c r="A29" s="463" t="s">
        <v>436</v>
      </c>
      <c r="B29" s="464" t="s">
        <v>437</v>
      </c>
      <c r="C29" s="465" t="s">
        <v>444</v>
      </c>
      <c r="D29" s="466" t="s">
        <v>445</v>
      </c>
      <c r="E29" s="465" t="s">
        <v>609</v>
      </c>
      <c r="F29" s="466" t="s">
        <v>610</v>
      </c>
      <c r="G29" s="465" t="s">
        <v>647</v>
      </c>
      <c r="H29" s="465" t="s">
        <v>648</v>
      </c>
      <c r="I29" s="468">
        <v>1.9299999475479126</v>
      </c>
      <c r="J29" s="468">
        <v>100</v>
      </c>
      <c r="K29" s="469">
        <v>193.19999694824219</v>
      </c>
    </row>
    <row r="30" spans="1:11" ht="14.45" customHeight="1" x14ac:dyDescent="0.2">
      <c r="A30" s="463" t="s">
        <v>436</v>
      </c>
      <c r="B30" s="464" t="s">
        <v>437</v>
      </c>
      <c r="C30" s="465" t="s">
        <v>444</v>
      </c>
      <c r="D30" s="466" t="s">
        <v>445</v>
      </c>
      <c r="E30" s="465" t="s">
        <v>609</v>
      </c>
      <c r="F30" s="466" t="s">
        <v>610</v>
      </c>
      <c r="G30" s="465" t="s">
        <v>647</v>
      </c>
      <c r="H30" s="465" t="s">
        <v>649</v>
      </c>
      <c r="I30" s="468">
        <v>1.9299999475479126</v>
      </c>
      <c r="J30" s="468">
        <v>200</v>
      </c>
      <c r="K30" s="469">
        <v>386.39999389648438</v>
      </c>
    </row>
    <row r="31" spans="1:11" ht="14.45" customHeight="1" x14ac:dyDescent="0.2">
      <c r="A31" s="463" t="s">
        <v>436</v>
      </c>
      <c r="B31" s="464" t="s">
        <v>437</v>
      </c>
      <c r="C31" s="465" t="s">
        <v>444</v>
      </c>
      <c r="D31" s="466" t="s">
        <v>445</v>
      </c>
      <c r="E31" s="465" t="s">
        <v>609</v>
      </c>
      <c r="F31" s="466" t="s">
        <v>610</v>
      </c>
      <c r="G31" s="465" t="s">
        <v>650</v>
      </c>
      <c r="H31" s="465" t="s">
        <v>651</v>
      </c>
      <c r="I31" s="468">
        <v>1.2100000381469727</v>
      </c>
      <c r="J31" s="468">
        <v>1000</v>
      </c>
      <c r="K31" s="469">
        <v>1210</v>
      </c>
    </row>
    <row r="32" spans="1:11" ht="14.45" customHeight="1" x14ac:dyDescent="0.2">
      <c r="A32" s="463" t="s">
        <v>436</v>
      </c>
      <c r="B32" s="464" t="s">
        <v>437</v>
      </c>
      <c r="C32" s="465" t="s">
        <v>444</v>
      </c>
      <c r="D32" s="466" t="s">
        <v>445</v>
      </c>
      <c r="E32" s="465" t="s">
        <v>609</v>
      </c>
      <c r="F32" s="466" t="s">
        <v>610</v>
      </c>
      <c r="G32" s="465" t="s">
        <v>652</v>
      </c>
      <c r="H32" s="465" t="s">
        <v>653</v>
      </c>
      <c r="I32" s="468">
        <v>30.505000114440918</v>
      </c>
      <c r="J32" s="468">
        <v>27</v>
      </c>
      <c r="K32" s="469">
        <v>823.6199951171875</v>
      </c>
    </row>
    <row r="33" spans="1:11" ht="14.45" customHeight="1" x14ac:dyDescent="0.2">
      <c r="A33" s="463" t="s">
        <v>436</v>
      </c>
      <c r="B33" s="464" t="s">
        <v>437</v>
      </c>
      <c r="C33" s="465" t="s">
        <v>444</v>
      </c>
      <c r="D33" s="466" t="s">
        <v>445</v>
      </c>
      <c r="E33" s="465" t="s">
        <v>609</v>
      </c>
      <c r="F33" s="466" t="s">
        <v>610</v>
      </c>
      <c r="G33" s="465" t="s">
        <v>654</v>
      </c>
      <c r="H33" s="465" t="s">
        <v>655</v>
      </c>
      <c r="I33" s="468">
        <v>29.879999160766602</v>
      </c>
      <c r="J33" s="468">
        <v>2</v>
      </c>
      <c r="K33" s="469">
        <v>59.759998321533203</v>
      </c>
    </row>
    <row r="34" spans="1:11" ht="14.45" customHeight="1" x14ac:dyDescent="0.2">
      <c r="A34" s="463" t="s">
        <v>436</v>
      </c>
      <c r="B34" s="464" t="s">
        <v>437</v>
      </c>
      <c r="C34" s="465" t="s">
        <v>444</v>
      </c>
      <c r="D34" s="466" t="s">
        <v>445</v>
      </c>
      <c r="E34" s="465" t="s">
        <v>609</v>
      </c>
      <c r="F34" s="466" t="s">
        <v>610</v>
      </c>
      <c r="G34" s="465" t="s">
        <v>652</v>
      </c>
      <c r="H34" s="465" t="s">
        <v>656</v>
      </c>
      <c r="I34" s="468">
        <v>30.049999872843426</v>
      </c>
      <c r="J34" s="468">
        <v>42</v>
      </c>
      <c r="K34" s="469">
        <v>1264.2599792480469</v>
      </c>
    </row>
    <row r="35" spans="1:11" ht="14.45" customHeight="1" x14ac:dyDescent="0.2">
      <c r="A35" s="463" t="s">
        <v>436</v>
      </c>
      <c r="B35" s="464" t="s">
        <v>437</v>
      </c>
      <c r="C35" s="465" t="s">
        <v>444</v>
      </c>
      <c r="D35" s="466" t="s">
        <v>445</v>
      </c>
      <c r="E35" s="465" t="s">
        <v>609</v>
      </c>
      <c r="F35" s="466" t="s">
        <v>610</v>
      </c>
      <c r="G35" s="465" t="s">
        <v>654</v>
      </c>
      <c r="H35" s="465" t="s">
        <v>657</v>
      </c>
      <c r="I35" s="468">
        <v>29.814999580383301</v>
      </c>
      <c r="J35" s="468">
        <v>7</v>
      </c>
      <c r="K35" s="469">
        <v>208.77999877929688</v>
      </c>
    </row>
    <row r="36" spans="1:11" ht="14.45" customHeight="1" x14ac:dyDescent="0.2">
      <c r="A36" s="463" t="s">
        <v>436</v>
      </c>
      <c r="B36" s="464" t="s">
        <v>437</v>
      </c>
      <c r="C36" s="465" t="s">
        <v>444</v>
      </c>
      <c r="D36" s="466" t="s">
        <v>445</v>
      </c>
      <c r="E36" s="465" t="s">
        <v>609</v>
      </c>
      <c r="F36" s="466" t="s">
        <v>610</v>
      </c>
      <c r="G36" s="465" t="s">
        <v>658</v>
      </c>
      <c r="H36" s="465" t="s">
        <v>659</v>
      </c>
      <c r="I36" s="468">
        <v>260.29998779296875</v>
      </c>
      <c r="J36" s="468">
        <v>3</v>
      </c>
      <c r="K36" s="469">
        <v>780.9000244140625</v>
      </c>
    </row>
    <row r="37" spans="1:11" ht="14.45" customHeight="1" x14ac:dyDescent="0.2">
      <c r="A37" s="463" t="s">
        <v>436</v>
      </c>
      <c r="B37" s="464" t="s">
        <v>437</v>
      </c>
      <c r="C37" s="465" t="s">
        <v>444</v>
      </c>
      <c r="D37" s="466" t="s">
        <v>445</v>
      </c>
      <c r="E37" s="465" t="s">
        <v>609</v>
      </c>
      <c r="F37" s="466" t="s">
        <v>610</v>
      </c>
      <c r="G37" s="465" t="s">
        <v>660</v>
      </c>
      <c r="H37" s="465" t="s">
        <v>661</v>
      </c>
      <c r="I37" s="468">
        <v>10.350000381469727</v>
      </c>
      <c r="J37" s="468">
        <v>3</v>
      </c>
      <c r="K37" s="469">
        <v>31.05000114440918</v>
      </c>
    </row>
    <row r="38" spans="1:11" ht="14.45" customHeight="1" x14ac:dyDescent="0.2">
      <c r="A38" s="463" t="s">
        <v>436</v>
      </c>
      <c r="B38" s="464" t="s">
        <v>437</v>
      </c>
      <c r="C38" s="465" t="s">
        <v>444</v>
      </c>
      <c r="D38" s="466" t="s">
        <v>445</v>
      </c>
      <c r="E38" s="465" t="s">
        <v>662</v>
      </c>
      <c r="F38" s="466" t="s">
        <v>663</v>
      </c>
      <c r="G38" s="465" t="s">
        <v>664</v>
      </c>
      <c r="H38" s="465" t="s">
        <v>665</v>
      </c>
      <c r="I38" s="468">
        <v>2.9000000953674316</v>
      </c>
      <c r="J38" s="468">
        <v>100</v>
      </c>
      <c r="K38" s="469">
        <v>290</v>
      </c>
    </row>
    <row r="39" spans="1:11" ht="14.45" customHeight="1" x14ac:dyDescent="0.2">
      <c r="A39" s="463" t="s">
        <v>436</v>
      </c>
      <c r="B39" s="464" t="s">
        <v>437</v>
      </c>
      <c r="C39" s="465" t="s">
        <v>444</v>
      </c>
      <c r="D39" s="466" t="s">
        <v>445</v>
      </c>
      <c r="E39" s="465" t="s">
        <v>662</v>
      </c>
      <c r="F39" s="466" t="s">
        <v>663</v>
      </c>
      <c r="G39" s="465" t="s">
        <v>666</v>
      </c>
      <c r="H39" s="465" t="s">
        <v>667</v>
      </c>
      <c r="I39" s="468">
        <v>3.630000114440918</v>
      </c>
      <c r="J39" s="468">
        <v>100</v>
      </c>
      <c r="K39" s="469">
        <v>363</v>
      </c>
    </row>
    <row r="40" spans="1:11" ht="14.45" customHeight="1" x14ac:dyDescent="0.2">
      <c r="A40" s="463" t="s">
        <v>436</v>
      </c>
      <c r="B40" s="464" t="s">
        <v>437</v>
      </c>
      <c r="C40" s="465" t="s">
        <v>444</v>
      </c>
      <c r="D40" s="466" t="s">
        <v>445</v>
      </c>
      <c r="E40" s="465" t="s">
        <v>662</v>
      </c>
      <c r="F40" s="466" t="s">
        <v>663</v>
      </c>
      <c r="G40" s="465" t="s">
        <v>664</v>
      </c>
      <c r="H40" s="465" t="s">
        <v>668</v>
      </c>
      <c r="I40" s="468">
        <v>2.9050000905990601</v>
      </c>
      <c r="J40" s="468">
        <v>200</v>
      </c>
      <c r="K40" s="469">
        <v>581</v>
      </c>
    </row>
    <row r="41" spans="1:11" ht="14.45" customHeight="1" x14ac:dyDescent="0.2">
      <c r="A41" s="463" t="s">
        <v>436</v>
      </c>
      <c r="B41" s="464" t="s">
        <v>437</v>
      </c>
      <c r="C41" s="465" t="s">
        <v>444</v>
      </c>
      <c r="D41" s="466" t="s">
        <v>445</v>
      </c>
      <c r="E41" s="465" t="s">
        <v>662</v>
      </c>
      <c r="F41" s="466" t="s">
        <v>663</v>
      </c>
      <c r="G41" s="465" t="s">
        <v>666</v>
      </c>
      <c r="H41" s="465" t="s">
        <v>669</v>
      </c>
      <c r="I41" s="468">
        <v>3.630000114440918</v>
      </c>
      <c r="J41" s="468">
        <v>100</v>
      </c>
      <c r="K41" s="469">
        <v>363</v>
      </c>
    </row>
    <row r="42" spans="1:11" ht="14.45" customHeight="1" x14ac:dyDescent="0.2">
      <c r="A42" s="463" t="s">
        <v>436</v>
      </c>
      <c r="B42" s="464" t="s">
        <v>437</v>
      </c>
      <c r="C42" s="465" t="s">
        <v>444</v>
      </c>
      <c r="D42" s="466" t="s">
        <v>445</v>
      </c>
      <c r="E42" s="465" t="s">
        <v>662</v>
      </c>
      <c r="F42" s="466" t="s">
        <v>663</v>
      </c>
      <c r="G42" s="465" t="s">
        <v>670</v>
      </c>
      <c r="H42" s="465" t="s">
        <v>671</v>
      </c>
      <c r="I42" s="468">
        <v>33.880001068115234</v>
      </c>
      <c r="J42" s="468">
        <v>4</v>
      </c>
      <c r="K42" s="469">
        <v>135.52000427246094</v>
      </c>
    </row>
    <row r="43" spans="1:11" ht="14.45" customHeight="1" x14ac:dyDescent="0.2">
      <c r="A43" s="463" t="s">
        <v>436</v>
      </c>
      <c r="B43" s="464" t="s">
        <v>437</v>
      </c>
      <c r="C43" s="465" t="s">
        <v>444</v>
      </c>
      <c r="D43" s="466" t="s">
        <v>445</v>
      </c>
      <c r="E43" s="465" t="s">
        <v>662</v>
      </c>
      <c r="F43" s="466" t="s">
        <v>663</v>
      </c>
      <c r="G43" s="465" t="s">
        <v>672</v>
      </c>
      <c r="H43" s="465" t="s">
        <v>673</v>
      </c>
      <c r="I43" s="468">
        <v>1629.1700439453125</v>
      </c>
      <c r="J43" s="468">
        <v>3</v>
      </c>
      <c r="K43" s="469">
        <v>4887.5101318359375</v>
      </c>
    </row>
    <row r="44" spans="1:11" ht="14.45" customHeight="1" x14ac:dyDescent="0.2">
      <c r="A44" s="463" t="s">
        <v>436</v>
      </c>
      <c r="B44" s="464" t="s">
        <v>437</v>
      </c>
      <c r="C44" s="465" t="s">
        <v>444</v>
      </c>
      <c r="D44" s="466" t="s">
        <v>445</v>
      </c>
      <c r="E44" s="465" t="s">
        <v>662</v>
      </c>
      <c r="F44" s="466" t="s">
        <v>663</v>
      </c>
      <c r="G44" s="465" t="s">
        <v>674</v>
      </c>
      <c r="H44" s="465" t="s">
        <v>675</v>
      </c>
      <c r="I44" s="468">
        <v>1332.93994140625</v>
      </c>
      <c r="J44" s="468">
        <v>1</v>
      </c>
      <c r="K44" s="469">
        <v>1332.93994140625</v>
      </c>
    </row>
    <row r="45" spans="1:11" ht="14.45" customHeight="1" x14ac:dyDescent="0.2">
      <c r="A45" s="463" t="s">
        <v>436</v>
      </c>
      <c r="B45" s="464" t="s">
        <v>437</v>
      </c>
      <c r="C45" s="465" t="s">
        <v>444</v>
      </c>
      <c r="D45" s="466" t="s">
        <v>445</v>
      </c>
      <c r="E45" s="465" t="s">
        <v>662</v>
      </c>
      <c r="F45" s="466" t="s">
        <v>663</v>
      </c>
      <c r="G45" s="465" t="s">
        <v>676</v>
      </c>
      <c r="H45" s="465" t="s">
        <v>677</v>
      </c>
      <c r="I45" s="468">
        <v>3.1500000953674316</v>
      </c>
      <c r="J45" s="468">
        <v>50</v>
      </c>
      <c r="K45" s="469">
        <v>157.5</v>
      </c>
    </row>
    <row r="46" spans="1:11" ht="14.45" customHeight="1" x14ac:dyDescent="0.2">
      <c r="A46" s="463" t="s">
        <v>436</v>
      </c>
      <c r="B46" s="464" t="s">
        <v>437</v>
      </c>
      <c r="C46" s="465" t="s">
        <v>444</v>
      </c>
      <c r="D46" s="466" t="s">
        <v>445</v>
      </c>
      <c r="E46" s="465" t="s">
        <v>662</v>
      </c>
      <c r="F46" s="466" t="s">
        <v>663</v>
      </c>
      <c r="G46" s="465" t="s">
        <v>678</v>
      </c>
      <c r="H46" s="465" t="s">
        <v>679</v>
      </c>
      <c r="I46" s="468">
        <v>66.550003051757813</v>
      </c>
      <c r="J46" s="468">
        <v>120</v>
      </c>
      <c r="K46" s="469">
        <v>7986</v>
      </c>
    </row>
    <row r="47" spans="1:11" ht="14.45" customHeight="1" x14ac:dyDescent="0.2">
      <c r="A47" s="463" t="s">
        <v>436</v>
      </c>
      <c r="B47" s="464" t="s">
        <v>437</v>
      </c>
      <c r="C47" s="465" t="s">
        <v>444</v>
      </c>
      <c r="D47" s="466" t="s">
        <v>445</v>
      </c>
      <c r="E47" s="465" t="s">
        <v>662</v>
      </c>
      <c r="F47" s="466" t="s">
        <v>663</v>
      </c>
      <c r="G47" s="465" t="s">
        <v>680</v>
      </c>
      <c r="H47" s="465" t="s">
        <v>681</v>
      </c>
      <c r="I47" s="468">
        <v>11.739999771118164</v>
      </c>
      <c r="J47" s="468">
        <v>20</v>
      </c>
      <c r="K47" s="469">
        <v>234.80000305175781</v>
      </c>
    </row>
    <row r="48" spans="1:11" ht="14.45" customHeight="1" x14ac:dyDescent="0.2">
      <c r="A48" s="463" t="s">
        <v>436</v>
      </c>
      <c r="B48" s="464" t="s">
        <v>437</v>
      </c>
      <c r="C48" s="465" t="s">
        <v>444</v>
      </c>
      <c r="D48" s="466" t="s">
        <v>445</v>
      </c>
      <c r="E48" s="465" t="s">
        <v>662</v>
      </c>
      <c r="F48" s="466" t="s">
        <v>663</v>
      </c>
      <c r="G48" s="465" t="s">
        <v>682</v>
      </c>
      <c r="H48" s="465" t="s">
        <v>683</v>
      </c>
      <c r="I48" s="468">
        <v>13.310000419616699</v>
      </c>
      <c r="J48" s="468">
        <v>16</v>
      </c>
      <c r="K48" s="469">
        <v>212.96000671386719</v>
      </c>
    </row>
    <row r="49" spans="1:11" ht="14.45" customHeight="1" x14ac:dyDescent="0.2">
      <c r="A49" s="463" t="s">
        <v>436</v>
      </c>
      <c r="B49" s="464" t="s">
        <v>437</v>
      </c>
      <c r="C49" s="465" t="s">
        <v>444</v>
      </c>
      <c r="D49" s="466" t="s">
        <v>445</v>
      </c>
      <c r="E49" s="465" t="s">
        <v>662</v>
      </c>
      <c r="F49" s="466" t="s">
        <v>663</v>
      </c>
      <c r="G49" s="465" t="s">
        <v>680</v>
      </c>
      <c r="H49" s="465" t="s">
        <v>684</v>
      </c>
      <c r="I49" s="468">
        <v>11.733332951863607</v>
      </c>
      <c r="J49" s="468">
        <v>40</v>
      </c>
      <c r="K49" s="469">
        <v>469.35000610351563</v>
      </c>
    </row>
    <row r="50" spans="1:11" ht="14.45" customHeight="1" x14ac:dyDescent="0.2">
      <c r="A50" s="463" t="s">
        <v>436</v>
      </c>
      <c r="B50" s="464" t="s">
        <v>437</v>
      </c>
      <c r="C50" s="465" t="s">
        <v>444</v>
      </c>
      <c r="D50" s="466" t="s">
        <v>445</v>
      </c>
      <c r="E50" s="465" t="s">
        <v>662</v>
      </c>
      <c r="F50" s="466" t="s">
        <v>663</v>
      </c>
      <c r="G50" s="465" t="s">
        <v>682</v>
      </c>
      <c r="H50" s="465" t="s">
        <v>685</v>
      </c>
      <c r="I50" s="468">
        <v>13.310000419616699</v>
      </c>
      <c r="J50" s="468">
        <v>16</v>
      </c>
      <c r="K50" s="469">
        <v>212.96000671386719</v>
      </c>
    </row>
    <row r="51" spans="1:11" ht="14.45" customHeight="1" x14ac:dyDescent="0.2">
      <c r="A51" s="463" t="s">
        <v>436</v>
      </c>
      <c r="B51" s="464" t="s">
        <v>437</v>
      </c>
      <c r="C51" s="465" t="s">
        <v>444</v>
      </c>
      <c r="D51" s="466" t="s">
        <v>445</v>
      </c>
      <c r="E51" s="465" t="s">
        <v>662</v>
      </c>
      <c r="F51" s="466" t="s">
        <v>663</v>
      </c>
      <c r="G51" s="465" t="s">
        <v>678</v>
      </c>
      <c r="H51" s="465" t="s">
        <v>686</v>
      </c>
      <c r="I51" s="468">
        <v>66.550003051757813</v>
      </c>
      <c r="J51" s="468">
        <v>175</v>
      </c>
      <c r="K51" s="469">
        <v>11646.25</v>
      </c>
    </row>
    <row r="52" spans="1:11" ht="14.45" customHeight="1" x14ac:dyDescent="0.2">
      <c r="A52" s="463" t="s">
        <v>436</v>
      </c>
      <c r="B52" s="464" t="s">
        <v>437</v>
      </c>
      <c r="C52" s="465" t="s">
        <v>444</v>
      </c>
      <c r="D52" s="466" t="s">
        <v>445</v>
      </c>
      <c r="E52" s="465" t="s">
        <v>662</v>
      </c>
      <c r="F52" s="466" t="s">
        <v>663</v>
      </c>
      <c r="G52" s="465" t="s">
        <v>687</v>
      </c>
      <c r="H52" s="465" t="s">
        <v>688</v>
      </c>
      <c r="I52" s="468">
        <v>311.67999267578125</v>
      </c>
      <c r="J52" s="468">
        <v>5</v>
      </c>
      <c r="K52" s="469">
        <v>1558.3999633789063</v>
      </c>
    </row>
    <row r="53" spans="1:11" ht="14.45" customHeight="1" x14ac:dyDescent="0.2">
      <c r="A53" s="463" t="s">
        <v>436</v>
      </c>
      <c r="B53" s="464" t="s">
        <v>437</v>
      </c>
      <c r="C53" s="465" t="s">
        <v>444</v>
      </c>
      <c r="D53" s="466" t="s">
        <v>445</v>
      </c>
      <c r="E53" s="465" t="s">
        <v>662</v>
      </c>
      <c r="F53" s="466" t="s">
        <v>663</v>
      </c>
      <c r="G53" s="465" t="s">
        <v>689</v>
      </c>
      <c r="H53" s="465" t="s">
        <v>690</v>
      </c>
      <c r="I53" s="468">
        <v>184.58000183105469</v>
      </c>
      <c r="J53" s="468">
        <v>5</v>
      </c>
      <c r="K53" s="469">
        <v>922.89999389648438</v>
      </c>
    </row>
    <row r="54" spans="1:11" ht="14.45" customHeight="1" x14ac:dyDescent="0.2">
      <c r="A54" s="463" t="s">
        <v>436</v>
      </c>
      <c r="B54" s="464" t="s">
        <v>437</v>
      </c>
      <c r="C54" s="465" t="s">
        <v>444</v>
      </c>
      <c r="D54" s="466" t="s">
        <v>445</v>
      </c>
      <c r="E54" s="465" t="s">
        <v>662</v>
      </c>
      <c r="F54" s="466" t="s">
        <v>663</v>
      </c>
      <c r="G54" s="465" t="s">
        <v>691</v>
      </c>
      <c r="H54" s="465" t="s">
        <v>692</v>
      </c>
      <c r="I54" s="468">
        <v>214.00999450683594</v>
      </c>
      <c r="J54" s="468">
        <v>3</v>
      </c>
      <c r="K54" s="469">
        <v>642.030029296875</v>
      </c>
    </row>
    <row r="55" spans="1:11" ht="14.45" customHeight="1" x14ac:dyDescent="0.2">
      <c r="A55" s="463" t="s">
        <v>436</v>
      </c>
      <c r="B55" s="464" t="s">
        <v>437</v>
      </c>
      <c r="C55" s="465" t="s">
        <v>444</v>
      </c>
      <c r="D55" s="466" t="s">
        <v>445</v>
      </c>
      <c r="E55" s="465" t="s">
        <v>662</v>
      </c>
      <c r="F55" s="466" t="s">
        <v>663</v>
      </c>
      <c r="G55" s="465" t="s">
        <v>693</v>
      </c>
      <c r="H55" s="465" t="s">
        <v>694</v>
      </c>
      <c r="I55" s="468">
        <v>276.67001342773438</v>
      </c>
      <c r="J55" s="468">
        <v>10</v>
      </c>
      <c r="K55" s="469">
        <v>2766.669921875</v>
      </c>
    </row>
    <row r="56" spans="1:11" ht="14.45" customHeight="1" x14ac:dyDescent="0.2">
      <c r="A56" s="463" t="s">
        <v>436</v>
      </c>
      <c r="B56" s="464" t="s">
        <v>437</v>
      </c>
      <c r="C56" s="465" t="s">
        <v>444</v>
      </c>
      <c r="D56" s="466" t="s">
        <v>445</v>
      </c>
      <c r="E56" s="465" t="s">
        <v>662</v>
      </c>
      <c r="F56" s="466" t="s">
        <v>663</v>
      </c>
      <c r="G56" s="465" t="s">
        <v>695</v>
      </c>
      <c r="H56" s="465" t="s">
        <v>696</v>
      </c>
      <c r="I56" s="468">
        <v>448</v>
      </c>
      <c r="J56" s="468">
        <v>4</v>
      </c>
      <c r="K56" s="469">
        <v>1792</v>
      </c>
    </row>
    <row r="57" spans="1:11" ht="14.45" customHeight="1" x14ac:dyDescent="0.2">
      <c r="A57" s="463" t="s">
        <v>436</v>
      </c>
      <c r="B57" s="464" t="s">
        <v>437</v>
      </c>
      <c r="C57" s="465" t="s">
        <v>444</v>
      </c>
      <c r="D57" s="466" t="s">
        <v>445</v>
      </c>
      <c r="E57" s="465" t="s">
        <v>662</v>
      </c>
      <c r="F57" s="466" t="s">
        <v>663</v>
      </c>
      <c r="G57" s="465" t="s">
        <v>697</v>
      </c>
      <c r="H57" s="465" t="s">
        <v>698</v>
      </c>
      <c r="I57" s="468">
        <v>0.43000000715255737</v>
      </c>
      <c r="J57" s="468">
        <v>200</v>
      </c>
      <c r="K57" s="469">
        <v>86</v>
      </c>
    </row>
    <row r="58" spans="1:11" ht="14.45" customHeight="1" x14ac:dyDescent="0.2">
      <c r="A58" s="463" t="s">
        <v>436</v>
      </c>
      <c r="B58" s="464" t="s">
        <v>437</v>
      </c>
      <c r="C58" s="465" t="s">
        <v>444</v>
      </c>
      <c r="D58" s="466" t="s">
        <v>445</v>
      </c>
      <c r="E58" s="465" t="s">
        <v>662</v>
      </c>
      <c r="F58" s="466" t="s">
        <v>663</v>
      </c>
      <c r="G58" s="465" t="s">
        <v>699</v>
      </c>
      <c r="H58" s="465" t="s">
        <v>700</v>
      </c>
      <c r="I58" s="468">
        <v>0.4699999988079071</v>
      </c>
      <c r="J58" s="468">
        <v>600</v>
      </c>
      <c r="K58" s="469">
        <v>282</v>
      </c>
    </row>
    <row r="59" spans="1:11" ht="14.45" customHeight="1" x14ac:dyDescent="0.2">
      <c r="A59" s="463" t="s">
        <v>436</v>
      </c>
      <c r="B59" s="464" t="s">
        <v>437</v>
      </c>
      <c r="C59" s="465" t="s">
        <v>444</v>
      </c>
      <c r="D59" s="466" t="s">
        <v>445</v>
      </c>
      <c r="E59" s="465" t="s">
        <v>662</v>
      </c>
      <c r="F59" s="466" t="s">
        <v>663</v>
      </c>
      <c r="G59" s="465" t="s">
        <v>699</v>
      </c>
      <c r="H59" s="465" t="s">
        <v>701</v>
      </c>
      <c r="I59" s="468">
        <v>0.47999998927116394</v>
      </c>
      <c r="J59" s="468">
        <v>600</v>
      </c>
      <c r="K59" s="469">
        <v>288</v>
      </c>
    </row>
    <row r="60" spans="1:11" ht="14.45" customHeight="1" x14ac:dyDescent="0.2">
      <c r="A60" s="463" t="s">
        <v>436</v>
      </c>
      <c r="B60" s="464" t="s">
        <v>437</v>
      </c>
      <c r="C60" s="465" t="s">
        <v>444</v>
      </c>
      <c r="D60" s="466" t="s">
        <v>445</v>
      </c>
      <c r="E60" s="465" t="s">
        <v>662</v>
      </c>
      <c r="F60" s="466" t="s">
        <v>663</v>
      </c>
      <c r="G60" s="465" t="s">
        <v>699</v>
      </c>
      <c r="H60" s="465" t="s">
        <v>702</v>
      </c>
      <c r="I60" s="468">
        <v>0.4699999988079071</v>
      </c>
      <c r="J60" s="468">
        <v>300</v>
      </c>
      <c r="K60" s="469">
        <v>141</v>
      </c>
    </row>
    <row r="61" spans="1:11" ht="14.45" customHeight="1" x14ac:dyDescent="0.2">
      <c r="A61" s="463" t="s">
        <v>436</v>
      </c>
      <c r="B61" s="464" t="s">
        <v>437</v>
      </c>
      <c r="C61" s="465" t="s">
        <v>444</v>
      </c>
      <c r="D61" s="466" t="s">
        <v>445</v>
      </c>
      <c r="E61" s="465" t="s">
        <v>662</v>
      </c>
      <c r="F61" s="466" t="s">
        <v>663</v>
      </c>
      <c r="G61" s="465" t="s">
        <v>699</v>
      </c>
      <c r="H61" s="465" t="s">
        <v>703</v>
      </c>
      <c r="I61" s="468">
        <v>0.47999998927116394</v>
      </c>
      <c r="J61" s="468">
        <v>300</v>
      </c>
      <c r="K61" s="469">
        <v>144</v>
      </c>
    </row>
    <row r="62" spans="1:11" ht="14.45" customHeight="1" x14ac:dyDescent="0.2">
      <c r="A62" s="463" t="s">
        <v>436</v>
      </c>
      <c r="B62" s="464" t="s">
        <v>437</v>
      </c>
      <c r="C62" s="465" t="s">
        <v>444</v>
      </c>
      <c r="D62" s="466" t="s">
        <v>445</v>
      </c>
      <c r="E62" s="465" t="s">
        <v>662</v>
      </c>
      <c r="F62" s="466" t="s">
        <v>663</v>
      </c>
      <c r="G62" s="465" t="s">
        <v>704</v>
      </c>
      <c r="H62" s="465" t="s">
        <v>705</v>
      </c>
      <c r="I62" s="468">
        <v>0.57999998331069946</v>
      </c>
      <c r="J62" s="468">
        <v>1000</v>
      </c>
      <c r="K62" s="469">
        <v>580</v>
      </c>
    </row>
    <row r="63" spans="1:11" ht="14.45" customHeight="1" x14ac:dyDescent="0.2">
      <c r="A63" s="463" t="s">
        <v>436</v>
      </c>
      <c r="B63" s="464" t="s">
        <v>437</v>
      </c>
      <c r="C63" s="465" t="s">
        <v>444</v>
      </c>
      <c r="D63" s="466" t="s">
        <v>445</v>
      </c>
      <c r="E63" s="465" t="s">
        <v>662</v>
      </c>
      <c r="F63" s="466" t="s">
        <v>663</v>
      </c>
      <c r="G63" s="465" t="s">
        <v>706</v>
      </c>
      <c r="H63" s="465" t="s">
        <v>707</v>
      </c>
      <c r="I63" s="468">
        <v>0.67000001668930054</v>
      </c>
      <c r="J63" s="468">
        <v>1700</v>
      </c>
      <c r="K63" s="469">
        <v>1139</v>
      </c>
    </row>
    <row r="64" spans="1:11" ht="14.45" customHeight="1" x14ac:dyDescent="0.2">
      <c r="A64" s="463" t="s">
        <v>436</v>
      </c>
      <c r="B64" s="464" t="s">
        <v>437</v>
      </c>
      <c r="C64" s="465" t="s">
        <v>444</v>
      </c>
      <c r="D64" s="466" t="s">
        <v>445</v>
      </c>
      <c r="E64" s="465" t="s">
        <v>662</v>
      </c>
      <c r="F64" s="466" t="s">
        <v>663</v>
      </c>
      <c r="G64" s="465" t="s">
        <v>706</v>
      </c>
      <c r="H64" s="465" t="s">
        <v>708</v>
      </c>
      <c r="I64" s="468">
        <v>0.67000001668930054</v>
      </c>
      <c r="J64" s="468">
        <v>1600</v>
      </c>
      <c r="K64" s="469">
        <v>1072</v>
      </c>
    </row>
    <row r="65" spans="1:11" ht="14.45" customHeight="1" x14ac:dyDescent="0.2">
      <c r="A65" s="463" t="s">
        <v>436</v>
      </c>
      <c r="B65" s="464" t="s">
        <v>437</v>
      </c>
      <c r="C65" s="465" t="s">
        <v>444</v>
      </c>
      <c r="D65" s="466" t="s">
        <v>445</v>
      </c>
      <c r="E65" s="465" t="s">
        <v>662</v>
      </c>
      <c r="F65" s="466" t="s">
        <v>663</v>
      </c>
      <c r="G65" s="465" t="s">
        <v>709</v>
      </c>
      <c r="H65" s="465" t="s">
        <v>710</v>
      </c>
      <c r="I65" s="468">
        <v>6.309999942779541</v>
      </c>
      <c r="J65" s="468">
        <v>100</v>
      </c>
      <c r="K65" s="469">
        <v>631.16998291015625</v>
      </c>
    </row>
    <row r="66" spans="1:11" ht="14.45" customHeight="1" x14ac:dyDescent="0.2">
      <c r="A66" s="463" t="s">
        <v>436</v>
      </c>
      <c r="B66" s="464" t="s">
        <v>437</v>
      </c>
      <c r="C66" s="465" t="s">
        <v>444</v>
      </c>
      <c r="D66" s="466" t="s">
        <v>445</v>
      </c>
      <c r="E66" s="465" t="s">
        <v>662</v>
      </c>
      <c r="F66" s="466" t="s">
        <v>663</v>
      </c>
      <c r="G66" s="465" t="s">
        <v>711</v>
      </c>
      <c r="H66" s="465" t="s">
        <v>712</v>
      </c>
      <c r="I66" s="468">
        <v>1.0900000333786011</v>
      </c>
      <c r="J66" s="468">
        <v>300</v>
      </c>
      <c r="K66" s="469">
        <v>327</v>
      </c>
    </row>
    <row r="67" spans="1:11" ht="14.45" customHeight="1" x14ac:dyDescent="0.2">
      <c r="A67" s="463" t="s">
        <v>436</v>
      </c>
      <c r="B67" s="464" t="s">
        <v>437</v>
      </c>
      <c r="C67" s="465" t="s">
        <v>444</v>
      </c>
      <c r="D67" s="466" t="s">
        <v>445</v>
      </c>
      <c r="E67" s="465" t="s">
        <v>662</v>
      </c>
      <c r="F67" s="466" t="s">
        <v>663</v>
      </c>
      <c r="G67" s="465" t="s">
        <v>699</v>
      </c>
      <c r="H67" s="465" t="s">
        <v>713</v>
      </c>
      <c r="I67" s="468">
        <v>0.47333332896232605</v>
      </c>
      <c r="J67" s="468">
        <v>2900</v>
      </c>
      <c r="K67" s="469">
        <v>1370</v>
      </c>
    </row>
    <row r="68" spans="1:11" ht="14.45" customHeight="1" x14ac:dyDescent="0.2">
      <c r="A68" s="463" t="s">
        <v>436</v>
      </c>
      <c r="B68" s="464" t="s">
        <v>437</v>
      </c>
      <c r="C68" s="465" t="s">
        <v>444</v>
      </c>
      <c r="D68" s="466" t="s">
        <v>445</v>
      </c>
      <c r="E68" s="465" t="s">
        <v>662</v>
      </c>
      <c r="F68" s="466" t="s">
        <v>663</v>
      </c>
      <c r="G68" s="465" t="s">
        <v>706</v>
      </c>
      <c r="H68" s="465" t="s">
        <v>714</v>
      </c>
      <c r="I68" s="468">
        <v>0.67000001668930054</v>
      </c>
      <c r="J68" s="468">
        <v>6300</v>
      </c>
      <c r="K68" s="469">
        <v>4221</v>
      </c>
    </row>
    <row r="69" spans="1:11" ht="14.45" customHeight="1" x14ac:dyDescent="0.2">
      <c r="A69" s="463" t="s">
        <v>436</v>
      </c>
      <c r="B69" s="464" t="s">
        <v>437</v>
      </c>
      <c r="C69" s="465" t="s">
        <v>444</v>
      </c>
      <c r="D69" s="466" t="s">
        <v>445</v>
      </c>
      <c r="E69" s="465" t="s">
        <v>662</v>
      </c>
      <c r="F69" s="466" t="s">
        <v>663</v>
      </c>
      <c r="G69" s="465" t="s">
        <v>715</v>
      </c>
      <c r="H69" s="465" t="s">
        <v>716</v>
      </c>
      <c r="I69" s="468">
        <v>21.232499599456787</v>
      </c>
      <c r="J69" s="468">
        <v>200</v>
      </c>
      <c r="K69" s="469">
        <v>4246.5</v>
      </c>
    </row>
    <row r="70" spans="1:11" ht="14.45" customHeight="1" x14ac:dyDescent="0.2">
      <c r="A70" s="463" t="s">
        <v>436</v>
      </c>
      <c r="B70" s="464" t="s">
        <v>437</v>
      </c>
      <c r="C70" s="465" t="s">
        <v>444</v>
      </c>
      <c r="D70" s="466" t="s">
        <v>445</v>
      </c>
      <c r="E70" s="465" t="s">
        <v>662</v>
      </c>
      <c r="F70" s="466" t="s">
        <v>663</v>
      </c>
      <c r="G70" s="465" t="s">
        <v>715</v>
      </c>
      <c r="H70" s="465" t="s">
        <v>717</v>
      </c>
      <c r="I70" s="468">
        <v>21.239999771118164</v>
      </c>
      <c r="J70" s="468">
        <v>150</v>
      </c>
      <c r="K70" s="469">
        <v>3186</v>
      </c>
    </row>
    <row r="71" spans="1:11" ht="14.45" customHeight="1" x14ac:dyDescent="0.2">
      <c r="A71" s="463" t="s">
        <v>436</v>
      </c>
      <c r="B71" s="464" t="s">
        <v>437</v>
      </c>
      <c r="C71" s="465" t="s">
        <v>444</v>
      </c>
      <c r="D71" s="466" t="s">
        <v>445</v>
      </c>
      <c r="E71" s="465" t="s">
        <v>662</v>
      </c>
      <c r="F71" s="466" t="s">
        <v>663</v>
      </c>
      <c r="G71" s="465" t="s">
        <v>718</v>
      </c>
      <c r="H71" s="465" t="s">
        <v>719</v>
      </c>
      <c r="I71" s="468">
        <v>41.139999389648438</v>
      </c>
      <c r="J71" s="468">
        <v>72</v>
      </c>
      <c r="K71" s="469">
        <v>2962.080078125</v>
      </c>
    </row>
    <row r="72" spans="1:11" ht="14.45" customHeight="1" x14ac:dyDescent="0.2">
      <c r="A72" s="463" t="s">
        <v>436</v>
      </c>
      <c r="B72" s="464" t="s">
        <v>437</v>
      </c>
      <c r="C72" s="465" t="s">
        <v>444</v>
      </c>
      <c r="D72" s="466" t="s">
        <v>445</v>
      </c>
      <c r="E72" s="465" t="s">
        <v>662</v>
      </c>
      <c r="F72" s="466" t="s">
        <v>663</v>
      </c>
      <c r="G72" s="465" t="s">
        <v>718</v>
      </c>
      <c r="H72" s="465" t="s">
        <v>720</v>
      </c>
      <c r="I72" s="468">
        <v>41.139999389648438</v>
      </c>
      <c r="J72" s="468">
        <v>36</v>
      </c>
      <c r="K72" s="469">
        <v>1481.0400390625</v>
      </c>
    </row>
    <row r="73" spans="1:11" ht="14.45" customHeight="1" x14ac:dyDescent="0.2">
      <c r="A73" s="463" t="s">
        <v>436</v>
      </c>
      <c r="B73" s="464" t="s">
        <v>437</v>
      </c>
      <c r="C73" s="465" t="s">
        <v>444</v>
      </c>
      <c r="D73" s="466" t="s">
        <v>445</v>
      </c>
      <c r="E73" s="465" t="s">
        <v>721</v>
      </c>
      <c r="F73" s="466" t="s">
        <v>722</v>
      </c>
      <c r="G73" s="465" t="s">
        <v>723</v>
      </c>
      <c r="H73" s="465" t="s">
        <v>724</v>
      </c>
      <c r="I73" s="468">
        <v>37.720001220703125</v>
      </c>
      <c r="J73" s="468">
        <v>144</v>
      </c>
      <c r="K73" s="469">
        <v>5431.68017578125</v>
      </c>
    </row>
    <row r="74" spans="1:11" ht="14.45" customHeight="1" x14ac:dyDescent="0.2">
      <c r="A74" s="463" t="s">
        <v>436</v>
      </c>
      <c r="B74" s="464" t="s">
        <v>437</v>
      </c>
      <c r="C74" s="465" t="s">
        <v>444</v>
      </c>
      <c r="D74" s="466" t="s">
        <v>445</v>
      </c>
      <c r="E74" s="465" t="s">
        <v>721</v>
      </c>
      <c r="F74" s="466" t="s">
        <v>722</v>
      </c>
      <c r="G74" s="465" t="s">
        <v>725</v>
      </c>
      <c r="H74" s="465" t="s">
        <v>726</v>
      </c>
      <c r="I74" s="468">
        <v>96.30999755859375</v>
      </c>
      <c r="J74" s="468">
        <v>96</v>
      </c>
      <c r="K74" s="469">
        <v>9246</v>
      </c>
    </row>
    <row r="75" spans="1:11" ht="14.45" customHeight="1" x14ac:dyDescent="0.2">
      <c r="A75" s="463" t="s">
        <v>436</v>
      </c>
      <c r="B75" s="464" t="s">
        <v>437</v>
      </c>
      <c r="C75" s="465" t="s">
        <v>444</v>
      </c>
      <c r="D75" s="466" t="s">
        <v>445</v>
      </c>
      <c r="E75" s="465" t="s">
        <v>721</v>
      </c>
      <c r="F75" s="466" t="s">
        <v>722</v>
      </c>
      <c r="G75" s="465" t="s">
        <v>727</v>
      </c>
      <c r="H75" s="465" t="s">
        <v>728</v>
      </c>
      <c r="I75" s="468">
        <v>67.419998168945313</v>
      </c>
      <c r="J75" s="468">
        <v>24</v>
      </c>
      <c r="K75" s="469">
        <v>1618.18994140625</v>
      </c>
    </row>
    <row r="76" spans="1:11" ht="14.45" customHeight="1" x14ac:dyDescent="0.2">
      <c r="A76" s="463" t="s">
        <v>436</v>
      </c>
      <c r="B76" s="464" t="s">
        <v>437</v>
      </c>
      <c r="C76" s="465" t="s">
        <v>444</v>
      </c>
      <c r="D76" s="466" t="s">
        <v>445</v>
      </c>
      <c r="E76" s="465" t="s">
        <v>721</v>
      </c>
      <c r="F76" s="466" t="s">
        <v>722</v>
      </c>
      <c r="G76" s="465" t="s">
        <v>729</v>
      </c>
      <c r="H76" s="465" t="s">
        <v>730</v>
      </c>
      <c r="I76" s="468">
        <v>74.160003662109375</v>
      </c>
      <c r="J76" s="468">
        <v>72</v>
      </c>
      <c r="K76" s="469">
        <v>5339.22021484375</v>
      </c>
    </row>
    <row r="77" spans="1:11" ht="14.45" customHeight="1" x14ac:dyDescent="0.2">
      <c r="A77" s="463" t="s">
        <v>436</v>
      </c>
      <c r="B77" s="464" t="s">
        <v>437</v>
      </c>
      <c r="C77" s="465" t="s">
        <v>444</v>
      </c>
      <c r="D77" s="466" t="s">
        <v>445</v>
      </c>
      <c r="E77" s="465" t="s">
        <v>721</v>
      </c>
      <c r="F77" s="466" t="s">
        <v>722</v>
      </c>
      <c r="G77" s="465" t="s">
        <v>731</v>
      </c>
      <c r="H77" s="465" t="s">
        <v>732</v>
      </c>
      <c r="I77" s="468">
        <v>72.69000244140625</v>
      </c>
      <c r="J77" s="468">
        <v>36</v>
      </c>
      <c r="K77" s="469">
        <v>2616.830078125</v>
      </c>
    </row>
    <row r="78" spans="1:11" ht="14.45" customHeight="1" x14ac:dyDescent="0.2">
      <c r="A78" s="463" t="s">
        <v>436</v>
      </c>
      <c r="B78" s="464" t="s">
        <v>437</v>
      </c>
      <c r="C78" s="465" t="s">
        <v>444</v>
      </c>
      <c r="D78" s="466" t="s">
        <v>445</v>
      </c>
      <c r="E78" s="465" t="s">
        <v>721</v>
      </c>
      <c r="F78" s="466" t="s">
        <v>722</v>
      </c>
      <c r="G78" s="465" t="s">
        <v>733</v>
      </c>
      <c r="H78" s="465" t="s">
        <v>734</v>
      </c>
      <c r="I78" s="468">
        <v>60.349998474121094</v>
      </c>
      <c r="J78" s="468">
        <v>24</v>
      </c>
      <c r="K78" s="469">
        <v>1448.4000244140625</v>
      </c>
    </row>
    <row r="79" spans="1:11" ht="14.45" customHeight="1" x14ac:dyDescent="0.2">
      <c r="A79" s="463" t="s">
        <v>436</v>
      </c>
      <c r="B79" s="464" t="s">
        <v>437</v>
      </c>
      <c r="C79" s="465" t="s">
        <v>444</v>
      </c>
      <c r="D79" s="466" t="s">
        <v>445</v>
      </c>
      <c r="E79" s="465" t="s">
        <v>721</v>
      </c>
      <c r="F79" s="466" t="s">
        <v>722</v>
      </c>
      <c r="G79" s="465" t="s">
        <v>723</v>
      </c>
      <c r="H79" s="465" t="s">
        <v>735</v>
      </c>
      <c r="I79" s="468">
        <v>37.720001220703125</v>
      </c>
      <c r="J79" s="468">
        <v>36</v>
      </c>
      <c r="K79" s="469">
        <v>1357.9200439453125</v>
      </c>
    </row>
    <row r="80" spans="1:11" ht="14.45" customHeight="1" x14ac:dyDescent="0.2">
      <c r="A80" s="463" t="s">
        <v>436</v>
      </c>
      <c r="B80" s="464" t="s">
        <v>437</v>
      </c>
      <c r="C80" s="465" t="s">
        <v>444</v>
      </c>
      <c r="D80" s="466" t="s">
        <v>445</v>
      </c>
      <c r="E80" s="465" t="s">
        <v>721</v>
      </c>
      <c r="F80" s="466" t="s">
        <v>722</v>
      </c>
      <c r="G80" s="465" t="s">
        <v>736</v>
      </c>
      <c r="H80" s="465" t="s">
        <v>737</v>
      </c>
      <c r="I80" s="468">
        <v>39.680000305175781</v>
      </c>
      <c r="J80" s="468">
        <v>36</v>
      </c>
      <c r="K80" s="469">
        <v>1428.300048828125</v>
      </c>
    </row>
    <row r="81" spans="1:11" ht="14.45" customHeight="1" x14ac:dyDescent="0.2">
      <c r="A81" s="463" t="s">
        <v>436</v>
      </c>
      <c r="B81" s="464" t="s">
        <v>437</v>
      </c>
      <c r="C81" s="465" t="s">
        <v>444</v>
      </c>
      <c r="D81" s="466" t="s">
        <v>445</v>
      </c>
      <c r="E81" s="465" t="s">
        <v>721</v>
      </c>
      <c r="F81" s="466" t="s">
        <v>722</v>
      </c>
      <c r="G81" s="465" t="s">
        <v>725</v>
      </c>
      <c r="H81" s="465" t="s">
        <v>738</v>
      </c>
      <c r="I81" s="468">
        <v>96.313331604003906</v>
      </c>
      <c r="J81" s="468">
        <v>96</v>
      </c>
      <c r="K81" s="469">
        <v>9246.179931640625</v>
      </c>
    </row>
    <row r="82" spans="1:11" ht="14.45" customHeight="1" x14ac:dyDescent="0.2">
      <c r="A82" s="463" t="s">
        <v>436</v>
      </c>
      <c r="B82" s="464" t="s">
        <v>437</v>
      </c>
      <c r="C82" s="465" t="s">
        <v>444</v>
      </c>
      <c r="D82" s="466" t="s">
        <v>445</v>
      </c>
      <c r="E82" s="465" t="s">
        <v>721</v>
      </c>
      <c r="F82" s="466" t="s">
        <v>722</v>
      </c>
      <c r="G82" s="465" t="s">
        <v>727</v>
      </c>
      <c r="H82" s="465" t="s">
        <v>739</v>
      </c>
      <c r="I82" s="468">
        <v>67.419998168945313</v>
      </c>
      <c r="J82" s="468">
        <v>24</v>
      </c>
      <c r="K82" s="469">
        <v>1618.1099853515625</v>
      </c>
    </row>
    <row r="83" spans="1:11" ht="14.45" customHeight="1" x14ac:dyDescent="0.2">
      <c r="A83" s="463" t="s">
        <v>436</v>
      </c>
      <c r="B83" s="464" t="s">
        <v>437</v>
      </c>
      <c r="C83" s="465" t="s">
        <v>444</v>
      </c>
      <c r="D83" s="466" t="s">
        <v>445</v>
      </c>
      <c r="E83" s="465" t="s">
        <v>721</v>
      </c>
      <c r="F83" s="466" t="s">
        <v>722</v>
      </c>
      <c r="G83" s="465" t="s">
        <v>740</v>
      </c>
      <c r="H83" s="465" t="s">
        <v>741</v>
      </c>
      <c r="I83" s="468">
        <v>113.08000183105469</v>
      </c>
      <c r="J83" s="468">
        <v>72</v>
      </c>
      <c r="K83" s="469">
        <v>8142</v>
      </c>
    </row>
    <row r="84" spans="1:11" ht="14.45" customHeight="1" x14ac:dyDescent="0.2">
      <c r="A84" s="463" t="s">
        <v>436</v>
      </c>
      <c r="B84" s="464" t="s">
        <v>437</v>
      </c>
      <c r="C84" s="465" t="s">
        <v>444</v>
      </c>
      <c r="D84" s="466" t="s">
        <v>445</v>
      </c>
      <c r="E84" s="465" t="s">
        <v>721</v>
      </c>
      <c r="F84" s="466" t="s">
        <v>722</v>
      </c>
      <c r="G84" s="465" t="s">
        <v>742</v>
      </c>
      <c r="H84" s="465" t="s">
        <v>743</v>
      </c>
      <c r="I84" s="468">
        <v>60.380001068115234</v>
      </c>
      <c r="J84" s="468">
        <v>24</v>
      </c>
      <c r="K84" s="469">
        <v>1449</v>
      </c>
    </row>
    <row r="85" spans="1:11" ht="14.45" customHeight="1" x14ac:dyDescent="0.2">
      <c r="A85" s="463" t="s">
        <v>436</v>
      </c>
      <c r="B85" s="464" t="s">
        <v>437</v>
      </c>
      <c r="C85" s="465" t="s">
        <v>444</v>
      </c>
      <c r="D85" s="466" t="s">
        <v>445</v>
      </c>
      <c r="E85" s="465" t="s">
        <v>721</v>
      </c>
      <c r="F85" s="466" t="s">
        <v>722</v>
      </c>
      <c r="G85" s="465" t="s">
        <v>744</v>
      </c>
      <c r="H85" s="465" t="s">
        <v>745</v>
      </c>
      <c r="I85" s="468">
        <v>40.139999389648438</v>
      </c>
      <c r="J85" s="468">
        <v>72</v>
      </c>
      <c r="K85" s="469">
        <v>2890.179931640625</v>
      </c>
    </row>
    <row r="86" spans="1:11" ht="14.45" customHeight="1" x14ac:dyDescent="0.2">
      <c r="A86" s="463" t="s">
        <v>436</v>
      </c>
      <c r="B86" s="464" t="s">
        <v>437</v>
      </c>
      <c r="C86" s="465" t="s">
        <v>444</v>
      </c>
      <c r="D86" s="466" t="s">
        <v>445</v>
      </c>
      <c r="E86" s="465" t="s">
        <v>721</v>
      </c>
      <c r="F86" s="466" t="s">
        <v>722</v>
      </c>
      <c r="G86" s="465" t="s">
        <v>746</v>
      </c>
      <c r="H86" s="465" t="s">
        <v>747</v>
      </c>
      <c r="I86" s="468">
        <v>30.200000762939453</v>
      </c>
      <c r="J86" s="468">
        <v>36</v>
      </c>
      <c r="K86" s="469">
        <v>1087.2099609375</v>
      </c>
    </row>
    <row r="87" spans="1:11" ht="14.45" customHeight="1" x14ac:dyDescent="0.2">
      <c r="A87" s="463" t="s">
        <v>436</v>
      </c>
      <c r="B87" s="464" t="s">
        <v>437</v>
      </c>
      <c r="C87" s="465" t="s">
        <v>444</v>
      </c>
      <c r="D87" s="466" t="s">
        <v>445</v>
      </c>
      <c r="E87" s="465" t="s">
        <v>721</v>
      </c>
      <c r="F87" s="466" t="s">
        <v>722</v>
      </c>
      <c r="G87" s="465" t="s">
        <v>748</v>
      </c>
      <c r="H87" s="465" t="s">
        <v>749</v>
      </c>
      <c r="I87" s="468">
        <v>42.099998474121094</v>
      </c>
      <c r="J87" s="468">
        <v>108</v>
      </c>
      <c r="K87" s="469">
        <v>4547.10009765625</v>
      </c>
    </row>
    <row r="88" spans="1:11" ht="14.45" customHeight="1" x14ac:dyDescent="0.2">
      <c r="A88" s="463" t="s">
        <v>436</v>
      </c>
      <c r="B88" s="464" t="s">
        <v>437</v>
      </c>
      <c r="C88" s="465" t="s">
        <v>444</v>
      </c>
      <c r="D88" s="466" t="s">
        <v>445</v>
      </c>
      <c r="E88" s="465" t="s">
        <v>721</v>
      </c>
      <c r="F88" s="466" t="s">
        <v>722</v>
      </c>
      <c r="G88" s="465" t="s">
        <v>750</v>
      </c>
      <c r="H88" s="465" t="s">
        <v>751</v>
      </c>
      <c r="I88" s="468">
        <v>41.290000915527344</v>
      </c>
      <c r="J88" s="468">
        <v>36</v>
      </c>
      <c r="K88" s="469">
        <v>1486.3800048828125</v>
      </c>
    </row>
    <row r="89" spans="1:11" ht="14.45" customHeight="1" x14ac:dyDescent="0.2">
      <c r="A89" s="463" t="s">
        <v>436</v>
      </c>
      <c r="B89" s="464" t="s">
        <v>437</v>
      </c>
      <c r="C89" s="465" t="s">
        <v>444</v>
      </c>
      <c r="D89" s="466" t="s">
        <v>445</v>
      </c>
      <c r="E89" s="465" t="s">
        <v>721</v>
      </c>
      <c r="F89" s="466" t="s">
        <v>722</v>
      </c>
      <c r="G89" s="465" t="s">
        <v>752</v>
      </c>
      <c r="H89" s="465" t="s">
        <v>753</v>
      </c>
      <c r="I89" s="468">
        <v>40.200000762939453</v>
      </c>
      <c r="J89" s="468">
        <v>72</v>
      </c>
      <c r="K89" s="469">
        <v>2894.320068359375</v>
      </c>
    </row>
    <row r="90" spans="1:11" ht="14.45" customHeight="1" x14ac:dyDescent="0.2">
      <c r="A90" s="463" t="s">
        <v>436</v>
      </c>
      <c r="B90" s="464" t="s">
        <v>437</v>
      </c>
      <c r="C90" s="465" t="s">
        <v>444</v>
      </c>
      <c r="D90" s="466" t="s">
        <v>445</v>
      </c>
      <c r="E90" s="465" t="s">
        <v>754</v>
      </c>
      <c r="F90" s="466" t="s">
        <v>755</v>
      </c>
      <c r="G90" s="465" t="s">
        <v>756</v>
      </c>
      <c r="H90" s="465" t="s">
        <v>757</v>
      </c>
      <c r="I90" s="468">
        <v>0.30000001192092896</v>
      </c>
      <c r="J90" s="468">
        <v>300</v>
      </c>
      <c r="K90" s="469">
        <v>90</v>
      </c>
    </row>
    <row r="91" spans="1:11" ht="14.45" customHeight="1" x14ac:dyDescent="0.2">
      <c r="A91" s="463" t="s">
        <v>436</v>
      </c>
      <c r="B91" s="464" t="s">
        <v>437</v>
      </c>
      <c r="C91" s="465" t="s">
        <v>444</v>
      </c>
      <c r="D91" s="466" t="s">
        <v>445</v>
      </c>
      <c r="E91" s="465" t="s">
        <v>754</v>
      </c>
      <c r="F91" s="466" t="s">
        <v>755</v>
      </c>
      <c r="G91" s="465" t="s">
        <v>758</v>
      </c>
      <c r="H91" s="465" t="s">
        <v>759</v>
      </c>
      <c r="I91" s="468">
        <v>0.30200001001358034</v>
      </c>
      <c r="J91" s="468">
        <v>2300</v>
      </c>
      <c r="K91" s="469">
        <v>696</v>
      </c>
    </row>
    <row r="92" spans="1:11" ht="14.45" customHeight="1" x14ac:dyDescent="0.2">
      <c r="A92" s="463" t="s">
        <v>436</v>
      </c>
      <c r="B92" s="464" t="s">
        <v>437</v>
      </c>
      <c r="C92" s="465" t="s">
        <v>444</v>
      </c>
      <c r="D92" s="466" t="s">
        <v>445</v>
      </c>
      <c r="E92" s="465" t="s">
        <v>754</v>
      </c>
      <c r="F92" s="466" t="s">
        <v>755</v>
      </c>
      <c r="G92" s="465" t="s">
        <v>760</v>
      </c>
      <c r="H92" s="465" t="s">
        <v>761</v>
      </c>
      <c r="I92" s="468">
        <v>0.54000002145767212</v>
      </c>
      <c r="J92" s="468">
        <v>100</v>
      </c>
      <c r="K92" s="469">
        <v>54</v>
      </c>
    </row>
    <row r="93" spans="1:11" ht="14.45" customHeight="1" x14ac:dyDescent="0.2">
      <c r="A93" s="463" t="s">
        <v>436</v>
      </c>
      <c r="B93" s="464" t="s">
        <v>437</v>
      </c>
      <c r="C93" s="465" t="s">
        <v>444</v>
      </c>
      <c r="D93" s="466" t="s">
        <v>445</v>
      </c>
      <c r="E93" s="465" t="s">
        <v>754</v>
      </c>
      <c r="F93" s="466" t="s">
        <v>755</v>
      </c>
      <c r="G93" s="465" t="s">
        <v>756</v>
      </c>
      <c r="H93" s="465" t="s">
        <v>762</v>
      </c>
      <c r="I93" s="468">
        <v>0.30400000810623168</v>
      </c>
      <c r="J93" s="468">
        <v>2300</v>
      </c>
      <c r="K93" s="469">
        <v>700</v>
      </c>
    </row>
    <row r="94" spans="1:11" ht="14.45" customHeight="1" x14ac:dyDescent="0.2">
      <c r="A94" s="463" t="s">
        <v>436</v>
      </c>
      <c r="B94" s="464" t="s">
        <v>437</v>
      </c>
      <c r="C94" s="465" t="s">
        <v>444</v>
      </c>
      <c r="D94" s="466" t="s">
        <v>445</v>
      </c>
      <c r="E94" s="465" t="s">
        <v>754</v>
      </c>
      <c r="F94" s="466" t="s">
        <v>755</v>
      </c>
      <c r="G94" s="465" t="s">
        <v>758</v>
      </c>
      <c r="H94" s="465" t="s">
        <v>763</v>
      </c>
      <c r="I94" s="468">
        <v>0.30200001001358034</v>
      </c>
      <c r="J94" s="468">
        <v>2500</v>
      </c>
      <c r="K94" s="469">
        <v>755</v>
      </c>
    </row>
    <row r="95" spans="1:11" ht="14.45" customHeight="1" x14ac:dyDescent="0.2">
      <c r="A95" s="463" t="s">
        <v>436</v>
      </c>
      <c r="B95" s="464" t="s">
        <v>437</v>
      </c>
      <c r="C95" s="465" t="s">
        <v>444</v>
      </c>
      <c r="D95" s="466" t="s">
        <v>445</v>
      </c>
      <c r="E95" s="465" t="s">
        <v>754</v>
      </c>
      <c r="F95" s="466" t="s">
        <v>755</v>
      </c>
      <c r="G95" s="465" t="s">
        <v>764</v>
      </c>
      <c r="H95" s="465" t="s">
        <v>765</v>
      </c>
      <c r="I95" s="468">
        <v>3.8399999141693115</v>
      </c>
      <c r="J95" s="468">
        <v>200</v>
      </c>
      <c r="K95" s="469">
        <v>767.969970703125</v>
      </c>
    </row>
    <row r="96" spans="1:11" ht="14.45" customHeight="1" x14ac:dyDescent="0.2">
      <c r="A96" s="463" t="s">
        <v>436</v>
      </c>
      <c r="B96" s="464" t="s">
        <v>437</v>
      </c>
      <c r="C96" s="465" t="s">
        <v>444</v>
      </c>
      <c r="D96" s="466" t="s">
        <v>445</v>
      </c>
      <c r="E96" s="465" t="s">
        <v>754</v>
      </c>
      <c r="F96" s="466" t="s">
        <v>755</v>
      </c>
      <c r="G96" s="465" t="s">
        <v>764</v>
      </c>
      <c r="H96" s="465" t="s">
        <v>766</v>
      </c>
      <c r="I96" s="468">
        <v>3.8399999141693115</v>
      </c>
      <c r="J96" s="468">
        <v>300</v>
      </c>
      <c r="K96" s="469">
        <v>1152.02001953125</v>
      </c>
    </row>
    <row r="97" spans="1:11" ht="14.45" customHeight="1" x14ac:dyDescent="0.2">
      <c r="A97" s="463" t="s">
        <v>436</v>
      </c>
      <c r="B97" s="464" t="s">
        <v>437</v>
      </c>
      <c r="C97" s="465" t="s">
        <v>444</v>
      </c>
      <c r="D97" s="466" t="s">
        <v>445</v>
      </c>
      <c r="E97" s="465" t="s">
        <v>754</v>
      </c>
      <c r="F97" s="466" t="s">
        <v>755</v>
      </c>
      <c r="G97" s="465" t="s">
        <v>767</v>
      </c>
      <c r="H97" s="465" t="s">
        <v>768</v>
      </c>
      <c r="I97" s="468">
        <v>0.96800001859664919</v>
      </c>
      <c r="J97" s="468">
        <v>2800</v>
      </c>
      <c r="K97" s="469">
        <v>2706</v>
      </c>
    </row>
    <row r="98" spans="1:11" ht="14.45" customHeight="1" x14ac:dyDescent="0.2">
      <c r="A98" s="463" t="s">
        <v>436</v>
      </c>
      <c r="B98" s="464" t="s">
        <v>437</v>
      </c>
      <c r="C98" s="465" t="s">
        <v>444</v>
      </c>
      <c r="D98" s="466" t="s">
        <v>445</v>
      </c>
      <c r="E98" s="465" t="s">
        <v>754</v>
      </c>
      <c r="F98" s="466" t="s">
        <v>755</v>
      </c>
      <c r="G98" s="465" t="s">
        <v>767</v>
      </c>
      <c r="H98" s="465" t="s">
        <v>769</v>
      </c>
      <c r="I98" s="468">
        <v>0.96857145002910072</v>
      </c>
      <c r="J98" s="468">
        <v>4094</v>
      </c>
      <c r="K98" s="469">
        <v>3968.239990234375</v>
      </c>
    </row>
    <row r="99" spans="1:11" ht="14.45" customHeight="1" x14ac:dyDescent="0.2">
      <c r="A99" s="463" t="s">
        <v>436</v>
      </c>
      <c r="B99" s="464" t="s">
        <v>437</v>
      </c>
      <c r="C99" s="465" t="s">
        <v>444</v>
      </c>
      <c r="D99" s="466" t="s">
        <v>445</v>
      </c>
      <c r="E99" s="465" t="s">
        <v>770</v>
      </c>
      <c r="F99" s="466" t="s">
        <v>771</v>
      </c>
      <c r="G99" s="465" t="s">
        <v>772</v>
      </c>
      <c r="H99" s="465" t="s">
        <v>773</v>
      </c>
      <c r="I99" s="468">
        <v>7.0199999809265137</v>
      </c>
      <c r="J99" s="468">
        <v>50</v>
      </c>
      <c r="K99" s="469">
        <v>351</v>
      </c>
    </row>
    <row r="100" spans="1:11" ht="14.45" customHeight="1" x14ac:dyDescent="0.2">
      <c r="A100" s="463" t="s">
        <v>436</v>
      </c>
      <c r="B100" s="464" t="s">
        <v>437</v>
      </c>
      <c r="C100" s="465" t="s">
        <v>444</v>
      </c>
      <c r="D100" s="466" t="s">
        <v>445</v>
      </c>
      <c r="E100" s="465" t="s">
        <v>770</v>
      </c>
      <c r="F100" s="466" t="s">
        <v>771</v>
      </c>
      <c r="G100" s="465" t="s">
        <v>774</v>
      </c>
      <c r="H100" s="465" t="s">
        <v>775</v>
      </c>
      <c r="I100" s="468">
        <v>7.0100002288818359</v>
      </c>
      <c r="J100" s="468">
        <v>100</v>
      </c>
      <c r="K100" s="469">
        <v>701</v>
      </c>
    </row>
    <row r="101" spans="1:11" ht="14.45" customHeight="1" x14ac:dyDescent="0.2">
      <c r="A101" s="463" t="s">
        <v>436</v>
      </c>
      <c r="B101" s="464" t="s">
        <v>437</v>
      </c>
      <c r="C101" s="465" t="s">
        <v>444</v>
      </c>
      <c r="D101" s="466" t="s">
        <v>445</v>
      </c>
      <c r="E101" s="465" t="s">
        <v>770</v>
      </c>
      <c r="F101" s="466" t="s">
        <v>771</v>
      </c>
      <c r="G101" s="465" t="s">
        <v>776</v>
      </c>
      <c r="H101" s="465" t="s">
        <v>777</v>
      </c>
      <c r="I101" s="468">
        <v>7.0199999809265137</v>
      </c>
      <c r="J101" s="468">
        <v>100</v>
      </c>
      <c r="K101" s="469">
        <v>702</v>
      </c>
    </row>
    <row r="102" spans="1:11" ht="14.45" customHeight="1" x14ac:dyDescent="0.2">
      <c r="A102" s="463" t="s">
        <v>436</v>
      </c>
      <c r="B102" s="464" t="s">
        <v>437</v>
      </c>
      <c r="C102" s="465" t="s">
        <v>444</v>
      </c>
      <c r="D102" s="466" t="s">
        <v>445</v>
      </c>
      <c r="E102" s="465" t="s">
        <v>770</v>
      </c>
      <c r="F102" s="466" t="s">
        <v>771</v>
      </c>
      <c r="G102" s="465" t="s">
        <v>778</v>
      </c>
      <c r="H102" s="465" t="s">
        <v>779</v>
      </c>
      <c r="I102" s="468">
        <v>7.0100002288818359</v>
      </c>
      <c r="J102" s="468">
        <v>50</v>
      </c>
      <c r="K102" s="469">
        <v>350.5</v>
      </c>
    </row>
    <row r="103" spans="1:11" ht="14.45" customHeight="1" x14ac:dyDescent="0.2">
      <c r="A103" s="463" t="s">
        <v>436</v>
      </c>
      <c r="B103" s="464" t="s">
        <v>437</v>
      </c>
      <c r="C103" s="465" t="s">
        <v>444</v>
      </c>
      <c r="D103" s="466" t="s">
        <v>445</v>
      </c>
      <c r="E103" s="465" t="s">
        <v>770</v>
      </c>
      <c r="F103" s="466" t="s">
        <v>771</v>
      </c>
      <c r="G103" s="465" t="s">
        <v>780</v>
      </c>
      <c r="H103" s="465" t="s">
        <v>781</v>
      </c>
      <c r="I103" s="468">
        <v>7.0199999809265137</v>
      </c>
      <c r="J103" s="468">
        <v>100</v>
      </c>
      <c r="K103" s="469">
        <v>702</v>
      </c>
    </row>
    <row r="104" spans="1:11" ht="14.45" customHeight="1" x14ac:dyDescent="0.2">
      <c r="A104" s="463" t="s">
        <v>436</v>
      </c>
      <c r="B104" s="464" t="s">
        <v>437</v>
      </c>
      <c r="C104" s="465" t="s">
        <v>444</v>
      </c>
      <c r="D104" s="466" t="s">
        <v>445</v>
      </c>
      <c r="E104" s="465" t="s">
        <v>770</v>
      </c>
      <c r="F104" s="466" t="s">
        <v>771</v>
      </c>
      <c r="G104" s="465" t="s">
        <v>774</v>
      </c>
      <c r="H104" s="465" t="s">
        <v>782</v>
      </c>
      <c r="I104" s="468">
        <v>7.0100002288818359</v>
      </c>
      <c r="J104" s="468">
        <v>50</v>
      </c>
      <c r="K104" s="469">
        <v>350.5</v>
      </c>
    </row>
    <row r="105" spans="1:11" ht="14.45" customHeight="1" x14ac:dyDescent="0.2">
      <c r="A105" s="463" t="s">
        <v>436</v>
      </c>
      <c r="B105" s="464" t="s">
        <v>437</v>
      </c>
      <c r="C105" s="465" t="s">
        <v>444</v>
      </c>
      <c r="D105" s="466" t="s">
        <v>445</v>
      </c>
      <c r="E105" s="465" t="s">
        <v>770</v>
      </c>
      <c r="F105" s="466" t="s">
        <v>771</v>
      </c>
      <c r="G105" s="465" t="s">
        <v>776</v>
      </c>
      <c r="H105" s="465" t="s">
        <v>783</v>
      </c>
      <c r="I105" s="468">
        <v>7.0100002288818359</v>
      </c>
      <c r="J105" s="468">
        <v>50</v>
      </c>
      <c r="K105" s="469">
        <v>350.5</v>
      </c>
    </row>
    <row r="106" spans="1:11" ht="14.45" customHeight="1" x14ac:dyDescent="0.2">
      <c r="A106" s="463" t="s">
        <v>436</v>
      </c>
      <c r="B106" s="464" t="s">
        <v>437</v>
      </c>
      <c r="C106" s="465" t="s">
        <v>444</v>
      </c>
      <c r="D106" s="466" t="s">
        <v>445</v>
      </c>
      <c r="E106" s="465" t="s">
        <v>770</v>
      </c>
      <c r="F106" s="466" t="s">
        <v>771</v>
      </c>
      <c r="G106" s="465" t="s">
        <v>778</v>
      </c>
      <c r="H106" s="465" t="s">
        <v>784</v>
      </c>
      <c r="I106" s="468">
        <v>7.0199999809265137</v>
      </c>
      <c r="J106" s="468">
        <v>50</v>
      </c>
      <c r="K106" s="469">
        <v>351</v>
      </c>
    </row>
    <row r="107" spans="1:11" ht="14.45" customHeight="1" x14ac:dyDescent="0.2">
      <c r="A107" s="463" t="s">
        <v>436</v>
      </c>
      <c r="B107" s="464" t="s">
        <v>437</v>
      </c>
      <c r="C107" s="465" t="s">
        <v>444</v>
      </c>
      <c r="D107" s="466" t="s">
        <v>445</v>
      </c>
      <c r="E107" s="465" t="s">
        <v>770</v>
      </c>
      <c r="F107" s="466" t="s">
        <v>771</v>
      </c>
      <c r="G107" s="465" t="s">
        <v>785</v>
      </c>
      <c r="H107" s="465" t="s">
        <v>786</v>
      </c>
      <c r="I107" s="468">
        <v>1.2200000286102295</v>
      </c>
      <c r="J107" s="468">
        <v>3000</v>
      </c>
      <c r="K107" s="469">
        <v>3657.429931640625</v>
      </c>
    </row>
    <row r="108" spans="1:11" ht="14.45" customHeight="1" x14ac:dyDescent="0.2">
      <c r="A108" s="463" t="s">
        <v>436</v>
      </c>
      <c r="B108" s="464" t="s">
        <v>437</v>
      </c>
      <c r="C108" s="465" t="s">
        <v>444</v>
      </c>
      <c r="D108" s="466" t="s">
        <v>445</v>
      </c>
      <c r="E108" s="465" t="s">
        <v>770</v>
      </c>
      <c r="F108" s="466" t="s">
        <v>771</v>
      </c>
      <c r="G108" s="465" t="s">
        <v>787</v>
      </c>
      <c r="H108" s="465" t="s">
        <v>788</v>
      </c>
      <c r="I108" s="468">
        <v>0.93999999761581421</v>
      </c>
      <c r="J108" s="468">
        <v>2000</v>
      </c>
      <c r="K108" s="469">
        <v>1875.5</v>
      </c>
    </row>
    <row r="109" spans="1:11" ht="14.45" customHeight="1" x14ac:dyDescent="0.2">
      <c r="A109" s="463" t="s">
        <v>436</v>
      </c>
      <c r="B109" s="464" t="s">
        <v>437</v>
      </c>
      <c r="C109" s="465" t="s">
        <v>444</v>
      </c>
      <c r="D109" s="466" t="s">
        <v>445</v>
      </c>
      <c r="E109" s="465" t="s">
        <v>770</v>
      </c>
      <c r="F109" s="466" t="s">
        <v>771</v>
      </c>
      <c r="G109" s="465" t="s">
        <v>789</v>
      </c>
      <c r="H109" s="465" t="s">
        <v>790</v>
      </c>
      <c r="I109" s="468">
        <v>1.2200000286102295</v>
      </c>
      <c r="J109" s="468">
        <v>1000</v>
      </c>
      <c r="K109" s="469">
        <v>1218.030029296875</v>
      </c>
    </row>
    <row r="110" spans="1:11" ht="14.45" customHeight="1" x14ac:dyDescent="0.2">
      <c r="A110" s="463" t="s">
        <v>436</v>
      </c>
      <c r="B110" s="464" t="s">
        <v>437</v>
      </c>
      <c r="C110" s="465" t="s">
        <v>444</v>
      </c>
      <c r="D110" s="466" t="s">
        <v>445</v>
      </c>
      <c r="E110" s="465" t="s">
        <v>770</v>
      </c>
      <c r="F110" s="466" t="s">
        <v>771</v>
      </c>
      <c r="G110" s="465" t="s">
        <v>791</v>
      </c>
      <c r="H110" s="465" t="s">
        <v>792</v>
      </c>
      <c r="I110" s="468">
        <v>0.81000000238418579</v>
      </c>
      <c r="J110" s="468">
        <v>1000</v>
      </c>
      <c r="K110" s="469">
        <v>807.07000732421875</v>
      </c>
    </row>
    <row r="111" spans="1:11" ht="14.45" customHeight="1" x14ac:dyDescent="0.2">
      <c r="A111" s="463" t="s">
        <v>436</v>
      </c>
      <c r="B111" s="464" t="s">
        <v>437</v>
      </c>
      <c r="C111" s="465" t="s">
        <v>444</v>
      </c>
      <c r="D111" s="466" t="s">
        <v>445</v>
      </c>
      <c r="E111" s="465" t="s">
        <v>770</v>
      </c>
      <c r="F111" s="466" t="s">
        <v>771</v>
      </c>
      <c r="G111" s="465" t="s">
        <v>793</v>
      </c>
      <c r="H111" s="465" t="s">
        <v>794</v>
      </c>
      <c r="I111" s="468">
        <v>0.81999999284744263</v>
      </c>
      <c r="J111" s="468">
        <v>2000</v>
      </c>
      <c r="K111" s="469">
        <v>1645.5999755859375</v>
      </c>
    </row>
    <row r="112" spans="1:11" ht="14.45" customHeight="1" x14ac:dyDescent="0.2">
      <c r="A112" s="463" t="s">
        <v>436</v>
      </c>
      <c r="B112" s="464" t="s">
        <v>437</v>
      </c>
      <c r="C112" s="465" t="s">
        <v>444</v>
      </c>
      <c r="D112" s="466" t="s">
        <v>445</v>
      </c>
      <c r="E112" s="465" t="s">
        <v>770</v>
      </c>
      <c r="F112" s="466" t="s">
        <v>771</v>
      </c>
      <c r="G112" s="465" t="s">
        <v>795</v>
      </c>
      <c r="H112" s="465" t="s">
        <v>796</v>
      </c>
      <c r="I112" s="468">
        <v>0.81999999284744263</v>
      </c>
      <c r="J112" s="468">
        <v>2000</v>
      </c>
      <c r="K112" s="469">
        <v>1645.5999755859375</v>
      </c>
    </row>
    <row r="113" spans="1:11" ht="14.45" customHeight="1" x14ac:dyDescent="0.2">
      <c r="A113" s="463" t="s">
        <v>436</v>
      </c>
      <c r="B113" s="464" t="s">
        <v>437</v>
      </c>
      <c r="C113" s="465" t="s">
        <v>444</v>
      </c>
      <c r="D113" s="466" t="s">
        <v>445</v>
      </c>
      <c r="E113" s="465" t="s">
        <v>770</v>
      </c>
      <c r="F113" s="466" t="s">
        <v>771</v>
      </c>
      <c r="G113" s="465" t="s">
        <v>797</v>
      </c>
      <c r="H113" s="465" t="s">
        <v>798</v>
      </c>
      <c r="I113" s="468">
        <v>0.62999999523162842</v>
      </c>
      <c r="J113" s="468">
        <v>19000</v>
      </c>
      <c r="K113" s="469">
        <v>11970</v>
      </c>
    </row>
    <row r="114" spans="1:11" ht="14.45" customHeight="1" x14ac:dyDescent="0.2">
      <c r="A114" s="463" t="s">
        <v>436</v>
      </c>
      <c r="B114" s="464" t="s">
        <v>437</v>
      </c>
      <c r="C114" s="465" t="s">
        <v>444</v>
      </c>
      <c r="D114" s="466" t="s">
        <v>445</v>
      </c>
      <c r="E114" s="465" t="s">
        <v>770</v>
      </c>
      <c r="F114" s="466" t="s">
        <v>771</v>
      </c>
      <c r="G114" s="465" t="s">
        <v>799</v>
      </c>
      <c r="H114" s="465" t="s">
        <v>800</v>
      </c>
      <c r="I114" s="468">
        <v>0.62999999523162842</v>
      </c>
      <c r="J114" s="468">
        <v>28000</v>
      </c>
      <c r="K114" s="469">
        <v>17640</v>
      </c>
    </row>
    <row r="115" spans="1:11" ht="14.45" customHeight="1" x14ac:dyDescent="0.2">
      <c r="A115" s="463" t="s">
        <v>436</v>
      </c>
      <c r="B115" s="464" t="s">
        <v>437</v>
      </c>
      <c r="C115" s="465" t="s">
        <v>444</v>
      </c>
      <c r="D115" s="466" t="s">
        <v>445</v>
      </c>
      <c r="E115" s="465" t="s">
        <v>770</v>
      </c>
      <c r="F115" s="466" t="s">
        <v>771</v>
      </c>
      <c r="G115" s="465" t="s">
        <v>801</v>
      </c>
      <c r="H115" s="465" t="s">
        <v>802</v>
      </c>
      <c r="I115" s="468">
        <v>0.62749999761581421</v>
      </c>
      <c r="J115" s="468">
        <v>18000</v>
      </c>
      <c r="K115" s="469">
        <v>11280</v>
      </c>
    </row>
    <row r="116" spans="1:11" ht="14.45" customHeight="1" x14ac:dyDescent="0.2">
      <c r="A116" s="463" t="s">
        <v>436</v>
      </c>
      <c r="B116" s="464" t="s">
        <v>437</v>
      </c>
      <c r="C116" s="465" t="s">
        <v>444</v>
      </c>
      <c r="D116" s="466" t="s">
        <v>445</v>
      </c>
      <c r="E116" s="465" t="s">
        <v>770</v>
      </c>
      <c r="F116" s="466" t="s">
        <v>771</v>
      </c>
      <c r="G116" s="465" t="s">
        <v>803</v>
      </c>
      <c r="H116" s="465" t="s">
        <v>804</v>
      </c>
      <c r="I116" s="468">
        <v>0.62749999761581421</v>
      </c>
      <c r="J116" s="468">
        <v>3740</v>
      </c>
      <c r="K116" s="469">
        <v>2339.1999816894531</v>
      </c>
    </row>
    <row r="117" spans="1:11" ht="14.45" customHeight="1" x14ac:dyDescent="0.2">
      <c r="A117" s="463" t="s">
        <v>436</v>
      </c>
      <c r="B117" s="464" t="s">
        <v>437</v>
      </c>
      <c r="C117" s="465" t="s">
        <v>444</v>
      </c>
      <c r="D117" s="466" t="s">
        <v>445</v>
      </c>
      <c r="E117" s="465" t="s">
        <v>770</v>
      </c>
      <c r="F117" s="466" t="s">
        <v>771</v>
      </c>
      <c r="G117" s="465" t="s">
        <v>805</v>
      </c>
      <c r="H117" s="465" t="s">
        <v>806</v>
      </c>
      <c r="I117" s="468">
        <v>0.68999999761581421</v>
      </c>
      <c r="J117" s="468">
        <v>3000</v>
      </c>
      <c r="K117" s="469">
        <v>2069.1000366210938</v>
      </c>
    </row>
    <row r="118" spans="1:11" ht="14.45" customHeight="1" x14ac:dyDescent="0.2">
      <c r="A118" s="463" t="s">
        <v>436</v>
      </c>
      <c r="B118" s="464" t="s">
        <v>437</v>
      </c>
      <c r="C118" s="465" t="s">
        <v>444</v>
      </c>
      <c r="D118" s="466" t="s">
        <v>445</v>
      </c>
      <c r="E118" s="465" t="s">
        <v>770</v>
      </c>
      <c r="F118" s="466" t="s">
        <v>771</v>
      </c>
      <c r="G118" s="465" t="s">
        <v>807</v>
      </c>
      <c r="H118" s="465" t="s">
        <v>808</v>
      </c>
      <c r="I118" s="468">
        <v>0.74000000953674316</v>
      </c>
      <c r="J118" s="468">
        <v>600</v>
      </c>
      <c r="K118" s="469">
        <v>442.8599853515625</v>
      </c>
    </row>
    <row r="119" spans="1:11" ht="14.45" customHeight="1" x14ac:dyDescent="0.2">
      <c r="A119" s="463" t="s">
        <v>436</v>
      </c>
      <c r="B119" s="464" t="s">
        <v>437</v>
      </c>
      <c r="C119" s="465" t="s">
        <v>444</v>
      </c>
      <c r="D119" s="466" t="s">
        <v>445</v>
      </c>
      <c r="E119" s="465" t="s">
        <v>770</v>
      </c>
      <c r="F119" s="466" t="s">
        <v>771</v>
      </c>
      <c r="G119" s="465" t="s">
        <v>785</v>
      </c>
      <c r="H119" s="465" t="s">
        <v>809</v>
      </c>
      <c r="I119" s="468">
        <v>1.2200000286102295</v>
      </c>
      <c r="J119" s="468">
        <v>3000</v>
      </c>
      <c r="K119" s="469">
        <v>3657.4300537109375</v>
      </c>
    </row>
    <row r="120" spans="1:11" ht="14.45" customHeight="1" x14ac:dyDescent="0.2">
      <c r="A120" s="463" t="s">
        <v>436</v>
      </c>
      <c r="B120" s="464" t="s">
        <v>437</v>
      </c>
      <c r="C120" s="465" t="s">
        <v>444</v>
      </c>
      <c r="D120" s="466" t="s">
        <v>445</v>
      </c>
      <c r="E120" s="465" t="s">
        <v>770</v>
      </c>
      <c r="F120" s="466" t="s">
        <v>771</v>
      </c>
      <c r="G120" s="465" t="s">
        <v>787</v>
      </c>
      <c r="H120" s="465" t="s">
        <v>810</v>
      </c>
      <c r="I120" s="468">
        <v>0.93999999761581421</v>
      </c>
      <c r="J120" s="468">
        <v>1000</v>
      </c>
      <c r="K120" s="469">
        <v>937.75</v>
      </c>
    </row>
    <row r="121" spans="1:11" ht="14.45" customHeight="1" x14ac:dyDescent="0.2">
      <c r="A121" s="463" t="s">
        <v>436</v>
      </c>
      <c r="B121" s="464" t="s">
        <v>437</v>
      </c>
      <c r="C121" s="465" t="s">
        <v>444</v>
      </c>
      <c r="D121" s="466" t="s">
        <v>445</v>
      </c>
      <c r="E121" s="465" t="s">
        <v>770</v>
      </c>
      <c r="F121" s="466" t="s">
        <v>771</v>
      </c>
      <c r="G121" s="465" t="s">
        <v>791</v>
      </c>
      <c r="H121" s="465" t="s">
        <v>811</v>
      </c>
      <c r="I121" s="468">
        <v>0.81000000238418579</v>
      </c>
      <c r="J121" s="468">
        <v>1000</v>
      </c>
      <c r="K121" s="469">
        <v>807.16998291015625</v>
      </c>
    </row>
    <row r="122" spans="1:11" ht="14.45" customHeight="1" x14ac:dyDescent="0.2">
      <c r="A122" s="463" t="s">
        <v>436</v>
      </c>
      <c r="B122" s="464" t="s">
        <v>437</v>
      </c>
      <c r="C122" s="465" t="s">
        <v>444</v>
      </c>
      <c r="D122" s="466" t="s">
        <v>445</v>
      </c>
      <c r="E122" s="465" t="s">
        <v>770</v>
      </c>
      <c r="F122" s="466" t="s">
        <v>771</v>
      </c>
      <c r="G122" s="465" t="s">
        <v>793</v>
      </c>
      <c r="H122" s="465" t="s">
        <v>812</v>
      </c>
      <c r="I122" s="468">
        <v>0.81999999284744263</v>
      </c>
      <c r="J122" s="468">
        <v>1000</v>
      </c>
      <c r="K122" s="469">
        <v>822.79998779296875</v>
      </c>
    </row>
    <row r="123" spans="1:11" ht="14.45" customHeight="1" x14ac:dyDescent="0.2">
      <c r="A123" s="463" t="s">
        <v>436</v>
      </c>
      <c r="B123" s="464" t="s">
        <v>437</v>
      </c>
      <c r="C123" s="465" t="s">
        <v>444</v>
      </c>
      <c r="D123" s="466" t="s">
        <v>445</v>
      </c>
      <c r="E123" s="465" t="s">
        <v>770</v>
      </c>
      <c r="F123" s="466" t="s">
        <v>771</v>
      </c>
      <c r="G123" s="465" t="s">
        <v>795</v>
      </c>
      <c r="H123" s="465" t="s">
        <v>813</v>
      </c>
      <c r="I123" s="468">
        <v>0.81999999284744263</v>
      </c>
      <c r="J123" s="468">
        <v>2000</v>
      </c>
      <c r="K123" s="469">
        <v>1645.6099853515625</v>
      </c>
    </row>
    <row r="124" spans="1:11" ht="14.45" customHeight="1" x14ac:dyDescent="0.2">
      <c r="A124" s="463" t="s">
        <v>436</v>
      </c>
      <c r="B124" s="464" t="s">
        <v>437</v>
      </c>
      <c r="C124" s="465" t="s">
        <v>444</v>
      </c>
      <c r="D124" s="466" t="s">
        <v>445</v>
      </c>
      <c r="E124" s="465" t="s">
        <v>770</v>
      </c>
      <c r="F124" s="466" t="s">
        <v>771</v>
      </c>
      <c r="G124" s="465" t="s">
        <v>797</v>
      </c>
      <c r="H124" s="465" t="s">
        <v>814</v>
      </c>
      <c r="I124" s="468">
        <v>0.62666666507720947</v>
      </c>
      <c r="J124" s="468">
        <v>19000</v>
      </c>
      <c r="K124" s="469">
        <v>11910</v>
      </c>
    </row>
    <row r="125" spans="1:11" ht="14.45" customHeight="1" x14ac:dyDescent="0.2">
      <c r="A125" s="463" t="s">
        <v>436</v>
      </c>
      <c r="B125" s="464" t="s">
        <v>437</v>
      </c>
      <c r="C125" s="465" t="s">
        <v>444</v>
      </c>
      <c r="D125" s="466" t="s">
        <v>445</v>
      </c>
      <c r="E125" s="465" t="s">
        <v>770</v>
      </c>
      <c r="F125" s="466" t="s">
        <v>771</v>
      </c>
      <c r="G125" s="465" t="s">
        <v>799</v>
      </c>
      <c r="H125" s="465" t="s">
        <v>815</v>
      </c>
      <c r="I125" s="468">
        <v>0.62999999523162842</v>
      </c>
      <c r="J125" s="468">
        <v>36000</v>
      </c>
      <c r="K125" s="469">
        <v>22680</v>
      </c>
    </row>
    <row r="126" spans="1:11" ht="14.45" customHeight="1" x14ac:dyDescent="0.2">
      <c r="A126" s="463" t="s">
        <v>436</v>
      </c>
      <c r="B126" s="464" t="s">
        <v>437</v>
      </c>
      <c r="C126" s="465" t="s">
        <v>444</v>
      </c>
      <c r="D126" s="466" t="s">
        <v>445</v>
      </c>
      <c r="E126" s="465" t="s">
        <v>770</v>
      </c>
      <c r="F126" s="466" t="s">
        <v>771</v>
      </c>
      <c r="G126" s="465" t="s">
        <v>801</v>
      </c>
      <c r="H126" s="465" t="s">
        <v>816</v>
      </c>
      <c r="I126" s="468">
        <v>0.62666666507720947</v>
      </c>
      <c r="J126" s="468">
        <v>36000</v>
      </c>
      <c r="K126" s="469">
        <v>22540</v>
      </c>
    </row>
    <row r="127" spans="1:11" ht="14.45" customHeight="1" x14ac:dyDescent="0.2">
      <c r="A127" s="463" t="s">
        <v>436</v>
      </c>
      <c r="B127" s="464" t="s">
        <v>437</v>
      </c>
      <c r="C127" s="465" t="s">
        <v>444</v>
      </c>
      <c r="D127" s="466" t="s">
        <v>445</v>
      </c>
      <c r="E127" s="465" t="s">
        <v>770</v>
      </c>
      <c r="F127" s="466" t="s">
        <v>771</v>
      </c>
      <c r="G127" s="465" t="s">
        <v>803</v>
      </c>
      <c r="H127" s="465" t="s">
        <v>817</v>
      </c>
      <c r="I127" s="468">
        <v>0.62999999523162842</v>
      </c>
      <c r="J127" s="468">
        <v>3230</v>
      </c>
      <c r="K127" s="469">
        <v>2034.8999633789063</v>
      </c>
    </row>
    <row r="128" spans="1:11" ht="14.45" customHeight="1" x14ac:dyDescent="0.2">
      <c r="A128" s="463" t="s">
        <v>436</v>
      </c>
      <c r="B128" s="464" t="s">
        <v>437</v>
      </c>
      <c r="C128" s="465" t="s">
        <v>444</v>
      </c>
      <c r="D128" s="466" t="s">
        <v>445</v>
      </c>
      <c r="E128" s="465" t="s">
        <v>770</v>
      </c>
      <c r="F128" s="466" t="s">
        <v>771</v>
      </c>
      <c r="G128" s="465" t="s">
        <v>818</v>
      </c>
      <c r="H128" s="465" t="s">
        <v>819</v>
      </c>
      <c r="I128" s="468">
        <v>0.62999999523162842</v>
      </c>
      <c r="J128" s="468">
        <v>2000</v>
      </c>
      <c r="K128" s="469">
        <v>1258.4000244140625</v>
      </c>
    </row>
    <row r="129" spans="1:11" ht="14.45" customHeight="1" x14ac:dyDescent="0.2">
      <c r="A129" s="463" t="s">
        <v>436</v>
      </c>
      <c r="B129" s="464" t="s">
        <v>437</v>
      </c>
      <c r="C129" s="465" t="s">
        <v>444</v>
      </c>
      <c r="D129" s="466" t="s">
        <v>445</v>
      </c>
      <c r="E129" s="465" t="s">
        <v>770</v>
      </c>
      <c r="F129" s="466" t="s">
        <v>771</v>
      </c>
      <c r="G129" s="465" t="s">
        <v>805</v>
      </c>
      <c r="H129" s="465" t="s">
        <v>820</v>
      </c>
      <c r="I129" s="468">
        <v>0.68999999761581421</v>
      </c>
      <c r="J129" s="468">
        <v>6600</v>
      </c>
      <c r="K129" s="469">
        <v>4552.0200805664063</v>
      </c>
    </row>
    <row r="130" spans="1:11" ht="14.45" customHeight="1" x14ac:dyDescent="0.2">
      <c r="A130" s="463" t="s">
        <v>436</v>
      </c>
      <c r="B130" s="464" t="s">
        <v>437</v>
      </c>
      <c r="C130" s="465" t="s">
        <v>444</v>
      </c>
      <c r="D130" s="466" t="s">
        <v>445</v>
      </c>
      <c r="E130" s="465" t="s">
        <v>770</v>
      </c>
      <c r="F130" s="466" t="s">
        <v>771</v>
      </c>
      <c r="G130" s="465" t="s">
        <v>807</v>
      </c>
      <c r="H130" s="465" t="s">
        <v>821</v>
      </c>
      <c r="I130" s="468">
        <v>0.74000000953674316</v>
      </c>
      <c r="J130" s="468">
        <v>1800</v>
      </c>
      <c r="K130" s="469">
        <v>1329.5299682617188</v>
      </c>
    </row>
    <row r="131" spans="1:11" ht="14.45" customHeight="1" x14ac:dyDescent="0.2">
      <c r="A131" s="463" t="s">
        <v>436</v>
      </c>
      <c r="B131" s="464" t="s">
        <v>437</v>
      </c>
      <c r="C131" s="465" t="s">
        <v>444</v>
      </c>
      <c r="D131" s="466" t="s">
        <v>445</v>
      </c>
      <c r="E131" s="465" t="s">
        <v>822</v>
      </c>
      <c r="F131" s="466" t="s">
        <v>823</v>
      </c>
      <c r="G131" s="465" t="s">
        <v>824</v>
      </c>
      <c r="H131" s="465" t="s">
        <v>825</v>
      </c>
      <c r="I131" s="468">
        <v>278.58999633789063</v>
      </c>
      <c r="J131" s="468">
        <v>3</v>
      </c>
      <c r="K131" s="469">
        <v>835.76998901367188</v>
      </c>
    </row>
    <row r="132" spans="1:11" ht="14.45" customHeight="1" x14ac:dyDescent="0.2">
      <c r="A132" s="463" t="s">
        <v>436</v>
      </c>
      <c r="B132" s="464" t="s">
        <v>437</v>
      </c>
      <c r="C132" s="465" t="s">
        <v>444</v>
      </c>
      <c r="D132" s="466" t="s">
        <v>445</v>
      </c>
      <c r="E132" s="465" t="s">
        <v>822</v>
      </c>
      <c r="F132" s="466" t="s">
        <v>823</v>
      </c>
      <c r="G132" s="465" t="s">
        <v>826</v>
      </c>
      <c r="H132" s="465" t="s">
        <v>827</v>
      </c>
      <c r="I132" s="468">
        <v>2691.840087890625</v>
      </c>
      <c r="J132" s="468">
        <v>3</v>
      </c>
      <c r="K132" s="469">
        <v>8075.520263671875</v>
      </c>
    </row>
    <row r="133" spans="1:11" ht="14.45" customHeight="1" x14ac:dyDescent="0.2">
      <c r="A133" s="463" t="s">
        <v>436</v>
      </c>
      <c r="B133" s="464" t="s">
        <v>437</v>
      </c>
      <c r="C133" s="465" t="s">
        <v>444</v>
      </c>
      <c r="D133" s="466" t="s">
        <v>445</v>
      </c>
      <c r="E133" s="465" t="s">
        <v>822</v>
      </c>
      <c r="F133" s="466" t="s">
        <v>823</v>
      </c>
      <c r="G133" s="465" t="s">
        <v>826</v>
      </c>
      <c r="H133" s="465" t="s">
        <v>828</v>
      </c>
      <c r="I133" s="468">
        <v>2691.840087890625</v>
      </c>
      <c r="J133" s="468">
        <v>3</v>
      </c>
      <c r="K133" s="469">
        <v>8075.520263671875</v>
      </c>
    </row>
    <row r="134" spans="1:11" ht="14.45" customHeight="1" x14ac:dyDescent="0.2">
      <c r="A134" s="463" t="s">
        <v>436</v>
      </c>
      <c r="B134" s="464" t="s">
        <v>437</v>
      </c>
      <c r="C134" s="465" t="s">
        <v>444</v>
      </c>
      <c r="D134" s="466" t="s">
        <v>445</v>
      </c>
      <c r="E134" s="465" t="s">
        <v>822</v>
      </c>
      <c r="F134" s="466" t="s">
        <v>823</v>
      </c>
      <c r="G134" s="465" t="s">
        <v>829</v>
      </c>
      <c r="H134" s="465" t="s">
        <v>830</v>
      </c>
      <c r="I134" s="468">
        <v>1935.9633382161458</v>
      </c>
      <c r="J134" s="468">
        <v>4</v>
      </c>
      <c r="K134" s="469">
        <v>7743.8900146484375</v>
      </c>
    </row>
    <row r="135" spans="1:11" ht="14.45" customHeight="1" x14ac:dyDescent="0.2">
      <c r="A135" s="463" t="s">
        <v>436</v>
      </c>
      <c r="B135" s="464" t="s">
        <v>437</v>
      </c>
      <c r="C135" s="465" t="s">
        <v>444</v>
      </c>
      <c r="D135" s="466" t="s">
        <v>445</v>
      </c>
      <c r="E135" s="465" t="s">
        <v>822</v>
      </c>
      <c r="F135" s="466" t="s">
        <v>823</v>
      </c>
      <c r="G135" s="465" t="s">
        <v>831</v>
      </c>
      <c r="H135" s="465" t="s">
        <v>832</v>
      </c>
      <c r="I135" s="468">
        <v>940.3900146484375</v>
      </c>
      <c r="J135" s="468">
        <v>1</v>
      </c>
      <c r="K135" s="469">
        <v>940.3900146484375</v>
      </c>
    </row>
    <row r="136" spans="1:11" ht="14.45" customHeight="1" x14ac:dyDescent="0.2">
      <c r="A136" s="463" t="s">
        <v>436</v>
      </c>
      <c r="B136" s="464" t="s">
        <v>437</v>
      </c>
      <c r="C136" s="465" t="s">
        <v>444</v>
      </c>
      <c r="D136" s="466" t="s">
        <v>445</v>
      </c>
      <c r="E136" s="465" t="s">
        <v>822</v>
      </c>
      <c r="F136" s="466" t="s">
        <v>823</v>
      </c>
      <c r="G136" s="465" t="s">
        <v>833</v>
      </c>
      <c r="H136" s="465" t="s">
        <v>834</v>
      </c>
      <c r="I136" s="468">
        <v>1128.8199462890625</v>
      </c>
      <c r="J136" s="468">
        <v>3</v>
      </c>
      <c r="K136" s="469">
        <v>3386.449951171875</v>
      </c>
    </row>
    <row r="137" spans="1:11" ht="14.45" customHeight="1" x14ac:dyDescent="0.2">
      <c r="A137" s="463" t="s">
        <v>436</v>
      </c>
      <c r="B137" s="464" t="s">
        <v>437</v>
      </c>
      <c r="C137" s="465" t="s">
        <v>444</v>
      </c>
      <c r="D137" s="466" t="s">
        <v>445</v>
      </c>
      <c r="E137" s="465" t="s">
        <v>822</v>
      </c>
      <c r="F137" s="466" t="s">
        <v>823</v>
      </c>
      <c r="G137" s="465" t="s">
        <v>835</v>
      </c>
      <c r="H137" s="465" t="s">
        <v>836</v>
      </c>
      <c r="I137" s="468">
        <v>590.47998046875</v>
      </c>
      <c r="J137" s="468">
        <v>3</v>
      </c>
      <c r="K137" s="469">
        <v>1771.43994140625</v>
      </c>
    </row>
    <row r="138" spans="1:11" ht="14.45" customHeight="1" x14ac:dyDescent="0.2">
      <c r="A138" s="463" t="s">
        <v>436</v>
      </c>
      <c r="B138" s="464" t="s">
        <v>437</v>
      </c>
      <c r="C138" s="465" t="s">
        <v>444</v>
      </c>
      <c r="D138" s="466" t="s">
        <v>445</v>
      </c>
      <c r="E138" s="465" t="s">
        <v>822</v>
      </c>
      <c r="F138" s="466" t="s">
        <v>823</v>
      </c>
      <c r="G138" s="465" t="s">
        <v>837</v>
      </c>
      <c r="H138" s="465" t="s">
        <v>838</v>
      </c>
      <c r="I138" s="468">
        <v>826.17999267578125</v>
      </c>
      <c r="J138" s="468">
        <v>1</v>
      </c>
      <c r="K138" s="469">
        <v>826.17999267578125</v>
      </c>
    </row>
    <row r="139" spans="1:11" ht="14.45" customHeight="1" x14ac:dyDescent="0.2">
      <c r="A139" s="463" t="s">
        <v>436</v>
      </c>
      <c r="B139" s="464" t="s">
        <v>437</v>
      </c>
      <c r="C139" s="465" t="s">
        <v>444</v>
      </c>
      <c r="D139" s="466" t="s">
        <v>445</v>
      </c>
      <c r="E139" s="465" t="s">
        <v>822</v>
      </c>
      <c r="F139" s="466" t="s">
        <v>823</v>
      </c>
      <c r="G139" s="465" t="s">
        <v>839</v>
      </c>
      <c r="H139" s="465" t="s">
        <v>840</v>
      </c>
      <c r="I139" s="468">
        <v>264.95000203450519</v>
      </c>
      <c r="J139" s="468">
        <v>7</v>
      </c>
      <c r="K139" s="469">
        <v>1854.5999755859375</v>
      </c>
    </row>
    <row r="140" spans="1:11" ht="14.45" customHeight="1" x14ac:dyDescent="0.2">
      <c r="A140" s="463" t="s">
        <v>436</v>
      </c>
      <c r="B140" s="464" t="s">
        <v>437</v>
      </c>
      <c r="C140" s="465" t="s">
        <v>444</v>
      </c>
      <c r="D140" s="466" t="s">
        <v>445</v>
      </c>
      <c r="E140" s="465" t="s">
        <v>822</v>
      </c>
      <c r="F140" s="466" t="s">
        <v>823</v>
      </c>
      <c r="G140" s="465" t="s">
        <v>841</v>
      </c>
      <c r="H140" s="465" t="s">
        <v>842</v>
      </c>
      <c r="I140" s="468">
        <v>264.97999064127606</v>
      </c>
      <c r="J140" s="468">
        <v>12</v>
      </c>
      <c r="K140" s="469">
        <v>3179.7799072265625</v>
      </c>
    </row>
    <row r="141" spans="1:11" ht="14.45" customHeight="1" x14ac:dyDescent="0.2">
      <c r="A141" s="463" t="s">
        <v>436</v>
      </c>
      <c r="B141" s="464" t="s">
        <v>437</v>
      </c>
      <c r="C141" s="465" t="s">
        <v>444</v>
      </c>
      <c r="D141" s="466" t="s">
        <v>445</v>
      </c>
      <c r="E141" s="465" t="s">
        <v>822</v>
      </c>
      <c r="F141" s="466" t="s">
        <v>823</v>
      </c>
      <c r="G141" s="465" t="s">
        <v>841</v>
      </c>
      <c r="H141" s="465" t="s">
        <v>843</v>
      </c>
      <c r="I141" s="468">
        <v>264.95249176025391</v>
      </c>
      <c r="J141" s="468">
        <v>20</v>
      </c>
      <c r="K141" s="469">
        <v>5298.97998046875</v>
      </c>
    </row>
    <row r="142" spans="1:11" ht="14.45" customHeight="1" x14ac:dyDescent="0.2">
      <c r="A142" s="463" t="s">
        <v>436</v>
      </c>
      <c r="B142" s="464" t="s">
        <v>437</v>
      </c>
      <c r="C142" s="465" t="s">
        <v>444</v>
      </c>
      <c r="D142" s="466" t="s">
        <v>445</v>
      </c>
      <c r="E142" s="465" t="s">
        <v>822</v>
      </c>
      <c r="F142" s="466" t="s">
        <v>823</v>
      </c>
      <c r="G142" s="465" t="s">
        <v>839</v>
      </c>
      <c r="H142" s="465" t="s">
        <v>844</v>
      </c>
      <c r="I142" s="468">
        <v>264.95714460100447</v>
      </c>
      <c r="J142" s="468">
        <v>21</v>
      </c>
      <c r="K142" s="469">
        <v>5564.2100830078125</v>
      </c>
    </row>
    <row r="143" spans="1:11" ht="14.45" customHeight="1" x14ac:dyDescent="0.2">
      <c r="A143" s="463" t="s">
        <v>436</v>
      </c>
      <c r="B143" s="464" t="s">
        <v>437</v>
      </c>
      <c r="C143" s="465" t="s">
        <v>444</v>
      </c>
      <c r="D143" s="466" t="s">
        <v>445</v>
      </c>
      <c r="E143" s="465" t="s">
        <v>822</v>
      </c>
      <c r="F143" s="466" t="s">
        <v>823</v>
      </c>
      <c r="G143" s="465" t="s">
        <v>845</v>
      </c>
      <c r="H143" s="465" t="s">
        <v>846</v>
      </c>
      <c r="I143" s="468">
        <v>2288.5514787946427</v>
      </c>
      <c r="J143" s="468">
        <v>11</v>
      </c>
      <c r="K143" s="469">
        <v>25174.050048828125</v>
      </c>
    </row>
    <row r="144" spans="1:11" ht="14.45" customHeight="1" x14ac:dyDescent="0.2">
      <c r="A144" s="463" t="s">
        <v>436</v>
      </c>
      <c r="B144" s="464" t="s">
        <v>437</v>
      </c>
      <c r="C144" s="465" t="s">
        <v>444</v>
      </c>
      <c r="D144" s="466" t="s">
        <v>445</v>
      </c>
      <c r="E144" s="465" t="s">
        <v>822</v>
      </c>
      <c r="F144" s="466" t="s">
        <v>823</v>
      </c>
      <c r="G144" s="465" t="s">
        <v>845</v>
      </c>
      <c r="H144" s="465" t="s">
        <v>847</v>
      </c>
      <c r="I144" s="468">
        <v>2288.5</v>
      </c>
      <c r="J144" s="468">
        <v>6</v>
      </c>
      <c r="K144" s="469">
        <v>13731</v>
      </c>
    </row>
    <row r="145" spans="1:11" ht="14.45" customHeight="1" x14ac:dyDescent="0.2">
      <c r="A145" s="463" t="s">
        <v>436</v>
      </c>
      <c r="B145" s="464" t="s">
        <v>437</v>
      </c>
      <c r="C145" s="465" t="s">
        <v>444</v>
      </c>
      <c r="D145" s="466" t="s">
        <v>445</v>
      </c>
      <c r="E145" s="465" t="s">
        <v>822</v>
      </c>
      <c r="F145" s="466" t="s">
        <v>823</v>
      </c>
      <c r="G145" s="465" t="s">
        <v>848</v>
      </c>
      <c r="H145" s="465" t="s">
        <v>849</v>
      </c>
      <c r="I145" s="468">
        <v>13918.6298828125</v>
      </c>
      <c r="J145" s="468">
        <v>2</v>
      </c>
      <c r="K145" s="469">
        <v>27837.259765625</v>
      </c>
    </row>
    <row r="146" spans="1:11" ht="14.45" customHeight="1" x14ac:dyDescent="0.2">
      <c r="A146" s="463" t="s">
        <v>436</v>
      </c>
      <c r="B146" s="464" t="s">
        <v>437</v>
      </c>
      <c r="C146" s="465" t="s">
        <v>444</v>
      </c>
      <c r="D146" s="466" t="s">
        <v>445</v>
      </c>
      <c r="E146" s="465" t="s">
        <v>822</v>
      </c>
      <c r="F146" s="466" t="s">
        <v>823</v>
      </c>
      <c r="G146" s="465" t="s">
        <v>850</v>
      </c>
      <c r="H146" s="465" t="s">
        <v>851</v>
      </c>
      <c r="I146" s="468">
        <v>3974.85009765625</v>
      </c>
      <c r="J146" s="468">
        <v>4</v>
      </c>
      <c r="K146" s="469">
        <v>15899.400390625</v>
      </c>
    </row>
    <row r="147" spans="1:11" ht="14.45" customHeight="1" x14ac:dyDescent="0.2">
      <c r="A147" s="463" t="s">
        <v>436</v>
      </c>
      <c r="B147" s="464" t="s">
        <v>437</v>
      </c>
      <c r="C147" s="465" t="s">
        <v>444</v>
      </c>
      <c r="D147" s="466" t="s">
        <v>445</v>
      </c>
      <c r="E147" s="465" t="s">
        <v>822</v>
      </c>
      <c r="F147" s="466" t="s">
        <v>823</v>
      </c>
      <c r="G147" s="465" t="s">
        <v>852</v>
      </c>
      <c r="H147" s="465" t="s">
        <v>853</v>
      </c>
      <c r="I147" s="468">
        <v>1585.0999755859375</v>
      </c>
      <c r="J147" s="468">
        <v>1</v>
      </c>
      <c r="K147" s="469">
        <v>1585.0999755859375</v>
      </c>
    </row>
    <row r="148" spans="1:11" ht="14.45" customHeight="1" x14ac:dyDescent="0.2">
      <c r="A148" s="463" t="s">
        <v>436</v>
      </c>
      <c r="B148" s="464" t="s">
        <v>437</v>
      </c>
      <c r="C148" s="465" t="s">
        <v>444</v>
      </c>
      <c r="D148" s="466" t="s">
        <v>445</v>
      </c>
      <c r="E148" s="465" t="s">
        <v>822</v>
      </c>
      <c r="F148" s="466" t="s">
        <v>823</v>
      </c>
      <c r="G148" s="465" t="s">
        <v>854</v>
      </c>
      <c r="H148" s="465" t="s">
        <v>855</v>
      </c>
      <c r="I148" s="468">
        <v>1.3700000047683716</v>
      </c>
      <c r="J148" s="468">
        <v>300</v>
      </c>
      <c r="K148" s="469">
        <v>411</v>
      </c>
    </row>
    <row r="149" spans="1:11" ht="14.45" customHeight="1" x14ac:dyDescent="0.2">
      <c r="A149" s="463" t="s">
        <v>436</v>
      </c>
      <c r="B149" s="464" t="s">
        <v>437</v>
      </c>
      <c r="C149" s="465" t="s">
        <v>444</v>
      </c>
      <c r="D149" s="466" t="s">
        <v>445</v>
      </c>
      <c r="E149" s="465" t="s">
        <v>822</v>
      </c>
      <c r="F149" s="466" t="s">
        <v>823</v>
      </c>
      <c r="G149" s="465" t="s">
        <v>856</v>
      </c>
      <c r="H149" s="465" t="s">
        <v>857</v>
      </c>
      <c r="I149" s="468">
        <v>1.3700000047683716</v>
      </c>
      <c r="J149" s="468">
        <v>300</v>
      </c>
      <c r="K149" s="469">
        <v>411</v>
      </c>
    </row>
    <row r="150" spans="1:11" ht="14.45" customHeight="1" x14ac:dyDescent="0.2">
      <c r="A150" s="463" t="s">
        <v>436</v>
      </c>
      <c r="B150" s="464" t="s">
        <v>437</v>
      </c>
      <c r="C150" s="465" t="s">
        <v>444</v>
      </c>
      <c r="D150" s="466" t="s">
        <v>445</v>
      </c>
      <c r="E150" s="465" t="s">
        <v>822</v>
      </c>
      <c r="F150" s="466" t="s">
        <v>823</v>
      </c>
      <c r="G150" s="465" t="s">
        <v>858</v>
      </c>
      <c r="H150" s="465" t="s">
        <v>859</v>
      </c>
      <c r="I150" s="468">
        <v>1.3700000047683716</v>
      </c>
      <c r="J150" s="468">
        <v>500</v>
      </c>
      <c r="K150" s="469">
        <v>684.989990234375</v>
      </c>
    </row>
    <row r="151" spans="1:11" ht="14.45" customHeight="1" x14ac:dyDescent="0.2">
      <c r="A151" s="463" t="s">
        <v>436</v>
      </c>
      <c r="B151" s="464" t="s">
        <v>437</v>
      </c>
      <c r="C151" s="465" t="s">
        <v>444</v>
      </c>
      <c r="D151" s="466" t="s">
        <v>445</v>
      </c>
      <c r="E151" s="465" t="s">
        <v>822</v>
      </c>
      <c r="F151" s="466" t="s">
        <v>823</v>
      </c>
      <c r="G151" s="465" t="s">
        <v>860</v>
      </c>
      <c r="H151" s="465" t="s">
        <v>861</v>
      </c>
      <c r="I151" s="468">
        <v>286.35000610351563</v>
      </c>
      <c r="J151" s="468">
        <v>2</v>
      </c>
      <c r="K151" s="469">
        <v>572.70001220703125</v>
      </c>
    </row>
    <row r="152" spans="1:11" ht="14.45" customHeight="1" x14ac:dyDescent="0.2">
      <c r="A152" s="463" t="s">
        <v>436</v>
      </c>
      <c r="B152" s="464" t="s">
        <v>437</v>
      </c>
      <c r="C152" s="465" t="s">
        <v>444</v>
      </c>
      <c r="D152" s="466" t="s">
        <v>445</v>
      </c>
      <c r="E152" s="465" t="s">
        <v>822</v>
      </c>
      <c r="F152" s="466" t="s">
        <v>823</v>
      </c>
      <c r="G152" s="465" t="s">
        <v>862</v>
      </c>
      <c r="H152" s="465" t="s">
        <v>863</v>
      </c>
      <c r="I152" s="468">
        <v>1.5700000524520874</v>
      </c>
      <c r="J152" s="468">
        <v>200</v>
      </c>
      <c r="K152" s="469">
        <v>314</v>
      </c>
    </row>
    <row r="153" spans="1:11" ht="14.45" customHeight="1" x14ac:dyDescent="0.2">
      <c r="A153" s="463" t="s">
        <v>436</v>
      </c>
      <c r="B153" s="464" t="s">
        <v>437</v>
      </c>
      <c r="C153" s="465" t="s">
        <v>444</v>
      </c>
      <c r="D153" s="466" t="s">
        <v>445</v>
      </c>
      <c r="E153" s="465" t="s">
        <v>822</v>
      </c>
      <c r="F153" s="466" t="s">
        <v>823</v>
      </c>
      <c r="G153" s="465" t="s">
        <v>864</v>
      </c>
      <c r="H153" s="465" t="s">
        <v>865</v>
      </c>
      <c r="I153" s="468">
        <v>194.35000610351563</v>
      </c>
      <c r="J153" s="468">
        <v>20</v>
      </c>
      <c r="K153" s="469">
        <v>3887</v>
      </c>
    </row>
    <row r="154" spans="1:11" ht="14.45" customHeight="1" x14ac:dyDescent="0.2">
      <c r="A154" s="463" t="s">
        <v>436</v>
      </c>
      <c r="B154" s="464" t="s">
        <v>437</v>
      </c>
      <c r="C154" s="465" t="s">
        <v>444</v>
      </c>
      <c r="D154" s="466" t="s">
        <v>445</v>
      </c>
      <c r="E154" s="465" t="s">
        <v>822</v>
      </c>
      <c r="F154" s="466" t="s">
        <v>823</v>
      </c>
      <c r="G154" s="465" t="s">
        <v>866</v>
      </c>
      <c r="H154" s="465" t="s">
        <v>867</v>
      </c>
      <c r="I154" s="468">
        <v>194.35000610351563</v>
      </c>
      <c r="J154" s="468">
        <v>10</v>
      </c>
      <c r="K154" s="469">
        <v>1943.5</v>
      </c>
    </row>
    <row r="155" spans="1:11" ht="14.45" customHeight="1" x14ac:dyDescent="0.2">
      <c r="A155" s="463" t="s">
        <v>436</v>
      </c>
      <c r="B155" s="464" t="s">
        <v>437</v>
      </c>
      <c r="C155" s="465" t="s">
        <v>444</v>
      </c>
      <c r="D155" s="466" t="s">
        <v>445</v>
      </c>
      <c r="E155" s="465" t="s">
        <v>822</v>
      </c>
      <c r="F155" s="466" t="s">
        <v>823</v>
      </c>
      <c r="G155" s="465" t="s">
        <v>868</v>
      </c>
      <c r="H155" s="465" t="s">
        <v>869</v>
      </c>
      <c r="I155" s="468">
        <v>194.35000610351563</v>
      </c>
      <c r="J155" s="468">
        <v>10</v>
      </c>
      <c r="K155" s="469">
        <v>1943.5</v>
      </c>
    </row>
    <row r="156" spans="1:11" ht="14.45" customHeight="1" x14ac:dyDescent="0.2">
      <c r="A156" s="463" t="s">
        <v>436</v>
      </c>
      <c r="B156" s="464" t="s">
        <v>437</v>
      </c>
      <c r="C156" s="465" t="s">
        <v>444</v>
      </c>
      <c r="D156" s="466" t="s">
        <v>445</v>
      </c>
      <c r="E156" s="465" t="s">
        <v>822</v>
      </c>
      <c r="F156" s="466" t="s">
        <v>823</v>
      </c>
      <c r="G156" s="465" t="s">
        <v>870</v>
      </c>
      <c r="H156" s="465" t="s">
        <v>871</v>
      </c>
      <c r="I156" s="468">
        <v>194.35000610351563</v>
      </c>
      <c r="J156" s="468">
        <v>10</v>
      </c>
      <c r="K156" s="469">
        <v>1943.5</v>
      </c>
    </row>
    <row r="157" spans="1:11" ht="14.45" customHeight="1" x14ac:dyDescent="0.2">
      <c r="A157" s="463" t="s">
        <v>436</v>
      </c>
      <c r="B157" s="464" t="s">
        <v>437</v>
      </c>
      <c r="C157" s="465" t="s">
        <v>444</v>
      </c>
      <c r="D157" s="466" t="s">
        <v>445</v>
      </c>
      <c r="E157" s="465" t="s">
        <v>822</v>
      </c>
      <c r="F157" s="466" t="s">
        <v>823</v>
      </c>
      <c r="G157" s="465" t="s">
        <v>872</v>
      </c>
      <c r="H157" s="465" t="s">
        <v>873</v>
      </c>
      <c r="I157" s="468">
        <v>838.04998779296875</v>
      </c>
      <c r="J157" s="468">
        <v>5</v>
      </c>
      <c r="K157" s="469">
        <v>4190.25</v>
      </c>
    </row>
    <row r="158" spans="1:11" ht="14.45" customHeight="1" x14ac:dyDescent="0.2">
      <c r="A158" s="463" t="s">
        <v>436</v>
      </c>
      <c r="B158" s="464" t="s">
        <v>437</v>
      </c>
      <c r="C158" s="465" t="s">
        <v>444</v>
      </c>
      <c r="D158" s="466" t="s">
        <v>445</v>
      </c>
      <c r="E158" s="465" t="s">
        <v>822</v>
      </c>
      <c r="F158" s="466" t="s">
        <v>823</v>
      </c>
      <c r="G158" s="465" t="s">
        <v>874</v>
      </c>
      <c r="H158" s="465" t="s">
        <v>875</v>
      </c>
      <c r="I158" s="468">
        <v>838.04998779296875</v>
      </c>
      <c r="J158" s="468">
        <v>5</v>
      </c>
      <c r="K158" s="469">
        <v>4190.259765625</v>
      </c>
    </row>
    <row r="159" spans="1:11" ht="14.45" customHeight="1" x14ac:dyDescent="0.2">
      <c r="A159" s="463" t="s">
        <v>436</v>
      </c>
      <c r="B159" s="464" t="s">
        <v>437</v>
      </c>
      <c r="C159" s="465" t="s">
        <v>444</v>
      </c>
      <c r="D159" s="466" t="s">
        <v>445</v>
      </c>
      <c r="E159" s="465" t="s">
        <v>822</v>
      </c>
      <c r="F159" s="466" t="s">
        <v>823</v>
      </c>
      <c r="G159" s="465" t="s">
        <v>876</v>
      </c>
      <c r="H159" s="465" t="s">
        <v>877</v>
      </c>
      <c r="I159" s="468">
        <v>2081.199951171875</v>
      </c>
      <c r="J159" s="468">
        <v>2</v>
      </c>
      <c r="K159" s="469">
        <v>4162.39990234375</v>
      </c>
    </row>
    <row r="160" spans="1:11" ht="14.45" customHeight="1" x14ac:dyDescent="0.2">
      <c r="A160" s="463" t="s">
        <v>436</v>
      </c>
      <c r="B160" s="464" t="s">
        <v>437</v>
      </c>
      <c r="C160" s="465" t="s">
        <v>444</v>
      </c>
      <c r="D160" s="466" t="s">
        <v>445</v>
      </c>
      <c r="E160" s="465" t="s">
        <v>822</v>
      </c>
      <c r="F160" s="466" t="s">
        <v>823</v>
      </c>
      <c r="G160" s="465" t="s">
        <v>878</v>
      </c>
      <c r="H160" s="465" t="s">
        <v>879</v>
      </c>
      <c r="I160" s="468">
        <v>72.599998474121094</v>
      </c>
      <c r="J160" s="468">
        <v>5</v>
      </c>
      <c r="K160" s="469">
        <v>363</v>
      </c>
    </row>
    <row r="161" spans="1:11" ht="14.45" customHeight="1" x14ac:dyDescent="0.2">
      <c r="A161" s="463" t="s">
        <v>436</v>
      </c>
      <c r="B161" s="464" t="s">
        <v>437</v>
      </c>
      <c r="C161" s="465" t="s">
        <v>444</v>
      </c>
      <c r="D161" s="466" t="s">
        <v>445</v>
      </c>
      <c r="E161" s="465" t="s">
        <v>822</v>
      </c>
      <c r="F161" s="466" t="s">
        <v>823</v>
      </c>
      <c r="G161" s="465" t="s">
        <v>880</v>
      </c>
      <c r="H161" s="465" t="s">
        <v>881</v>
      </c>
      <c r="I161" s="468">
        <v>72.599998474121094</v>
      </c>
      <c r="J161" s="468">
        <v>5</v>
      </c>
      <c r="K161" s="469">
        <v>363</v>
      </c>
    </row>
    <row r="162" spans="1:11" ht="14.45" customHeight="1" x14ac:dyDescent="0.2">
      <c r="A162" s="463" t="s">
        <v>436</v>
      </c>
      <c r="B162" s="464" t="s">
        <v>437</v>
      </c>
      <c r="C162" s="465" t="s">
        <v>444</v>
      </c>
      <c r="D162" s="466" t="s">
        <v>445</v>
      </c>
      <c r="E162" s="465" t="s">
        <v>822</v>
      </c>
      <c r="F162" s="466" t="s">
        <v>823</v>
      </c>
      <c r="G162" s="465" t="s">
        <v>882</v>
      </c>
      <c r="H162" s="465" t="s">
        <v>883</v>
      </c>
      <c r="I162" s="468">
        <v>95.589996337890625</v>
      </c>
      <c r="J162" s="468">
        <v>15</v>
      </c>
      <c r="K162" s="469">
        <v>1433.8499755859375</v>
      </c>
    </row>
    <row r="163" spans="1:11" ht="14.45" customHeight="1" x14ac:dyDescent="0.2">
      <c r="A163" s="463" t="s">
        <v>436</v>
      </c>
      <c r="B163" s="464" t="s">
        <v>437</v>
      </c>
      <c r="C163" s="465" t="s">
        <v>444</v>
      </c>
      <c r="D163" s="466" t="s">
        <v>445</v>
      </c>
      <c r="E163" s="465" t="s">
        <v>822</v>
      </c>
      <c r="F163" s="466" t="s">
        <v>823</v>
      </c>
      <c r="G163" s="465" t="s">
        <v>884</v>
      </c>
      <c r="H163" s="465" t="s">
        <v>885</v>
      </c>
      <c r="I163" s="468">
        <v>181.36222161187067</v>
      </c>
      <c r="J163" s="468">
        <v>37</v>
      </c>
      <c r="K163" s="469">
        <v>6710.2300415039063</v>
      </c>
    </row>
    <row r="164" spans="1:11" ht="14.45" customHeight="1" x14ac:dyDescent="0.2">
      <c r="A164" s="463" t="s">
        <v>436</v>
      </c>
      <c r="B164" s="464" t="s">
        <v>437</v>
      </c>
      <c r="C164" s="465" t="s">
        <v>444</v>
      </c>
      <c r="D164" s="466" t="s">
        <v>445</v>
      </c>
      <c r="E164" s="465" t="s">
        <v>822</v>
      </c>
      <c r="F164" s="466" t="s">
        <v>823</v>
      </c>
      <c r="G164" s="465" t="s">
        <v>886</v>
      </c>
      <c r="H164" s="465" t="s">
        <v>887</v>
      </c>
      <c r="I164" s="468">
        <v>713.9000244140625</v>
      </c>
      <c r="J164" s="468">
        <v>2</v>
      </c>
      <c r="K164" s="469">
        <v>1427.800048828125</v>
      </c>
    </row>
    <row r="165" spans="1:11" ht="14.45" customHeight="1" x14ac:dyDescent="0.2">
      <c r="A165" s="463" t="s">
        <v>436</v>
      </c>
      <c r="B165" s="464" t="s">
        <v>437</v>
      </c>
      <c r="C165" s="465" t="s">
        <v>444</v>
      </c>
      <c r="D165" s="466" t="s">
        <v>445</v>
      </c>
      <c r="E165" s="465" t="s">
        <v>822</v>
      </c>
      <c r="F165" s="466" t="s">
        <v>823</v>
      </c>
      <c r="G165" s="465" t="s">
        <v>888</v>
      </c>
      <c r="H165" s="465" t="s">
        <v>889</v>
      </c>
      <c r="I165" s="468">
        <v>4055.9599609375</v>
      </c>
      <c r="J165" s="468">
        <v>3</v>
      </c>
      <c r="K165" s="469">
        <v>12167.919677734375</v>
      </c>
    </row>
    <row r="166" spans="1:11" ht="14.45" customHeight="1" x14ac:dyDescent="0.2">
      <c r="A166" s="463" t="s">
        <v>436</v>
      </c>
      <c r="B166" s="464" t="s">
        <v>437</v>
      </c>
      <c r="C166" s="465" t="s">
        <v>444</v>
      </c>
      <c r="D166" s="466" t="s">
        <v>445</v>
      </c>
      <c r="E166" s="465" t="s">
        <v>822</v>
      </c>
      <c r="F166" s="466" t="s">
        <v>823</v>
      </c>
      <c r="G166" s="465" t="s">
        <v>890</v>
      </c>
      <c r="H166" s="465" t="s">
        <v>891</v>
      </c>
      <c r="I166" s="468">
        <v>531</v>
      </c>
      <c r="J166" s="468">
        <v>3</v>
      </c>
      <c r="K166" s="469">
        <v>1592.989990234375</v>
      </c>
    </row>
    <row r="167" spans="1:11" ht="14.45" customHeight="1" x14ac:dyDescent="0.2">
      <c r="A167" s="463" t="s">
        <v>436</v>
      </c>
      <c r="B167" s="464" t="s">
        <v>437</v>
      </c>
      <c r="C167" s="465" t="s">
        <v>444</v>
      </c>
      <c r="D167" s="466" t="s">
        <v>445</v>
      </c>
      <c r="E167" s="465" t="s">
        <v>822</v>
      </c>
      <c r="F167" s="466" t="s">
        <v>823</v>
      </c>
      <c r="G167" s="465" t="s">
        <v>892</v>
      </c>
      <c r="H167" s="465" t="s">
        <v>893</v>
      </c>
      <c r="I167" s="468">
        <v>3635</v>
      </c>
      <c r="J167" s="468">
        <v>1</v>
      </c>
      <c r="K167" s="469">
        <v>3635</v>
      </c>
    </row>
    <row r="168" spans="1:11" ht="14.45" customHeight="1" x14ac:dyDescent="0.2">
      <c r="A168" s="463" t="s">
        <v>436</v>
      </c>
      <c r="B168" s="464" t="s">
        <v>437</v>
      </c>
      <c r="C168" s="465" t="s">
        <v>444</v>
      </c>
      <c r="D168" s="466" t="s">
        <v>445</v>
      </c>
      <c r="E168" s="465" t="s">
        <v>822</v>
      </c>
      <c r="F168" s="466" t="s">
        <v>823</v>
      </c>
      <c r="G168" s="465" t="s">
        <v>894</v>
      </c>
      <c r="H168" s="465" t="s">
        <v>895</v>
      </c>
      <c r="I168" s="468">
        <v>4128.009765625</v>
      </c>
      <c r="J168" s="468">
        <v>1</v>
      </c>
      <c r="K168" s="469">
        <v>4128.009765625</v>
      </c>
    </row>
    <row r="169" spans="1:11" ht="14.45" customHeight="1" x14ac:dyDescent="0.2">
      <c r="A169" s="463" t="s">
        <v>436</v>
      </c>
      <c r="B169" s="464" t="s">
        <v>437</v>
      </c>
      <c r="C169" s="465" t="s">
        <v>444</v>
      </c>
      <c r="D169" s="466" t="s">
        <v>445</v>
      </c>
      <c r="E169" s="465" t="s">
        <v>822</v>
      </c>
      <c r="F169" s="466" t="s">
        <v>823</v>
      </c>
      <c r="G169" s="465" t="s">
        <v>896</v>
      </c>
      <c r="H169" s="465" t="s">
        <v>897</v>
      </c>
      <c r="I169" s="468">
        <v>167.24428231375558</v>
      </c>
      <c r="J169" s="468">
        <v>17</v>
      </c>
      <c r="K169" s="469">
        <v>2848.4099731445313</v>
      </c>
    </row>
    <row r="170" spans="1:11" ht="14.45" customHeight="1" x14ac:dyDescent="0.2">
      <c r="A170" s="463" t="s">
        <v>436</v>
      </c>
      <c r="B170" s="464" t="s">
        <v>437</v>
      </c>
      <c r="C170" s="465" t="s">
        <v>444</v>
      </c>
      <c r="D170" s="466" t="s">
        <v>445</v>
      </c>
      <c r="E170" s="465" t="s">
        <v>822</v>
      </c>
      <c r="F170" s="466" t="s">
        <v>823</v>
      </c>
      <c r="G170" s="465" t="s">
        <v>898</v>
      </c>
      <c r="H170" s="465" t="s">
        <v>899</v>
      </c>
      <c r="I170" s="468">
        <v>1413.1199951171875</v>
      </c>
      <c r="J170" s="468">
        <v>1</v>
      </c>
      <c r="K170" s="469">
        <v>1413.1199951171875</v>
      </c>
    </row>
    <row r="171" spans="1:11" ht="14.45" customHeight="1" x14ac:dyDescent="0.2">
      <c r="A171" s="463" t="s">
        <v>436</v>
      </c>
      <c r="B171" s="464" t="s">
        <v>437</v>
      </c>
      <c r="C171" s="465" t="s">
        <v>444</v>
      </c>
      <c r="D171" s="466" t="s">
        <v>445</v>
      </c>
      <c r="E171" s="465" t="s">
        <v>822</v>
      </c>
      <c r="F171" s="466" t="s">
        <v>823</v>
      </c>
      <c r="G171" s="465" t="s">
        <v>898</v>
      </c>
      <c r="H171" s="465" t="s">
        <v>900</v>
      </c>
      <c r="I171" s="468">
        <v>1398.393310546875</v>
      </c>
      <c r="J171" s="468">
        <v>4</v>
      </c>
      <c r="K171" s="469">
        <v>5564.139892578125</v>
      </c>
    </row>
    <row r="172" spans="1:11" ht="14.45" customHeight="1" x14ac:dyDescent="0.2">
      <c r="A172" s="463" t="s">
        <v>436</v>
      </c>
      <c r="B172" s="464" t="s">
        <v>437</v>
      </c>
      <c r="C172" s="465" t="s">
        <v>444</v>
      </c>
      <c r="D172" s="466" t="s">
        <v>445</v>
      </c>
      <c r="E172" s="465" t="s">
        <v>822</v>
      </c>
      <c r="F172" s="466" t="s">
        <v>823</v>
      </c>
      <c r="G172" s="465" t="s">
        <v>901</v>
      </c>
      <c r="H172" s="465" t="s">
        <v>902</v>
      </c>
      <c r="I172" s="468">
        <v>147.25</v>
      </c>
      <c r="J172" s="468">
        <v>10</v>
      </c>
      <c r="K172" s="469">
        <v>1472.510009765625</v>
      </c>
    </row>
    <row r="173" spans="1:11" ht="14.45" customHeight="1" x14ac:dyDescent="0.2">
      <c r="A173" s="463" t="s">
        <v>436</v>
      </c>
      <c r="B173" s="464" t="s">
        <v>437</v>
      </c>
      <c r="C173" s="465" t="s">
        <v>444</v>
      </c>
      <c r="D173" s="466" t="s">
        <v>445</v>
      </c>
      <c r="E173" s="465" t="s">
        <v>822</v>
      </c>
      <c r="F173" s="466" t="s">
        <v>823</v>
      </c>
      <c r="G173" s="465" t="s">
        <v>903</v>
      </c>
      <c r="H173" s="465" t="s">
        <v>904</v>
      </c>
      <c r="I173" s="468">
        <v>1.3700000047683716</v>
      </c>
      <c r="J173" s="468">
        <v>200</v>
      </c>
      <c r="K173" s="469">
        <v>274</v>
      </c>
    </row>
    <row r="174" spans="1:11" ht="14.45" customHeight="1" x14ac:dyDescent="0.2">
      <c r="A174" s="463" t="s">
        <v>436</v>
      </c>
      <c r="B174" s="464" t="s">
        <v>437</v>
      </c>
      <c r="C174" s="465" t="s">
        <v>444</v>
      </c>
      <c r="D174" s="466" t="s">
        <v>445</v>
      </c>
      <c r="E174" s="465" t="s">
        <v>822</v>
      </c>
      <c r="F174" s="466" t="s">
        <v>823</v>
      </c>
      <c r="G174" s="465" t="s">
        <v>905</v>
      </c>
      <c r="H174" s="465" t="s">
        <v>906</v>
      </c>
      <c r="I174" s="468">
        <v>1.3700000047683716</v>
      </c>
      <c r="J174" s="468">
        <v>200</v>
      </c>
      <c r="K174" s="469">
        <v>274</v>
      </c>
    </row>
    <row r="175" spans="1:11" ht="14.45" customHeight="1" x14ac:dyDescent="0.2">
      <c r="A175" s="463" t="s">
        <v>436</v>
      </c>
      <c r="B175" s="464" t="s">
        <v>437</v>
      </c>
      <c r="C175" s="465" t="s">
        <v>444</v>
      </c>
      <c r="D175" s="466" t="s">
        <v>445</v>
      </c>
      <c r="E175" s="465" t="s">
        <v>822</v>
      </c>
      <c r="F175" s="466" t="s">
        <v>823</v>
      </c>
      <c r="G175" s="465" t="s">
        <v>907</v>
      </c>
      <c r="H175" s="465" t="s">
        <v>908</v>
      </c>
      <c r="I175" s="468">
        <v>1.3700000047683716</v>
      </c>
      <c r="J175" s="468">
        <v>300</v>
      </c>
      <c r="K175" s="469">
        <v>411</v>
      </c>
    </row>
    <row r="176" spans="1:11" ht="14.45" customHeight="1" x14ac:dyDescent="0.2">
      <c r="A176" s="463" t="s">
        <v>436</v>
      </c>
      <c r="B176" s="464" t="s">
        <v>437</v>
      </c>
      <c r="C176" s="465" t="s">
        <v>444</v>
      </c>
      <c r="D176" s="466" t="s">
        <v>445</v>
      </c>
      <c r="E176" s="465" t="s">
        <v>822</v>
      </c>
      <c r="F176" s="466" t="s">
        <v>823</v>
      </c>
      <c r="G176" s="465" t="s">
        <v>909</v>
      </c>
      <c r="H176" s="465" t="s">
        <v>910</v>
      </c>
      <c r="I176" s="468">
        <v>1.3700000047683716</v>
      </c>
      <c r="J176" s="468">
        <v>600</v>
      </c>
      <c r="K176" s="469">
        <v>822.0899658203125</v>
      </c>
    </row>
    <row r="177" spans="1:11" ht="14.45" customHeight="1" x14ac:dyDescent="0.2">
      <c r="A177" s="463" t="s">
        <v>436</v>
      </c>
      <c r="B177" s="464" t="s">
        <v>437</v>
      </c>
      <c r="C177" s="465" t="s">
        <v>444</v>
      </c>
      <c r="D177" s="466" t="s">
        <v>445</v>
      </c>
      <c r="E177" s="465" t="s">
        <v>822</v>
      </c>
      <c r="F177" s="466" t="s">
        <v>823</v>
      </c>
      <c r="G177" s="465" t="s">
        <v>854</v>
      </c>
      <c r="H177" s="465" t="s">
        <v>911</v>
      </c>
      <c r="I177" s="468">
        <v>1.5266666809717815</v>
      </c>
      <c r="J177" s="468">
        <v>600</v>
      </c>
      <c r="K177" s="469">
        <v>916.8399658203125</v>
      </c>
    </row>
    <row r="178" spans="1:11" ht="14.45" customHeight="1" x14ac:dyDescent="0.2">
      <c r="A178" s="463" t="s">
        <v>436</v>
      </c>
      <c r="B178" s="464" t="s">
        <v>437</v>
      </c>
      <c r="C178" s="465" t="s">
        <v>444</v>
      </c>
      <c r="D178" s="466" t="s">
        <v>445</v>
      </c>
      <c r="E178" s="465" t="s">
        <v>822</v>
      </c>
      <c r="F178" s="466" t="s">
        <v>823</v>
      </c>
      <c r="G178" s="465" t="s">
        <v>856</v>
      </c>
      <c r="H178" s="465" t="s">
        <v>912</v>
      </c>
      <c r="I178" s="468">
        <v>1.6050000190734863</v>
      </c>
      <c r="J178" s="468">
        <v>800</v>
      </c>
      <c r="K178" s="469">
        <v>1285.47998046875</v>
      </c>
    </row>
    <row r="179" spans="1:11" ht="14.45" customHeight="1" x14ac:dyDescent="0.2">
      <c r="A179" s="463" t="s">
        <v>436</v>
      </c>
      <c r="B179" s="464" t="s">
        <v>437</v>
      </c>
      <c r="C179" s="465" t="s">
        <v>444</v>
      </c>
      <c r="D179" s="466" t="s">
        <v>445</v>
      </c>
      <c r="E179" s="465" t="s">
        <v>822</v>
      </c>
      <c r="F179" s="466" t="s">
        <v>823</v>
      </c>
      <c r="G179" s="465" t="s">
        <v>858</v>
      </c>
      <c r="H179" s="465" t="s">
        <v>913</v>
      </c>
      <c r="I179" s="468">
        <v>1.5580000162124634</v>
      </c>
      <c r="J179" s="468">
        <v>1100</v>
      </c>
      <c r="K179" s="469">
        <v>1743.5899658203125</v>
      </c>
    </row>
    <row r="180" spans="1:11" ht="14.45" customHeight="1" x14ac:dyDescent="0.2">
      <c r="A180" s="463" t="s">
        <v>436</v>
      </c>
      <c r="B180" s="464" t="s">
        <v>437</v>
      </c>
      <c r="C180" s="465" t="s">
        <v>444</v>
      </c>
      <c r="D180" s="466" t="s">
        <v>445</v>
      </c>
      <c r="E180" s="465" t="s">
        <v>822</v>
      </c>
      <c r="F180" s="466" t="s">
        <v>823</v>
      </c>
      <c r="G180" s="465" t="s">
        <v>914</v>
      </c>
      <c r="H180" s="465" t="s">
        <v>915</v>
      </c>
      <c r="I180" s="468">
        <v>1.6050000190734863</v>
      </c>
      <c r="J180" s="468">
        <v>500</v>
      </c>
      <c r="K180" s="469">
        <v>826.9599609375</v>
      </c>
    </row>
    <row r="181" spans="1:11" ht="14.45" customHeight="1" x14ac:dyDescent="0.2">
      <c r="A181" s="463" t="s">
        <v>436</v>
      </c>
      <c r="B181" s="464" t="s">
        <v>437</v>
      </c>
      <c r="C181" s="465" t="s">
        <v>444</v>
      </c>
      <c r="D181" s="466" t="s">
        <v>445</v>
      </c>
      <c r="E181" s="465" t="s">
        <v>822</v>
      </c>
      <c r="F181" s="466" t="s">
        <v>823</v>
      </c>
      <c r="G181" s="465" t="s">
        <v>916</v>
      </c>
      <c r="H181" s="465" t="s">
        <v>917</v>
      </c>
      <c r="I181" s="468">
        <v>1.6050000190734863</v>
      </c>
      <c r="J181" s="468">
        <v>500</v>
      </c>
      <c r="K181" s="469">
        <v>826.96002197265625</v>
      </c>
    </row>
    <row r="182" spans="1:11" ht="14.45" customHeight="1" x14ac:dyDescent="0.2">
      <c r="A182" s="463" t="s">
        <v>436</v>
      </c>
      <c r="B182" s="464" t="s">
        <v>437</v>
      </c>
      <c r="C182" s="465" t="s">
        <v>444</v>
      </c>
      <c r="D182" s="466" t="s">
        <v>445</v>
      </c>
      <c r="E182" s="465" t="s">
        <v>822</v>
      </c>
      <c r="F182" s="466" t="s">
        <v>823</v>
      </c>
      <c r="G182" s="465" t="s">
        <v>918</v>
      </c>
      <c r="H182" s="465" t="s">
        <v>919</v>
      </c>
      <c r="I182" s="468">
        <v>3.9200000762939453</v>
      </c>
      <c r="J182" s="468">
        <v>180</v>
      </c>
      <c r="K182" s="469">
        <v>705.82000732421875</v>
      </c>
    </row>
    <row r="183" spans="1:11" ht="14.45" customHeight="1" x14ac:dyDescent="0.2">
      <c r="A183" s="463" t="s">
        <v>436</v>
      </c>
      <c r="B183" s="464" t="s">
        <v>437</v>
      </c>
      <c r="C183" s="465" t="s">
        <v>444</v>
      </c>
      <c r="D183" s="466" t="s">
        <v>445</v>
      </c>
      <c r="E183" s="465" t="s">
        <v>822</v>
      </c>
      <c r="F183" s="466" t="s">
        <v>823</v>
      </c>
      <c r="G183" s="465" t="s">
        <v>920</v>
      </c>
      <c r="H183" s="465" t="s">
        <v>921</v>
      </c>
      <c r="I183" s="468">
        <v>2.619999885559082</v>
      </c>
      <c r="J183" s="468">
        <v>120</v>
      </c>
      <c r="K183" s="469">
        <v>314</v>
      </c>
    </row>
    <row r="184" spans="1:11" ht="14.45" customHeight="1" x14ac:dyDescent="0.2">
      <c r="A184" s="463" t="s">
        <v>436</v>
      </c>
      <c r="B184" s="464" t="s">
        <v>437</v>
      </c>
      <c r="C184" s="465" t="s">
        <v>444</v>
      </c>
      <c r="D184" s="466" t="s">
        <v>445</v>
      </c>
      <c r="E184" s="465" t="s">
        <v>822</v>
      </c>
      <c r="F184" s="466" t="s">
        <v>823</v>
      </c>
      <c r="G184" s="465" t="s">
        <v>922</v>
      </c>
      <c r="H184" s="465" t="s">
        <v>923</v>
      </c>
      <c r="I184" s="468">
        <v>11.949999809265137</v>
      </c>
      <c r="J184" s="468">
        <v>180</v>
      </c>
      <c r="K184" s="469">
        <v>2151.340087890625</v>
      </c>
    </row>
    <row r="185" spans="1:11" ht="14.45" customHeight="1" x14ac:dyDescent="0.2">
      <c r="A185" s="463" t="s">
        <v>436</v>
      </c>
      <c r="B185" s="464" t="s">
        <v>437</v>
      </c>
      <c r="C185" s="465" t="s">
        <v>444</v>
      </c>
      <c r="D185" s="466" t="s">
        <v>445</v>
      </c>
      <c r="E185" s="465" t="s">
        <v>822</v>
      </c>
      <c r="F185" s="466" t="s">
        <v>823</v>
      </c>
      <c r="G185" s="465" t="s">
        <v>924</v>
      </c>
      <c r="H185" s="465" t="s">
        <v>925</v>
      </c>
      <c r="I185" s="468">
        <v>228.69000244140625</v>
      </c>
      <c r="J185" s="468">
        <v>2</v>
      </c>
      <c r="K185" s="469">
        <v>457.3800048828125</v>
      </c>
    </row>
    <row r="186" spans="1:11" ht="14.45" customHeight="1" x14ac:dyDescent="0.2">
      <c r="A186" s="463" t="s">
        <v>436</v>
      </c>
      <c r="B186" s="464" t="s">
        <v>437</v>
      </c>
      <c r="C186" s="465" t="s">
        <v>444</v>
      </c>
      <c r="D186" s="466" t="s">
        <v>445</v>
      </c>
      <c r="E186" s="465" t="s">
        <v>822</v>
      </c>
      <c r="F186" s="466" t="s">
        <v>823</v>
      </c>
      <c r="G186" s="465" t="s">
        <v>926</v>
      </c>
      <c r="H186" s="465" t="s">
        <v>927</v>
      </c>
      <c r="I186" s="468">
        <v>228.69000244140625</v>
      </c>
      <c r="J186" s="468">
        <v>2</v>
      </c>
      <c r="K186" s="469">
        <v>457.3800048828125</v>
      </c>
    </row>
    <row r="187" spans="1:11" ht="14.45" customHeight="1" x14ac:dyDescent="0.2">
      <c r="A187" s="463" t="s">
        <v>436</v>
      </c>
      <c r="B187" s="464" t="s">
        <v>437</v>
      </c>
      <c r="C187" s="465" t="s">
        <v>444</v>
      </c>
      <c r="D187" s="466" t="s">
        <v>445</v>
      </c>
      <c r="E187" s="465" t="s">
        <v>822</v>
      </c>
      <c r="F187" s="466" t="s">
        <v>823</v>
      </c>
      <c r="G187" s="465" t="s">
        <v>928</v>
      </c>
      <c r="H187" s="465" t="s">
        <v>929</v>
      </c>
      <c r="I187" s="468">
        <v>159.72000122070313</v>
      </c>
      <c r="J187" s="468">
        <v>2</v>
      </c>
      <c r="K187" s="469">
        <v>319.44000244140625</v>
      </c>
    </row>
    <row r="188" spans="1:11" ht="14.45" customHeight="1" x14ac:dyDescent="0.2">
      <c r="A188" s="463" t="s">
        <v>436</v>
      </c>
      <c r="B188" s="464" t="s">
        <v>437</v>
      </c>
      <c r="C188" s="465" t="s">
        <v>444</v>
      </c>
      <c r="D188" s="466" t="s">
        <v>445</v>
      </c>
      <c r="E188" s="465" t="s">
        <v>822</v>
      </c>
      <c r="F188" s="466" t="s">
        <v>823</v>
      </c>
      <c r="G188" s="465" t="s">
        <v>930</v>
      </c>
      <c r="H188" s="465" t="s">
        <v>931</v>
      </c>
      <c r="I188" s="468">
        <v>48.5</v>
      </c>
      <c r="J188" s="468">
        <v>20</v>
      </c>
      <c r="K188" s="469">
        <v>970</v>
      </c>
    </row>
    <row r="189" spans="1:11" ht="14.45" customHeight="1" x14ac:dyDescent="0.2">
      <c r="A189" s="463" t="s">
        <v>436</v>
      </c>
      <c r="B189" s="464" t="s">
        <v>437</v>
      </c>
      <c r="C189" s="465" t="s">
        <v>444</v>
      </c>
      <c r="D189" s="466" t="s">
        <v>445</v>
      </c>
      <c r="E189" s="465" t="s">
        <v>822</v>
      </c>
      <c r="F189" s="466" t="s">
        <v>823</v>
      </c>
      <c r="G189" s="465" t="s">
        <v>932</v>
      </c>
      <c r="H189" s="465" t="s">
        <v>933</v>
      </c>
      <c r="I189" s="468">
        <v>2.5550000667572021</v>
      </c>
      <c r="J189" s="468">
        <v>200</v>
      </c>
      <c r="K189" s="469">
        <v>511.82998657226563</v>
      </c>
    </row>
    <row r="190" spans="1:11" ht="14.45" customHeight="1" x14ac:dyDescent="0.2">
      <c r="A190" s="463" t="s">
        <v>436</v>
      </c>
      <c r="B190" s="464" t="s">
        <v>437</v>
      </c>
      <c r="C190" s="465" t="s">
        <v>444</v>
      </c>
      <c r="D190" s="466" t="s">
        <v>445</v>
      </c>
      <c r="E190" s="465" t="s">
        <v>822</v>
      </c>
      <c r="F190" s="466" t="s">
        <v>823</v>
      </c>
      <c r="G190" s="465" t="s">
        <v>934</v>
      </c>
      <c r="H190" s="465" t="s">
        <v>935</v>
      </c>
      <c r="I190" s="468">
        <v>762.67999267578125</v>
      </c>
      <c r="J190" s="468">
        <v>1</v>
      </c>
      <c r="K190" s="469">
        <v>762.67999267578125</v>
      </c>
    </row>
    <row r="191" spans="1:11" ht="14.45" customHeight="1" x14ac:dyDescent="0.2">
      <c r="A191" s="463" t="s">
        <v>436</v>
      </c>
      <c r="B191" s="464" t="s">
        <v>437</v>
      </c>
      <c r="C191" s="465" t="s">
        <v>444</v>
      </c>
      <c r="D191" s="466" t="s">
        <v>445</v>
      </c>
      <c r="E191" s="465" t="s">
        <v>822</v>
      </c>
      <c r="F191" s="466" t="s">
        <v>823</v>
      </c>
      <c r="G191" s="465" t="s">
        <v>936</v>
      </c>
      <c r="H191" s="465" t="s">
        <v>937</v>
      </c>
      <c r="I191" s="468">
        <v>890.510009765625</v>
      </c>
      <c r="J191" s="468">
        <v>1</v>
      </c>
      <c r="K191" s="469">
        <v>890.510009765625</v>
      </c>
    </row>
    <row r="192" spans="1:11" ht="14.45" customHeight="1" x14ac:dyDescent="0.2">
      <c r="A192" s="463" t="s">
        <v>436</v>
      </c>
      <c r="B192" s="464" t="s">
        <v>437</v>
      </c>
      <c r="C192" s="465" t="s">
        <v>444</v>
      </c>
      <c r="D192" s="466" t="s">
        <v>445</v>
      </c>
      <c r="E192" s="465" t="s">
        <v>822</v>
      </c>
      <c r="F192" s="466" t="s">
        <v>823</v>
      </c>
      <c r="G192" s="465" t="s">
        <v>938</v>
      </c>
      <c r="H192" s="465" t="s">
        <v>939</v>
      </c>
      <c r="I192" s="468">
        <v>890.55999755859375</v>
      </c>
      <c r="J192" s="468">
        <v>1</v>
      </c>
      <c r="K192" s="469">
        <v>890.55999755859375</v>
      </c>
    </row>
    <row r="193" spans="1:11" ht="14.45" customHeight="1" x14ac:dyDescent="0.2">
      <c r="A193" s="463" t="s">
        <v>436</v>
      </c>
      <c r="B193" s="464" t="s">
        <v>437</v>
      </c>
      <c r="C193" s="465" t="s">
        <v>444</v>
      </c>
      <c r="D193" s="466" t="s">
        <v>445</v>
      </c>
      <c r="E193" s="465" t="s">
        <v>822</v>
      </c>
      <c r="F193" s="466" t="s">
        <v>823</v>
      </c>
      <c r="G193" s="465" t="s">
        <v>940</v>
      </c>
      <c r="H193" s="465" t="s">
        <v>941</v>
      </c>
      <c r="I193" s="468">
        <v>874.780029296875</v>
      </c>
      <c r="J193" s="468">
        <v>1</v>
      </c>
      <c r="K193" s="469">
        <v>874.780029296875</v>
      </c>
    </row>
    <row r="194" spans="1:11" ht="14.45" customHeight="1" x14ac:dyDescent="0.2">
      <c r="A194" s="463" t="s">
        <v>436</v>
      </c>
      <c r="B194" s="464" t="s">
        <v>437</v>
      </c>
      <c r="C194" s="465" t="s">
        <v>444</v>
      </c>
      <c r="D194" s="466" t="s">
        <v>445</v>
      </c>
      <c r="E194" s="465" t="s">
        <v>822</v>
      </c>
      <c r="F194" s="466" t="s">
        <v>823</v>
      </c>
      <c r="G194" s="465" t="s">
        <v>942</v>
      </c>
      <c r="H194" s="465" t="s">
        <v>943</v>
      </c>
      <c r="I194" s="468">
        <v>865.1500244140625</v>
      </c>
      <c r="J194" s="468">
        <v>1</v>
      </c>
      <c r="K194" s="469">
        <v>865.1500244140625</v>
      </c>
    </row>
    <row r="195" spans="1:11" ht="14.45" customHeight="1" x14ac:dyDescent="0.2">
      <c r="A195" s="463" t="s">
        <v>436</v>
      </c>
      <c r="B195" s="464" t="s">
        <v>437</v>
      </c>
      <c r="C195" s="465" t="s">
        <v>444</v>
      </c>
      <c r="D195" s="466" t="s">
        <v>445</v>
      </c>
      <c r="E195" s="465" t="s">
        <v>822</v>
      </c>
      <c r="F195" s="466" t="s">
        <v>823</v>
      </c>
      <c r="G195" s="465" t="s">
        <v>942</v>
      </c>
      <c r="H195" s="465" t="s">
        <v>944</v>
      </c>
      <c r="I195" s="468">
        <v>865.0999755859375</v>
      </c>
      <c r="J195" s="468">
        <v>1</v>
      </c>
      <c r="K195" s="469">
        <v>865.0999755859375</v>
      </c>
    </row>
    <row r="196" spans="1:11" ht="14.45" customHeight="1" x14ac:dyDescent="0.2">
      <c r="A196" s="463" t="s">
        <v>436</v>
      </c>
      <c r="B196" s="464" t="s">
        <v>437</v>
      </c>
      <c r="C196" s="465" t="s">
        <v>444</v>
      </c>
      <c r="D196" s="466" t="s">
        <v>445</v>
      </c>
      <c r="E196" s="465" t="s">
        <v>822</v>
      </c>
      <c r="F196" s="466" t="s">
        <v>823</v>
      </c>
      <c r="G196" s="465" t="s">
        <v>945</v>
      </c>
      <c r="H196" s="465" t="s">
        <v>946</v>
      </c>
      <c r="I196" s="468">
        <v>865.1500244140625</v>
      </c>
      <c r="J196" s="468">
        <v>1</v>
      </c>
      <c r="K196" s="469">
        <v>865.1500244140625</v>
      </c>
    </row>
    <row r="197" spans="1:11" ht="14.45" customHeight="1" x14ac:dyDescent="0.2">
      <c r="A197" s="463" t="s">
        <v>436</v>
      </c>
      <c r="B197" s="464" t="s">
        <v>437</v>
      </c>
      <c r="C197" s="465" t="s">
        <v>444</v>
      </c>
      <c r="D197" s="466" t="s">
        <v>445</v>
      </c>
      <c r="E197" s="465" t="s">
        <v>822</v>
      </c>
      <c r="F197" s="466" t="s">
        <v>823</v>
      </c>
      <c r="G197" s="465" t="s">
        <v>947</v>
      </c>
      <c r="H197" s="465" t="s">
        <v>948</v>
      </c>
      <c r="I197" s="468">
        <v>865.1500244140625</v>
      </c>
      <c r="J197" s="468">
        <v>1</v>
      </c>
      <c r="K197" s="469">
        <v>865.1500244140625</v>
      </c>
    </row>
    <row r="198" spans="1:11" ht="14.45" customHeight="1" x14ac:dyDescent="0.2">
      <c r="A198" s="463" t="s">
        <v>436</v>
      </c>
      <c r="B198" s="464" t="s">
        <v>437</v>
      </c>
      <c r="C198" s="465" t="s">
        <v>444</v>
      </c>
      <c r="D198" s="466" t="s">
        <v>445</v>
      </c>
      <c r="E198" s="465" t="s">
        <v>822</v>
      </c>
      <c r="F198" s="466" t="s">
        <v>823</v>
      </c>
      <c r="G198" s="465" t="s">
        <v>949</v>
      </c>
      <c r="H198" s="465" t="s">
        <v>950</v>
      </c>
      <c r="I198" s="468">
        <v>874.780029296875</v>
      </c>
      <c r="J198" s="468">
        <v>1</v>
      </c>
      <c r="K198" s="469">
        <v>874.780029296875</v>
      </c>
    </row>
    <row r="199" spans="1:11" ht="14.45" customHeight="1" x14ac:dyDescent="0.2">
      <c r="A199" s="463" t="s">
        <v>436</v>
      </c>
      <c r="B199" s="464" t="s">
        <v>437</v>
      </c>
      <c r="C199" s="465" t="s">
        <v>444</v>
      </c>
      <c r="D199" s="466" t="s">
        <v>445</v>
      </c>
      <c r="E199" s="465" t="s">
        <v>822</v>
      </c>
      <c r="F199" s="466" t="s">
        <v>823</v>
      </c>
      <c r="G199" s="465" t="s">
        <v>951</v>
      </c>
      <c r="H199" s="465" t="s">
        <v>952</v>
      </c>
      <c r="I199" s="468">
        <v>97.991667429606125</v>
      </c>
      <c r="J199" s="468">
        <v>60</v>
      </c>
      <c r="K199" s="469">
        <v>5879.3900146484375</v>
      </c>
    </row>
    <row r="200" spans="1:11" ht="14.45" customHeight="1" x14ac:dyDescent="0.2">
      <c r="A200" s="463" t="s">
        <v>436</v>
      </c>
      <c r="B200" s="464" t="s">
        <v>437</v>
      </c>
      <c r="C200" s="465" t="s">
        <v>444</v>
      </c>
      <c r="D200" s="466" t="s">
        <v>445</v>
      </c>
      <c r="E200" s="465" t="s">
        <v>822</v>
      </c>
      <c r="F200" s="466" t="s">
        <v>823</v>
      </c>
      <c r="G200" s="465" t="s">
        <v>953</v>
      </c>
      <c r="H200" s="465" t="s">
        <v>954</v>
      </c>
      <c r="I200" s="468">
        <v>22.260000228881836</v>
      </c>
      <c r="J200" s="468">
        <v>100</v>
      </c>
      <c r="K200" s="469">
        <v>2226.43994140625</v>
      </c>
    </row>
    <row r="201" spans="1:11" ht="14.45" customHeight="1" x14ac:dyDescent="0.2">
      <c r="A201" s="463" t="s">
        <v>436</v>
      </c>
      <c r="B201" s="464" t="s">
        <v>437</v>
      </c>
      <c r="C201" s="465" t="s">
        <v>444</v>
      </c>
      <c r="D201" s="466" t="s">
        <v>445</v>
      </c>
      <c r="E201" s="465" t="s">
        <v>822</v>
      </c>
      <c r="F201" s="466" t="s">
        <v>823</v>
      </c>
      <c r="G201" s="465" t="s">
        <v>955</v>
      </c>
      <c r="H201" s="465" t="s">
        <v>956</v>
      </c>
      <c r="I201" s="468">
        <v>22.260000228881836</v>
      </c>
      <c r="J201" s="468">
        <v>150</v>
      </c>
      <c r="K201" s="469">
        <v>3339.669921875</v>
      </c>
    </row>
    <row r="202" spans="1:11" ht="14.45" customHeight="1" x14ac:dyDescent="0.2">
      <c r="A202" s="463" t="s">
        <v>436</v>
      </c>
      <c r="B202" s="464" t="s">
        <v>437</v>
      </c>
      <c r="C202" s="465" t="s">
        <v>444</v>
      </c>
      <c r="D202" s="466" t="s">
        <v>445</v>
      </c>
      <c r="E202" s="465" t="s">
        <v>822</v>
      </c>
      <c r="F202" s="466" t="s">
        <v>823</v>
      </c>
      <c r="G202" s="465" t="s">
        <v>957</v>
      </c>
      <c r="H202" s="465" t="s">
        <v>958</v>
      </c>
      <c r="I202" s="468">
        <v>534.41998291015625</v>
      </c>
      <c r="J202" s="468">
        <v>6</v>
      </c>
      <c r="K202" s="469">
        <v>3206.5</v>
      </c>
    </row>
    <row r="203" spans="1:11" ht="14.45" customHeight="1" x14ac:dyDescent="0.2">
      <c r="A203" s="463" t="s">
        <v>436</v>
      </c>
      <c r="B203" s="464" t="s">
        <v>437</v>
      </c>
      <c r="C203" s="465" t="s">
        <v>444</v>
      </c>
      <c r="D203" s="466" t="s">
        <v>445</v>
      </c>
      <c r="E203" s="465" t="s">
        <v>822</v>
      </c>
      <c r="F203" s="466" t="s">
        <v>823</v>
      </c>
      <c r="G203" s="465" t="s">
        <v>959</v>
      </c>
      <c r="H203" s="465" t="s">
        <v>960</v>
      </c>
      <c r="I203" s="468">
        <v>526.3499755859375</v>
      </c>
      <c r="J203" s="468">
        <v>1</v>
      </c>
      <c r="K203" s="469">
        <v>526.3499755859375</v>
      </c>
    </row>
    <row r="204" spans="1:11" ht="14.45" customHeight="1" x14ac:dyDescent="0.2">
      <c r="A204" s="463" t="s">
        <v>436</v>
      </c>
      <c r="B204" s="464" t="s">
        <v>437</v>
      </c>
      <c r="C204" s="465" t="s">
        <v>444</v>
      </c>
      <c r="D204" s="466" t="s">
        <v>445</v>
      </c>
      <c r="E204" s="465" t="s">
        <v>822</v>
      </c>
      <c r="F204" s="466" t="s">
        <v>823</v>
      </c>
      <c r="G204" s="465" t="s">
        <v>961</v>
      </c>
      <c r="H204" s="465" t="s">
        <v>962</v>
      </c>
      <c r="I204" s="468">
        <v>556.5999755859375</v>
      </c>
      <c r="J204" s="468">
        <v>1</v>
      </c>
      <c r="K204" s="469">
        <v>556.5999755859375</v>
      </c>
    </row>
    <row r="205" spans="1:11" ht="14.45" customHeight="1" x14ac:dyDescent="0.2">
      <c r="A205" s="463" t="s">
        <v>436</v>
      </c>
      <c r="B205" s="464" t="s">
        <v>437</v>
      </c>
      <c r="C205" s="465" t="s">
        <v>444</v>
      </c>
      <c r="D205" s="466" t="s">
        <v>445</v>
      </c>
      <c r="E205" s="465" t="s">
        <v>822</v>
      </c>
      <c r="F205" s="466" t="s">
        <v>823</v>
      </c>
      <c r="G205" s="465" t="s">
        <v>963</v>
      </c>
      <c r="H205" s="465" t="s">
        <v>964</v>
      </c>
      <c r="I205" s="468">
        <v>562.6199951171875</v>
      </c>
      <c r="J205" s="468">
        <v>2</v>
      </c>
      <c r="K205" s="469">
        <v>1125.22998046875</v>
      </c>
    </row>
    <row r="206" spans="1:11" ht="14.45" customHeight="1" x14ac:dyDescent="0.2">
      <c r="A206" s="463" t="s">
        <v>436</v>
      </c>
      <c r="B206" s="464" t="s">
        <v>437</v>
      </c>
      <c r="C206" s="465" t="s">
        <v>444</v>
      </c>
      <c r="D206" s="466" t="s">
        <v>445</v>
      </c>
      <c r="E206" s="465" t="s">
        <v>822</v>
      </c>
      <c r="F206" s="466" t="s">
        <v>823</v>
      </c>
      <c r="G206" s="465" t="s">
        <v>965</v>
      </c>
      <c r="H206" s="465" t="s">
        <v>966</v>
      </c>
      <c r="I206" s="468">
        <v>141.56500244140625</v>
      </c>
      <c r="J206" s="468">
        <v>10</v>
      </c>
      <c r="K206" s="469">
        <v>1415.6399536132813</v>
      </c>
    </row>
    <row r="207" spans="1:11" ht="14.45" customHeight="1" x14ac:dyDescent="0.2">
      <c r="A207" s="463" t="s">
        <v>436</v>
      </c>
      <c r="B207" s="464" t="s">
        <v>437</v>
      </c>
      <c r="C207" s="465" t="s">
        <v>444</v>
      </c>
      <c r="D207" s="466" t="s">
        <v>445</v>
      </c>
      <c r="E207" s="465" t="s">
        <v>822</v>
      </c>
      <c r="F207" s="466" t="s">
        <v>823</v>
      </c>
      <c r="G207" s="465" t="s">
        <v>967</v>
      </c>
      <c r="H207" s="465" t="s">
        <v>968</v>
      </c>
      <c r="I207" s="468">
        <v>141.56500244140625</v>
      </c>
      <c r="J207" s="468">
        <v>15</v>
      </c>
      <c r="K207" s="469">
        <v>2123.429931640625</v>
      </c>
    </row>
    <row r="208" spans="1:11" ht="14.45" customHeight="1" x14ac:dyDescent="0.2">
      <c r="A208" s="463" t="s">
        <v>436</v>
      </c>
      <c r="B208" s="464" t="s">
        <v>437</v>
      </c>
      <c r="C208" s="465" t="s">
        <v>444</v>
      </c>
      <c r="D208" s="466" t="s">
        <v>445</v>
      </c>
      <c r="E208" s="465" t="s">
        <v>822</v>
      </c>
      <c r="F208" s="466" t="s">
        <v>823</v>
      </c>
      <c r="G208" s="465" t="s">
        <v>969</v>
      </c>
      <c r="H208" s="465" t="s">
        <v>970</v>
      </c>
      <c r="I208" s="468">
        <v>2632.5</v>
      </c>
      <c r="J208" s="468">
        <v>1</v>
      </c>
      <c r="K208" s="469">
        <v>2632.5</v>
      </c>
    </row>
    <row r="209" spans="1:11" ht="14.45" customHeight="1" x14ac:dyDescent="0.2">
      <c r="A209" s="463" t="s">
        <v>436</v>
      </c>
      <c r="B209" s="464" t="s">
        <v>437</v>
      </c>
      <c r="C209" s="465" t="s">
        <v>444</v>
      </c>
      <c r="D209" s="466" t="s">
        <v>445</v>
      </c>
      <c r="E209" s="465" t="s">
        <v>822</v>
      </c>
      <c r="F209" s="466" t="s">
        <v>823</v>
      </c>
      <c r="G209" s="465" t="s">
        <v>971</v>
      </c>
      <c r="H209" s="465" t="s">
        <v>972</v>
      </c>
      <c r="I209" s="468">
        <v>46.400001525878906</v>
      </c>
      <c r="J209" s="468">
        <v>30</v>
      </c>
      <c r="K209" s="469">
        <v>1392</v>
      </c>
    </row>
    <row r="210" spans="1:11" ht="14.45" customHeight="1" x14ac:dyDescent="0.2">
      <c r="A210" s="463" t="s">
        <v>436</v>
      </c>
      <c r="B210" s="464" t="s">
        <v>437</v>
      </c>
      <c r="C210" s="465" t="s">
        <v>444</v>
      </c>
      <c r="D210" s="466" t="s">
        <v>445</v>
      </c>
      <c r="E210" s="465" t="s">
        <v>822</v>
      </c>
      <c r="F210" s="466" t="s">
        <v>823</v>
      </c>
      <c r="G210" s="465" t="s">
        <v>973</v>
      </c>
      <c r="H210" s="465" t="s">
        <v>974</v>
      </c>
      <c r="I210" s="468">
        <v>46.400001525878906</v>
      </c>
      <c r="J210" s="468">
        <v>40</v>
      </c>
      <c r="K210" s="469">
        <v>1856</v>
      </c>
    </row>
    <row r="211" spans="1:11" ht="14.45" customHeight="1" x14ac:dyDescent="0.2">
      <c r="A211" s="463" t="s">
        <v>436</v>
      </c>
      <c r="B211" s="464" t="s">
        <v>437</v>
      </c>
      <c r="C211" s="465" t="s">
        <v>444</v>
      </c>
      <c r="D211" s="466" t="s">
        <v>445</v>
      </c>
      <c r="E211" s="465" t="s">
        <v>822</v>
      </c>
      <c r="F211" s="466" t="s">
        <v>823</v>
      </c>
      <c r="G211" s="465" t="s">
        <v>975</v>
      </c>
      <c r="H211" s="465" t="s">
        <v>976</v>
      </c>
      <c r="I211" s="468">
        <v>46.400001525878906</v>
      </c>
      <c r="J211" s="468">
        <v>20</v>
      </c>
      <c r="K211" s="469">
        <v>928</v>
      </c>
    </row>
    <row r="212" spans="1:11" ht="14.45" customHeight="1" x14ac:dyDescent="0.2">
      <c r="A212" s="463" t="s">
        <v>436</v>
      </c>
      <c r="B212" s="464" t="s">
        <v>437</v>
      </c>
      <c r="C212" s="465" t="s">
        <v>444</v>
      </c>
      <c r="D212" s="466" t="s">
        <v>445</v>
      </c>
      <c r="E212" s="465" t="s">
        <v>822</v>
      </c>
      <c r="F212" s="466" t="s">
        <v>823</v>
      </c>
      <c r="G212" s="465" t="s">
        <v>977</v>
      </c>
      <c r="H212" s="465" t="s">
        <v>978</v>
      </c>
      <c r="I212" s="468">
        <v>46.400001525878906</v>
      </c>
      <c r="J212" s="468">
        <v>20</v>
      </c>
      <c r="K212" s="469">
        <v>928</v>
      </c>
    </row>
    <row r="213" spans="1:11" ht="14.45" customHeight="1" x14ac:dyDescent="0.2">
      <c r="A213" s="463" t="s">
        <v>436</v>
      </c>
      <c r="B213" s="464" t="s">
        <v>437</v>
      </c>
      <c r="C213" s="465" t="s">
        <v>444</v>
      </c>
      <c r="D213" s="466" t="s">
        <v>445</v>
      </c>
      <c r="E213" s="465" t="s">
        <v>822</v>
      </c>
      <c r="F213" s="466" t="s">
        <v>823</v>
      </c>
      <c r="G213" s="465" t="s">
        <v>979</v>
      </c>
      <c r="H213" s="465" t="s">
        <v>980</v>
      </c>
      <c r="I213" s="468">
        <v>46.400001525878906</v>
      </c>
      <c r="J213" s="468">
        <v>20</v>
      </c>
      <c r="K213" s="469">
        <v>928</v>
      </c>
    </row>
    <row r="214" spans="1:11" ht="14.45" customHeight="1" x14ac:dyDescent="0.2">
      <c r="A214" s="463" t="s">
        <v>436</v>
      </c>
      <c r="B214" s="464" t="s">
        <v>437</v>
      </c>
      <c r="C214" s="465" t="s">
        <v>444</v>
      </c>
      <c r="D214" s="466" t="s">
        <v>445</v>
      </c>
      <c r="E214" s="465" t="s">
        <v>822</v>
      </c>
      <c r="F214" s="466" t="s">
        <v>823</v>
      </c>
      <c r="G214" s="465" t="s">
        <v>981</v>
      </c>
      <c r="H214" s="465" t="s">
        <v>982</v>
      </c>
      <c r="I214" s="468">
        <v>46.400001525878906</v>
      </c>
      <c r="J214" s="468">
        <v>20</v>
      </c>
      <c r="K214" s="469">
        <v>928</v>
      </c>
    </row>
    <row r="215" spans="1:11" ht="14.45" customHeight="1" x14ac:dyDescent="0.2">
      <c r="A215" s="463" t="s">
        <v>436</v>
      </c>
      <c r="B215" s="464" t="s">
        <v>437</v>
      </c>
      <c r="C215" s="465" t="s">
        <v>444</v>
      </c>
      <c r="D215" s="466" t="s">
        <v>445</v>
      </c>
      <c r="E215" s="465" t="s">
        <v>822</v>
      </c>
      <c r="F215" s="466" t="s">
        <v>823</v>
      </c>
      <c r="G215" s="465" t="s">
        <v>983</v>
      </c>
      <c r="H215" s="465" t="s">
        <v>984</v>
      </c>
      <c r="I215" s="468">
        <v>46.400001525878906</v>
      </c>
      <c r="J215" s="468">
        <v>20</v>
      </c>
      <c r="K215" s="469">
        <v>928</v>
      </c>
    </row>
    <row r="216" spans="1:11" ht="14.45" customHeight="1" x14ac:dyDescent="0.2">
      <c r="A216" s="463" t="s">
        <v>436</v>
      </c>
      <c r="B216" s="464" t="s">
        <v>437</v>
      </c>
      <c r="C216" s="465" t="s">
        <v>444</v>
      </c>
      <c r="D216" s="466" t="s">
        <v>445</v>
      </c>
      <c r="E216" s="465" t="s">
        <v>822</v>
      </c>
      <c r="F216" s="466" t="s">
        <v>823</v>
      </c>
      <c r="G216" s="465" t="s">
        <v>985</v>
      </c>
      <c r="H216" s="465" t="s">
        <v>986</v>
      </c>
      <c r="I216" s="468">
        <v>46.400001525878906</v>
      </c>
      <c r="J216" s="468">
        <v>20</v>
      </c>
      <c r="K216" s="469">
        <v>928</v>
      </c>
    </row>
    <row r="217" spans="1:11" ht="14.45" customHeight="1" x14ac:dyDescent="0.2">
      <c r="A217" s="463" t="s">
        <v>436</v>
      </c>
      <c r="B217" s="464" t="s">
        <v>437</v>
      </c>
      <c r="C217" s="465" t="s">
        <v>444</v>
      </c>
      <c r="D217" s="466" t="s">
        <v>445</v>
      </c>
      <c r="E217" s="465" t="s">
        <v>822</v>
      </c>
      <c r="F217" s="466" t="s">
        <v>823</v>
      </c>
      <c r="G217" s="465" t="s">
        <v>987</v>
      </c>
      <c r="H217" s="465" t="s">
        <v>988</v>
      </c>
      <c r="I217" s="468">
        <v>72</v>
      </c>
      <c r="J217" s="468">
        <v>20</v>
      </c>
      <c r="K217" s="469">
        <v>1440.010009765625</v>
      </c>
    </row>
    <row r="218" spans="1:11" ht="14.45" customHeight="1" x14ac:dyDescent="0.2">
      <c r="A218" s="463" t="s">
        <v>436</v>
      </c>
      <c r="B218" s="464" t="s">
        <v>437</v>
      </c>
      <c r="C218" s="465" t="s">
        <v>444</v>
      </c>
      <c r="D218" s="466" t="s">
        <v>445</v>
      </c>
      <c r="E218" s="465" t="s">
        <v>822</v>
      </c>
      <c r="F218" s="466" t="s">
        <v>823</v>
      </c>
      <c r="G218" s="465" t="s">
        <v>989</v>
      </c>
      <c r="H218" s="465" t="s">
        <v>990</v>
      </c>
      <c r="I218" s="468">
        <v>72</v>
      </c>
      <c r="J218" s="468">
        <v>40</v>
      </c>
      <c r="K218" s="469">
        <v>2880.02001953125</v>
      </c>
    </row>
    <row r="219" spans="1:11" ht="14.45" customHeight="1" x14ac:dyDescent="0.2">
      <c r="A219" s="463" t="s">
        <v>436</v>
      </c>
      <c r="B219" s="464" t="s">
        <v>437</v>
      </c>
      <c r="C219" s="465" t="s">
        <v>444</v>
      </c>
      <c r="D219" s="466" t="s">
        <v>445</v>
      </c>
      <c r="E219" s="465" t="s">
        <v>822</v>
      </c>
      <c r="F219" s="466" t="s">
        <v>823</v>
      </c>
      <c r="G219" s="465" t="s">
        <v>991</v>
      </c>
      <c r="H219" s="465" t="s">
        <v>992</v>
      </c>
      <c r="I219" s="468">
        <v>72</v>
      </c>
      <c r="J219" s="468">
        <v>30</v>
      </c>
      <c r="K219" s="469">
        <v>2160.010009765625</v>
      </c>
    </row>
    <row r="220" spans="1:11" ht="14.45" customHeight="1" x14ac:dyDescent="0.2">
      <c r="A220" s="463" t="s">
        <v>436</v>
      </c>
      <c r="B220" s="464" t="s">
        <v>437</v>
      </c>
      <c r="C220" s="465" t="s">
        <v>444</v>
      </c>
      <c r="D220" s="466" t="s">
        <v>445</v>
      </c>
      <c r="E220" s="465" t="s">
        <v>822</v>
      </c>
      <c r="F220" s="466" t="s">
        <v>823</v>
      </c>
      <c r="G220" s="465" t="s">
        <v>993</v>
      </c>
      <c r="H220" s="465" t="s">
        <v>994</v>
      </c>
      <c r="I220" s="468">
        <v>72</v>
      </c>
      <c r="J220" s="468">
        <v>30</v>
      </c>
      <c r="K220" s="469">
        <v>2160.010009765625</v>
      </c>
    </row>
    <row r="221" spans="1:11" ht="14.45" customHeight="1" x14ac:dyDescent="0.2">
      <c r="A221" s="463" t="s">
        <v>436</v>
      </c>
      <c r="B221" s="464" t="s">
        <v>437</v>
      </c>
      <c r="C221" s="465" t="s">
        <v>444</v>
      </c>
      <c r="D221" s="466" t="s">
        <v>445</v>
      </c>
      <c r="E221" s="465" t="s">
        <v>822</v>
      </c>
      <c r="F221" s="466" t="s">
        <v>823</v>
      </c>
      <c r="G221" s="465" t="s">
        <v>995</v>
      </c>
      <c r="H221" s="465" t="s">
        <v>996</v>
      </c>
      <c r="I221" s="468">
        <v>72</v>
      </c>
      <c r="J221" s="468">
        <v>20</v>
      </c>
      <c r="K221" s="469">
        <v>1440.010009765625</v>
      </c>
    </row>
    <row r="222" spans="1:11" ht="14.45" customHeight="1" x14ac:dyDescent="0.2">
      <c r="A222" s="463" t="s">
        <v>436</v>
      </c>
      <c r="B222" s="464" t="s">
        <v>437</v>
      </c>
      <c r="C222" s="465" t="s">
        <v>444</v>
      </c>
      <c r="D222" s="466" t="s">
        <v>445</v>
      </c>
      <c r="E222" s="465" t="s">
        <v>822</v>
      </c>
      <c r="F222" s="466" t="s">
        <v>823</v>
      </c>
      <c r="G222" s="465" t="s">
        <v>997</v>
      </c>
      <c r="H222" s="465" t="s">
        <v>998</v>
      </c>
      <c r="I222" s="468">
        <v>72</v>
      </c>
      <c r="J222" s="468">
        <v>20</v>
      </c>
      <c r="K222" s="469">
        <v>1439.9599609375</v>
      </c>
    </row>
    <row r="223" spans="1:11" ht="14.45" customHeight="1" x14ac:dyDescent="0.2">
      <c r="A223" s="463" t="s">
        <v>436</v>
      </c>
      <c r="B223" s="464" t="s">
        <v>437</v>
      </c>
      <c r="C223" s="465" t="s">
        <v>444</v>
      </c>
      <c r="D223" s="466" t="s">
        <v>445</v>
      </c>
      <c r="E223" s="465" t="s">
        <v>822</v>
      </c>
      <c r="F223" s="466" t="s">
        <v>823</v>
      </c>
      <c r="G223" s="465" t="s">
        <v>999</v>
      </c>
      <c r="H223" s="465" t="s">
        <v>1000</v>
      </c>
      <c r="I223" s="468">
        <v>72</v>
      </c>
      <c r="J223" s="468">
        <v>20</v>
      </c>
      <c r="K223" s="469">
        <v>1440.010009765625</v>
      </c>
    </row>
    <row r="224" spans="1:11" ht="14.45" customHeight="1" x14ac:dyDescent="0.2">
      <c r="A224" s="463" t="s">
        <v>436</v>
      </c>
      <c r="B224" s="464" t="s">
        <v>437</v>
      </c>
      <c r="C224" s="465" t="s">
        <v>444</v>
      </c>
      <c r="D224" s="466" t="s">
        <v>445</v>
      </c>
      <c r="E224" s="465" t="s">
        <v>822</v>
      </c>
      <c r="F224" s="466" t="s">
        <v>823</v>
      </c>
      <c r="G224" s="465" t="s">
        <v>1001</v>
      </c>
      <c r="H224" s="465" t="s">
        <v>1002</v>
      </c>
      <c r="I224" s="468">
        <v>72</v>
      </c>
      <c r="J224" s="468">
        <v>20</v>
      </c>
      <c r="K224" s="469">
        <v>1440.010009765625</v>
      </c>
    </row>
    <row r="225" spans="1:11" ht="14.45" customHeight="1" x14ac:dyDescent="0.2">
      <c r="A225" s="463" t="s">
        <v>436</v>
      </c>
      <c r="B225" s="464" t="s">
        <v>437</v>
      </c>
      <c r="C225" s="465" t="s">
        <v>444</v>
      </c>
      <c r="D225" s="466" t="s">
        <v>445</v>
      </c>
      <c r="E225" s="465" t="s">
        <v>822</v>
      </c>
      <c r="F225" s="466" t="s">
        <v>823</v>
      </c>
      <c r="G225" s="465" t="s">
        <v>1003</v>
      </c>
      <c r="H225" s="465" t="s">
        <v>1004</v>
      </c>
      <c r="I225" s="468">
        <v>18.600000381469727</v>
      </c>
      <c r="J225" s="468">
        <v>40</v>
      </c>
      <c r="K225" s="469">
        <v>743.989990234375</v>
      </c>
    </row>
    <row r="226" spans="1:11" ht="14.45" customHeight="1" x14ac:dyDescent="0.2">
      <c r="A226" s="463" t="s">
        <v>436</v>
      </c>
      <c r="B226" s="464" t="s">
        <v>437</v>
      </c>
      <c r="C226" s="465" t="s">
        <v>444</v>
      </c>
      <c r="D226" s="466" t="s">
        <v>445</v>
      </c>
      <c r="E226" s="465" t="s">
        <v>822</v>
      </c>
      <c r="F226" s="466" t="s">
        <v>823</v>
      </c>
      <c r="G226" s="465" t="s">
        <v>1005</v>
      </c>
      <c r="H226" s="465" t="s">
        <v>1006</v>
      </c>
      <c r="I226" s="468">
        <v>18.600000381469727</v>
      </c>
      <c r="J226" s="468">
        <v>40</v>
      </c>
      <c r="K226" s="469">
        <v>743.989990234375</v>
      </c>
    </row>
    <row r="227" spans="1:11" ht="14.45" customHeight="1" x14ac:dyDescent="0.2">
      <c r="A227" s="463" t="s">
        <v>436</v>
      </c>
      <c r="B227" s="464" t="s">
        <v>437</v>
      </c>
      <c r="C227" s="465" t="s">
        <v>444</v>
      </c>
      <c r="D227" s="466" t="s">
        <v>445</v>
      </c>
      <c r="E227" s="465" t="s">
        <v>822</v>
      </c>
      <c r="F227" s="466" t="s">
        <v>823</v>
      </c>
      <c r="G227" s="465" t="s">
        <v>1007</v>
      </c>
      <c r="H227" s="465" t="s">
        <v>1008</v>
      </c>
      <c r="I227" s="468">
        <v>18.600000381469727</v>
      </c>
      <c r="J227" s="468">
        <v>40</v>
      </c>
      <c r="K227" s="469">
        <v>743.989990234375</v>
      </c>
    </row>
    <row r="228" spans="1:11" ht="14.45" customHeight="1" x14ac:dyDescent="0.2">
      <c r="A228" s="463" t="s">
        <v>436</v>
      </c>
      <c r="B228" s="464" t="s">
        <v>437</v>
      </c>
      <c r="C228" s="465" t="s">
        <v>444</v>
      </c>
      <c r="D228" s="466" t="s">
        <v>445</v>
      </c>
      <c r="E228" s="465" t="s">
        <v>822</v>
      </c>
      <c r="F228" s="466" t="s">
        <v>823</v>
      </c>
      <c r="G228" s="465" t="s">
        <v>1009</v>
      </c>
      <c r="H228" s="465" t="s">
        <v>1010</v>
      </c>
      <c r="I228" s="468">
        <v>18.600000381469727</v>
      </c>
      <c r="J228" s="468">
        <v>40</v>
      </c>
      <c r="K228" s="469">
        <v>743.989990234375</v>
      </c>
    </row>
    <row r="229" spans="1:11" ht="14.45" customHeight="1" x14ac:dyDescent="0.2">
      <c r="A229" s="463" t="s">
        <v>436</v>
      </c>
      <c r="B229" s="464" t="s">
        <v>437</v>
      </c>
      <c r="C229" s="465" t="s">
        <v>444</v>
      </c>
      <c r="D229" s="466" t="s">
        <v>445</v>
      </c>
      <c r="E229" s="465" t="s">
        <v>822</v>
      </c>
      <c r="F229" s="466" t="s">
        <v>823</v>
      </c>
      <c r="G229" s="465" t="s">
        <v>1011</v>
      </c>
      <c r="H229" s="465" t="s">
        <v>1012</v>
      </c>
      <c r="I229" s="468">
        <v>16.739999771118164</v>
      </c>
      <c r="J229" s="468">
        <v>40</v>
      </c>
      <c r="K229" s="469">
        <v>669.59002685546875</v>
      </c>
    </row>
    <row r="230" spans="1:11" ht="14.45" customHeight="1" x14ac:dyDescent="0.2">
      <c r="A230" s="463" t="s">
        <v>436</v>
      </c>
      <c r="B230" s="464" t="s">
        <v>437</v>
      </c>
      <c r="C230" s="465" t="s">
        <v>444</v>
      </c>
      <c r="D230" s="466" t="s">
        <v>445</v>
      </c>
      <c r="E230" s="465" t="s">
        <v>822</v>
      </c>
      <c r="F230" s="466" t="s">
        <v>823</v>
      </c>
      <c r="G230" s="465" t="s">
        <v>1013</v>
      </c>
      <c r="H230" s="465" t="s">
        <v>1014</v>
      </c>
      <c r="I230" s="468">
        <v>18.600000381469727</v>
      </c>
      <c r="J230" s="468">
        <v>40</v>
      </c>
      <c r="K230" s="469">
        <v>743.989990234375</v>
      </c>
    </row>
    <row r="231" spans="1:11" ht="14.45" customHeight="1" x14ac:dyDescent="0.2">
      <c r="A231" s="463" t="s">
        <v>436</v>
      </c>
      <c r="B231" s="464" t="s">
        <v>437</v>
      </c>
      <c r="C231" s="465" t="s">
        <v>444</v>
      </c>
      <c r="D231" s="466" t="s">
        <v>445</v>
      </c>
      <c r="E231" s="465" t="s">
        <v>822</v>
      </c>
      <c r="F231" s="466" t="s">
        <v>823</v>
      </c>
      <c r="G231" s="465" t="s">
        <v>1015</v>
      </c>
      <c r="H231" s="465" t="s">
        <v>1016</v>
      </c>
      <c r="I231" s="468">
        <v>18.600000381469727</v>
      </c>
      <c r="J231" s="468">
        <v>40</v>
      </c>
      <c r="K231" s="469">
        <v>743.989990234375</v>
      </c>
    </row>
    <row r="232" spans="1:11" ht="14.45" customHeight="1" x14ac:dyDescent="0.2">
      <c r="A232" s="463" t="s">
        <v>436</v>
      </c>
      <c r="B232" s="464" t="s">
        <v>437</v>
      </c>
      <c r="C232" s="465" t="s">
        <v>444</v>
      </c>
      <c r="D232" s="466" t="s">
        <v>445</v>
      </c>
      <c r="E232" s="465" t="s">
        <v>822</v>
      </c>
      <c r="F232" s="466" t="s">
        <v>823</v>
      </c>
      <c r="G232" s="465" t="s">
        <v>1017</v>
      </c>
      <c r="H232" s="465" t="s">
        <v>1018</v>
      </c>
      <c r="I232" s="468">
        <v>18.600000381469727</v>
      </c>
      <c r="J232" s="468">
        <v>40</v>
      </c>
      <c r="K232" s="469">
        <v>743.989990234375</v>
      </c>
    </row>
    <row r="233" spans="1:11" ht="14.45" customHeight="1" x14ac:dyDescent="0.2">
      <c r="A233" s="463" t="s">
        <v>436</v>
      </c>
      <c r="B233" s="464" t="s">
        <v>437</v>
      </c>
      <c r="C233" s="465" t="s">
        <v>444</v>
      </c>
      <c r="D233" s="466" t="s">
        <v>445</v>
      </c>
      <c r="E233" s="465" t="s">
        <v>822</v>
      </c>
      <c r="F233" s="466" t="s">
        <v>823</v>
      </c>
      <c r="G233" s="465" t="s">
        <v>1019</v>
      </c>
      <c r="H233" s="465" t="s">
        <v>1020</v>
      </c>
      <c r="I233" s="468">
        <v>300.30999755859375</v>
      </c>
      <c r="J233" s="468">
        <v>5</v>
      </c>
      <c r="K233" s="469">
        <v>1501.5499877929688</v>
      </c>
    </row>
    <row r="234" spans="1:11" ht="14.45" customHeight="1" x14ac:dyDescent="0.2">
      <c r="A234" s="463" t="s">
        <v>436</v>
      </c>
      <c r="B234" s="464" t="s">
        <v>437</v>
      </c>
      <c r="C234" s="465" t="s">
        <v>444</v>
      </c>
      <c r="D234" s="466" t="s">
        <v>445</v>
      </c>
      <c r="E234" s="465" t="s">
        <v>822</v>
      </c>
      <c r="F234" s="466" t="s">
        <v>823</v>
      </c>
      <c r="G234" s="465" t="s">
        <v>1021</v>
      </c>
      <c r="H234" s="465" t="s">
        <v>1022</v>
      </c>
      <c r="I234" s="468">
        <v>465.5</v>
      </c>
      <c r="J234" s="468">
        <v>5</v>
      </c>
      <c r="K234" s="469">
        <v>2327.510009765625</v>
      </c>
    </row>
    <row r="235" spans="1:11" ht="14.45" customHeight="1" x14ac:dyDescent="0.2">
      <c r="A235" s="463" t="s">
        <v>436</v>
      </c>
      <c r="B235" s="464" t="s">
        <v>437</v>
      </c>
      <c r="C235" s="465" t="s">
        <v>444</v>
      </c>
      <c r="D235" s="466" t="s">
        <v>445</v>
      </c>
      <c r="E235" s="465" t="s">
        <v>822</v>
      </c>
      <c r="F235" s="466" t="s">
        <v>823</v>
      </c>
      <c r="G235" s="465" t="s">
        <v>1023</v>
      </c>
      <c r="H235" s="465" t="s">
        <v>1024</v>
      </c>
      <c r="I235" s="468">
        <v>141.55000305175781</v>
      </c>
      <c r="J235" s="468">
        <v>10</v>
      </c>
      <c r="K235" s="469">
        <v>1415.5400390625</v>
      </c>
    </row>
    <row r="236" spans="1:11" ht="14.45" customHeight="1" x14ac:dyDescent="0.2">
      <c r="A236" s="463" t="s">
        <v>436</v>
      </c>
      <c r="B236" s="464" t="s">
        <v>437</v>
      </c>
      <c r="C236" s="465" t="s">
        <v>444</v>
      </c>
      <c r="D236" s="466" t="s">
        <v>445</v>
      </c>
      <c r="E236" s="465" t="s">
        <v>822</v>
      </c>
      <c r="F236" s="466" t="s">
        <v>823</v>
      </c>
      <c r="G236" s="465" t="s">
        <v>971</v>
      </c>
      <c r="H236" s="465" t="s">
        <v>1025</v>
      </c>
      <c r="I236" s="468">
        <v>29.833333333333332</v>
      </c>
      <c r="J236" s="468">
        <v>70</v>
      </c>
      <c r="K236" s="469">
        <v>2224.97998046875</v>
      </c>
    </row>
    <row r="237" spans="1:11" ht="14.45" customHeight="1" x14ac:dyDescent="0.2">
      <c r="A237" s="463" t="s">
        <v>436</v>
      </c>
      <c r="B237" s="464" t="s">
        <v>437</v>
      </c>
      <c r="C237" s="465" t="s">
        <v>444</v>
      </c>
      <c r="D237" s="466" t="s">
        <v>445</v>
      </c>
      <c r="E237" s="465" t="s">
        <v>822</v>
      </c>
      <c r="F237" s="466" t="s">
        <v>823</v>
      </c>
      <c r="G237" s="465" t="s">
        <v>973</v>
      </c>
      <c r="H237" s="465" t="s">
        <v>1026</v>
      </c>
      <c r="I237" s="468">
        <v>33.25</v>
      </c>
      <c r="J237" s="468">
        <v>90</v>
      </c>
      <c r="K237" s="469">
        <v>3095.02001953125</v>
      </c>
    </row>
    <row r="238" spans="1:11" ht="14.45" customHeight="1" x14ac:dyDescent="0.2">
      <c r="A238" s="463" t="s">
        <v>436</v>
      </c>
      <c r="B238" s="464" t="s">
        <v>437</v>
      </c>
      <c r="C238" s="465" t="s">
        <v>444</v>
      </c>
      <c r="D238" s="466" t="s">
        <v>445</v>
      </c>
      <c r="E238" s="465" t="s">
        <v>822</v>
      </c>
      <c r="F238" s="466" t="s">
        <v>823</v>
      </c>
      <c r="G238" s="465" t="s">
        <v>975</v>
      </c>
      <c r="H238" s="465" t="s">
        <v>1027</v>
      </c>
      <c r="I238" s="468">
        <v>34.666666666666664</v>
      </c>
      <c r="J238" s="468">
        <v>70</v>
      </c>
      <c r="K238" s="469">
        <v>2660.010009765625</v>
      </c>
    </row>
    <row r="239" spans="1:11" ht="14.45" customHeight="1" x14ac:dyDescent="0.2">
      <c r="A239" s="463" t="s">
        <v>436</v>
      </c>
      <c r="B239" s="464" t="s">
        <v>437</v>
      </c>
      <c r="C239" s="465" t="s">
        <v>444</v>
      </c>
      <c r="D239" s="466" t="s">
        <v>445</v>
      </c>
      <c r="E239" s="465" t="s">
        <v>822</v>
      </c>
      <c r="F239" s="466" t="s">
        <v>823</v>
      </c>
      <c r="G239" s="465" t="s">
        <v>977</v>
      </c>
      <c r="H239" s="465" t="s">
        <v>1028</v>
      </c>
      <c r="I239" s="468">
        <v>37.619999694824216</v>
      </c>
      <c r="J239" s="468">
        <v>100</v>
      </c>
      <c r="K239" s="469">
        <v>3878.02001953125</v>
      </c>
    </row>
    <row r="240" spans="1:11" ht="14.45" customHeight="1" x14ac:dyDescent="0.2">
      <c r="A240" s="463" t="s">
        <v>436</v>
      </c>
      <c r="B240" s="464" t="s">
        <v>437</v>
      </c>
      <c r="C240" s="465" t="s">
        <v>444</v>
      </c>
      <c r="D240" s="466" t="s">
        <v>445</v>
      </c>
      <c r="E240" s="465" t="s">
        <v>822</v>
      </c>
      <c r="F240" s="466" t="s">
        <v>823</v>
      </c>
      <c r="G240" s="465" t="s">
        <v>979</v>
      </c>
      <c r="H240" s="465" t="s">
        <v>1029</v>
      </c>
      <c r="I240" s="468">
        <v>35.299999999999997</v>
      </c>
      <c r="J240" s="468">
        <v>100</v>
      </c>
      <c r="K240" s="469">
        <v>4145.02001953125</v>
      </c>
    </row>
    <row r="241" spans="1:11" ht="14.45" customHeight="1" x14ac:dyDescent="0.2">
      <c r="A241" s="463" t="s">
        <v>436</v>
      </c>
      <c r="B241" s="464" t="s">
        <v>437</v>
      </c>
      <c r="C241" s="465" t="s">
        <v>444</v>
      </c>
      <c r="D241" s="466" t="s">
        <v>445</v>
      </c>
      <c r="E241" s="465" t="s">
        <v>822</v>
      </c>
      <c r="F241" s="466" t="s">
        <v>823</v>
      </c>
      <c r="G241" s="465" t="s">
        <v>981</v>
      </c>
      <c r="H241" s="465" t="s">
        <v>1030</v>
      </c>
      <c r="I241" s="468">
        <v>38.200000000000003</v>
      </c>
      <c r="J241" s="468">
        <v>90</v>
      </c>
      <c r="K241" s="469">
        <v>3240.010009765625</v>
      </c>
    </row>
    <row r="242" spans="1:11" ht="14.45" customHeight="1" x14ac:dyDescent="0.2">
      <c r="A242" s="463" t="s">
        <v>436</v>
      </c>
      <c r="B242" s="464" t="s">
        <v>437</v>
      </c>
      <c r="C242" s="465" t="s">
        <v>444</v>
      </c>
      <c r="D242" s="466" t="s">
        <v>445</v>
      </c>
      <c r="E242" s="465" t="s">
        <v>822</v>
      </c>
      <c r="F242" s="466" t="s">
        <v>823</v>
      </c>
      <c r="G242" s="465" t="s">
        <v>983</v>
      </c>
      <c r="H242" s="465" t="s">
        <v>1031</v>
      </c>
      <c r="I242" s="468">
        <v>38.200000000000003</v>
      </c>
      <c r="J242" s="468">
        <v>90</v>
      </c>
      <c r="K242" s="469">
        <v>3240.010009765625</v>
      </c>
    </row>
    <row r="243" spans="1:11" ht="14.45" customHeight="1" x14ac:dyDescent="0.2">
      <c r="A243" s="463" t="s">
        <v>436</v>
      </c>
      <c r="B243" s="464" t="s">
        <v>437</v>
      </c>
      <c r="C243" s="465" t="s">
        <v>444</v>
      </c>
      <c r="D243" s="466" t="s">
        <v>445</v>
      </c>
      <c r="E243" s="465" t="s">
        <v>822</v>
      </c>
      <c r="F243" s="466" t="s">
        <v>823</v>
      </c>
      <c r="G243" s="465" t="s">
        <v>985</v>
      </c>
      <c r="H243" s="465" t="s">
        <v>1032</v>
      </c>
      <c r="I243" s="468">
        <v>50.75</v>
      </c>
      <c r="J243" s="468">
        <v>30</v>
      </c>
      <c r="K243" s="469">
        <v>1450</v>
      </c>
    </row>
    <row r="244" spans="1:11" ht="14.45" customHeight="1" x14ac:dyDescent="0.2">
      <c r="A244" s="463" t="s">
        <v>436</v>
      </c>
      <c r="B244" s="464" t="s">
        <v>437</v>
      </c>
      <c r="C244" s="465" t="s">
        <v>444</v>
      </c>
      <c r="D244" s="466" t="s">
        <v>445</v>
      </c>
      <c r="E244" s="465" t="s">
        <v>822</v>
      </c>
      <c r="F244" s="466" t="s">
        <v>823</v>
      </c>
      <c r="G244" s="465" t="s">
        <v>989</v>
      </c>
      <c r="H244" s="465" t="s">
        <v>1033</v>
      </c>
      <c r="I244" s="468">
        <v>67.5</v>
      </c>
      <c r="J244" s="468">
        <v>40</v>
      </c>
      <c r="K244" s="469">
        <v>2700.02001953125</v>
      </c>
    </row>
    <row r="245" spans="1:11" ht="14.45" customHeight="1" x14ac:dyDescent="0.2">
      <c r="A245" s="463" t="s">
        <v>436</v>
      </c>
      <c r="B245" s="464" t="s">
        <v>437</v>
      </c>
      <c r="C245" s="465" t="s">
        <v>444</v>
      </c>
      <c r="D245" s="466" t="s">
        <v>445</v>
      </c>
      <c r="E245" s="465" t="s">
        <v>822</v>
      </c>
      <c r="F245" s="466" t="s">
        <v>823</v>
      </c>
      <c r="G245" s="465" t="s">
        <v>991</v>
      </c>
      <c r="H245" s="465" t="s">
        <v>1034</v>
      </c>
      <c r="I245" s="468">
        <v>67.5</v>
      </c>
      <c r="J245" s="468">
        <v>50</v>
      </c>
      <c r="K245" s="469">
        <v>3375</v>
      </c>
    </row>
    <row r="246" spans="1:11" ht="14.45" customHeight="1" x14ac:dyDescent="0.2">
      <c r="A246" s="463" t="s">
        <v>436</v>
      </c>
      <c r="B246" s="464" t="s">
        <v>437</v>
      </c>
      <c r="C246" s="465" t="s">
        <v>444</v>
      </c>
      <c r="D246" s="466" t="s">
        <v>445</v>
      </c>
      <c r="E246" s="465" t="s">
        <v>822</v>
      </c>
      <c r="F246" s="466" t="s">
        <v>823</v>
      </c>
      <c r="G246" s="465" t="s">
        <v>1003</v>
      </c>
      <c r="H246" s="465" t="s">
        <v>1035</v>
      </c>
      <c r="I246" s="468">
        <v>19</v>
      </c>
      <c r="J246" s="468">
        <v>30</v>
      </c>
      <c r="K246" s="469">
        <v>569.97999572753906</v>
      </c>
    </row>
    <row r="247" spans="1:11" ht="14.45" customHeight="1" x14ac:dyDescent="0.2">
      <c r="A247" s="463" t="s">
        <v>436</v>
      </c>
      <c r="B247" s="464" t="s">
        <v>437</v>
      </c>
      <c r="C247" s="465" t="s">
        <v>444</v>
      </c>
      <c r="D247" s="466" t="s">
        <v>445</v>
      </c>
      <c r="E247" s="465" t="s">
        <v>822</v>
      </c>
      <c r="F247" s="466" t="s">
        <v>823</v>
      </c>
      <c r="G247" s="465" t="s">
        <v>1005</v>
      </c>
      <c r="H247" s="465" t="s">
        <v>1036</v>
      </c>
      <c r="I247" s="468">
        <v>20</v>
      </c>
      <c r="J247" s="468">
        <v>30</v>
      </c>
      <c r="K247" s="469">
        <v>599.989990234375</v>
      </c>
    </row>
    <row r="248" spans="1:11" ht="14.45" customHeight="1" x14ac:dyDescent="0.2">
      <c r="A248" s="463" t="s">
        <v>436</v>
      </c>
      <c r="B248" s="464" t="s">
        <v>437</v>
      </c>
      <c r="C248" s="465" t="s">
        <v>444</v>
      </c>
      <c r="D248" s="466" t="s">
        <v>445</v>
      </c>
      <c r="E248" s="465" t="s">
        <v>822</v>
      </c>
      <c r="F248" s="466" t="s">
        <v>823</v>
      </c>
      <c r="G248" s="465" t="s">
        <v>1007</v>
      </c>
      <c r="H248" s="465" t="s">
        <v>1037</v>
      </c>
      <c r="I248" s="468">
        <v>18.003333409627277</v>
      </c>
      <c r="J248" s="468">
        <v>170</v>
      </c>
      <c r="K248" s="469">
        <v>2931.1400299072266</v>
      </c>
    </row>
    <row r="249" spans="1:11" ht="14.45" customHeight="1" x14ac:dyDescent="0.2">
      <c r="A249" s="463" t="s">
        <v>436</v>
      </c>
      <c r="B249" s="464" t="s">
        <v>437</v>
      </c>
      <c r="C249" s="465" t="s">
        <v>444</v>
      </c>
      <c r="D249" s="466" t="s">
        <v>445</v>
      </c>
      <c r="E249" s="465" t="s">
        <v>822</v>
      </c>
      <c r="F249" s="466" t="s">
        <v>823</v>
      </c>
      <c r="G249" s="465" t="s">
        <v>1009</v>
      </c>
      <c r="H249" s="465" t="s">
        <v>1038</v>
      </c>
      <c r="I249" s="468">
        <v>18</v>
      </c>
      <c r="J249" s="468">
        <v>140</v>
      </c>
      <c r="K249" s="469">
        <v>2420.0799865722656</v>
      </c>
    </row>
    <row r="250" spans="1:11" ht="14.45" customHeight="1" x14ac:dyDescent="0.2">
      <c r="A250" s="463" t="s">
        <v>436</v>
      </c>
      <c r="B250" s="464" t="s">
        <v>437</v>
      </c>
      <c r="C250" s="465" t="s">
        <v>444</v>
      </c>
      <c r="D250" s="466" t="s">
        <v>445</v>
      </c>
      <c r="E250" s="465" t="s">
        <v>822</v>
      </c>
      <c r="F250" s="466" t="s">
        <v>823</v>
      </c>
      <c r="G250" s="465" t="s">
        <v>1013</v>
      </c>
      <c r="H250" s="465" t="s">
        <v>1039</v>
      </c>
      <c r="I250" s="468">
        <v>20</v>
      </c>
      <c r="J250" s="468">
        <v>20</v>
      </c>
      <c r="K250" s="469">
        <v>399.989990234375</v>
      </c>
    </row>
    <row r="251" spans="1:11" ht="14.45" customHeight="1" x14ac:dyDescent="0.2">
      <c r="A251" s="463" t="s">
        <v>436</v>
      </c>
      <c r="B251" s="464" t="s">
        <v>437</v>
      </c>
      <c r="C251" s="465" t="s">
        <v>444</v>
      </c>
      <c r="D251" s="466" t="s">
        <v>445</v>
      </c>
      <c r="E251" s="465" t="s">
        <v>822</v>
      </c>
      <c r="F251" s="466" t="s">
        <v>823</v>
      </c>
      <c r="G251" s="465" t="s">
        <v>1019</v>
      </c>
      <c r="H251" s="465" t="s">
        <v>1040</v>
      </c>
      <c r="I251" s="468">
        <v>364.69000244140625</v>
      </c>
      <c r="J251" s="468">
        <v>3</v>
      </c>
      <c r="K251" s="469">
        <v>1158.3800048828125</v>
      </c>
    </row>
    <row r="252" spans="1:11" ht="14.45" customHeight="1" x14ac:dyDescent="0.2">
      <c r="A252" s="463" t="s">
        <v>436</v>
      </c>
      <c r="B252" s="464" t="s">
        <v>437</v>
      </c>
      <c r="C252" s="465" t="s">
        <v>444</v>
      </c>
      <c r="D252" s="466" t="s">
        <v>445</v>
      </c>
      <c r="E252" s="465" t="s">
        <v>822</v>
      </c>
      <c r="F252" s="466" t="s">
        <v>823</v>
      </c>
      <c r="G252" s="465" t="s">
        <v>1041</v>
      </c>
      <c r="H252" s="465" t="s">
        <v>1042</v>
      </c>
      <c r="I252" s="468">
        <v>99.330001831054688</v>
      </c>
      <c r="J252" s="468">
        <v>30</v>
      </c>
      <c r="K252" s="469">
        <v>2979.989990234375</v>
      </c>
    </row>
    <row r="253" spans="1:11" ht="14.45" customHeight="1" x14ac:dyDescent="0.2">
      <c r="A253" s="463" t="s">
        <v>436</v>
      </c>
      <c r="B253" s="464" t="s">
        <v>437</v>
      </c>
      <c r="C253" s="465" t="s">
        <v>444</v>
      </c>
      <c r="D253" s="466" t="s">
        <v>445</v>
      </c>
      <c r="E253" s="465" t="s">
        <v>822</v>
      </c>
      <c r="F253" s="466" t="s">
        <v>823</v>
      </c>
      <c r="G253" s="465" t="s">
        <v>1043</v>
      </c>
      <c r="H253" s="465" t="s">
        <v>1044</v>
      </c>
      <c r="I253" s="468">
        <v>597.5</v>
      </c>
      <c r="J253" s="468">
        <v>8</v>
      </c>
      <c r="K253" s="469">
        <v>4780.009765625</v>
      </c>
    </row>
    <row r="254" spans="1:11" ht="14.45" customHeight="1" x14ac:dyDescent="0.2">
      <c r="A254" s="463" t="s">
        <v>436</v>
      </c>
      <c r="B254" s="464" t="s">
        <v>437</v>
      </c>
      <c r="C254" s="465" t="s">
        <v>444</v>
      </c>
      <c r="D254" s="466" t="s">
        <v>445</v>
      </c>
      <c r="E254" s="465" t="s">
        <v>822</v>
      </c>
      <c r="F254" s="466" t="s">
        <v>823</v>
      </c>
      <c r="G254" s="465" t="s">
        <v>1045</v>
      </c>
      <c r="H254" s="465" t="s">
        <v>1046</v>
      </c>
      <c r="I254" s="468">
        <v>2081.199951171875</v>
      </c>
      <c r="J254" s="468">
        <v>2</v>
      </c>
      <c r="K254" s="469">
        <v>4162.39990234375</v>
      </c>
    </row>
    <row r="255" spans="1:11" ht="14.45" customHeight="1" x14ac:dyDescent="0.2">
      <c r="A255" s="463" t="s">
        <v>436</v>
      </c>
      <c r="B255" s="464" t="s">
        <v>437</v>
      </c>
      <c r="C255" s="465" t="s">
        <v>444</v>
      </c>
      <c r="D255" s="466" t="s">
        <v>445</v>
      </c>
      <c r="E255" s="465" t="s">
        <v>822</v>
      </c>
      <c r="F255" s="466" t="s">
        <v>823</v>
      </c>
      <c r="G255" s="465" t="s">
        <v>1047</v>
      </c>
      <c r="H255" s="465" t="s">
        <v>1048</v>
      </c>
      <c r="I255" s="468">
        <v>229</v>
      </c>
      <c r="J255" s="468">
        <v>5</v>
      </c>
      <c r="K255" s="469">
        <v>1145</v>
      </c>
    </row>
    <row r="256" spans="1:11" ht="14.45" customHeight="1" x14ac:dyDescent="0.2">
      <c r="A256" s="463" t="s">
        <v>436</v>
      </c>
      <c r="B256" s="464" t="s">
        <v>437</v>
      </c>
      <c r="C256" s="465" t="s">
        <v>444</v>
      </c>
      <c r="D256" s="466" t="s">
        <v>445</v>
      </c>
      <c r="E256" s="465" t="s">
        <v>822</v>
      </c>
      <c r="F256" s="466" t="s">
        <v>823</v>
      </c>
      <c r="G256" s="465" t="s">
        <v>1045</v>
      </c>
      <c r="H256" s="465" t="s">
        <v>1049</v>
      </c>
      <c r="I256" s="468">
        <v>2081</v>
      </c>
      <c r="J256" s="468">
        <v>1</v>
      </c>
      <c r="K256" s="469">
        <v>2081</v>
      </c>
    </row>
    <row r="257" spans="1:11" ht="14.45" customHeight="1" x14ac:dyDescent="0.2">
      <c r="A257" s="463" t="s">
        <v>436</v>
      </c>
      <c r="B257" s="464" t="s">
        <v>437</v>
      </c>
      <c r="C257" s="465" t="s">
        <v>444</v>
      </c>
      <c r="D257" s="466" t="s">
        <v>445</v>
      </c>
      <c r="E257" s="465" t="s">
        <v>822</v>
      </c>
      <c r="F257" s="466" t="s">
        <v>823</v>
      </c>
      <c r="G257" s="465" t="s">
        <v>1050</v>
      </c>
      <c r="H257" s="465" t="s">
        <v>1051</v>
      </c>
      <c r="I257" s="468">
        <v>831.46199951171877</v>
      </c>
      <c r="J257" s="468">
        <v>5</v>
      </c>
      <c r="K257" s="469">
        <v>4157.3099975585938</v>
      </c>
    </row>
    <row r="258" spans="1:11" ht="14.45" customHeight="1" x14ac:dyDescent="0.2">
      <c r="A258" s="463" t="s">
        <v>436</v>
      </c>
      <c r="B258" s="464" t="s">
        <v>437</v>
      </c>
      <c r="C258" s="465" t="s">
        <v>444</v>
      </c>
      <c r="D258" s="466" t="s">
        <v>445</v>
      </c>
      <c r="E258" s="465" t="s">
        <v>822</v>
      </c>
      <c r="F258" s="466" t="s">
        <v>823</v>
      </c>
      <c r="G258" s="465" t="s">
        <v>1052</v>
      </c>
      <c r="H258" s="465" t="s">
        <v>1053</v>
      </c>
      <c r="I258" s="468">
        <v>2990</v>
      </c>
      <c r="J258" s="468">
        <v>2</v>
      </c>
      <c r="K258" s="469">
        <v>5980</v>
      </c>
    </row>
    <row r="259" spans="1:11" ht="14.45" customHeight="1" x14ac:dyDescent="0.2">
      <c r="A259" s="463" t="s">
        <v>436</v>
      </c>
      <c r="B259" s="464" t="s">
        <v>437</v>
      </c>
      <c r="C259" s="465" t="s">
        <v>444</v>
      </c>
      <c r="D259" s="466" t="s">
        <v>445</v>
      </c>
      <c r="E259" s="465" t="s">
        <v>822</v>
      </c>
      <c r="F259" s="466" t="s">
        <v>823</v>
      </c>
      <c r="G259" s="465" t="s">
        <v>1054</v>
      </c>
      <c r="H259" s="465" t="s">
        <v>1055</v>
      </c>
      <c r="I259" s="468">
        <v>2990</v>
      </c>
      <c r="J259" s="468">
        <v>2</v>
      </c>
      <c r="K259" s="469">
        <v>5980</v>
      </c>
    </row>
    <row r="260" spans="1:11" ht="14.45" customHeight="1" x14ac:dyDescent="0.2">
      <c r="A260" s="463" t="s">
        <v>436</v>
      </c>
      <c r="B260" s="464" t="s">
        <v>437</v>
      </c>
      <c r="C260" s="465" t="s">
        <v>444</v>
      </c>
      <c r="D260" s="466" t="s">
        <v>445</v>
      </c>
      <c r="E260" s="465" t="s">
        <v>822</v>
      </c>
      <c r="F260" s="466" t="s">
        <v>823</v>
      </c>
      <c r="G260" s="465" t="s">
        <v>1056</v>
      </c>
      <c r="H260" s="465" t="s">
        <v>1057</v>
      </c>
      <c r="I260" s="468">
        <v>2990</v>
      </c>
      <c r="J260" s="468">
        <v>2</v>
      </c>
      <c r="K260" s="469">
        <v>5980</v>
      </c>
    </row>
    <row r="261" spans="1:11" ht="14.45" customHeight="1" x14ac:dyDescent="0.2">
      <c r="A261" s="463" t="s">
        <v>436</v>
      </c>
      <c r="B261" s="464" t="s">
        <v>437</v>
      </c>
      <c r="C261" s="465" t="s">
        <v>444</v>
      </c>
      <c r="D261" s="466" t="s">
        <v>445</v>
      </c>
      <c r="E261" s="465" t="s">
        <v>822</v>
      </c>
      <c r="F261" s="466" t="s">
        <v>823</v>
      </c>
      <c r="G261" s="465" t="s">
        <v>1058</v>
      </c>
      <c r="H261" s="465" t="s">
        <v>1059</v>
      </c>
      <c r="I261" s="468">
        <v>41.745000839233398</v>
      </c>
      <c r="J261" s="468">
        <v>20</v>
      </c>
      <c r="K261" s="469">
        <v>834.89999389648438</v>
      </c>
    </row>
    <row r="262" spans="1:11" ht="14.45" customHeight="1" x14ac:dyDescent="0.2">
      <c r="A262" s="463" t="s">
        <v>436</v>
      </c>
      <c r="B262" s="464" t="s">
        <v>437</v>
      </c>
      <c r="C262" s="465" t="s">
        <v>444</v>
      </c>
      <c r="D262" s="466" t="s">
        <v>445</v>
      </c>
      <c r="E262" s="465" t="s">
        <v>822</v>
      </c>
      <c r="F262" s="466" t="s">
        <v>823</v>
      </c>
      <c r="G262" s="465" t="s">
        <v>1060</v>
      </c>
      <c r="H262" s="465" t="s">
        <v>1061</v>
      </c>
      <c r="I262" s="468">
        <v>75.019996643066406</v>
      </c>
      <c r="J262" s="468">
        <v>10</v>
      </c>
      <c r="K262" s="469">
        <v>750.20001220703125</v>
      </c>
    </row>
    <row r="263" spans="1:11" ht="14.45" customHeight="1" x14ac:dyDescent="0.2">
      <c r="A263" s="463" t="s">
        <v>436</v>
      </c>
      <c r="B263" s="464" t="s">
        <v>437</v>
      </c>
      <c r="C263" s="465" t="s">
        <v>444</v>
      </c>
      <c r="D263" s="466" t="s">
        <v>445</v>
      </c>
      <c r="E263" s="465" t="s">
        <v>822</v>
      </c>
      <c r="F263" s="466" t="s">
        <v>823</v>
      </c>
      <c r="G263" s="465" t="s">
        <v>1062</v>
      </c>
      <c r="H263" s="465" t="s">
        <v>1063</v>
      </c>
      <c r="I263" s="468">
        <v>118.58000183105469</v>
      </c>
      <c r="J263" s="468">
        <v>40</v>
      </c>
      <c r="K263" s="469">
        <v>4743.199951171875</v>
      </c>
    </row>
    <row r="264" spans="1:11" ht="14.45" customHeight="1" x14ac:dyDescent="0.2">
      <c r="A264" s="463" t="s">
        <v>436</v>
      </c>
      <c r="B264" s="464" t="s">
        <v>437</v>
      </c>
      <c r="C264" s="465" t="s">
        <v>444</v>
      </c>
      <c r="D264" s="466" t="s">
        <v>445</v>
      </c>
      <c r="E264" s="465" t="s">
        <v>822</v>
      </c>
      <c r="F264" s="466" t="s">
        <v>823</v>
      </c>
      <c r="G264" s="465" t="s">
        <v>1064</v>
      </c>
      <c r="H264" s="465" t="s">
        <v>1065</v>
      </c>
      <c r="I264" s="468">
        <v>2722.5</v>
      </c>
      <c r="J264" s="468">
        <v>2</v>
      </c>
      <c r="K264" s="469">
        <v>5445</v>
      </c>
    </row>
    <row r="265" spans="1:11" ht="14.45" customHeight="1" x14ac:dyDescent="0.2">
      <c r="A265" s="463" t="s">
        <v>436</v>
      </c>
      <c r="B265" s="464" t="s">
        <v>437</v>
      </c>
      <c r="C265" s="465" t="s">
        <v>444</v>
      </c>
      <c r="D265" s="466" t="s">
        <v>445</v>
      </c>
      <c r="E265" s="465" t="s">
        <v>822</v>
      </c>
      <c r="F265" s="466" t="s">
        <v>823</v>
      </c>
      <c r="G265" s="465" t="s">
        <v>1066</v>
      </c>
      <c r="H265" s="465" t="s">
        <v>1067</v>
      </c>
      <c r="I265" s="468">
        <v>80.580001831054688</v>
      </c>
      <c r="J265" s="468">
        <v>10</v>
      </c>
      <c r="K265" s="469">
        <v>805.81999206542969</v>
      </c>
    </row>
    <row r="266" spans="1:11" ht="14.45" customHeight="1" x14ac:dyDescent="0.2">
      <c r="A266" s="463" t="s">
        <v>436</v>
      </c>
      <c r="B266" s="464" t="s">
        <v>437</v>
      </c>
      <c r="C266" s="465" t="s">
        <v>444</v>
      </c>
      <c r="D266" s="466" t="s">
        <v>445</v>
      </c>
      <c r="E266" s="465" t="s">
        <v>822</v>
      </c>
      <c r="F266" s="466" t="s">
        <v>823</v>
      </c>
      <c r="G266" s="465" t="s">
        <v>1068</v>
      </c>
      <c r="H266" s="465" t="s">
        <v>1069</v>
      </c>
      <c r="I266" s="468">
        <v>493.66000366210938</v>
      </c>
      <c r="J266" s="468">
        <v>1</v>
      </c>
      <c r="K266" s="469">
        <v>493.66000366210938</v>
      </c>
    </row>
    <row r="267" spans="1:11" ht="14.45" customHeight="1" x14ac:dyDescent="0.2">
      <c r="A267" s="463" t="s">
        <v>436</v>
      </c>
      <c r="B267" s="464" t="s">
        <v>437</v>
      </c>
      <c r="C267" s="465" t="s">
        <v>444</v>
      </c>
      <c r="D267" s="466" t="s">
        <v>445</v>
      </c>
      <c r="E267" s="465" t="s">
        <v>822</v>
      </c>
      <c r="F267" s="466" t="s">
        <v>823</v>
      </c>
      <c r="G267" s="465" t="s">
        <v>1070</v>
      </c>
      <c r="H267" s="465" t="s">
        <v>1071</v>
      </c>
      <c r="I267" s="468">
        <v>459.79998779296875</v>
      </c>
      <c r="J267" s="468">
        <v>1</v>
      </c>
      <c r="K267" s="469">
        <v>459.79998779296875</v>
      </c>
    </row>
    <row r="268" spans="1:11" ht="14.45" customHeight="1" x14ac:dyDescent="0.2">
      <c r="A268" s="463" t="s">
        <v>436</v>
      </c>
      <c r="B268" s="464" t="s">
        <v>437</v>
      </c>
      <c r="C268" s="465" t="s">
        <v>444</v>
      </c>
      <c r="D268" s="466" t="s">
        <v>445</v>
      </c>
      <c r="E268" s="465" t="s">
        <v>822</v>
      </c>
      <c r="F268" s="466" t="s">
        <v>823</v>
      </c>
      <c r="G268" s="465" t="s">
        <v>1072</v>
      </c>
      <c r="H268" s="465" t="s">
        <v>1073</v>
      </c>
      <c r="I268" s="468">
        <v>508.17999267578125</v>
      </c>
      <c r="J268" s="468">
        <v>1</v>
      </c>
      <c r="K268" s="469">
        <v>508.17999267578125</v>
      </c>
    </row>
    <row r="269" spans="1:11" ht="14.45" customHeight="1" x14ac:dyDescent="0.2">
      <c r="A269" s="463" t="s">
        <v>436</v>
      </c>
      <c r="B269" s="464" t="s">
        <v>437</v>
      </c>
      <c r="C269" s="465" t="s">
        <v>444</v>
      </c>
      <c r="D269" s="466" t="s">
        <v>445</v>
      </c>
      <c r="E269" s="465" t="s">
        <v>822</v>
      </c>
      <c r="F269" s="466" t="s">
        <v>823</v>
      </c>
      <c r="G269" s="465" t="s">
        <v>1074</v>
      </c>
      <c r="H269" s="465" t="s">
        <v>1075</v>
      </c>
      <c r="I269" s="468">
        <v>457.3599853515625</v>
      </c>
      <c r="J269" s="468">
        <v>1</v>
      </c>
      <c r="K269" s="469">
        <v>457.3599853515625</v>
      </c>
    </row>
    <row r="270" spans="1:11" ht="14.45" customHeight="1" x14ac:dyDescent="0.2">
      <c r="A270" s="463" t="s">
        <v>436</v>
      </c>
      <c r="B270" s="464" t="s">
        <v>437</v>
      </c>
      <c r="C270" s="465" t="s">
        <v>444</v>
      </c>
      <c r="D270" s="466" t="s">
        <v>445</v>
      </c>
      <c r="E270" s="465" t="s">
        <v>822</v>
      </c>
      <c r="F270" s="466" t="s">
        <v>823</v>
      </c>
      <c r="G270" s="465" t="s">
        <v>1076</v>
      </c>
      <c r="H270" s="465" t="s">
        <v>1077</v>
      </c>
      <c r="I270" s="468">
        <v>417.42999267578125</v>
      </c>
      <c r="J270" s="468">
        <v>1</v>
      </c>
      <c r="K270" s="469">
        <v>417.42999267578125</v>
      </c>
    </row>
    <row r="271" spans="1:11" ht="14.45" customHeight="1" x14ac:dyDescent="0.2">
      <c r="A271" s="463" t="s">
        <v>436</v>
      </c>
      <c r="B271" s="464" t="s">
        <v>437</v>
      </c>
      <c r="C271" s="465" t="s">
        <v>444</v>
      </c>
      <c r="D271" s="466" t="s">
        <v>445</v>
      </c>
      <c r="E271" s="465" t="s">
        <v>822</v>
      </c>
      <c r="F271" s="466" t="s">
        <v>823</v>
      </c>
      <c r="G271" s="465" t="s">
        <v>1078</v>
      </c>
      <c r="H271" s="465" t="s">
        <v>1079</v>
      </c>
      <c r="I271" s="468">
        <v>447.70001220703125</v>
      </c>
      <c r="J271" s="468">
        <v>1</v>
      </c>
      <c r="K271" s="469">
        <v>447.70001220703125</v>
      </c>
    </row>
    <row r="272" spans="1:11" ht="14.45" customHeight="1" x14ac:dyDescent="0.2">
      <c r="A272" s="463" t="s">
        <v>436</v>
      </c>
      <c r="B272" s="464" t="s">
        <v>437</v>
      </c>
      <c r="C272" s="465" t="s">
        <v>444</v>
      </c>
      <c r="D272" s="466" t="s">
        <v>445</v>
      </c>
      <c r="E272" s="465" t="s">
        <v>822</v>
      </c>
      <c r="F272" s="466" t="s">
        <v>823</v>
      </c>
      <c r="G272" s="465" t="s">
        <v>1080</v>
      </c>
      <c r="H272" s="465" t="s">
        <v>1081</v>
      </c>
      <c r="I272" s="468">
        <v>603.78997802734375</v>
      </c>
      <c r="J272" s="468">
        <v>1</v>
      </c>
      <c r="K272" s="469">
        <v>603.78997802734375</v>
      </c>
    </row>
    <row r="273" spans="1:11" ht="14.45" customHeight="1" x14ac:dyDescent="0.2">
      <c r="A273" s="463" t="s">
        <v>436</v>
      </c>
      <c r="B273" s="464" t="s">
        <v>437</v>
      </c>
      <c r="C273" s="465" t="s">
        <v>444</v>
      </c>
      <c r="D273" s="466" t="s">
        <v>445</v>
      </c>
      <c r="E273" s="465" t="s">
        <v>822</v>
      </c>
      <c r="F273" s="466" t="s">
        <v>823</v>
      </c>
      <c r="G273" s="465" t="s">
        <v>1082</v>
      </c>
      <c r="H273" s="465" t="s">
        <v>1083</v>
      </c>
      <c r="I273" s="468">
        <v>1053.9100341796875</v>
      </c>
      <c r="J273" s="468">
        <v>1</v>
      </c>
      <c r="K273" s="469">
        <v>1053.9100341796875</v>
      </c>
    </row>
    <row r="274" spans="1:11" ht="14.45" customHeight="1" x14ac:dyDescent="0.2">
      <c r="A274" s="463" t="s">
        <v>436</v>
      </c>
      <c r="B274" s="464" t="s">
        <v>437</v>
      </c>
      <c r="C274" s="465" t="s">
        <v>444</v>
      </c>
      <c r="D274" s="466" t="s">
        <v>445</v>
      </c>
      <c r="E274" s="465" t="s">
        <v>822</v>
      </c>
      <c r="F274" s="466" t="s">
        <v>823</v>
      </c>
      <c r="G274" s="465" t="s">
        <v>1084</v>
      </c>
      <c r="H274" s="465" t="s">
        <v>1085</v>
      </c>
      <c r="I274" s="468">
        <v>953.29998779296875</v>
      </c>
      <c r="J274" s="468">
        <v>1</v>
      </c>
      <c r="K274" s="469">
        <v>953.29998779296875</v>
      </c>
    </row>
    <row r="275" spans="1:11" ht="14.45" customHeight="1" x14ac:dyDescent="0.2">
      <c r="A275" s="463" t="s">
        <v>436</v>
      </c>
      <c r="B275" s="464" t="s">
        <v>437</v>
      </c>
      <c r="C275" s="465" t="s">
        <v>444</v>
      </c>
      <c r="D275" s="466" t="s">
        <v>445</v>
      </c>
      <c r="E275" s="465" t="s">
        <v>822</v>
      </c>
      <c r="F275" s="466" t="s">
        <v>823</v>
      </c>
      <c r="G275" s="465" t="s">
        <v>1086</v>
      </c>
      <c r="H275" s="465" t="s">
        <v>1087</v>
      </c>
      <c r="I275" s="468">
        <v>1524.4200439453125</v>
      </c>
      <c r="J275" s="468">
        <v>1</v>
      </c>
      <c r="K275" s="469">
        <v>1524.4200439453125</v>
      </c>
    </row>
    <row r="276" spans="1:11" ht="14.45" customHeight="1" x14ac:dyDescent="0.2">
      <c r="A276" s="463" t="s">
        <v>436</v>
      </c>
      <c r="B276" s="464" t="s">
        <v>437</v>
      </c>
      <c r="C276" s="465" t="s">
        <v>444</v>
      </c>
      <c r="D276" s="466" t="s">
        <v>445</v>
      </c>
      <c r="E276" s="465" t="s">
        <v>822</v>
      </c>
      <c r="F276" s="466" t="s">
        <v>823</v>
      </c>
      <c r="G276" s="465" t="s">
        <v>1088</v>
      </c>
      <c r="H276" s="465" t="s">
        <v>1089</v>
      </c>
      <c r="I276" s="468">
        <v>1454.239990234375</v>
      </c>
      <c r="J276" s="468">
        <v>1</v>
      </c>
      <c r="K276" s="469">
        <v>1454.239990234375</v>
      </c>
    </row>
    <row r="277" spans="1:11" ht="14.45" customHeight="1" x14ac:dyDescent="0.2">
      <c r="A277" s="463" t="s">
        <v>436</v>
      </c>
      <c r="B277" s="464" t="s">
        <v>437</v>
      </c>
      <c r="C277" s="465" t="s">
        <v>444</v>
      </c>
      <c r="D277" s="466" t="s">
        <v>445</v>
      </c>
      <c r="E277" s="465" t="s">
        <v>822</v>
      </c>
      <c r="F277" s="466" t="s">
        <v>823</v>
      </c>
      <c r="G277" s="465" t="s">
        <v>1090</v>
      </c>
      <c r="H277" s="465" t="s">
        <v>1091</v>
      </c>
      <c r="I277" s="468">
        <v>2095.949951171875</v>
      </c>
      <c r="J277" s="468">
        <v>1</v>
      </c>
      <c r="K277" s="469">
        <v>2095.949951171875</v>
      </c>
    </row>
    <row r="278" spans="1:11" ht="14.45" customHeight="1" x14ac:dyDescent="0.2">
      <c r="A278" s="463" t="s">
        <v>436</v>
      </c>
      <c r="B278" s="464" t="s">
        <v>437</v>
      </c>
      <c r="C278" s="465" t="s">
        <v>444</v>
      </c>
      <c r="D278" s="466" t="s">
        <v>445</v>
      </c>
      <c r="E278" s="465" t="s">
        <v>822</v>
      </c>
      <c r="F278" s="466" t="s">
        <v>823</v>
      </c>
      <c r="G278" s="465" t="s">
        <v>1092</v>
      </c>
      <c r="H278" s="465" t="s">
        <v>1093</v>
      </c>
      <c r="I278" s="468">
        <v>2095.949951171875</v>
      </c>
      <c r="J278" s="468">
        <v>1</v>
      </c>
      <c r="K278" s="469">
        <v>2095.949951171875</v>
      </c>
    </row>
    <row r="279" spans="1:11" ht="14.45" customHeight="1" x14ac:dyDescent="0.2">
      <c r="A279" s="463" t="s">
        <v>436</v>
      </c>
      <c r="B279" s="464" t="s">
        <v>437</v>
      </c>
      <c r="C279" s="465" t="s">
        <v>444</v>
      </c>
      <c r="D279" s="466" t="s">
        <v>445</v>
      </c>
      <c r="E279" s="465" t="s">
        <v>822</v>
      </c>
      <c r="F279" s="466" t="s">
        <v>823</v>
      </c>
      <c r="G279" s="465" t="s">
        <v>1094</v>
      </c>
      <c r="H279" s="465" t="s">
        <v>1095</v>
      </c>
      <c r="I279" s="468">
        <v>2106.610107421875</v>
      </c>
      <c r="J279" s="468">
        <v>2</v>
      </c>
      <c r="K279" s="469">
        <v>4213.22021484375</v>
      </c>
    </row>
    <row r="280" spans="1:11" ht="14.45" customHeight="1" x14ac:dyDescent="0.2">
      <c r="A280" s="463" t="s">
        <v>436</v>
      </c>
      <c r="B280" s="464" t="s">
        <v>437</v>
      </c>
      <c r="C280" s="465" t="s">
        <v>444</v>
      </c>
      <c r="D280" s="466" t="s">
        <v>445</v>
      </c>
      <c r="E280" s="465" t="s">
        <v>822</v>
      </c>
      <c r="F280" s="466" t="s">
        <v>823</v>
      </c>
      <c r="G280" s="465" t="s">
        <v>1096</v>
      </c>
      <c r="H280" s="465" t="s">
        <v>1097</v>
      </c>
      <c r="I280" s="468">
        <v>23.5</v>
      </c>
      <c r="J280" s="468">
        <v>10</v>
      </c>
      <c r="K280" s="469">
        <v>235</v>
      </c>
    </row>
    <row r="281" spans="1:11" ht="14.45" customHeight="1" x14ac:dyDescent="0.2">
      <c r="A281" s="463" t="s">
        <v>436</v>
      </c>
      <c r="B281" s="464" t="s">
        <v>437</v>
      </c>
      <c r="C281" s="465" t="s">
        <v>444</v>
      </c>
      <c r="D281" s="466" t="s">
        <v>445</v>
      </c>
      <c r="E281" s="465" t="s">
        <v>822</v>
      </c>
      <c r="F281" s="466" t="s">
        <v>823</v>
      </c>
      <c r="G281" s="465" t="s">
        <v>1098</v>
      </c>
      <c r="H281" s="465" t="s">
        <v>1099</v>
      </c>
      <c r="I281" s="468">
        <v>284.04998779296875</v>
      </c>
      <c r="J281" s="468">
        <v>30</v>
      </c>
      <c r="K281" s="469">
        <v>8521.490234375</v>
      </c>
    </row>
    <row r="282" spans="1:11" ht="14.45" customHeight="1" x14ac:dyDescent="0.2">
      <c r="A282" s="463" t="s">
        <v>436</v>
      </c>
      <c r="B282" s="464" t="s">
        <v>437</v>
      </c>
      <c r="C282" s="465" t="s">
        <v>444</v>
      </c>
      <c r="D282" s="466" t="s">
        <v>445</v>
      </c>
      <c r="E282" s="465" t="s">
        <v>822</v>
      </c>
      <c r="F282" s="466" t="s">
        <v>823</v>
      </c>
      <c r="G282" s="465" t="s">
        <v>1084</v>
      </c>
      <c r="H282" s="465" t="s">
        <v>1100</v>
      </c>
      <c r="I282" s="468">
        <v>953.30332438151038</v>
      </c>
      <c r="J282" s="468">
        <v>4</v>
      </c>
      <c r="K282" s="469">
        <v>3813.2099609375</v>
      </c>
    </row>
    <row r="283" spans="1:11" ht="14.45" customHeight="1" x14ac:dyDescent="0.2">
      <c r="A283" s="463" t="s">
        <v>436</v>
      </c>
      <c r="B283" s="464" t="s">
        <v>437</v>
      </c>
      <c r="C283" s="465" t="s">
        <v>444</v>
      </c>
      <c r="D283" s="466" t="s">
        <v>445</v>
      </c>
      <c r="E283" s="465" t="s">
        <v>822</v>
      </c>
      <c r="F283" s="466" t="s">
        <v>823</v>
      </c>
      <c r="G283" s="465" t="s">
        <v>1086</v>
      </c>
      <c r="H283" s="465" t="s">
        <v>1101</v>
      </c>
      <c r="I283" s="468">
        <v>1524.4200439453125</v>
      </c>
      <c r="J283" s="468">
        <v>1</v>
      </c>
      <c r="K283" s="469">
        <v>1524.4200439453125</v>
      </c>
    </row>
    <row r="284" spans="1:11" ht="14.45" customHeight="1" x14ac:dyDescent="0.2">
      <c r="A284" s="463" t="s">
        <v>436</v>
      </c>
      <c r="B284" s="464" t="s">
        <v>437</v>
      </c>
      <c r="C284" s="465" t="s">
        <v>444</v>
      </c>
      <c r="D284" s="466" t="s">
        <v>445</v>
      </c>
      <c r="E284" s="465" t="s">
        <v>822</v>
      </c>
      <c r="F284" s="466" t="s">
        <v>823</v>
      </c>
      <c r="G284" s="465" t="s">
        <v>1088</v>
      </c>
      <c r="H284" s="465" t="s">
        <v>1102</v>
      </c>
      <c r="I284" s="468">
        <v>1454.239990234375</v>
      </c>
      <c r="J284" s="468">
        <v>1</v>
      </c>
      <c r="K284" s="469">
        <v>1454.239990234375</v>
      </c>
    </row>
    <row r="285" spans="1:11" ht="14.45" customHeight="1" x14ac:dyDescent="0.2">
      <c r="A285" s="463" t="s">
        <v>436</v>
      </c>
      <c r="B285" s="464" t="s">
        <v>437</v>
      </c>
      <c r="C285" s="465" t="s">
        <v>444</v>
      </c>
      <c r="D285" s="466" t="s">
        <v>445</v>
      </c>
      <c r="E285" s="465" t="s">
        <v>822</v>
      </c>
      <c r="F285" s="466" t="s">
        <v>823</v>
      </c>
      <c r="G285" s="465" t="s">
        <v>1103</v>
      </c>
      <c r="H285" s="465" t="s">
        <v>1104</v>
      </c>
      <c r="I285" s="468">
        <v>977.2850240071615</v>
      </c>
      <c r="J285" s="468">
        <v>24</v>
      </c>
      <c r="K285" s="469">
        <v>23454.720458984375</v>
      </c>
    </row>
    <row r="286" spans="1:11" ht="14.45" customHeight="1" x14ac:dyDescent="0.2">
      <c r="A286" s="463" t="s">
        <v>436</v>
      </c>
      <c r="B286" s="464" t="s">
        <v>437</v>
      </c>
      <c r="C286" s="465" t="s">
        <v>444</v>
      </c>
      <c r="D286" s="466" t="s">
        <v>445</v>
      </c>
      <c r="E286" s="465" t="s">
        <v>822</v>
      </c>
      <c r="F286" s="466" t="s">
        <v>823</v>
      </c>
      <c r="G286" s="465" t="s">
        <v>1105</v>
      </c>
      <c r="H286" s="465" t="s">
        <v>1106</v>
      </c>
      <c r="I286" s="468">
        <v>298.8699951171875</v>
      </c>
      <c r="J286" s="468">
        <v>16</v>
      </c>
      <c r="K286" s="469">
        <v>4781.919921875</v>
      </c>
    </row>
    <row r="287" spans="1:11" ht="14.45" customHeight="1" x14ac:dyDescent="0.2">
      <c r="A287" s="463" t="s">
        <v>436</v>
      </c>
      <c r="B287" s="464" t="s">
        <v>437</v>
      </c>
      <c r="C287" s="465" t="s">
        <v>444</v>
      </c>
      <c r="D287" s="466" t="s">
        <v>445</v>
      </c>
      <c r="E287" s="465" t="s">
        <v>822</v>
      </c>
      <c r="F287" s="466" t="s">
        <v>823</v>
      </c>
      <c r="G287" s="465" t="s">
        <v>1107</v>
      </c>
      <c r="H287" s="465" t="s">
        <v>1108</v>
      </c>
      <c r="I287" s="468">
        <v>1102.31005859375</v>
      </c>
      <c r="J287" s="468">
        <v>1</v>
      </c>
      <c r="K287" s="469">
        <v>1102.31005859375</v>
      </c>
    </row>
    <row r="288" spans="1:11" ht="14.45" customHeight="1" x14ac:dyDescent="0.2">
      <c r="A288" s="463" t="s">
        <v>436</v>
      </c>
      <c r="B288" s="464" t="s">
        <v>437</v>
      </c>
      <c r="C288" s="465" t="s">
        <v>444</v>
      </c>
      <c r="D288" s="466" t="s">
        <v>445</v>
      </c>
      <c r="E288" s="465" t="s">
        <v>822</v>
      </c>
      <c r="F288" s="466" t="s">
        <v>823</v>
      </c>
      <c r="G288" s="465" t="s">
        <v>1107</v>
      </c>
      <c r="H288" s="465" t="s">
        <v>1109</v>
      </c>
      <c r="I288" s="468">
        <v>1182.1400146484375</v>
      </c>
      <c r="J288" s="468">
        <v>2</v>
      </c>
      <c r="K288" s="469">
        <v>2364.280029296875</v>
      </c>
    </row>
    <row r="289" spans="1:11" ht="14.45" customHeight="1" x14ac:dyDescent="0.2">
      <c r="A289" s="463" t="s">
        <v>436</v>
      </c>
      <c r="B289" s="464" t="s">
        <v>437</v>
      </c>
      <c r="C289" s="465" t="s">
        <v>444</v>
      </c>
      <c r="D289" s="466" t="s">
        <v>445</v>
      </c>
      <c r="E289" s="465" t="s">
        <v>822</v>
      </c>
      <c r="F289" s="466" t="s">
        <v>823</v>
      </c>
      <c r="G289" s="465" t="s">
        <v>1110</v>
      </c>
      <c r="H289" s="465" t="s">
        <v>1111</v>
      </c>
      <c r="I289" s="468">
        <v>2741.6348876953125</v>
      </c>
      <c r="J289" s="468">
        <v>6</v>
      </c>
      <c r="K289" s="469">
        <v>16449.810546875</v>
      </c>
    </row>
    <row r="290" spans="1:11" ht="14.45" customHeight="1" x14ac:dyDescent="0.2">
      <c r="A290" s="463" t="s">
        <v>436</v>
      </c>
      <c r="B290" s="464" t="s">
        <v>437</v>
      </c>
      <c r="C290" s="465" t="s">
        <v>444</v>
      </c>
      <c r="D290" s="466" t="s">
        <v>445</v>
      </c>
      <c r="E290" s="465" t="s">
        <v>822</v>
      </c>
      <c r="F290" s="466" t="s">
        <v>823</v>
      </c>
      <c r="G290" s="465" t="s">
        <v>1112</v>
      </c>
      <c r="H290" s="465" t="s">
        <v>1113</v>
      </c>
      <c r="I290" s="468">
        <v>40</v>
      </c>
      <c r="J290" s="468">
        <v>20</v>
      </c>
      <c r="K290" s="469">
        <v>800</v>
      </c>
    </row>
    <row r="291" spans="1:11" ht="14.45" customHeight="1" x14ac:dyDescent="0.2">
      <c r="A291" s="463" t="s">
        <v>436</v>
      </c>
      <c r="B291" s="464" t="s">
        <v>437</v>
      </c>
      <c r="C291" s="465" t="s">
        <v>444</v>
      </c>
      <c r="D291" s="466" t="s">
        <v>445</v>
      </c>
      <c r="E291" s="465" t="s">
        <v>822</v>
      </c>
      <c r="F291" s="466" t="s">
        <v>823</v>
      </c>
      <c r="G291" s="465" t="s">
        <v>1114</v>
      </c>
      <c r="H291" s="465" t="s">
        <v>1115</v>
      </c>
      <c r="I291" s="468">
        <v>39.169998168945313</v>
      </c>
      <c r="J291" s="468">
        <v>12</v>
      </c>
      <c r="K291" s="469">
        <v>470</v>
      </c>
    </row>
    <row r="292" spans="1:11" ht="14.45" customHeight="1" x14ac:dyDescent="0.2">
      <c r="A292" s="463" t="s">
        <v>436</v>
      </c>
      <c r="B292" s="464" t="s">
        <v>437</v>
      </c>
      <c r="C292" s="465" t="s">
        <v>444</v>
      </c>
      <c r="D292" s="466" t="s">
        <v>445</v>
      </c>
      <c r="E292" s="465" t="s">
        <v>822</v>
      </c>
      <c r="F292" s="466" t="s">
        <v>823</v>
      </c>
      <c r="G292" s="465" t="s">
        <v>1116</v>
      </c>
      <c r="H292" s="465" t="s">
        <v>1117</v>
      </c>
      <c r="I292" s="468">
        <v>1.3600000143051147</v>
      </c>
      <c r="J292" s="468">
        <v>2000</v>
      </c>
      <c r="K292" s="469">
        <v>2718</v>
      </c>
    </row>
    <row r="293" spans="1:11" ht="14.45" customHeight="1" x14ac:dyDescent="0.2">
      <c r="A293" s="463" t="s">
        <v>436</v>
      </c>
      <c r="B293" s="464" t="s">
        <v>437</v>
      </c>
      <c r="C293" s="465" t="s">
        <v>444</v>
      </c>
      <c r="D293" s="466" t="s">
        <v>445</v>
      </c>
      <c r="E293" s="465" t="s">
        <v>822</v>
      </c>
      <c r="F293" s="466" t="s">
        <v>823</v>
      </c>
      <c r="G293" s="465" t="s">
        <v>1118</v>
      </c>
      <c r="H293" s="465" t="s">
        <v>1119</v>
      </c>
      <c r="I293" s="468">
        <v>1452</v>
      </c>
      <c r="J293" s="468">
        <v>2</v>
      </c>
      <c r="K293" s="469">
        <v>2904</v>
      </c>
    </row>
    <row r="294" spans="1:11" ht="14.45" customHeight="1" x14ac:dyDescent="0.2">
      <c r="A294" s="463" t="s">
        <v>436</v>
      </c>
      <c r="B294" s="464" t="s">
        <v>437</v>
      </c>
      <c r="C294" s="465" t="s">
        <v>444</v>
      </c>
      <c r="D294" s="466" t="s">
        <v>445</v>
      </c>
      <c r="E294" s="465" t="s">
        <v>822</v>
      </c>
      <c r="F294" s="466" t="s">
        <v>823</v>
      </c>
      <c r="G294" s="465" t="s">
        <v>1120</v>
      </c>
      <c r="H294" s="465" t="s">
        <v>1121</v>
      </c>
      <c r="I294" s="468">
        <v>443.41000366210938</v>
      </c>
      <c r="J294" s="468">
        <v>6</v>
      </c>
      <c r="K294" s="469">
        <v>2660.429931640625</v>
      </c>
    </row>
    <row r="295" spans="1:11" ht="14.45" customHeight="1" x14ac:dyDescent="0.2">
      <c r="A295" s="463" t="s">
        <v>436</v>
      </c>
      <c r="B295" s="464" t="s">
        <v>437</v>
      </c>
      <c r="C295" s="465" t="s">
        <v>444</v>
      </c>
      <c r="D295" s="466" t="s">
        <v>445</v>
      </c>
      <c r="E295" s="465" t="s">
        <v>822</v>
      </c>
      <c r="F295" s="466" t="s">
        <v>823</v>
      </c>
      <c r="G295" s="465" t="s">
        <v>1122</v>
      </c>
      <c r="H295" s="465" t="s">
        <v>1123</v>
      </c>
      <c r="I295" s="468">
        <v>1349.760009765625</v>
      </c>
      <c r="J295" s="468">
        <v>1</v>
      </c>
      <c r="K295" s="469">
        <v>1349.760009765625</v>
      </c>
    </row>
    <row r="296" spans="1:11" ht="14.45" customHeight="1" x14ac:dyDescent="0.2">
      <c r="A296" s="463" t="s">
        <v>436</v>
      </c>
      <c r="B296" s="464" t="s">
        <v>437</v>
      </c>
      <c r="C296" s="465" t="s">
        <v>444</v>
      </c>
      <c r="D296" s="466" t="s">
        <v>445</v>
      </c>
      <c r="E296" s="465" t="s">
        <v>822</v>
      </c>
      <c r="F296" s="466" t="s">
        <v>823</v>
      </c>
      <c r="G296" s="465" t="s">
        <v>1122</v>
      </c>
      <c r="H296" s="465" t="s">
        <v>1124</v>
      </c>
      <c r="I296" s="468">
        <v>1336.2550048828125</v>
      </c>
      <c r="J296" s="468">
        <v>4</v>
      </c>
      <c r="K296" s="469">
        <v>5345.02001953125</v>
      </c>
    </row>
    <row r="297" spans="1:11" ht="14.45" customHeight="1" x14ac:dyDescent="0.2">
      <c r="A297" s="463" t="s">
        <v>436</v>
      </c>
      <c r="B297" s="464" t="s">
        <v>437</v>
      </c>
      <c r="C297" s="465" t="s">
        <v>444</v>
      </c>
      <c r="D297" s="466" t="s">
        <v>445</v>
      </c>
      <c r="E297" s="465" t="s">
        <v>822</v>
      </c>
      <c r="F297" s="466" t="s">
        <v>823</v>
      </c>
      <c r="G297" s="465" t="s">
        <v>1125</v>
      </c>
      <c r="H297" s="465" t="s">
        <v>1126</v>
      </c>
      <c r="I297" s="468">
        <v>483.97000122070313</v>
      </c>
      <c r="J297" s="468">
        <v>6</v>
      </c>
      <c r="K297" s="469">
        <v>2903.840087890625</v>
      </c>
    </row>
    <row r="298" spans="1:11" ht="14.45" customHeight="1" x14ac:dyDescent="0.2">
      <c r="A298" s="463" t="s">
        <v>436</v>
      </c>
      <c r="B298" s="464" t="s">
        <v>437</v>
      </c>
      <c r="C298" s="465" t="s">
        <v>444</v>
      </c>
      <c r="D298" s="466" t="s">
        <v>445</v>
      </c>
      <c r="E298" s="465" t="s">
        <v>822</v>
      </c>
      <c r="F298" s="466" t="s">
        <v>823</v>
      </c>
      <c r="G298" s="465" t="s">
        <v>1127</v>
      </c>
      <c r="H298" s="465" t="s">
        <v>1128</v>
      </c>
      <c r="I298" s="468">
        <v>124.62999725341797</v>
      </c>
      <c r="J298" s="468">
        <v>20</v>
      </c>
      <c r="K298" s="469">
        <v>2492.5999755859375</v>
      </c>
    </row>
    <row r="299" spans="1:11" ht="14.45" customHeight="1" x14ac:dyDescent="0.2">
      <c r="A299" s="463" t="s">
        <v>436</v>
      </c>
      <c r="B299" s="464" t="s">
        <v>437</v>
      </c>
      <c r="C299" s="465" t="s">
        <v>444</v>
      </c>
      <c r="D299" s="466" t="s">
        <v>445</v>
      </c>
      <c r="E299" s="465" t="s">
        <v>822</v>
      </c>
      <c r="F299" s="466" t="s">
        <v>823</v>
      </c>
      <c r="G299" s="465" t="s">
        <v>1125</v>
      </c>
      <c r="H299" s="465" t="s">
        <v>1129</v>
      </c>
      <c r="I299" s="468">
        <v>484</v>
      </c>
      <c r="J299" s="468">
        <v>12</v>
      </c>
      <c r="K299" s="469">
        <v>5808</v>
      </c>
    </row>
    <row r="300" spans="1:11" ht="14.45" customHeight="1" x14ac:dyDescent="0.2">
      <c r="A300" s="463" t="s">
        <v>436</v>
      </c>
      <c r="B300" s="464" t="s">
        <v>437</v>
      </c>
      <c r="C300" s="465" t="s">
        <v>444</v>
      </c>
      <c r="D300" s="466" t="s">
        <v>445</v>
      </c>
      <c r="E300" s="465" t="s">
        <v>822</v>
      </c>
      <c r="F300" s="466" t="s">
        <v>823</v>
      </c>
      <c r="G300" s="465" t="s">
        <v>1130</v>
      </c>
      <c r="H300" s="465" t="s">
        <v>1131</v>
      </c>
      <c r="I300" s="468">
        <v>1337.050048828125</v>
      </c>
      <c r="J300" s="468">
        <v>1</v>
      </c>
      <c r="K300" s="469">
        <v>1337.050048828125</v>
      </c>
    </row>
    <row r="301" spans="1:11" ht="14.45" customHeight="1" x14ac:dyDescent="0.2">
      <c r="A301" s="463" t="s">
        <v>436</v>
      </c>
      <c r="B301" s="464" t="s">
        <v>437</v>
      </c>
      <c r="C301" s="465" t="s">
        <v>444</v>
      </c>
      <c r="D301" s="466" t="s">
        <v>445</v>
      </c>
      <c r="E301" s="465" t="s">
        <v>822</v>
      </c>
      <c r="F301" s="466" t="s">
        <v>823</v>
      </c>
      <c r="G301" s="465" t="s">
        <v>1132</v>
      </c>
      <c r="H301" s="465" t="s">
        <v>1133</v>
      </c>
      <c r="I301" s="468">
        <v>1337.050048828125</v>
      </c>
      <c r="J301" s="468">
        <v>1</v>
      </c>
      <c r="K301" s="469">
        <v>1337.050048828125</v>
      </c>
    </row>
    <row r="302" spans="1:11" ht="14.45" customHeight="1" x14ac:dyDescent="0.2">
      <c r="A302" s="463" t="s">
        <v>436</v>
      </c>
      <c r="B302" s="464" t="s">
        <v>437</v>
      </c>
      <c r="C302" s="465" t="s">
        <v>444</v>
      </c>
      <c r="D302" s="466" t="s">
        <v>445</v>
      </c>
      <c r="E302" s="465" t="s">
        <v>822</v>
      </c>
      <c r="F302" s="466" t="s">
        <v>823</v>
      </c>
      <c r="G302" s="465" t="s">
        <v>1130</v>
      </c>
      <c r="H302" s="465" t="s">
        <v>1134</v>
      </c>
      <c r="I302" s="468">
        <v>1337.050048828125</v>
      </c>
      <c r="J302" s="468">
        <v>5</v>
      </c>
      <c r="K302" s="469">
        <v>6685.250244140625</v>
      </c>
    </row>
    <row r="303" spans="1:11" ht="14.45" customHeight="1" x14ac:dyDescent="0.2">
      <c r="A303" s="463" t="s">
        <v>436</v>
      </c>
      <c r="B303" s="464" t="s">
        <v>437</v>
      </c>
      <c r="C303" s="465" t="s">
        <v>444</v>
      </c>
      <c r="D303" s="466" t="s">
        <v>445</v>
      </c>
      <c r="E303" s="465" t="s">
        <v>822</v>
      </c>
      <c r="F303" s="466" t="s">
        <v>823</v>
      </c>
      <c r="G303" s="465" t="s">
        <v>1132</v>
      </c>
      <c r="H303" s="465" t="s">
        <v>1135</v>
      </c>
      <c r="I303" s="468">
        <v>1337.050048828125</v>
      </c>
      <c r="J303" s="468">
        <v>4</v>
      </c>
      <c r="K303" s="469">
        <v>5348.2001953125</v>
      </c>
    </row>
    <row r="304" spans="1:11" ht="14.45" customHeight="1" x14ac:dyDescent="0.2">
      <c r="A304" s="463" t="s">
        <v>436</v>
      </c>
      <c r="B304" s="464" t="s">
        <v>437</v>
      </c>
      <c r="C304" s="465" t="s">
        <v>444</v>
      </c>
      <c r="D304" s="466" t="s">
        <v>445</v>
      </c>
      <c r="E304" s="465" t="s">
        <v>822</v>
      </c>
      <c r="F304" s="466" t="s">
        <v>823</v>
      </c>
      <c r="G304" s="465" t="s">
        <v>1136</v>
      </c>
      <c r="H304" s="465" t="s">
        <v>1137</v>
      </c>
      <c r="I304" s="468">
        <v>1324</v>
      </c>
      <c r="J304" s="468">
        <v>5</v>
      </c>
      <c r="K304" s="469">
        <v>6619.97998046875</v>
      </c>
    </row>
    <row r="305" spans="1:11" ht="14.45" customHeight="1" x14ac:dyDescent="0.2">
      <c r="A305" s="463" t="s">
        <v>436</v>
      </c>
      <c r="B305" s="464" t="s">
        <v>437</v>
      </c>
      <c r="C305" s="465" t="s">
        <v>444</v>
      </c>
      <c r="D305" s="466" t="s">
        <v>445</v>
      </c>
      <c r="E305" s="465" t="s">
        <v>822</v>
      </c>
      <c r="F305" s="466" t="s">
        <v>823</v>
      </c>
      <c r="G305" s="465" t="s">
        <v>1138</v>
      </c>
      <c r="H305" s="465" t="s">
        <v>1139</v>
      </c>
      <c r="I305" s="468">
        <v>1234</v>
      </c>
      <c r="J305" s="468">
        <v>5</v>
      </c>
      <c r="K305" s="469">
        <v>6170</v>
      </c>
    </row>
    <row r="306" spans="1:11" ht="14.45" customHeight="1" x14ac:dyDescent="0.2">
      <c r="A306" s="463" t="s">
        <v>436</v>
      </c>
      <c r="B306" s="464" t="s">
        <v>437</v>
      </c>
      <c r="C306" s="465" t="s">
        <v>444</v>
      </c>
      <c r="D306" s="466" t="s">
        <v>445</v>
      </c>
      <c r="E306" s="465" t="s">
        <v>822</v>
      </c>
      <c r="F306" s="466" t="s">
        <v>823</v>
      </c>
      <c r="G306" s="465" t="s">
        <v>1140</v>
      </c>
      <c r="H306" s="465" t="s">
        <v>1141</v>
      </c>
      <c r="I306" s="468">
        <v>1234</v>
      </c>
      <c r="J306" s="468">
        <v>5</v>
      </c>
      <c r="K306" s="469">
        <v>6170.009765625</v>
      </c>
    </row>
    <row r="307" spans="1:11" ht="14.45" customHeight="1" x14ac:dyDescent="0.2">
      <c r="A307" s="463" t="s">
        <v>436</v>
      </c>
      <c r="B307" s="464" t="s">
        <v>437</v>
      </c>
      <c r="C307" s="465" t="s">
        <v>444</v>
      </c>
      <c r="D307" s="466" t="s">
        <v>445</v>
      </c>
      <c r="E307" s="465" t="s">
        <v>822</v>
      </c>
      <c r="F307" s="466" t="s">
        <v>823</v>
      </c>
      <c r="G307" s="465" t="s">
        <v>1142</v>
      </c>
      <c r="H307" s="465" t="s">
        <v>1143</v>
      </c>
      <c r="I307" s="468">
        <v>1234</v>
      </c>
      <c r="J307" s="468">
        <v>5</v>
      </c>
      <c r="K307" s="469">
        <v>6170.009765625</v>
      </c>
    </row>
    <row r="308" spans="1:11" ht="14.45" customHeight="1" x14ac:dyDescent="0.2">
      <c r="A308" s="463" t="s">
        <v>436</v>
      </c>
      <c r="B308" s="464" t="s">
        <v>437</v>
      </c>
      <c r="C308" s="465" t="s">
        <v>444</v>
      </c>
      <c r="D308" s="466" t="s">
        <v>445</v>
      </c>
      <c r="E308" s="465" t="s">
        <v>822</v>
      </c>
      <c r="F308" s="466" t="s">
        <v>823</v>
      </c>
      <c r="G308" s="465" t="s">
        <v>1144</v>
      </c>
      <c r="H308" s="465" t="s">
        <v>1145</v>
      </c>
      <c r="I308" s="468">
        <v>1234</v>
      </c>
      <c r="J308" s="468">
        <v>5</v>
      </c>
      <c r="K308" s="469">
        <v>6170.009765625</v>
      </c>
    </row>
    <row r="309" spans="1:11" ht="14.45" customHeight="1" x14ac:dyDescent="0.2">
      <c r="A309" s="463" t="s">
        <v>436</v>
      </c>
      <c r="B309" s="464" t="s">
        <v>437</v>
      </c>
      <c r="C309" s="465" t="s">
        <v>444</v>
      </c>
      <c r="D309" s="466" t="s">
        <v>445</v>
      </c>
      <c r="E309" s="465" t="s">
        <v>822</v>
      </c>
      <c r="F309" s="466" t="s">
        <v>823</v>
      </c>
      <c r="G309" s="465" t="s">
        <v>1146</v>
      </c>
      <c r="H309" s="465" t="s">
        <v>1147</v>
      </c>
      <c r="I309" s="468">
        <v>1234</v>
      </c>
      <c r="J309" s="468">
        <v>5</v>
      </c>
      <c r="K309" s="469">
        <v>6170.009765625</v>
      </c>
    </row>
    <row r="310" spans="1:11" ht="14.45" customHeight="1" x14ac:dyDescent="0.2">
      <c r="A310" s="463" t="s">
        <v>436</v>
      </c>
      <c r="B310" s="464" t="s">
        <v>437</v>
      </c>
      <c r="C310" s="465" t="s">
        <v>444</v>
      </c>
      <c r="D310" s="466" t="s">
        <v>445</v>
      </c>
      <c r="E310" s="465" t="s">
        <v>822</v>
      </c>
      <c r="F310" s="466" t="s">
        <v>823</v>
      </c>
      <c r="G310" s="465" t="s">
        <v>1148</v>
      </c>
      <c r="H310" s="465" t="s">
        <v>1149</v>
      </c>
      <c r="I310" s="468">
        <v>1324</v>
      </c>
      <c r="J310" s="468">
        <v>5</v>
      </c>
      <c r="K310" s="469">
        <v>6619.97998046875</v>
      </c>
    </row>
    <row r="311" spans="1:11" ht="14.45" customHeight="1" x14ac:dyDescent="0.2">
      <c r="A311" s="463" t="s">
        <v>436</v>
      </c>
      <c r="B311" s="464" t="s">
        <v>437</v>
      </c>
      <c r="C311" s="465" t="s">
        <v>444</v>
      </c>
      <c r="D311" s="466" t="s">
        <v>445</v>
      </c>
      <c r="E311" s="465" t="s">
        <v>822</v>
      </c>
      <c r="F311" s="466" t="s">
        <v>823</v>
      </c>
      <c r="G311" s="465" t="s">
        <v>1150</v>
      </c>
      <c r="H311" s="465" t="s">
        <v>1151</v>
      </c>
      <c r="I311" s="468">
        <v>1324</v>
      </c>
      <c r="J311" s="468">
        <v>5</v>
      </c>
      <c r="K311" s="469">
        <v>6619.97998046875</v>
      </c>
    </row>
    <row r="312" spans="1:11" ht="14.45" customHeight="1" x14ac:dyDescent="0.2">
      <c r="A312" s="463" t="s">
        <v>436</v>
      </c>
      <c r="B312" s="464" t="s">
        <v>437</v>
      </c>
      <c r="C312" s="465" t="s">
        <v>444</v>
      </c>
      <c r="D312" s="466" t="s">
        <v>445</v>
      </c>
      <c r="E312" s="465" t="s">
        <v>822</v>
      </c>
      <c r="F312" s="466" t="s">
        <v>823</v>
      </c>
      <c r="G312" s="465" t="s">
        <v>1152</v>
      </c>
      <c r="H312" s="465" t="s">
        <v>1153</v>
      </c>
      <c r="I312" s="468">
        <v>1324</v>
      </c>
      <c r="J312" s="468">
        <v>5</v>
      </c>
      <c r="K312" s="469">
        <v>6619.97998046875</v>
      </c>
    </row>
    <row r="313" spans="1:11" ht="14.45" customHeight="1" x14ac:dyDescent="0.2">
      <c r="A313" s="463" t="s">
        <v>436</v>
      </c>
      <c r="B313" s="464" t="s">
        <v>437</v>
      </c>
      <c r="C313" s="465" t="s">
        <v>444</v>
      </c>
      <c r="D313" s="466" t="s">
        <v>445</v>
      </c>
      <c r="E313" s="465" t="s">
        <v>822</v>
      </c>
      <c r="F313" s="466" t="s">
        <v>823</v>
      </c>
      <c r="G313" s="465" t="s">
        <v>1154</v>
      </c>
      <c r="H313" s="465" t="s">
        <v>1155</v>
      </c>
      <c r="I313" s="468">
        <v>1324</v>
      </c>
      <c r="J313" s="468">
        <v>5</v>
      </c>
      <c r="K313" s="469">
        <v>6619.97998046875</v>
      </c>
    </row>
    <row r="314" spans="1:11" ht="14.45" customHeight="1" x14ac:dyDescent="0.2">
      <c r="A314" s="463" t="s">
        <v>436</v>
      </c>
      <c r="B314" s="464" t="s">
        <v>437</v>
      </c>
      <c r="C314" s="465" t="s">
        <v>444</v>
      </c>
      <c r="D314" s="466" t="s">
        <v>445</v>
      </c>
      <c r="E314" s="465" t="s">
        <v>822</v>
      </c>
      <c r="F314" s="466" t="s">
        <v>823</v>
      </c>
      <c r="G314" s="465" t="s">
        <v>1156</v>
      </c>
      <c r="H314" s="465" t="s">
        <v>1157</v>
      </c>
      <c r="I314" s="468">
        <v>1324</v>
      </c>
      <c r="J314" s="468">
        <v>5</v>
      </c>
      <c r="K314" s="469">
        <v>6619.97998046875</v>
      </c>
    </row>
    <row r="315" spans="1:11" ht="14.45" customHeight="1" x14ac:dyDescent="0.2">
      <c r="A315" s="463" t="s">
        <v>436</v>
      </c>
      <c r="B315" s="464" t="s">
        <v>437</v>
      </c>
      <c r="C315" s="465" t="s">
        <v>444</v>
      </c>
      <c r="D315" s="466" t="s">
        <v>445</v>
      </c>
      <c r="E315" s="465" t="s">
        <v>822</v>
      </c>
      <c r="F315" s="466" t="s">
        <v>823</v>
      </c>
      <c r="G315" s="465" t="s">
        <v>1158</v>
      </c>
      <c r="H315" s="465" t="s">
        <v>1159</v>
      </c>
      <c r="I315" s="468">
        <v>6785</v>
      </c>
      <c r="J315" s="468">
        <v>1</v>
      </c>
      <c r="K315" s="469">
        <v>6785</v>
      </c>
    </row>
    <row r="316" spans="1:11" ht="14.45" customHeight="1" x14ac:dyDescent="0.2">
      <c r="A316" s="463" t="s">
        <v>436</v>
      </c>
      <c r="B316" s="464" t="s">
        <v>437</v>
      </c>
      <c r="C316" s="465" t="s">
        <v>444</v>
      </c>
      <c r="D316" s="466" t="s">
        <v>445</v>
      </c>
      <c r="E316" s="465" t="s">
        <v>822</v>
      </c>
      <c r="F316" s="466" t="s">
        <v>823</v>
      </c>
      <c r="G316" s="465" t="s">
        <v>1160</v>
      </c>
      <c r="H316" s="465" t="s">
        <v>1161</v>
      </c>
      <c r="I316" s="468">
        <v>3864</v>
      </c>
      <c r="J316" s="468">
        <v>5</v>
      </c>
      <c r="K316" s="469">
        <v>19320</v>
      </c>
    </row>
    <row r="317" spans="1:11" ht="14.45" customHeight="1" x14ac:dyDescent="0.2">
      <c r="A317" s="463" t="s">
        <v>436</v>
      </c>
      <c r="B317" s="464" t="s">
        <v>437</v>
      </c>
      <c r="C317" s="465" t="s">
        <v>444</v>
      </c>
      <c r="D317" s="466" t="s">
        <v>445</v>
      </c>
      <c r="E317" s="465" t="s">
        <v>822</v>
      </c>
      <c r="F317" s="466" t="s">
        <v>823</v>
      </c>
      <c r="G317" s="465" t="s">
        <v>1162</v>
      </c>
      <c r="H317" s="465" t="s">
        <v>1163</v>
      </c>
      <c r="I317" s="468">
        <v>6785</v>
      </c>
      <c r="J317" s="468">
        <v>1</v>
      </c>
      <c r="K317" s="469">
        <v>6785</v>
      </c>
    </row>
    <row r="318" spans="1:11" ht="14.45" customHeight="1" x14ac:dyDescent="0.2">
      <c r="A318" s="463" t="s">
        <v>436</v>
      </c>
      <c r="B318" s="464" t="s">
        <v>437</v>
      </c>
      <c r="C318" s="465" t="s">
        <v>444</v>
      </c>
      <c r="D318" s="466" t="s">
        <v>445</v>
      </c>
      <c r="E318" s="465" t="s">
        <v>822</v>
      </c>
      <c r="F318" s="466" t="s">
        <v>823</v>
      </c>
      <c r="G318" s="465" t="s">
        <v>1164</v>
      </c>
      <c r="H318" s="465" t="s">
        <v>1165</v>
      </c>
      <c r="I318" s="468">
        <v>6785</v>
      </c>
      <c r="J318" s="468">
        <v>2</v>
      </c>
      <c r="K318" s="469">
        <v>13570</v>
      </c>
    </row>
    <row r="319" spans="1:11" ht="14.45" customHeight="1" x14ac:dyDescent="0.2">
      <c r="A319" s="463" t="s">
        <v>436</v>
      </c>
      <c r="B319" s="464" t="s">
        <v>437</v>
      </c>
      <c r="C319" s="465" t="s">
        <v>444</v>
      </c>
      <c r="D319" s="466" t="s">
        <v>445</v>
      </c>
      <c r="E319" s="465" t="s">
        <v>822</v>
      </c>
      <c r="F319" s="466" t="s">
        <v>823</v>
      </c>
      <c r="G319" s="465" t="s">
        <v>1166</v>
      </c>
      <c r="H319" s="465" t="s">
        <v>1167</v>
      </c>
      <c r="I319" s="468">
        <v>6785</v>
      </c>
      <c r="J319" s="468">
        <v>1</v>
      </c>
      <c r="K319" s="469">
        <v>6785</v>
      </c>
    </row>
    <row r="320" spans="1:11" ht="14.45" customHeight="1" x14ac:dyDescent="0.2">
      <c r="A320" s="463" t="s">
        <v>436</v>
      </c>
      <c r="B320" s="464" t="s">
        <v>437</v>
      </c>
      <c r="C320" s="465" t="s">
        <v>444</v>
      </c>
      <c r="D320" s="466" t="s">
        <v>445</v>
      </c>
      <c r="E320" s="465" t="s">
        <v>822</v>
      </c>
      <c r="F320" s="466" t="s">
        <v>823</v>
      </c>
      <c r="G320" s="465" t="s">
        <v>1168</v>
      </c>
      <c r="H320" s="465" t="s">
        <v>1169</v>
      </c>
      <c r="I320" s="468">
        <v>6785</v>
      </c>
      <c r="J320" s="468">
        <v>1</v>
      </c>
      <c r="K320" s="469">
        <v>6785</v>
      </c>
    </row>
    <row r="321" spans="1:11" ht="14.45" customHeight="1" x14ac:dyDescent="0.2">
      <c r="A321" s="463" t="s">
        <v>436</v>
      </c>
      <c r="B321" s="464" t="s">
        <v>437</v>
      </c>
      <c r="C321" s="465" t="s">
        <v>444</v>
      </c>
      <c r="D321" s="466" t="s">
        <v>445</v>
      </c>
      <c r="E321" s="465" t="s">
        <v>822</v>
      </c>
      <c r="F321" s="466" t="s">
        <v>823</v>
      </c>
      <c r="G321" s="465" t="s">
        <v>1170</v>
      </c>
      <c r="H321" s="465" t="s">
        <v>1171</v>
      </c>
      <c r="I321" s="468">
        <v>6785</v>
      </c>
      <c r="J321" s="468">
        <v>1</v>
      </c>
      <c r="K321" s="469">
        <v>6785</v>
      </c>
    </row>
    <row r="322" spans="1:11" ht="14.45" customHeight="1" x14ac:dyDescent="0.2">
      <c r="A322" s="463" t="s">
        <v>436</v>
      </c>
      <c r="B322" s="464" t="s">
        <v>437</v>
      </c>
      <c r="C322" s="465" t="s">
        <v>444</v>
      </c>
      <c r="D322" s="466" t="s">
        <v>445</v>
      </c>
      <c r="E322" s="465" t="s">
        <v>822</v>
      </c>
      <c r="F322" s="466" t="s">
        <v>823</v>
      </c>
      <c r="G322" s="465" t="s">
        <v>1172</v>
      </c>
      <c r="H322" s="465" t="s">
        <v>1173</v>
      </c>
      <c r="I322" s="468">
        <v>2169.169921875</v>
      </c>
      <c r="J322" s="468">
        <v>4</v>
      </c>
      <c r="K322" s="469">
        <v>8676.669921875</v>
      </c>
    </row>
    <row r="323" spans="1:11" ht="14.45" customHeight="1" x14ac:dyDescent="0.2">
      <c r="A323" s="463" t="s">
        <v>436</v>
      </c>
      <c r="B323" s="464" t="s">
        <v>437</v>
      </c>
      <c r="C323" s="465" t="s">
        <v>444</v>
      </c>
      <c r="D323" s="466" t="s">
        <v>445</v>
      </c>
      <c r="E323" s="465" t="s">
        <v>822</v>
      </c>
      <c r="F323" s="466" t="s">
        <v>823</v>
      </c>
      <c r="G323" s="465" t="s">
        <v>1174</v>
      </c>
      <c r="H323" s="465" t="s">
        <v>1175</v>
      </c>
      <c r="I323" s="468">
        <v>4296.77490234375</v>
      </c>
      <c r="J323" s="468">
        <v>2</v>
      </c>
      <c r="K323" s="469">
        <v>8593.5498046875</v>
      </c>
    </row>
    <row r="324" spans="1:11" ht="14.45" customHeight="1" x14ac:dyDescent="0.2">
      <c r="A324" s="463" t="s">
        <v>436</v>
      </c>
      <c r="B324" s="464" t="s">
        <v>437</v>
      </c>
      <c r="C324" s="465" t="s">
        <v>444</v>
      </c>
      <c r="D324" s="466" t="s">
        <v>445</v>
      </c>
      <c r="E324" s="465" t="s">
        <v>822</v>
      </c>
      <c r="F324" s="466" t="s">
        <v>823</v>
      </c>
      <c r="G324" s="465" t="s">
        <v>1176</v>
      </c>
      <c r="H324" s="465" t="s">
        <v>1177</v>
      </c>
      <c r="I324" s="468">
        <v>619.52001953125</v>
      </c>
      <c r="J324" s="468">
        <v>1</v>
      </c>
      <c r="K324" s="469">
        <v>619.52001953125</v>
      </c>
    </row>
    <row r="325" spans="1:11" ht="14.45" customHeight="1" x14ac:dyDescent="0.2">
      <c r="A325" s="463" t="s">
        <v>436</v>
      </c>
      <c r="B325" s="464" t="s">
        <v>437</v>
      </c>
      <c r="C325" s="465" t="s">
        <v>444</v>
      </c>
      <c r="D325" s="466" t="s">
        <v>445</v>
      </c>
      <c r="E325" s="465" t="s">
        <v>822</v>
      </c>
      <c r="F325" s="466" t="s">
        <v>823</v>
      </c>
      <c r="G325" s="465" t="s">
        <v>1178</v>
      </c>
      <c r="H325" s="465" t="s">
        <v>1179</v>
      </c>
      <c r="I325" s="468">
        <v>362.98001098632813</v>
      </c>
      <c r="J325" s="468">
        <v>2</v>
      </c>
      <c r="K325" s="469">
        <v>725.95001220703125</v>
      </c>
    </row>
    <row r="326" spans="1:11" ht="14.45" customHeight="1" x14ac:dyDescent="0.2">
      <c r="A326" s="463" t="s">
        <v>436</v>
      </c>
      <c r="B326" s="464" t="s">
        <v>437</v>
      </c>
      <c r="C326" s="465" t="s">
        <v>444</v>
      </c>
      <c r="D326" s="466" t="s">
        <v>445</v>
      </c>
      <c r="E326" s="465" t="s">
        <v>822</v>
      </c>
      <c r="F326" s="466" t="s">
        <v>823</v>
      </c>
      <c r="G326" s="465" t="s">
        <v>1180</v>
      </c>
      <c r="H326" s="465" t="s">
        <v>1181</v>
      </c>
      <c r="I326" s="468">
        <v>439.79998779296875</v>
      </c>
      <c r="J326" s="468">
        <v>5</v>
      </c>
      <c r="K326" s="469">
        <v>2199</v>
      </c>
    </row>
    <row r="327" spans="1:11" ht="14.45" customHeight="1" x14ac:dyDescent="0.2">
      <c r="A327" s="463" t="s">
        <v>436</v>
      </c>
      <c r="B327" s="464" t="s">
        <v>437</v>
      </c>
      <c r="C327" s="465" t="s">
        <v>444</v>
      </c>
      <c r="D327" s="466" t="s">
        <v>445</v>
      </c>
      <c r="E327" s="465" t="s">
        <v>822</v>
      </c>
      <c r="F327" s="466" t="s">
        <v>823</v>
      </c>
      <c r="G327" s="465" t="s">
        <v>1182</v>
      </c>
      <c r="H327" s="465" t="s">
        <v>1183</v>
      </c>
      <c r="I327" s="468">
        <v>2199</v>
      </c>
      <c r="J327" s="468">
        <v>1</v>
      </c>
      <c r="K327" s="469">
        <v>2199</v>
      </c>
    </row>
    <row r="328" spans="1:11" ht="14.45" customHeight="1" x14ac:dyDescent="0.2">
      <c r="A328" s="463" t="s">
        <v>436</v>
      </c>
      <c r="B328" s="464" t="s">
        <v>437</v>
      </c>
      <c r="C328" s="465" t="s">
        <v>444</v>
      </c>
      <c r="D328" s="466" t="s">
        <v>445</v>
      </c>
      <c r="E328" s="465" t="s">
        <v>822</v>
      </c>
      <c r="F328" s="466" t="s">
        <v>823</v>
      </c>
      <c r="G328" s="465" t="s">
        <v>1184</v>
      </c>
      <c r="H328" s="465" t="s">
        <v>1185</v>
      </c>
      <c r="I328" s="468">
        <v>1833.050048828125</v>
      </c>
      <c r="J328" s="468">
        <v>6</v>
      </c>
      <c r="K328" s="469">
        <v>6110.16015625</v>
      </c>
    </row>
    <row r="329" spans="1:11" ht="14.45" customHeight="1" x14ac:dyDescent="0.2">
      <c r="A329" s="463" t="s">
        <v>436</v>
      </c>
      <c r="B329" s="464" t="s">
        <v>437</v>
      </c>
      <c r="C329" s="465" t="s">
        <v>444</v>
      </c>
      <c r="D329" s="466" t="s">
        <v>445</v>
      </c>
      <c r="E329" s="465" t="s">
        <v>822</v>
      </c>
      <c r="F329" s="466" t="s">
        <v>823</v>
      </c>
      <c r="G329" s="465" t="s">
        <v>1186</v>
      </c>
      <c r="H329" s="465" t="s">
        <v>1187</v>
      </c>
      <c r="I329" s="468">
        <v>247.27000427246094</v>
      </c>
      <c r="J329" s="468">
        <v>2</v>
      </c>
      <c r="K329" s="469">
        <v>494.52999877929688</v>
      </c>
    </row>
    <row r="330" spans="1:11" ht="14.45" customHeight="1" x14ac:dyDescent="0.2">
      <c r="A330" s="463" t="s">
        <v>436</v>
      </c>
      <c r="B330" s="464" t="s">
        <v>437</v>
      </c>
      <c r="C330" s="465" t="s">
        <v>444</v>
      </c>
      <c r="D330" s="466" t="s">
        <v>445</v>
      </c>
      <c r="E330" s="465" t="s">
        <v>822</v>
      </c>
      <c r="F330" s="466" t="s">
        <v>823</v>
      </c>
      <c r="G330" s="465" t="s">
        <v>1188</v>
      </c>
      <c r="H330" s="465" t="s">
        <v>1189</v>
      </c>
      <c r="I330" s="468">
        <v>571.1199951171875</v>
      </c>
      <c r="J330" s="468">
        <v>1</v>
      </c>
      <c r="K330" s="469">
        <v>571.1199951171875</v>
      </c>
    </row>
    <row r="331" spans="1:11" ht="14.45" customHeight="1" x14ac:dyDescent="0.2">
      <c r="A331" s="463" t="s">
        <v>436</v>
      </c>
      <c r="B331" s="464" t="s">
        <v>437</v>
      </c>
      <c r="C331" s="465" t="s">
        <v>444</v>
      </c>
      <c r="D331" s="466" t="s">
        <v>445</v>
      </c>
      <c r="E331" s="465" t="s">
        <v>822</v>
      </c>
      <c r="F331" s="466" t="s">
        <v>823</v>
      </c>
      <c r="G331" s="465" t="s">
        <v>1190</v>
      </c>
      <c r="H331" s="465" t="s">
        <v>1191</v>
      </c>
      <c r="I331" s="468">
        <v>435.60000610351563</v>
      </c>
      <c r="J331" s="468">
        <v>3</v>
      </c>
      <c r="K331" s="469">
        <v>1306.8000183105469</v>
      </c>
    </row>
    <row r="332" spans="1:11" ht="14.45" customHeight="1" x14ac:dyDescent="0.2">
      <c r="A332" s="463" t="s">
        <v>436</v>
      </c>
      <c r="B332" s="464" t="s">
        <v>437</v>
      </c>
      <c r="C332" s="465" t="s">
        <v>444</v>
      </c>
      <c r="D332" s="466" t="s">
        <v>445</v>
      </c>
      <c r="E332" s="465" t="s">
        <v>822</v>
      </c>
      <c r="F332" s="466" t="s">
        <v>823</v>
      </c>
      <c r="G332" s="465" t="s">
        <v>1192</v>
      </c>
      <c r="H332" s="465" t="s">
        <v>1193</v>
      </c>
      <c r="I332" s="468">
        <v>156.08999633789063</v>
      </c>
      <c r="J332" s="468">
        <v>2</v>
      </c>
      <c r="K332" s="469">
        <v>312.17001342773438</v>
      </c>
    </row>
    <row r="333" spans="1:11" ht="14.45" customHeight="1" x14ac:dyDescent="0.2">
      <c r="A333" s="463" t="s">
        <v>436</v>
      </c>
      <c r="B333" s="464" t="s">
        <v>437</v>
      </c>
      <c r="C333" s="465" t="s">
        <v>444</v>
      </c>
      <c r="D333" s="466" t="s">
        <v>445</v>
      </c>
      <c r="E333" s="465" t="s">
        <v>822</v>
      </c>
      <c r="F333" s="466" t="s">
        <v>823</v>
      </c>
      <c r="G333" s="465" t="s">
        <v>1194</v>
      </c>
      <c r="H333" s="465" t="s">
        <v>1195</v>
      </c>
      <c r="I333" s="468">
        <v>556.5999755859375</v>
      </c>
      <c r="J333" s="468">
        <v>5</v>
      </c>
      <c r="K333" s="469">
        <v>2783</v>
      </c>
    </row>
    <row r="334" spans="1:11" ht="14.45" customHeight="1" x14ac:dyDescent="0.2">
      <c r="A334" s="463" t="s">
        <v>436</v>
      </c>
      <c r="B334" s="464" t="s">
        <v>437</v>
      </c>
      <c r="C334" s="465" t="s">
        <v>444</v>
      </c>
      <c r="D334" s="466" t="s">
        <v>445</v>
      </c>
      <c r="E334" s="465" t="s">
        <v>822</v>
      </c>
      <c r="F334" s="466" t="s">
        <v>823</v>
      </c>
      <c r="G334" s="465" t="s">
        <v>1196</v>
      </c>
      <c r="H334" s="465" t="s">
        <v>1197</v>
      </c>
      <c r="I334" s="468">
        <v>6648.9501953125</v>
      </c>
      <c r="J334" s="468">
        <v>1</v>
      </c>
      <c r="K334" s="469">
        <v>6648.9501953125</v>
      </c>
    </row>
    <row r="335" spans="1:11" ht="14.45" customHeight="1" x14ac:dyDescent="0.2">
      <c r="A335" s="463" t="s">
        <v>436</v>
      </c>
      <c r="B335" s="464" t="s">
        <v>437</v>
      </c>
      <c r="C335" s="465" t="s">
        <v>444</v>
      </c>
      <c r="D335" s="466" t="s">
        <v>445</v>
      </c>
      <c r="E335" s="465" t="s">
        <v>822</v>
      </c>
      <c r="F335" s="466" t="s">
        <v>823</v>
      </c>
      <c r="G335" s="465" t="s">
        <v>1198</v>
      </c>
      <c r="H335" s="465" t="s">
        <v>1199</v>
      </c>
      <c r="I335" s="468">
        <v>1300.7150268554688</v>
      </c>
      <c r="J335" s="468">
        <v>2</v>
      </c>
      <c r="K335" s="469">
        <v>2601.4300537109375</v>
      </c>
    </row>
    <row r="336" spans="1:11" ht="14.45" customHeight="1" x14ac:dyDescent="0.2">
      <c r="A336" s="463" t="s">
        <v>436</v>
      </c>
      <c r="B336" s="464" t="s">
        <v>437</v>
      </c>
      <c r="C336" s="465" t="s">
        <v>444</v>
      </c>
      <c r="D336" s="466" t="s">
        <v>445</v>
      </c>
      <c r="E336" s="465" t="s">
        <v>822</v>
      </c>
      <c r="F336" s="466" t="s">
        <v>823</v>
      </c>
      <c r="G336" s="465" t="s">
        <v>1200</v>
      </c>
      <c r="H336" s="465" t="s">
        <v>1201</v>
      </c>
      <c r="I336" s="468">
        <v>3.8399999141693115</v>
      </c>
      <c r="J336" s="468">
        <v>300</v>
      </c>
      <c r="K336" s="469">
        <v>1152.02001953125</v>
      </c>
    </row>
    <row r="337" spans="1:11" ht="14.45" customHeight="1" x14ac:dyDescent="0.2">
      <c r="A337" s="463" t="s">
        <v>436</v>
      </c>
      <c r="B337" s="464" t="s">
        <v>437</v>
      </c>
      <c r="C337" s="465" t="s">
        <v>444</v>
      </c>
      <c r="D337" s="466" t="s">
        <v>445</v>
      </c>
      <c r="E337" s="465" t="s">
        <v>822</v>
      </c>
      <c r="F337" s="466" t="s">
        <v>823</v>
      </c>
      <c r="G337" s="465" t="s">
        <v>1202</v>
      </c>
      <c r="H337" s="465" t="s">
        <v>1203</v>
      </c>
      <c r="I337" s="468">
        <v>843.3699951171875</v>
      </c>
      <c r="J337" s="468">
        <v>2</v>
      </c>
      <c r="K337" s="469">
        <v>1686.739990234375</v>
      </c>
    </row>
    <row r="338" spans="1:11" ht="14.45" customHeight="1" x14ac:dyDescent="0.2">
      <c r="A338" s="463" t="s">
        <v>436</v>
      </c>
      <c r="B338" s="464" t="s">
        <v>437</v>
      </c>
      <c r="C338" s="465" t="s">
        <v>444</v>
      </c>
      <c r="D338" s="466" t="s">
        <v>445</v>
      </c>
      <c r="E338" s="465" t="s">
        <v>822</v>
      </c>
      <c r="F338" s="466" t="s">
        <v>823</v>
      </c>
      <c r="G338" s="465" t="s">
        <v>1204</v>
      </c>
      <c r="H338" s="465" t="s">
        <v>1205</v>
      </c>
      <c r="I338" s="468">
        <v>843.3699951171875</v>
      </c>
      <c r="J338" s="468">
        <v>2</v>
      </c>
      <c r="K338" s="469">
        <v>1686.739990234375</v>
      </c>
    </row>
    <row r="339" spans="1:11" ht="14.45" customHeight="1" x14ac:dyDescent="0.2">
      <c r="A339" s="463" t="s">
        <v>436</v>
      </c>
      <c r="B339" s="464" t="s">
        <v>437</v>
      </c>
      <c r="C339" s="465" t="s">
        <v>444</v>
      </c>
      <c r="D339" s="466" t="s">
        <v>445</v>
      </c>
      <c r="E339" s="465" t="s">
        <v>822</v>
      </c>
      <c r="F339" s="466" t="s">
        <v>823</v>
      </c>
      <c r="G339" s="465" t="s">
        <v>1206</v>
      </c>
      <c r="H339" s="465" t="s">
        <v>1207</v>
      </c>
      <c r="I339" s="468">
        <v>843.3699951171875</v>
      </c>
      <c r="J339" s="468">
        <v>2</v>
      </c>
      <c r="K339" s="469">
        <v>1686.739990234375</v>
      </c>
    </row>
    <row r="340" spans="1:11" ht="14.45" customHeight="1" x14ac:dyDescent="0.2">
      <c r="A340" s="463" t="s">
        <v>436</v>
      </c>
      <c r="B340" s="464" t="s">
        <v>437</v>
      </c>
      <c r="C340" s="465" t="s">
        <v>444</v>
      </c>
      <c r="D340" s="466" t="s">
        <v>445</v>
      </c>
      <c r="E340" s="465" t="s">
        <v>822</v>
      </c>
      <c r="F340" s="466" t="s">
        <v>823</v>
      </c>
      <c r="G340" s="465" t="s">
        <v>1208</v>
      </c>
      <c r="H340" s="465" t="s">
        <v>1209</v>
      </c>
      <c r="I340" s="468">
        <v>843.3699951171875</v>
      </c>
      <c r="J340" s="468">
        <v>2</v>
      </c>
      <c r="K340" s="469">
        <v>1686.739990234375</v>
      </c>
    </row>
    <row r="341" spans="1:11" ht="14.45" customHeight="1" x14ac:dyDescent="0.2">
      <c r="A341" s="463" t="s">
        <v>436</v>
      </c>
      <c r="B341" s="464" t="s">
        <v>437</v>
      </c>
      <c r="C341" s="465" t="s">
        <v>444</v>
      </c>
      <c r="D341" s="466" t="s">
        <v>445</v>
      </c>
      <c r="E341" s="465" t="s">
        <v>822</v>
      </c>
      <c r="F341" s="466" t="s">
        <v>823</v>
      </c>
      <c r="G341" s="465" t="s">
        <v>1210</v>
      </c>
      <c r="H341" s="465" t="s">
        <v>1211</v>
      </c>
      <c r="I341" s="468">
        <v>843.3699951171875</v>
      </c>
      <c r="J341" s="468">
        <v>2</v>
      </c>
      <c r="K341" s="469">
        <v>1686.739990234375</v>
      </c>
    </row>
    <row r="342" spans="1:11" ht="14.45" customHeight="1" x14ac:dyDescent="0.2">
      <c r="A342" s="463" t="s">
        <v>436</v>
      </c>
      <c r="B342" s="464" t="s">
        <v>437</v>
      </c>
      <c r="C342" s="465" t="s">
        <v>444</v>
      </c>
      <c r="D342" s="466" t="s">
        <v>445</v>
      </c>
      <c r="E342" s="465" t="s">
        <v>822</v>
      </c>
      <c r="F342" s="466" t="s">
        <v>823</v>
      </c>
      <c r="G342" s="465" t="s">
        <v>1212</v>
      </c>
      <c r="H342" s="465" t="s">
        <v>1213</v>
      </c>
      <c r="I342" s="468">
        <v>843.3699951171875</v>
      </c>
      <c r="J342" s="468">
        <v>2</v>
      </c>
      <c r="K342" s="469">
        <v>1686.739990234375</v>
      </c>
    </row>
    <row r="343" spans="1:11" ht="14.45" customHeight="1" x14ac:dyDescent="0.2">
      <c r="A343" s="463" t="s">
        <v>436</v>
      </c>
      <c r="B343" s="464" t="s">
        <v>437</v>
      </c>
      <c r="C343" s="465" t="s">
        <v>444</v>
      </c>
      <c r="D343" s="466" t="s">
        <v>445</v>
      </c>
      <c r="E343" s="465" t="s">
        <v>822</v>
      </c>
      <c r="F343" s="466" t="s">
        <v>823</v>
      </c>
      <c r="G343" s="465" t="s">
        <v>1202</v>
      </c>
      <c r="H343" s="465" t="s">
        <v>1214</v>
      </c>
      <c r="I343" s="468">
        <v>930.489990234375</v>
      </c>
      <c r="J343" s="468">
        <v>1</v>
      </c>
      <c r="K343" s="469">
        <v>930.489990234375</v>
      </c>
    </row>
    <row r="344" spans="1:11" ht="14.45" customHeight="1" x14ac:dyDescent="0.2">
      <c r="A344" s="463" t="s">
        <v>436</v>
      </c>
      <c r="B344" s="464" t="s">
        <v>437</v>
      </c>
      <c r="C344" s="465" t="s">
        <v>444</v>
      </c>
      <c r="D344" s="466" t="s">
        <v>445</v>
      </c>
      <c r="E344" s="465" t="s">
        <v>822</v>
      </c>
      <c r="F344" s="466" t="s">
        <v>823</v>
      </c>
      <c r="G344" s="465" t="s">
        <v>1206</v>
      </c>
      <c r="H344" s="465" t="s">
        <v>1215</v>
      </c>
      <c r="I344" s="468">
        <v>930.489990234375</v>
      </c>
      <c r="J344" s="468">
        <v>1</v>
      </c>
      <c r="K344" s="469">
        <v>930.489990234375</v>
      </c>
    </row>
    <row r="345" spans="1:11" ht="14.45" customHeight="1" x14ac:dyDescent="0.2">
      <c r="A345" s="463" t="s">
        <v>436</v>
      </c>
      <c r="B345" s="464" t="s">
        <v>437</v>
      </c>
      <c r="C345" s="465" t="s">
        <v>444</v>
      </c>
      <c r="D345" s="466" t="s">
        <v>445</v>
      </c>
      <c r="E345" s="465" t="s">
        <v>822</v>
      </c>
      <c r="F345" s="466" t="s">
        <v>823</v>
      </c>
      <c r="G345" s="465" t="s">
        <v>1208</v>
      </c>
      <c r="H345" s="465" t="s">
        <v>1216</v>
      </c>
      <c r="I345" s="468">
        <v>930.489990234375</v>
      </c>
      <c r="J345" s="468">
        <v>1</v>
      </c>
      <c r="K345" s="469">
        <v>930.489990234375</v>
      </c>
    </row>
    <row r="346" spans="1:11" ht="14.45" customHeight="1" x14ac:dyDescent="0.2">
      <c r="A346" s="463" t="s">
        <v>436</v>
      </c>
      <c r="B346" s="464" t="s">
        <v>437</v>
      </c>
      <c r="C346" s="465" t="s">
        <v>444</v>
      </c>
      <c r="D346" s="466" t="s">
        <v>445</v>
      </c>
      <c r="E346" s="465" t="s">
        <v>822</v>
      </c>
      <c r="F346" s="466" t="s">
        <v>823</v>
      </c>
      <c r="G346" s="465" t="s">
        <v>1217</v>
      </c>
      <c r="H346" s="465" t="s">
        <v>1218</v>
      </c>
      <c r="I346" s="468">
        <v>930.489990234375</v>
      </c>
      <c r="J346" s="468">
        <v>1</v>
      </c>
      <c r="K346" s="469">
        <v>930.489990234375</v>
      </c>
    </row>
    <row r="347" spans="1:11" ht="14.45" customHeight="1" x14ac:dyDescent="0.2">
      <c r="A347" s="463" t="s">
        <v>436</v>
      </c>
      <c r="B347" s="464" t="s">
        <v>437</v>
      </c>
      <c r="C347" s="465" t="s">
        <v>444</v>
      </c>
      <c r="D347" s="466" t="s">
        <v>445</v>
      </c>
      <c r="E347" s="465" t="s">
        <v>822</v>
      </c>
      <c r="F347" s="466" t="s">
        <v>823</v>
      </c>
      <c r="G347" s="465" t="s">
        <v>1219</v>
      </c>
      <c r="H347" s="465" t="s">
        <v>1220</v>
      </c>
      <c r="I347" s="468">
        <v>262.08999633789063</v>
      </c>
      <c r="J347" s="468">
        <v>14</v>
      </c>
      <c r="K347" s="469">
        <v>3669.2000732421875</v>
      </c>
    </row>
    <row r="348" spans="1:11" ht="14.45" customHeight="1" x14ac:dyDescent="0.2">
      <c r="A348" s="463" t="s">
        <v>436</v>
      </c>
      <c r="B348" s="464" t="s">
        <v>437</v>
      </c>
      <c r="C348" s="465" t="s">
        <v>444</v>
      </c>
      <c r="D348" s="466" t="s">
        <v>445</v>
      </c>
      <c r="E348" s="465" t="s">
        <v>822</v>
      </c>
      <c r="F348" s="466" t="s">
        <v>823</v>
      </c>
      <c r="G348" s="465" t="s">
        <v>1221</v>
      </c>
      <c r="H348" s="465" t="s">
        <v>1222</v>
      </c>
      <c r="I348" s="468">
        <v>135.00999450683594</v>
      </c>
      <c r="J348" s="468">
        <v>10</v>
      </c>
      <c r="K348" s="469">
        <v>1350.0999755859375</v>
      </c>
    </row>
    <row r="349" spans="1:11" ht="14.45" customHeight="1" x14ac:dyDescent="0.2">
      <c r="A349" s="463" t="s">
        <v>436</v>
      </c>
      <c r="B349" s="464" t="s">
        <v>437</v>
      </c>
      <c r="C349" s="465" t="s">
        <v>444</v>
      </c>
      <c r="D349" s="466" t="s">
        <v>445</v>
      </c>
      <c r="E349" s="465" t="s">
        <v>822</v>
      </c>
      <c r="F349" s="466" t="s">
        <v>823</v>
      </c>
      <c r="G349" s="465" t="s">
        <v>1223</v>
      </c>
      <c r="H349" s="465" t="s">
        <v>1224</v>
      </c>
      <c r="I349" s="468">
        <v>213.75</v>
      </c>
      <c r="J349" s="468">
        <v>5</v>
      </c>
      <c r="K349" s="469">
        <v>1068.75</v>
      </c>
    </row>
    <row r="350" spans="1:11" ht="14.45" customHeight="1" x14ac:dyDescent="0.2">
      <c r="A350" s="463" t="s">
        <v>436</v>
      </c>
      <c r="B350" s="464" t="s">
        <v>437</v>
      </c>
      <c r="C350" s="465" t="s">
        <v>444</v>
      </c>
      <c r="D350" s="466" t="s">
        <v>445</v>
      </c>
      <c r="E350" s="465" t="s">
        <v>822</v>
      </c>
      <c r="F350" s="466" t="s">
        <v>823</v>
      </c>
      <c r="G350" s="465" t="s">
        <v>1225</v>
      </c>
      <c r="H350" s="465" t="s">
        <v>1226</v>
      </c>
      <c r="I350" s="468">
        <v>174.37999725341797</v>
      </c>
      <c r="J350" s="468">
        <v>20</v>
      </c>
      <c r="K350" s="469">
        <v>3487.5899658203125</v>
      </c>
    </row>
    <row r="351" spans="1:11" ht="14.45" customHeight="1" x14ac:dyDescent="0.2">
      <c r="A351" s="463" t="s">
        <v>436</v>
      </c>
      <c r="B351" s="464" t="s">
        <v>437</v>
      </c>
      <c r="C351" s="465" t="s">
        <v>444</v>
      </c>
      <c r="D351" s="466" t="s">
        <v>445</v>
      </c>
      <c r="E351" s="465" t="s">
        <v>822</v>
      </c>
      <c r="F351" s="466" t="s">
        <v>823</v>
      </c>
      <c r="G351" s="465" t="s">
        <v>1227</v>
      </c>
      <c r="H351" s="465" t="s">
        <v>1228</v>
      </c>
      <c r="I351" s="468">
        <v>213.75</v>
      </c>
      <c r="J351" s="468">
        <v>15</v>
      </c>
      <c r="K351" s="469">
        <v>3206.25</v>
      </c>
    </row>
    <row r="352" spans="1:11" ht="14.45" customHeight="1" x14ac:dyDescent="0.2">
      <c r="A352" s="463" t="s">
        <v>436</v>
      </c>
      <c r="B352" s="464" t="s">
        <v>437</v>
      </c>
      <c r="C352" s="465" t="s">
        <v>444</v>
      </c>
      <c r="D352" s="466" t="s">
        <v>445</v>
      </c>
      <c r="E352" s="465" t="s">
        <v>822</v>
      </c>
      <c r="F352" s="466" t="s">
        <v>823</v>
      </c>
      <c r="G352" s="465" t="s">
        <v>1229</v>
      </c>
      <c r="H352" s="465" t="s">
        <v>1230</v>
      </c>
      <c r="I352" s="468">
        <v>213.75</v>
      </c>
      <c r="J352" s="468">
        <v>20</v>
      </c>
      <c r="K352" s="469">
        <v>4275.009765625</v>
      </c>
    </row>
    <row r="353" spans="1:11" ht="14.45" customHeight="1" x14ac:dyDescent="0.2">
      <c r="A353" s="463" t="s">
        <v>436</v>
      </c>
      <c r="B353" s="464" t="s">
        <v>437</v>
      </c>
      <c r="C353" s="465" t="s">
        <v>444</v>
      </c>
      <c r="D353" s="466" t="s">
        <v>445</v>
      </c>
      <c r="E353" s="465" t="s">
        <v>822</v>
      </c>
      <c r="F353" s="466" t="s">
        <v>823</v>
      </c>
      <c r="G353" s="465" t="s">
        <v>1231</v>
      </c>
      <c r="H353" s="465" t="s">
        <v>1232</v>
      </c>
      <c r="I353" s="468">
        <v>213.75</v>
      </c>
      <c r="J353" s="468">
        <v>5</v>
      </c>
      <c r="K353" s="469">
        <v>1068.75</v>
      </c>
    </row>
    <row r="354" spans="1:11" ht="14.45" customHeight="1" x14ac:dyDescent="0.2">
      <c r="A354" s="463" t="s">
        <v>436</v>
      </c>
      <c r="B354" s="464" t="s">
        <v>437</v>
      </c>
      <c r="C354" s="465" t="s">
        <v>444</v>
      </c>
      <c r="D354" s="466" t="s">
        <v>445</v>
      </c>
      <c r="E354" s="465" t="s">
        <v>822</v>
      </c>
      <c r="F354" s="466" t="s">
        <v>823</v>
      </c>
      <c r="G354" s="465" t="s">
        <v>1233</v>
      </c>
      <c r="H354" s="465" t="s">
        <v>1234</v>
      </c>
      <c r="I354" s="468">
        <v>213.75</v>
      </c>
      <c r="J354" s="468">
        <v>10</v>
      </c>
      <c r="K354" s="469">
        <v>2137.489990234375</v>
      </c>
    </row>
    <row r="355" spans="1:11" ht="14.45" customHeight="1" x14ac:dyDescent="0.2">
      <c r="A355" s="463" t="s">
        <v>436</v>
      </c>
      <c r="B355" s="464" t="s">
        <v>437</v>
      </c>
      <c r="C355" s="465" t="s">
        <v>444</v>
      </c>
      <c r="D355" s="466" t="s">
        <v>445</v>
      </c>
      <c r="E355" s="465" t="s">
        <v>822</v>
      </c>
      <c r="F355" s="466" t="s">
        <v>823</v>
      </c>
      <c r="G355" s="465" t="s">
        <v>1235</v>
      </c>
      <c r="H355" s="465" t="s">
        <v>1236</v>
      </c>
      <c r="I355" s="468">
        <v>92.420001983642578</v>
      </c>
      <c r="J355" s="468">
        <v>4</v>
      </c>
      <c r="K355" s="469">
        <v>369.70001220703125</v>
      </c>
    </row>
    <row r="356" spans="1:11" ht="14.45" customHeight="1" x14ac:dyDescent="0.2">
      <c r="A356" s="463" t="s">
        <v>436</v>
      </c>
      <c r="B356" s="464" t="s">
        <v>437</v>
      </c>
      <c r="C356" s="465" t="s">
        <v>444</v>
      </c>
      <c r="D356" s="466" t="s">
        <v>445</v>
      </c>
      <c r="E356" s="465" t="s">
        <v>822</v>
      </c>
      <c r="F356" s="466" t="s">
        <v>823</v>
      </c>
      <c r="G356" s="465" t="s">
        <v>1237</v>
      </c>
      <c r="H356" s="465" t="s">
        <v>1238</v>
      </c>
      <c r="I356" s="468">
        <v>26.020000457763672</v>
      </c>
      <c r="J356" s="468">
        <v>80</v>
      </c>
      <c r="K356" s="469">
        <v>2081.2099914550781</v>
      </c>
    </row>
    <row r="357" spans="1:11" ht="14.45" customHeight="1" x14ac:dyDescent="0.2">
      <c r="A357" s="463" t="s">
        <v>436</v>
      </c>
      <c r="B357" s="464" t="s">
        <v>437</v>
      </c>
      <c r="C357" s="465" t="s">
        <v>444</v>
      </c>
      <c r="D357" s="466" t="s">
        <v>445</v>
      </c>
      <c r="E357" s="465" t="s">
        <v>822</v>
      </c>
      <c r="F357" s="466" t="s">
        <v>823</v>
      </c>
      <c r="G357" s="465" t="s">
        <v>1239</v>
      </c>
      <c r="H357" s="465" t="s">
        <v>1240</v>
      </c>
      <c r="I357" s="468">
        <v>70</v>
      </c>
      <c r="J357" s="468">
        <v>3</v>
      </c>
      <c r="K357" s="469">
        <v>210</v>
      </c>
    </row>
    <row r="358" spans="1:11" ht="14.45" customHeight="1" x14ac:dyDescent="0.2">
      <c r="A358" s="463" t="s">
        <v>436</v>
      </c>
      <c r="B358" s="464" t="s">
        <v>437</v>
      </c>
      <c r="C358" s="465" t="s">
        <v>444</v>
      </c>
      <c r="D358" s="466" t="s">
        <v>445</v>
      </c>
      <c r="E358" s="465" t="s">
        <v>822</v>
      </c>
      <c r="F358" s="466" t="s">
        <v>823</v>
      </c>
      <c r="G358" s="465" t="s">
        <v>1237</v>
      </c>
      <c r="H358" s="465" t="s">
        <v>1241</v>
      </c>
      <c r="I358" s="468">
        <v>26.020000457763672</v>
      </c>
      <c r="J358" s="468">
        <v>30</v>
      </c>
      <c r="K358" s="469">
        <v>780.46002197265625</v>
      </c>
    </row>
    <row r="359" spans="1:11" ht="14.45" customHeight="1" x14ac:dyDescent="0.2">
      <c r="A359" s="463" t="s">
        <v>436</v>
      </c>
      <c r="B359" s="464" t="s">
        <v>437</v>
      </c>
      <c r="C359" s="465" t="s">
        <v>444</v>
      </c>
      <c r="D359" s="466" t="s">
        <v>445</v>
      </c>
      <c r="E359" s="465" t="s">
        <v>822</v>
      </c>
      <c r="F359" s="466" t="s">
        <v>823</v>
      </c>
      <c r="G359" s="465" t="s">
        <v>1242</v>
      </c>
      <c r="H359" s="465" t="s">
        <v>1243</v>
      </c>
      <c r="I359" s="468">
        <v>1380.9679931640626</v>
      </c>
      <c r="J359" s="468">
        <v>17</v>
      </c>
      <c r="K359" s="469">
        <v>23476.570434570313</v>
      </c>
    </row>
    <row r="360" spans="1:11" ht="14.45" customHeight="1" x14ac:dyDescent="0.2">
      <c r="A360" s="463" t="s">
        <v>436</v>
      </c>
      <c r="B360" s="464" t="s">
        <v>437</v>
      </c>
      <c r="C360" s="465" t="s">
        <v>444</v>
      </c>
      <c r="D360" s="466" t="s">
        <v>445</v>
      </c>
      <c r="E360" s="465" t="s">
        <v>822</v>
      </c>
      <c r="F360" s="466" t="s">
        <v>823</v>
      </c>
      <c r="G360" s="465" t="s">
        <v>1242</v>
      </c>
      <c r="H360" s="465" t="s">
        <v>1244</v>
      </c>
      <c r="I360" s="468">
        <v>1383.5627663352273</v>
      </c>
      <c r="J360" s="468">
        <v>20</v>
      </c>
      <c r="K360" s="469">
        <v>27705.61962890625</v>
      </c>
    </row>
    <row r="361" spans="1:11" ht="14.45" customHeight="1" x14ac:dyDescent="0.2">
      <c r="A361" s="463" t="s">
        <v>436</v>
      </c>
      <c r="B361" s="464" t="s">
        <v>437</v>
      </c>
      <c r="C361" s="465" t="s">
        <v>444</v>
      </c>
      <c r="D361" s="466" t="s">
        <v>445</v>
      </c>
      <c r="E361" s="465" t="s">
        <v>822</v>
      </c>
      <c r="F361" s="466" t="s">
        <v>823</v>
      </c>
      <c r="G361" s="465" t="s">
        <v>1245</v>
      </c>
      <c r="H361" s="465" t="s">
        <v>1246</v>
      </c>
      <c r="I361" s="468">
        <v>1081.5799560546875</v>
      </c>
      <c r="J361" s="468">
        <v>1</v>
      </c>
      <c r="K361" s="469">
        <v>1081.5799560546875</v>
      </c>
    </row>
    <row r="362" spans="1:11" ht="14.45" customHeight="1" x14ac:dyDescent="0.2">
      <c r="A362" s="463" t="s">
        <v>436</v>
      </c>
      <c r="B362" s="464" t="s">
        <v>437</v>
      </c>
      <c r="C362" s="465" t="s">
        <v>444</v>
      </c>
      <c r="D362" s="466" t="s">
        <v>445</v>
      </c>
      <c r="E362" s="465" t="s">
        <v>822</v>
      </c>
      <c r="F362" s="466" t="s">
        <v>823</v>
      </c>
      <c r="G362" s="465" t="s">
        <v>1247</v>
      </c>
      <c r="H362" s="465" t="s">
        <v>1248</v>
      </c>
      <c r="I362" s="468">
        <v>1464.0999755859375</v>
      </c>
      <c r="J362" s="468">
        <v>2</v>
      </c>
      <c r="K362" s="469">
        <v>2928.199951171875</v>
      </c>
    </row>
    <row r="363" spans="1:11" ht="14.45" customHeight="1" x14ac:dyDescent="0.2">
      <c r="A363" s="463" t="s">
        <v>436</v>
      </c>
      <c r="B363" s="464" t="s">
        <v>437</v>
      </c>
      <c r="C363" s="465" t="s">
        <v>444</v>
      </c>
      <c r="D363" s="466" t="s">
        <v>445</v>
      </c>
      <c r="E363" s="465" t="s">
        <v>822</v>
      </c>
      <c r="F363" s="466" t="s">
        <v>823</v>
      </c>
      <c r="G363" s="465" t="s">
        <v>1247</v>
      </c>
      <c r="H363" s="465" t="s">
        <v>1249</v>
      </c>
      <c r="I363" s="468">
        <v>1464.0999755859375</v>
      </c>
      <c r="J363" s="468">
        <v>1</v>
      </c>
      <c r="K363" s="469">
        <v>1464.0999755859375</v>
      </c>
    </row>
    <row r="364" spans="1:11" ht="14.45" customHeight="1" x14ac:dyDescent="0.2">
      <c r="A364" s="463" t="s">
        <v>436</v>
      </c>
      <c r="B364" s="464" t="s">
        <v>437</v>
      </c>
      <c r="C364" s="465" t="s">
        <v>444</v>
      </c>
      <c r="D364" s="466" t="s">
        <v>445</v>
      </c>
      <c r="E364" s="465" t="s">
        <v>822</v>
      </c>
      <c r="F364" s="466" t="s">
        <v>823</v>
      </c>
      <c r="G364" s="465" t="s">
        <v>1250</v>
      </c>
      <c r="H364" s="465" t="s">
        <v>1251</v>
      </c>
      <c r="I364" s="468">
        <v>999</v>
      </c>
      <c r="J364" s="468">
        <v>1</v>
      </c>
      <c r="K364" s="469">
        <v>999</v>
      </c>
    </row>
    <row r="365" spans="1:11" ht="14.45" customHeight="1" x14ac:dyDescent="0.2">
      <c r="A365" s="463" t="s">
        <v>436</v>
      </c>
      <c r="B365" s="464" t="s">
        <v>437</v>
      </c>
      <c r="C365" s="465" t="s">
        <v>444</v>
      </c>
      <c r="D365" s="466" t="s">
        <v>445</v>
      </c>
      <c r="E365" s="465" t="s">
        <v>822</v>
      </c>
      <c r="F365" s="466" t="s">
        <v>823</v>
      </c>
      <c r="G365" s="465" t="s">
        <v>1252</v>
      </c>
      <c r="H365" s="465" t="s">
        <v>1253</v>
      </c>
      <c r="I365" s="468">
        <v>1133</v>
      </c>
      <c r="J365" s="468">
        <v>1</v>
      </c>
      <c r="K365" s="469">
        <v>1133</v>
      </c>
    </row>
    <row r="366" spans="1:11" ht="14.45" customHeight="1" x14ac:dyDescent="0.2">
      <c r="A366" s="463" t="s">
        <v>436</v>
      </c>
      <c r="B366" s="464" t="s">
        <v>437</v>
      </c>
      <c r="C366" s="465" t="s">
        <v>444</v>
      </c>
      <c r="D366" s="466" t="s">
        <v>445</v>
      </c>
      <c r="E366" s="465" t="s">
        <v>822</v>
      </c>
      <c r="F366" s="466" t="s">
        <v>823</v>
      </c>
      <c r="G366" s="465" t="s">
        <v>1254</v>
      </c>
      <c r="H366" s="465" t="s">
        <v>1255</v>
      </c>
      <c r="I366" s="468">
        <v>1208.6300048828125</v>
      </c>
      <c r="J366" s="468">
        <v>1</v>
      </c>
      <c r="K366" s="469">
        <v>1208.6300048828125</v>
      </c>
    </row>
    <row r="367" spans="1:11" ht="14.45" customHeight="1" x14ac:dyDescent="0.2">
      <c r="A367" s="463" t="s">
        <v>436</v>
      </c>
      <c r="B367" s="464" t="s">
        <v>437</v>
      </c>
      <c r="C367" s="465" t="s">
        <v>444</v>
      </c>
      <c r="D367" s="466" t="s">
        <v>445</v>
      </c>
      <c r="E367" s="465" t="s">
        <v>822</v>
      </c>
      <c r="F367" s="466" t="s">
        <v>823</v>
      </c>
      <c r="G367" s="465" t="s">
        <v>1256</v>
      </c>
      <c r="H367" s="465" t="s">
        <v>1257</v>
      </c>
      <c r="I367" s="468">
        <v>533</v>
      </c>
      <c r="J367" s="468">
        <v>1</v>
      </c>
      <c r="K367" s="469">
        <v>533</v>
      </c>
    </row>
    <row r="368" spans="1:11" ht="14.45" customHeight="1" x14ac:dyDescent="0.2">
      <c r="A368" s="463" t="s">
        <v>436</v>
      </c>
      <c r="B368" s="464" t="s">
        <v>437</v>
      </c>
      <c r="C368" s="465" t="s">
        <v>444</v>
      </c>
      <c r="D368" s="466" t="s">
        <v>445</v>
      </c>
      <c r="E368" s="465" t="s">
        <v>822</v>
      </c>
      <c r="F368" s="466" t="s">
        <v>823</v>
      </c>
      <c r="G368" s="465" t="s">
        <v>1258</v>
      </c>
      <c r="H368" s="465" t="s">
        <v>1259</v>
      </c>
      <c r="I368" s="468">
        <v>904.84002685546875</v>
      </c>
      <c r="J368" s="468">
        <v>1</v>
      </c>
      <c r="K368" s="469">
        <v>904.84002685546875</v>
      </c>
    </row>
    <row r="369" spans="1:11" ht="14.45" customHeight="1" x14ac:dyDescent="0.2">
      <c r="A369" s="463" t="s">
        <v>436</v>
      </c>
      <c r="B369" s="464" t="s">
        <v>437</v>
      </c>
      <c r="C369" s="465" t="s">
        <v>444</v>
      </c>
      <c r="D369" s="466" t="s">
        <v>445</v>
      </c>
      <c r="E369" s="465" t="s">
        <v>822</v>
      </c>
      <c r="F369" s="466" t="s">
        <v>823</v>
      </c>
      <c r="G369" s="465" t="s">
        <v>1260</v>
      </c>
      <c r="H369" s="465" t="s">
        <v>1261</v>
      </c>
      <c r="I369" s="468">
        <v>921.969970703125</v>
      </c>
      <c r="J369" s="468">
        <v>1</v>
      </c>
      <c r="K369" s="469">
        <v>921.969970703125</v>
      </c>
    </row>
    <row r="370" spans="1:11" ht="14.45" customHeight="1" x14ac:dyDescent="0.2">
      <c r="A370" s="463" t="s">
        <v>436</v>
      </c>
      <c r="B370" s="464" t="s">
        <v>437</v>
      </c>
      <c r="C370" s="465" t="s">
        <v>444</v>
      </c>
      <c r="D370" s="466" t="s">
        <v>445</v>
      </c>
      <c r="E370" s="465" t="s">
        <v>822</v>
      </c>
      <c r="F370" s="466" t="s">
        <v>823</v>
      </c>
      <c r="G370" s="465" t="s">
        <v>1262</v>
      </c>
      <c r="H370" s="465" t="s">
        <v>1263</v>
      </c>
      <c r="I370" s="468">
        <v>902.6099853515625</v>
      </c>
      <c r="J370" s="468">
        <v>1</v>
      </c>
      <c r="K370" s="469">
        <v>902.6099853515625</v>
      </c>
    </row>
    <row r="371" spans="1:11" ht="14.45" customHeight="1" x14ac:dyDescent="0.2">
      <c r="A371" s="463" t="s">
        <v>436</v>
      </c>
      <c r="B371" s="464" t="s">
        <v>437</v>
      </c>
      <c r="C371" s="465" t="s">
        <v>444</v>
      </c>
      <c r="D371" s="466" t="s">
        <v>445</v>
      </c>
      <c r="E371" s="465" t="s">
        <v>822</v>
      </c>
      <c r="F371" s="466" t="s">
        <v>823</v>
      </c>
      <c r="G371" s="465" t="s">
        <v>1264</v>
      </c>
      <c r="H371" s="465" t="s">
        <v>1265</v>
      </c>
      <c r="I371" s="468">
        <v>2250.8800048828125</v>
      </c>
      <c r="J371" s="468">
        <v>2</v>
      </c>
      <c r="K371" s="469">
        <v>4501.760009765625</v>
      </c>
    </row>
    <row r="372" spans="1:11" ht="14.45" customHeight="1" x14ac:dyDescent="0.2">
      <c r="A372" s="463" t="s">
        <v>436</v>
      </c>
      <c r="B372" s="464" t="s">
        <v>437</v>
      </c>
      <c r="C372" s="465" t="s">
        <v>444</v>
      </c>
      <c r="D372" s="466" t="s">
        <v>445</v>
      </c>
      <c r="E372" s="465" t="s">
        <v>822</v>
      </c>
      <c r="F372" s="466" t="s">
        <v>823</v>
      </c>
      <c r="G372" s="465" t="s">
        <v>1266</v>
      </c>
      <c r="H372" s="465" t="s">
        <v>1267</v>
      </c>
      <c r="I372" s="468">
        <v>2.2300000190734863</v>
      </c>
      <c r="J372" s="468">
        <v>100</v>
      </c>
      <c r="K372" s="469">
        <v>223</v>
      </c>
    </row>
    <row r="373" spans="1:11" ht="14.45" customHeight="1" x14ac:dyDescent="0.2">
      <c r="A373" s="463" t="s">
        <v>436</v>
      </c>
      <c r="B373" s="464" t="s">
        <v>437</v>
      </c>
      <c r="C373" s="465" t="s">
        <v>444</v>
      </c>
      <c r="D373" s="466" t="s">
        <v>445</v>
      </c>
      <c r="E373" s="465" t="s">
        <v>822</v>
      </c>
      <c r="F373" s="466" t="s">
        <v>823</v>
      </c>
      <c r="G373" s="465" t="s">
        <v>1268</v>
      </c>
      <c r="H373" s="465" t="s">
        <v>1269</v>
      </c>
      <c r="I373" s="468">
        <v>2.2300000190734863</v>
      </c>
      <c r="J373" s="468">
        <v>100</v>
      </c>
      <c r="K373" s="469">
        <v>223</v>
      </c>
    </row>
    <row r="374" spans="1:11" ht="14.45" customHeight="1" x14ac:dyDescent="0.2">
      <c r="A374" s="463" t="s">
        <v>436</v>
      </c>
      <c r="B374" s="464" t="s">
        <v>437</v>
      </c>
      <c r="C374" s="465" t="s">
        <v>444</v>
      </c>
      <c r="D374" s="466" t="s">
        <v>445</v>
      </c>
      <c r="E374" s="465" t="s">
        <v>822</v>
      </c>
      <c r="F374" s="466" t="s">
        <v>823</v>
      </c>
      <c r="G374" s="465" t="s">
        <v>1270</v>
      </c>
      <c r="H374" s="465" t="s">
        <v>1271</v>
      </c>
      <c r="I374" s="468">
        <v>3.7000000476837158</v>
      </c>
      <c r="J374" s="468">
        <v>400</v>
      </c>
      <c r="K374" s="469">
        <v>1478.6199951171875</v>
      </c>
    </row>
    <row r="375" spans="1:11" ht="14.45" customHeight="1" x14ac:dyDescent="0.2">
      <c r="A375" s="463" t="s">
        <v>436</v>
      </c>
      <c r="B375" s="464" t="s">
        <v>437</v>
      </c>
      <c r="C375" s="465" t="s">
        <v>444</v>
      </c>
      <c r="D375" s="466" t="s">
        <v>445</v>
      </c>
      <c r="E375" s="465" t="s">
        <v>822</v>
      </c>
      <c r="F375" s="466" t="s">
        <v>823</v>
      </c>
      <c r="G375" s="465" t="s">
        <v>1272</v>
      </c>
      <c r="H375" s="465" t="s">
        <v>1273</v>
      </c>
      <c r="I375" s="468">
        <v>5.6999998092651367</v>
      </c>
      <c r="J375" s="468">
        <v>200</v>
      </c>
      <c r="K375" s="469">
        <v>1140.1500120162964</v>
      </c>
    </row>
    <row r="376" spans="1:11" ht="14.45" customHeight="1" x14ac:dyDescent="0.2">
      <c r="A376" s="463" t="s">
        <v>436</v>
      </c>
      <c r="B376" s="464" t="s">
        <v>437</v>
      </c>
      <c r="C376" s="465" t="s">
        <v>444</v>
      </c>
      <c r="D376" s="466" t="s">
        <v>445</v>
      </c>
      <c r="E376" s="465" t="s">
        <v>822</v>
      </c>
      <c r="F376" s="466" t="s">
        <v>823</v>
      </c>
      <c r="G376" s="465" t="s">
        <v>1274</v>
      </c>
      <c r="H376" s="465" t="s">
        <v>1275</v>
      </c>
      <c r="I376" s="468">
        <v>2.2300000190734863</v>
      </c>
      <c r="J376" s="468">
        <v>100</v>
      </c>
      <c r="K376" s="469">
        <v>223</v>
      </c>
    </row>
    <row r="377" spans="1:11" ht="14.45" customHeight="1" x14ac:dyDescent="0.2">
      <c r="A377" s="463" t="s">
        <v>436</v>
      </c>
      <c r="B377" s="464" t="s">
        <v>437</v>
      </c>
      <c r="C377" s="465" t="s">
        <v>444</v>
      </c>
      <c r="D377" s="466" t="s">
        <v>445</v>
      </c>
      <c r="E377" s="465" t="s">
        <v>822</v>
      </c>
      <c r="F377" s="466" t="s">
        <v>823</v>
      </c>
      <c r="G377" s="465" t="s">
        <v>1268</v>
      </c>
      <c r="H377" s="465" t="s">
        <v>1276</v>
      </c>
      <c r="I377" s="468">
        <v>2.2300000190734863</v>
      </c>
      <c r="J377" s="468">
        <v>100</v>
      </c>
      <c r="K377" s="469">
        <v>223</v>
      </c>
    </row>
    <row r="378" spans="1:11" ht="14.45" customHeight="1" x14ac:dyDescent="0.2">
      <c r="A378" s="463" t="s">
        <v>436</v>
      </c>
      <c r="B378" s="464" t="s">
        <v>437</v>
      </c>
      <c r="C378" s="465" t="s">
        <v>444</v>
      </c>
      <c r="D378" s="466" t="s">
        <v>445</v>
      </c>
      <c r="E378" s="465" t="s">
        <v>822</v>
      </c>
      <c r="F378" s="466" t="s">
        <v>823</v>
      </c>
      <c r="G378" s="465" t="s">
        <v>1277</v>
      </c>
      <c r="H378" s="465" t="s">
        <v>1278</v>
      </c>
      <c r="I378" s="468">
        <v>1243.8800048828125</v>
      </c>
      <c r="J378" s="468">
        <v>1</v>
      </c>
      <c r="K378" s="469">
        <v>1243.8800048828125</v>
      </c>
    </row>
    <row r="379" spans="1:11" ht="14.45" customHeight="1" x14ac:dyDescent="0.2">
      <c r="A379" s="463" t="s">
        <v>436</v>
      </c>
      <c r="B379" s="464" t="s">
        <v>437</v>
      </c>
      <c r="C379" s="465" t="s">
        <v>444</v>
      </c>
      <c r="D379" s="466" t="s">
        <v>445</v>
      </c>
      <c r="E379" s="465" t="s">
        <v>822</v>
      </c>
      <c r="F379" s="466" t="s">
        <v>823</v>
      </c>
      <c r="G379" s="465" t="s">
        <v>1270</v>
      </c>
      <c r="H379" s="465" t="s">
        <v>1279</v>
      </c>
      <c r="I379" s="468">
        <v>3.7000000476837158</v>
      </c>
      <c r="J379" s="468">
        <v>400</v>
      </c>
      <c r="K379" s="469">
        <v>1478.6200439929962</v>
      </c>
    </row>
    <row r="380" spans="1:11" ht="14.45" customHeight="1" x14ac:dyDescent="0.2">
      <c r="A380" s="463" t="s">
        <v>436</v>
      </c>
      <c r="B380" s="464" t="s">
        <v>437</v>
      </c>
      <c r="C380" s="465" t="s">
        <v>444</v>
      </c>
      <c r="D380" s="466" t="s">
        <v>445</v>
      </c>
      <c r="E380" s="465" t="s">
        <v>822</v>
      </c>
      <c r="F380" s="466" t="s">
        <v>823</v>
      </c>
      <c r="G380" s="465" t="s">
        <v>1280</v>
      </c>
      <c r="H380" s="465" t="s">
        <v>1281</v>
      </c>
      <c r="I380" s="468">
        <v>940.5</v>
      </c>
      <c r="J380" s="468">
        <v>10</v>
      </c>
      <c r="K380" s="469">
        <v>9405</v>
      </c>
    </row>
    <row r="381" spans="1:11" ht="14.45" customHeight="1" x14ac:dyDescent="0.2">
      <c r="A381" s="463" t="s">
        <v>436</v>
      </c>
      <c r="B381" s="464" t="s">
        <v>437</v>
      </c>
      <c r="C381" s="465" t="s">
        <v>444</v>
      </c>
      <c r="D381" s="466" t="s">
        <v>445</v>
      </c>
      <c r="E381" s="465" t="s">
        <v>822</v>
      </c>
      <c r="F381" s="466" t="s">
        <v>823</v>
      </c>
      <c r="G381" s="465" t="s">
        <v>1280</v>
      </c>
      <c r="H381" s="465" t="s">
        <v>1282</v>
      </c>
      <c r="I381" s="468">
        <v>940.5</v>
      </c>
      <c r="J381" s="468">
        <v>15</v>
      </c>
      <c r="K381" s="469">
        <v>14107.5</v>
      </c>
    </row>
    <row r="382" spans="1:11" ht="14.45" customHeight="1" x14ac:dyDescent="0.2">
      <c r="A382" s="463" t="s">
        <v>436</v>
      </c>
      <c r="B382" s="464" t="s">
        <v>437</v>
      </c>
      <c r="C382" s="465" t="s">
        <v>444</v>
      </c>
      <c r="D382" s="466" t="s">
        <v>445</v>
      </c>
      <c r="E382" s="465" t="s">
        <v>822</v>
      </c>
      <c r="F382" s="466" t="s">
        <v>823</v>
      </c>
      <c r="G382" s="465" t="s">
        <v>1283</v>
      </c>
      <c r="H382" s="465" t="s">
        <v>1284</v>
      </c>
      <c r="I382" s="468">
        <v>471.89999389648438</v>
      </c>
      <c r="J382" s="468">
        <v>2</v>
      </c>
      <c r="K382" s="469">
        <v>943.79998779296875</v>
      </c>
    </row>
    <row r="383" spans="1:11" ht="14.45" customHeight="1" x14ac:dyDescent="0.2">
      <c r="A383" s="463" t="s">
        <v>436</v>
      </c>
      <c r="B383" s="464" t="s">
        <v>437</v>
      </c>
      <c r="C383" s="465" t="s">
        <v>444</v>
      </c>
      <c r="D383" s="466" t="s">
        <v>445</v>
      </c>
      <c r="E383" s="465" t="s">
        <v>822</v>
      </c>
      <c r="F383" s="466" t="s">
        <v>823</v>
      </c>
      <c r="G383" s="465" t="s">
        <v>1285</v>
      </c>
      <c r="H383" s="465" t="s">
        <v>1286</v>
      </c>
      <c r="I383" s="468">
        <v>471.89999389648438</v>
      </c>
      <c r="J383" s="468">
        <v>6</v>
      </c>
      <c r="K383" s="469">
        <v>2831.39990234375</v>
      </c>
    </row>
    <row r="384" spans="1:11" ht="14.45" customHeight="1" x14ac:dyDescent="0.2">
      <c r="A384" s="463" t="s">
        <v>436</v>
      </c>
      <c r="B384" s="464" t="s">
        <v>437</v>
      </c>
      <c r="C384" s="465" t="s">
        <v>444</v>
      </c>
      <c r="D384" s="466" t="s">
        <v>445</v>
      </c>
      <c r="E384" s="465" t="s">
        <v>822</v>
      </c>
      <c r="F384" s="466" t="s">
        <v>823</v>
      </c>
      <c r="G384" s="465" t="s">
        <v>1287</v>
      </c>
      <c r="H384" s="465" t="s">
        <v>1288</v>
      </c>
      <c r="I384" s="468">
        <v>1217.1300048828125</v>
      </c>
      <c r="J384" s="468">
        <v>3</v>
      </c>
      <c r="K384" s="469">
        <v>3651.3798828125</v>
      </c>
    </row>
    <row r="385" spans="1:11" ht="14.45" customHeight="1" x14ac:dyDescent="0.2">
      <c r="A385" s="463" t="s">
        <v>436</v>
      </c>
      <c r="B385" s="464" t="s">
        <v>437</v>
      </c>
      <c r="C385" s="465" t="s">
        <v>444</v>
      </c>
      <c r="D385" s="466" t="s">
        <v>445</v>
      </c>
      <c r="E385" s="465" t="s">
        <v>822</v>
      </c>
      <c r="F385" s="466" t="s">
        <v>823</v>
      </c>
      <c r="G385" s="465" t="s">
        <v>1289</v>
      </c>
      <c r="H385" s="465" t="s">
        <v>1290</v>
      </c>
      <c r="I385" s="468">
        <v>887.04665120442712</v>
      </c>
      <c r="J385" s="468">
        <v>5</v>
      </c>
      <c r="K385" s="469">
        <v>4435.179931640625</v>
      </c>
    </row>
    <row r="386" spans="1:11" ht="14.45" customHeight="1" x14ac:dyDescent="0.2">
      <c r="A386" s="463" t="s">
        <v>436</v>
      </c>
      <c r="B386" s="464" t="s">
        <v>437</v>
      </c>
      <c r="C386" s="465" t="s">
        <v>444</v>
      </c>
      <c r="D386" s="466" t="s">
        <v>445</v>
      </c>
      <c r="E386" s="465" t="s">
        <v>822</v>
      </c>
      <c r="F386" s="466" t="s">
        <v>823</v>
      </c>
      <c r="G386" s="465" t="s">
        <v>1291</v>
      </c>
      <c r="H386" s="465" t="s">
        <v>1292</v>
      </c>
      <c r="I386" s="468">
        <v>810.70001220703125</v>
      </c>
      <c r="J386" s="468">
        <v>2</v>
      </c>
      <c r="K386" s="469">
        <v>1621.4000244140625</v>
      </c>
    </row>
    <row r="387" spans="1:11" ht="14.45" customHeight="1" x14ac:dyDescent="0.2">
      <c r="A387" s="463" t="s">
        <v>436</v>
      </c>
      <c r="B387" s="464" t="s">
        <v>437</v>
      </c>
      <c r="C387" s="465" t="s">
        <v>444</v>
      </c>
      <c r="D387" s="466" t="s">
        <v>445</v>
      </c>
      <c r="E387" s="465" t="s">
        <v>822</v>
      </c>
      <c r="F387" s="466" t="s">
        <v>823</v>
      </c>
      <c r="G387" s="465" t="s">
        <v>1293</v>
      </c>
      <c r="H387" s="465" t="s">
        <v>1294</v>
      </c>
      <c r="I387" s="468">
        <v>55.659999847412109</v>
      </c>
      <c r="J387" s="468">
        <v>10</v>
      </c>
      <c r="K387" s="469">
        <v>556.5999755859375</v>
      </c>
    </row>
    <row r="388" spans="1:11" ht="14.45" customHeight="1" x14ac:dyDescent="0.2">
      <c r="A388" s="463" t="s">
        <v>436</v>
      </c>
      <c r="B388" s="464" t="s">
        <v>437</v>
      </c>
      <c r="C388" s="465" t="s">
        <v>444</v>
      </c>
      <c r="D388" s="466" t="s">
        <v>445</v>
      </c>
      <c r="E388" s="465" t="s">
        <v>822</v>
      </c>
      <c r="F388" s="466" t="s">
        <v>823</v>
      </c>
      <c r="G388" s="465" t="s">
        <v>1295</v>
      </c>
      <c r="H388" s="465" t="s">
        <v>1296</v>
      </c>
      <c r="I388" s="468">
        <v>59.840000152587891</v>
      </c>
      <c r="J388" s="468">
        <v>10</v>
      </c>
      <c r="K388" s="469">
        <v>598.3900146484375</v>
      </c>
    </row>
    <row r="389" spans="1:11" ht="14.45" customHeight="1" x14ac:dyDescent="0.2">
      <c r="A389" s="463" t="s">
        <v>436</v>
      </c>
      <c r="B389" s="464" t="s">
        <v>437</v>
      </c>
      <c r="C389" s="465" t="s">
        <v>444</v>
      </c>
      <c r="D389" s="466" t="s">
        <v>445</v>
      </c>
      <c r="E389" s="465" t="s">
        <v>822</v>
      </c>
      <c r="F389" s="466" t="s">
        <v>823</v>
      </c>
      <c r="G389" s="465" t="s">
        <v>1297</v>
      </c>
      <c r="H389" s="465" t="s">
        <v>1298</v>
      </c>
      <c r="I389" s="468">
        <v>143.83000183105469</v>
      </c>
      <c r="J389" s="468">
        <v>12</v>
      </c>
      <c r="K389" s="469">
        <v>1726</v>
      </c>
    </row>
    <row r="390" spans="1:11" ht="14.45" customHeight="1" x14ac:dyDescent="0.2">
      <c r="A390" s="463" t="s">
        <v>436</v>
      </c>
      <c r="B390" s="464" t="s">
        <v>437</v>
      </c>
      <c r="C390" s="465" t="s">
        <v>444</v>
      </c>
      <c r="D390" s="466" t="s">
        <v>445</v>
      </c>
      <c r="E390" s="465" t="s">
        <v>822</v>
      </c>
      <c r="F390" s="466" t="s">
        <v>823</v>
      </c>
      <c r="G390" s="465" t="s">
        <v>1299</v>
      </c>
      <c r="H390" s="465" t="s">
        <v>1300</v>
      </c>
      <c r="I390" s="468">
        <v>180.28817610307172</v>
      </c>
      <c r="J390" s="468">
        <v>163</v>
      </c>
      <c r="K390" s="469">
        <v>29386.849746704102</v>
      </c>
    </row>
    <row r="391" spans="1:11" ht="14.45" customHeight="1" x14ac:dyDescent="0.2">
      <c r="A391" s="463" t="s">
        <v>436</v>
      </c>
      <c r="B391" s="464" t="s">
        <v>437</v>
      </c>
      <c r="C391" s="465" t="s">
        <v>444</v>
      </c>
      <c r="D391" s="466" t="s">
        <v>445</v>
      </c>
      <c r="E391" s="465" t="s">
        <v>822</v>
      </c>
      <c r="F391" s="466" t="s">
        <v>823</v>
      </c>
      <c r="G391" s="465" t="s">
        <v>1301</v>
      </c>
      <c r="H391" s="465" t="s">
        <v>1302</v>
      </c>
      <c r="I391" s="468">
        <v>90</v>
      </c>
      <c r="J391" s="468">
        <v>270</v>
      </c>
      <c r="K391" s="469">
        <v>24299.900390625</v>
      </c>
    </row>
    <row r="392" spans="1:11" ht="14.45" customHeight="1" x14ac:dyDescent="0.2">
      <c r="A392" s="463" t="s">
        <v>436</v>
      </c>
      <c r="B392" s="464" t="s">
        <v>437</v>
      </c>
      <c r="C392" s="465" t="s">
        <v>444</v>
      </c>
      <c r="D392" s="466" t="s">
        <v>445</v>
      </c>
      <c r="E392" s="465" t="s">
        <v>822</v>
      </c>
      <c r="F392" s="466" t="s">
        <v>823</v>
      </c>
      <c r="G392" s="465" t="s">
        <v>1303</v>
      </c>
      <c r="H392" s="465" t="s">
        <v>1304</v>
      </c>
      <c r="I392" s="468">
        <v>90</v>
      </c>
      <c r="J392" s="468">
        <v>225</v>
      </c>
      <c r="K392" s="469">
        <v>20250.009765625</v>
      </c>
    </row>
    <row r="393" spans="1:11" ht="14.45" customHeight="1" x14ac:dyDescent="0.2">
      <c r="A393" s="463" t="s">
        <v>436</v>
      </c>
      <c r="B393" s="464" t="s">
        <v>437</v>
      </c>
      <c r="C393" s="465" t="s">
        <v>444</v>
      </c>
      <c r="D393" s="466" t="s">
        <v>445</v>
      </c>
      <c r="E393" s="465" t="s">
        <v>822</v>
      </c>
      <c r="F393" s="466" t="s">
        <v>823</v>
      </c>
      <c r="G393" s="465" t="s">
        <v>1305</v>
      </c>
      <c r="H393" s="465" t="s">
        <v>1306</v>
      </c>
      <c r="I393" s="468">
        <v>90</v>
      </c>
      <c r="J393" s="468">
        <v>135</v>
      </c>
      <c r="K393" s="469">
        <v>12150.099609375</v>
      </c>
    </row>
    <row r="394" spans="1:11" ht="14.45" customHeight="1" x14ac:dyDescent="0.2">
      <c r="A394" s="463" t="s">
        <v>436</v>
      </c>
      <c r="B394" s="464" t="s">
        <v>437</v>
      </c>
      <c r="C394" s="465" t="s">
        <v>444</v>
      </c>
      <c r="D394" s="466" t="s">
        <v>445</v>
      </c>
      <c r="E394" s="465" t="s">
        <v>822</v>
      </c>
      <c r="F394" s="466" t="s">
        <v>823</v>
      </c>
      <c r="G394" s="465" t="s">
        <v>1307</v>
      </c>
      <c r="H394" s="465" t="s">
        <v>1308</v>
      </c>
      <c r="I394" s="468">
        <v>90</v>
      </c>
      <c r="J394" s="468">
        <v>225</v>
      </c>
      <c r="K394" s="469">
        <v>20250.009765625</v>
      </c>
    </row>
    <row r="395" spans="1:11" ht="14.45" customHeight="1" x14ac:dyDescent="0.2">
      <c r="A395" s="463" t="s">
        <v>436</v>
      </c>
      <c r="B395" s="464" t="s">
        <v>437</v>
      </c>
      <c r="C395" s="465" t="s">
        <v>444</v>
      </c>
      <c r="D395" s="466" t="s">
        <v>445</v>
      </c>
      <c r="E395" s="465" t="s">
        <v>822</v>
      </c>
      <c r="F395" s="466" t="s">
        <v>823</v>
      </c>
      <c r="G395" s="465" t="s">
        <v>1309</v>
      </c>
      <c r="H395" s="465" t="s">
        <v>1310</v>
      </c>
      <c r="I395" s="468">
        <v>90</v>
      </c>
      <c r="J395" s="468">
        <v>180</v>
      </c>
      <c r="K395" s="469">
        <v>16199.990234375</v>
      </c>
    </row>
    <row r="396" spans="1:11" ht="14.45" customHeight="1" x14ac:dyDescent="0.2">
      <c r="A396" s="463" t="s">
        <v>436</v>
      </c>
      <c r="B396" s="464" t="s">
        <v>437</v>
      </c>
      <c r="C396" s="465" t="s">
        <v>444</v>
      </c>
      <c r="D396" s="466" t="s">
        <v>445</v>
      </c>
      <c r="E396" s="465" t="s">
        <v>822</v>
      </c>
      <c r="F396" s="466" t="s">
        <v>823</v>
      </c>
      <c r="G396" s="465" t="s">
        <v>1311</v>
      </c>
      <c r="H396" s="465" t="s">
        <v>1312</v>
      </c>
      <c r="I396" s="468">
        <v>90</v>
      </c>
      <c r="J396" s="468">
        <v>180</v>
      </c>
      <c r="K396" s="469">
        <v>16199.990234375</v>
      </c>
    </row>
    <row r="397" spans="1:11" ht="14.45" customHeight="1" x14ac:dyDescent="0.2">
      <c r="A397" s="463" t="s">
        <v>436</v>
      </c>
      <c r="B397" s="464" t="s">
        <v>437</v>
      </c>
      <c r="C397" s="465" t="s">
        <v>444</v>
      </c>
      <c r="D397" s="466" t="s">
        <v>445</v>
      </c>
      <c r="E397" s="465" t="s">
        <v>822</v>
      </c>
      <c r="F397" s="466" t="s">
        <v>823</v>
      </c>
      <c r="G397" s="465" t="s">
        <v>1313</v>
      </c>
      <c r="H397" s="465" t="s">
        <v>1314</v>
      </c>
      <c r="I397" s="468">
        <v>14.880000114440918</v>
      </c>
      <c r="J397" s="468">
        <v>100</v>
      </c>
      <c r="K397" s="469">
        <v>1488.219970703125</v>
      </c>
    </row>
    <row r="398" spans="1:11" ht="14.45" customHeight="1" x14ac:dyDescent="0.2">
      <c r="A398" s="463" t="s">
        <v>436</v>
      </c>
      <c r="B398" s="464" t="s">
        <v>437</v>
      </c>
      <c r="C398" s="465" t="s">
        <v>444</v>
      </c>
      <c r="D398" s="466" t="s">
        <v>445</v>
      </c>
      <c r="E398" s="465" t="s">
        <v>822</v>
      </c>
      <c r="F398" s="466" t="s">
        <v>823</v>
      </c>
      <c r="G398" s="465" t="s">
        <v>1315</v>
      </c>
      <c r="H398" s="465" t="s">
        <v>1316</v>
      </c>
      <c r="I398" s="468">
        <v>1488.300048828125</v>
      </c>
      <c r="J398" s="468">
        <v>1</v>
      </c>
      <c r="K398" s="469">
        <v>1488.300048828125</v>
      </c>
    </row>
    <row r="399" spans="1:11" ht="14.45" customHeight="1" x14ac:dyDescent="0.2">
      <c r="A399" s="463" t="s">
        <v>436</v>
      </c>
      <c r="B399" s="464" t="s">
        <v>437</v>
      </c>
      <c r="C399" s="465" t="s">
        <v>444</v>
      </c>
      <c r="D399" s="466" t="s">
        <v>445</v>
      </c>
      <c r="E399" s="465" t="s">
        <v>822</v>
      </c>
      <c r="F399" s="466" t="s">
        <v>823</v>
      </c>
      <c r="G399" s="465" t="s">
        <v>1317</v>
      </c>
      <c r="H399" s="465" t="s">
        <v>1318</v>
      </c>
      <c r="I399" s="468">
        <v>721.6500244140625</v>
      </c>
      <c r="J399" s="468">
        <v>2</v>
      </c>
      <c r="K399" s="469">
        <v>1443.300048828125</v>
      </c>
    </row>
    <row r="400" spans="1:11" ht="14.45" customHeight="1" x14ac:dyDescent="0.2">
      <c r="A400" s="463" t="s">
        <v>436</v>
      </c>
      <c r="B400" s="464" t="s">
        <v>437</v>
      </c>
      <c r="C400" s="465" t="s">
        <v>444</v>
      </c>
      <c r="D400" s="466" t="s">
        <v>445</v>
      </c>
      <c r="E400" s="465" t="s">
        <v>822</v>
      </c>
      <c r="F400" s="466" t="s">
        <v>823</v>
      </c>
      <c r="G400" s="465" t="s">
        <v>1319</v>
      </c>
      <c r="H400" s="465" t="s">
        <v>1320</v>
      </c>
      <c r="I400" s="468">
        <v>849.1500244140625</v>
      </c>
      <c r="J400" s="468">
        <v>3</v>
      </c>
      <c r="K400" s="469">
        <v>2547.4599609375</v>
      </c>
    </row>
    <row r="401" spans="1:11" ht="14.45" customHeight="1" x14ac:dyDescent="0.2">
      <c r="A401" s="463" t="s">
        <v>436</v>
      </c>
      <c r="B401" s="464" t="s">
        <v>437</v>
      </c>
      <c r="C401" s="465" t="s">
        <v>444</v>
      </c>
      <c r="D401" s="466" t="s">
        <v>445</v>
      </c>
      <c r="E401" s="465" t="s">
        <v>822</v>
      </c>
      <c r="F401" s="466" t="s">
        <v>823</v>
      </c>
      <c r="G401" s="465" t="s">
        <v>1321</v>
      </c>
      <c r="H401" s="465" t="s">
        <v>1322</v>
      </c>
      <c r="I401" s="468">
        <v>849.1500244140625</v>
      </c>
      <c r="J401" s="468">
        <v>3</v>
      </c>
      <c r="K401" s="469">
        <v>2547.4599609375</v>
      </c>
    </row>
    <row r="402" spans="1:11" ht="14.45" customHeight="1" x14ac:dyDescent="0.2">
      <c r="A402" s="463" t="s">
        <v>436</v>
      </c>
      <c r="B402" s="464" t="s">
        <v>437</v>
      </c>
      <c r="C402" s="465" t="s">
        <v>444</v>
      </c>
      <c r="D402" s="466" t="s">
        <v>445</v>
      </c>
      <c r="E402" s="465" t="s">
        <v>822</v>
      </c>
      <c r="F402" s="466" t="s">
        <v>823</v>
      </c>
      <c r="G402" s="465" t="s">
        <v>1323</v>
      </c>
      <c r="H402" s="465" t="s">
        <v>1324</v>
      </c>
      <c r="I402" s="468">
        <v>721.6500244140625</v>
      </c>
      <c r="J402" s="468">
        <v>2</v>
      </c>
      <c r="K402" s="469">
        <v>1443.300048828125</v>
      </c>
    </row>
    <row r="403" spans="1:11" ht="14.45" customHeight="1" x14ac:dyDescent="0.2">
      <c r="A403" s="463" t="s">
        <v>436</v>
      </c>
      <c r="B403" s="464" t="s">
        <v>437</v>
      </c>
      <c r="C403" s="465" t="s">
        <v>444</v>
      </c>
      <c r="D403" s="466" t="s">
        <v>445</v>
      </c>
      <c r="E403" s="465" t="s">
        <v>822</v>
      </c>
      <c r="F403" s="466" t="s">
        <v>823</v>
      </c>
      <c r="G403" s="465" t="s">
        <v>1325</v>
      </c>
      <c r="H403" s="465" t="s">
        <v>1326</v>
      </c>
      <c r="I403" s="468">
        <v>721.6500244140625</v>
      </c>
      <c r="J403" s="468">
        <v>2</v>
      </c>
      <c r="K403" s="469">
        <v>1443.300048828125</v>
      </c>
    </row>
    <row r="404" spans="1:11" ht="14.45" customHeight="1" x14ac:dyDescent="0.2">
      <c r="A404" s="463" t="s">
        <v>436</v>
      </c>
      <c r="B404" s="464" t="s">
        <v>437</v>
      </c>
      <c r="C404" s="465" t="s">
        <v>444</v>
      </c>
      <c r="D404" s="466" t="s">
        <v>445</v>
      </c>
      <c r="E404" s="465" t="s">
        <v>822</v>
      </c>
      <c r="F404" s="466" t="s">
        <v>823</v>
      </c>
      <c r="G404" s="465" t="s">
        <v>1327</v>
      </c>
      <c r="H404" s="465" t="s">
        <v>1328</v>
      </c>
      <c r="I404" s="468">
        <v>86.139999389648438</v>
      </c>
      <c r="J404" s="468">
        <v>20</v>
      </c>
      <c r="K404" s="469">
        <v>1722.800048828125</v>
      </c>
    </row>
    <row r="405" spans="1:11" ht="14.45" customHeight="1" x14ac:dyDescent="0.2">
      <c r="A405" s="463" t="s">
        <v>436</v>
      </c>
      <c r="B405" s="464" t="s">
        <v>437</v>
      </c>
      <c r="C405" s="465" t="s">
        <v>444</v>
      </c>
      <c r="D405" s="466" t="s">
        <v>445</v>
      </c>
      <c r="E405" s="465" t="s">
        <v>822</v>
      </c>
      <c r="F405" s="466" t="s">
        <v>823</v>
      </c>
      <c r="G405" s="465" t="s">
        <v>1329</v>
      </c>
      <c r="H405" s="465" t="s">
        <v>1330</v>
      </c>
      <c r="I405" s="468">
        <v>617.0999755859375</v>
      </c>
      <c r="J405" s="468">
        <v>5</v>
      </c>
      <c r="K405" s="469">
        <v>3085.5</v>
      </c>
    </row>
    <row r="406" spans="1:11" ht="14.45" customHeight="1" x14ac:dyDescent="0.2">
      <c r="A406" s="463" t="s">
        <v>436</v>
      </c>
      <c r="B406" s="464" t="s">
        <v>437</v>
      </c>
      <c r="C406" s="465" t="s">
        <v>444</v>
      </c>
      <c r="D406" s="466" t="s">
        <v>445</v>
      </c>
      <c r="E406" s="465" t="s">
        <v>822</v>
      </c>
      <c r="F406" s="466" t="s">
        <v>823</v>
      </c>
      <c r="G406" s="465" t="s">
        <v>1331</v>
      </c>
      <c r="H406" s="465" t="s">
        <v>1332</v>
      </c>
      <c r="I406" s="468">
        <v>2.5699999332427979</v>
      </c>
      <c r="J406" s="468">
        <v>2000</v>
      </c>
      <c r="K406" s="469">
        <v>5142.19970703125</v>
      </c>
    </row>
    <row r="407" spans="1:11" ht="14.45" customHeight="1" x14ac:dyDescent="0.2">
      <c r="A407" s="463" t="s">
        <v>436</v>
      </c>
      <c r="B407" s="464" t="s">
        <v>437</v>
      </c>
      <c r="C407" s="465" t="s">
        <v>444</v>
      </c>
      <c r="D407" s="466" t="s">
        <v>445</v>
      </c>
      <c r="E407" s="465" t="s">
        <v>822</v>
      </c>
      <c r="F407" s="466" t="s">
        <v>823</v>
      </c>
      <c r="G407" s="465" t="s">
        <v>1333</v>
      </c>
      <c r="H407" s="465" t="s">
        <v>1334</v>
      </c>
      <c r="I407" s="468">
        <v>133.08999633789063</v>
      </c>
      <c r="J407" s="468">
        <v>12</v>
      </c>
      <c r="K407" s="469">
        <v>1597.06005859375</v>
      </c>
    </row>
    <row r="408" spans="1:11" ht="14.45" customHeight="1" x14ac:dyDescent="0.2">
      <c r="A408" s="463" t="s">
        <v>436</v>
      </c>
      <c r="B408" s="464" t="s">
        <v>437</v>
      </c>
      <c r="C408" s="465" t="s">
        <v>444</v>
      </c>
      <c r="D408" s="466" t="s">
        <v>445</v>
      </c>
      <c r="E408" s="465" t="s">
        <v>822</v>
      </c>
      <c r="F408" s="466" t="s">
        <v>823</v>
      </c>
      <c r="G408" s="465" t="s">
        <v>1333</v>
      </c>
      <c r="H408" s="465" t="s">
        <v>1335</v>
      </c>
      <c r="I408" s="468">
        <v>72.089998245239258</v>
      </c>
      <c r="J408" s="468">
        <v>23</v>
      </c>
      <c r="K408" s="469">
        <v>1597.0599670410156</v>
      </c>
    </row>
    <row r="409" spans="1:11" ht="14.45" customHeight="1" x14ac:dyDescent="0.2">
      <c r="A409" s="463" t="s">
        <v>436</v>
      </c>
      <c r="B409" s="464" t="s">
        <v>437</v>
      </c>
      <c r="C409" s="465" t="s">
        <v>444</v>
      </c>
      <c r="D409" s="466" t="s">
        <v>445</v>
      </c>
      <c r="E409" s="465" t="s">
        <v>822</v>
      </c>
      <c r="F409" s="466" t="s">
        <v>823</v>
      </c>
      <c r="G409" s="465" t="s">
        <v>1336</v>
      </c>
      <c r="H409" s="465" t="s">
        <v>1337</v>
      </c>
      <c r="I409" s="468">
        <v>399</v>
      </c>
      <c r="J409" s="468">
        <v>1</v>
      </c>
      <c r="K409" s="469">
        <v>399</v>
      </c>
    </row>
    <row r="410" spans="1:11" ht="14.45" customHeight="1" x14ac:dyDescent="0.2">
      <c r="A410" s="463" t="s">
        <v>436</v>
      </c>
      <c r="B410" s="464" t="s">
        <v>437</v>
      </c>
      <c r="C410" s="465" t="s">
        <v>444</v>
      </c>
      <c r="D410" s="466" t="s">
        <v>445</v>
      </c>
      <c r="E410" s="465" t="s">
        <v>822</v>
      </c>
      <c r="F410" s="466" t="s">
        <v>823</v>
      </c>
      <c r="G410" s="465" t="s">
        <v>1338</v>
      </c>
      <c r="H410" s="465" t="s">
        <v>1339</v>
      </c>
      <c r="I410" s="468">
        <v>0.5899999737739563</v>
      </c>
      <c r="J410" s="468">
        <v>2000</v>
      </c>
      <c r="K410" s="469">
        <v>1179.9000244140625</v>
      </c>
    </row>
    <row r="411" spans="1:11" ht="14.45" customHeight="1" x14ac:dyDescent="0.2">
      <c r="A411" s="463" t="s">
        <v>436</v>
      </c>
      <c r="B411" s="464" t="s">
        <v>437</v>
      </c>
      <c r="C411" s="465" t="s">
        <v>444</v>
      </c>
      <c r="D411" s="466" t="s">
        <v>445</v>
      </c>
      <c r="E411" s="465" t="s">
        <v>822</v>
      </c>
      <c r="F411" s="466" t="s">
        <v>823</v>
      </c>
      <c r="G411" s="465" t="s">
        <v>1340</v>
      </c>
      <c r="H411" s="465" t="s">
        <v>1341</v>
      </c>
      <c r="I411" s="468">
        <v>0.5899999737739563</v>
      </c>
      <c r="J411" s="468">
        <v>2000</v>
      </c>
      <c r="K411" s="469">
        <v>1179.9000244140625</v>
      </c>
    </row>
    <row r="412" spans="1:11" ht="14.45" customHeight="1" x14ac:dyDescent="0.2">
      <c r="A412" s="463" t="s">
        <v>436</v>
      </c>
      <c r="B412" s="464" t="s">
        <v>437</v>
      </c>
      <c r="C412" s="465" t="s">
        <v>444</v>
      </c>
      <c r="D412" s="466" t="s">
        <v>445</v>
      </c>
      <c r="E412" s="465" t="s">
        <v>822</v>
      </c>
      <c r="F412" s="466" t="s">
        <v>823</v>
      </c>
      <c r="G412" s="465" t="s">
        <v>1342</v>
      </c>
      <c r="H412" s="465" t="s">
        <v>1343</v>
      </c>
      <c r="I412" s="468">
        <v>6.8400001525878906</v>
      </c>
      <c r="J412" s="468">
        <v>200</v>
      </c>
      <c r="K412" s="469">
        <v>1368.030029296875</v>
      </c>
    </row>
    <row r="413" spans="1:11" ht="14.45" customHeight="1" x14ac:dyDescent="0.2">
      <c r="A413" s="463" t="s">
        <v>436</v>
      </c>
      <c r="B413" s="464" t="s">
        <v>437</v>
      </c>
      <c r="C413" s="465" t="s">
        <v>444</v>
      </c>
      <c r="D413" s="466" t="s">
        <v>445</v>
      </c>
      <c r="E413" s="465" t="s">
        <v>822</v>
      </c>
      <c r="F413" s="466" t="s">
        <v>823</v>
      </c>
      <c r="G413" s="465" t="s">
        <v>1344</v>
      </c>
      <c r="H413" s="465" t="s">
        <v>1345</v>
      </c>
      <c r="I413" s="468">
        <v>940.5</v>
      </c>
      <c r="J413" s="468">
        <v>2</v>
      </c>
      <c r="K413" s="469">
        <v>1881</v>
      </c>
    </row>
    <row r="414" spans="1:11" ht="14.45" customHeight="1" x14ac:dyDescent="0.2">
      <c r="A414" s="463" t="s">
        <v>436</v>
      </c>
      <c r="B414" s="464" t="s">
        <v>437</v>
      </c>
      <c r="C414" s="465" t="s">
        <v>444</v>
      </c>
      <c r="D414" s="466" t="s">
        <v>445</v>
      </c>
      <c r="E414" s="465" t="s">
        <v>822</v>
      </c>
      <c r="F414" s="466" t="s">
        <v>823</v>
      </c>
      <c r="G414" s="465" t="s">
        <v>1346</v>
      </c>
      <c r="H414" s="465" t="s">
        <v>1347</v>
      </c>
      <c r="I414" s="468">
        <v>617.5</v>
      </c>
      <c r="J414" s="468">
        <v>9</v>
      </c>
      <c r="K414" s="469">
        <v>5557.5</v>
      </c>
    </row>
    <row r="415" spans="1:11" ht="14.45" customHeight="1" x14ac:dyDescent="0.2">
      <c r="A415" s="463" t="s">
        <v>436</v>
      </c>
      <c r="B415" s="464" t="s">
        <v>437</v>
      </c>
      <c r="C415" s="465" t="s">
        <v>444</v>
      </c>
      <c r="D415" s="466" t="s">
        <v>445</v>
      </c>
      <c r="E415" s="465" t="s">
        <v>822</v>
      </c>
      <c r="F415" s="466" t="s">
        <v>823</v>
      </c>
      <c r="G415" s="465" t="s">
        <v>1348</v>
      </c>
      <c r="H415" s="465" t="s">
        <v>1349</v>
      </c>
      <c r="I415" s="468">
        <v>32.450000762939453</v>
      </c>
      <c r="J415" s="468">
        <v>100</v>
      </c>
      <c r="K415" s="469">
        <v>3245.219970703125</v>
      </c>
    </row>
    <row r="416" spans="1:11" ht="14.45" customHeight="1" x14ac:dyDescent="0.2">
      <c r="A416" s="463" t="s">
        <v>436</v>
      </c>
      <c r="B416" s="464" t="s">
        <v>437</v>
      </c>
      <c r="C416" s="465" t="s">
        <v>444</v>
      </c>
      <c r="D416" s="466" t="s">
        <v>445</v>
      </c>
      <c r="E416" s="465" t="s">
        <v>822</v>
      </c>
      <c r="F416" s="466" t="s">
        <v>823</v>
      </c>
      <c r="G416" s="465" t="s">
        <v>1350</v>
      </c>
      <c r="H416" s="465" t="s">
        <v>1351</v>
      </c>
      <c r="I416" s="468">
        <v>32.450000762939453</v>
      </c>
      <c r="J416" s="468">
        <v>100</v>
      </c>
      <c r="K416" s="469">
        <v>3245.219970703125</v>
      </c>
    </row>
    <row r="417" spans="1:11" ht="14.45" customHeight="1" x14ac:dyDescent="0.2">
      <c r="A417" s="463" t="s">
        <v>436</v>
      </c>
      <c r="B417" s="464" t="s">
        <v>437</v>
      </c>
      <c r="C417" s="465" t="s">
        <v>444</v>
      </c>
      <c r="D417" s="466" t="s">
        <v>445</v>
      </c>
      <c r="E417" s="465" t="s">
        <v>822</v>
      </c>
      <c r="F417" s="466" t="s">
        <v>823</v>
      </c>
      <c r="G417" s="465" t="s">
        <v>1352</v>
      </c>
      <c r="H417" s="465" t="s">
        <v>1353</v>
      </c>
      <c r="I417" s="468">
        <v>32.450000762939453</v>
      </c>
      <c r="J417" s="468">
        <v>60</v>
      </c>
      <c r="K417" s="469">
        <v>1947.1300048828125</v>
      </c>
    </row>
    <row r="418" spans="1:11" ht="14.45" customHeight="1" x14ac:dyDescent="0.2">
      <c r="A418" s="463" t="s">
        <v>436</v>
      </c>
      <c r="B418" s="464" t="s">
        <v>437</v>
      </c>
      <c r="C418" s="465" t="s">
        <v>444</v>
      </c>
      <c r="D418" s="466" t="s">
        <v>445</v>
      </c>
      <c r="E418" s="465" t="s">
        <v>822</v>
      </c>
      <c r="F418" s="466" t="s">
        <v>823</v>
      </c>
      <c r="G418" s="465" t="s">
        <v>1354</v>
      </c>
      <c r="H418" s="465" t="s">
        <v>1355</v>
      </c>
      <c r="I418" s="468">
        <v>32.450000762939453</v>
      </c>
      <c r="J418" s="468">
        <v>60</v>
      </c>
      <c r="K418" s="469">
        <v>1947.1300048828125</v>
      </c>
    </row>
    <row r="419" spans="1:11" ht="14.45" customHeight="1" x14ac:dyDescent="0.2">
      <c r="A419" s="463" t="s">
        <v>436</v>
      </c>
      <c r="B419" s="464" t="s">
        <v>437</v>
      </c>
      <c r="C419" s="465" t="s">
        <v>444</v>
      </c>
      <c r="D419" s="466" t="s">
        <v>445</v>
      </c>
      <c r="E419" s="465" t="s">
        <v>822</v>
      </c>
      <c r="F419" s="466" t="s">
        <v>823</v>
      </c>
      <c r="G419" s="465" t="s">
        <v>1356</v>
      </c>
      <c r="H419" s="465" t="s">
        <v>1357</v>
      </c>
      <c r="I419" s="468">
        <v>32.450000762939453</v>
      </c>
      <c r="J419" s="468">
        <v>100</v>
      </c>
      <c r="K419" s="469">
        <v>3245.219970703125</v>
      </c>
    </row>
    <row r="420" spans="1:11" ht="14.45" customHeight="1" x14ac:dyDescent="0.2">
      <c r="A420" s="463" t="s">
        <v>436</v>
      </c>
      <c r="B420" s="464" t="s">
        <v>437</v>
      </c>
      <c r="C420" s="465" t="s">
        <v>444</v>
      </c>
      <c r="D420" s="466" t="s">
        <v>445</v>
      </c>
      <c r="E420" s="465" t="s">
        <v>822</v>
      </c>
      <c r="F420" s="466" t="s">
        <v>823</v>
      </c>
      <c r="G420" s="465" t="s">
        <v>1358</v>
      </c>
      <c r="H420" s="465" t="s">
        <v>1359</v>
      </c>
      <c r="I420" s="468">
        <v>32.450000762939453</v>
      </c>
      <c r="J420" s="468">
        <v>100</v>
      </c>
      <c r="K420" s="469">
        <v>3245.219970703125</v>
      </c>
    </row>
    <row r="421" spans="1:11" ht="14.45" customHeight="1" x14ac:dyDescent="0.2">
      <c r="A421" s="463" t="s">
        <v>436</v>
      </c>
      <c r="B421" s="464" t="s">
        <v>437</v>
      </c>
      <c r="C421" s="465" t="s">
        <v>444</v>
      </c>
      <c r="D421" s="466" t="s">
        <v>445</v>
      </c>
      <c r="E421" s="465" t="s">
        <v>822</v>
      </c>
      <c r="F421" s="466" t="s">
        <v>823</v>
      </c>
      <c r="G421" s="465" t="s">
        <v>1360</v>
      </c>
      <c r="H421" s="465" t="s">
        <v>1361</v>
      </c>
      <c r="I421" s="468">
        <v>32.450000762939453</v>
      </c>
      <c r="J421" s="468">
        <v>60</v>
      </c>
      <c r="K421" s="469">
        <v>1947.1300048828125</v>
      </c>
    </row>
    <row r="422" spans="1:11" ht="14.45" customHeight="1" x14ac:dyDescent="0.2">
      <c r="A422" s="463" t="s">
        <v>436</v>
      </c>
      <c r="B422" s="464" t="s">
        <v>437</v>
      </c>
      <c r="C422" s="465" t="s">
        <v>444</v>
      </c>
      <c r="D422" s="466" t="s">
        <v>445</v>
      </c>
      <c r="E422" s="465" t="s">
        <v>822</v>
      </c>
      <c r="F422" s="466" t="s">
        <v>823</v>
      </c>
      <c r="G422" s="465" t="s">
        <v>1362</v>
      </c>
      <c r="H422" s="465" t="s">
        <v>1363</v>
      </c>
      <c r="I422" s="468">
        <v>32.450000762939453</v>
      </c>
      <c r="J422" s="468">
        <v>60</v>
      </c>
      <c r="K422" s="469">
        <v>1947.1300048828125</v>
      </c>
    </row>
    <row r="423" spans="1:11" ht="14.45" customHeight="1" x14ac:dyDescent="0.2">
      <c r="A423" s="463" t="s">
        <v>436</v>
      </c>
      <c r="B423" s="464" t="s">
        <v>437</v>
      </c>
      <c r="C423" s="465" t="s">
        <v>444</v>
      </c>
      <c r="D423" s="466" t="s">
        <v>445</v>
      </c>
      <c r="E423" s="465" t="s">
        <v>822</v>
      </c>
      <c r="F423" s="466" t="s">
        <v>823</v>
      </c>
      <c r="G423" s="465" t="s">
        <v>1364</v>
      </c>
      <c r="H423" s="465" t="s">
        <v>1365</v>
      </c>
      <c r="I423" s="468">
        <v>254.03999328613281</v>
      </c>
      <c r="J423" s="468">
        <v>1</v>
      </c>
      <c r="K423" s="469">
        <v>254.03999328613281</v>
      </c>
    </row>
    <row r="424" spans="1:11" ht="14.45" customHeight="1" x14ac:dyDescent="0.2">
      <c r="A424" s="463" t="s">
        <v>436</v>
      </c>
      <c r="B424" s="464" t="s">
        <v>437</v>
      </c>
      <c r="C424" s="465" t="s">
        <v>444</v>
      </c>
      <c r="D424" s="466" t="s">
        <v>445</v>
      </c>
      <c r="E424" s="465" t="s">
        <v>822</v>
      </c>
      <c r="F424" s="466" t="s">
        <v>823</v>
      </c>
      <c r="G424" s="465" t="s">
        <v>1366</v>
      </c>
      <c r="H424" s="465" t="s">
        <v>1367</v>
      </c>
      <c r="I424" s="468">
        <v>268</v>
      </c>
      <c r="J424" s="468">
        <v>1</v>
      </c>
      <c r="K424" s="469">
        <v>268</v>
      </c>
    </row>
    <row r="425" spans="1:11" ht="14.45" customHeight="1" x14ac:dyDescent="0.2">
      <c r="A425" s="463" t="s">
        <v>436</v>
      </c>
      <c r="B425" s="464" t="s">
        <v>437</v>
      </c>
      <c r="C425" s="465" t="s">
        <v>444</v>
      </c>
      <c r="D425" s="466" t="s">
        <v>445</v>
      </c>
      <c r="E425" s="465" t="s">
        <v>822</v>
      </c>
      <c r="F425" s="466" t="s">
        <v>823</v>
      </c>
      <c r="G425" s="465" t="s">
        <v>1368</v>
      </c>
      <c r="H425" s="465" t="s">
        <v>1369</v>
      </c>
      <c r="I425" s="468">
        <v>2586.1298828125</v>
      </c>
      <c r="J425" s="468">
        <v>1</v>
      </c>
      <c r="K425" s="469">
        <v>2586.1298828125</v>
      </c>
    </row>
    <row r="426" spans="1:11" ht="14.45" customHeight="1" x14ac:dyDescent="0.2">
      <c r="A426" s="463" t="s">
        <v>436</v>
      </c>
      <c r="B426" s="464" t="s">
        <v>437</v>
      </c>
      <c r="C426" s="465" t="s">
        <v>444</v>
      </c>
      <c r="D426" s="466" t="s">
        <v>445</v>
      </c>
      <c r="E426" s="465" t="s">
        <v>822</v>
      </c>
      <c r="F426" s="466" t="s">
        <v>823</v>
      </c>
      <c r="G426" s="465" t="s">
        <v>1370</v>
      </c>
      <c r="H426" s="465" t="s">
        <v>1371</v>
      </c>
      <c r="I426" s="468">
        <v>704.010009765625</v>
      </c>
      <c r="J426" s="468">
        <v>2</v>
      </c>
      <c r="K426" s="469">
        <v>1408.010009765625</v>
      </c>
    </row>
    <row r="427" spans="1:11" ht="14.45" customHeight="1" x14ac:dyDescent="0.2">
      <c r="A427" s="463" t="s">
        <v>436</v>
      </c>
      <c r="B427" s="464" t="s">
        <v>437</v>
      </c>
      <c r="C427" s="465" t="s">
        <v>444</v>
      </c>
      <c r="D427" s="466" t="s">
        <v>445</v>
      </c>
      <c r="E427" s="465" t="s">
        <v>822</v>
      </c>
      <c r="F427" s="466" t="s">
        <v>823</v>
      </c>
      <c r="G427" s="465" t="s">
        <v>1372</v>
      </c>
      <c r="H427" s="465" t="s">
        <v>1373</v>
      </c>
      <c r="I427" s="468">
        <v>703.97998046875</v>
      </c>
      <c r="J427" s="468">
        <v>1</v>
      </c>
      <c r="K427" s="469">
        <v>703.97998046875</v>
      </c>
    </row>
    <row r="428" spans="1:11" ht="14.45" customHeight="1" x14ac:dyDescent="0.2">
      <c r="A428" s="463" t="s">
        <v>436</v>
      </c>
      <c r="B428" s="464" t="s">
        <v>437</v>
      </c>
      <c r="C428" s="465" t="s">
        <v>444</v>
      </c>
      <c r="D428" s="466" t="s">
        <v>445</v>
      </c>
      <c r="E428" s="465" t="s">
        <v>822</v>
      </c>
      <c r="F428" s="466" t="s">
        <v>823</v>
      </c>
      <c r="G428" s="465" t="s">
        <v>1374</v>
      </c>
      <c r="H428" s="465" t="s">
        <v>1375</v>
      </c>
      <c r="I428" s="468">
        <v>651</v>
      </c>
      <c r="J428" s="468">
        <v>1</v>
      </c>
      <c r="K428" s="469">
        <v>651</v>
      </c>
    </row>
    <row r="429" spans="1:11" ht="14.45" customHeight="1" x14ac:dyDescent="0.2">
      <c r="A429" s="463" t="s">
        <v>436</v>
      </c>
      <c r="B429" s="464" t="s">
        <v>437</v>
      </c>
      <c r="C429" s="465" t="s">
        <v>444</v>
      </c>
      <c r="D429" s="466" t="s">
        <v>445</v>
      </c>
      <c r="E429" s="465" t="s">
        <v>822</v>
      </c>
      <c r="F429" s="466" t="s">
        <v>823</v>
      </c>
      <c r="G429" s="465" t="s">
        <v>1376</v>
      </c>
      <c r="H429" s="465" t="s">
        <v>1377</v>
      </c>
      <c r="I429" s="468">
        <v>524.03997802734375</v>
      </c>
      <c r="J429" s="468">
        <v>1</v>
      </c>
      <c r="K429" s="469">
        <v>524.03997802734375</v>
      </c>
    </row>
    <row r="430" spans="1:11" ht="14.45" customHeight="1" x14ac:dyDescent="0.2">
      <c r="A430" s="463" t="s">
        <v>436</v>
      </c>
      <c r="B430" s="464" t="s">
        <v>437</v>
      </c>
      <c r="C430" s="465" t="s">
        <v>444</v>
      </c>
      <c r="D430" s="466" t="s">
        <v>445</v>
      </c>
      <c r="E430" s="465" t="s">
        <v>822</v>
      </c>
      <c r="F430" s="466" t="s">
        <v>823</v>
      </c>
      <c r="G430" s="465" t="s">
        <v>1378</v>
      </c>
      <c r="H430" s="465" t="s">
        <v>1379</v>
      </c>
      <c r="I430" s="468">
        <v>1096</v>
      </c>
      <c r="J430" s="468">
        <v>2</v>
      </c>
      <c r="K430" s="469">
        <v>2191.989990234375</v>
      </c>
    </row>
    <row r="431" spans="1:11" ht="14.45" customHeight="1" x14ac:dyDescent="0.2">
      <c r="A431" s="463" t="s">
        <v>436</v>
      </c>
      <c r="B431" s="464" t="s">
        <v>437</v>
      </c>
      <c r="C431" s="465" t="s">
        <v>444</v>
      </c>
      <c r="D431" s="466" t="s">
        <v>445</v>
      </c>
      <c r="E431" s="465" t="s">
        <v>822</v>
      </c>
      <c r="F431" s="466" t="s">
        <v>823</v>
      </c>
      <c r="G431" s="465" t="s">
        <v>1380</v>
      </c>
      <c r="H431" s="465" t="s">
        <v>1381</v>
      </c>
      <c r="I431" s="468">
        <v>1096</v>
      </c>
      <c r="J431" s="468">
        <v>4</v>
      </c>
      <c r="K431" s="469">
        <v>4384.009765625</v>
      </c>
    </row>
    <row r="432" spans="1:11" ht="14.45" customHeight="1" x14ac:dyDescent="0.2">
      <c r="A432" s="463" t="s">
        <v>436</v>
      </c>
      <c r="B432" s="464" t="s">
        <v>437</v>
      </c>
      <c r="C432" s="465" t="s">
        <v>444</v>
      </c>
      <c r="D432" s="466" t="s">
        <v>445</v>
      </c>
      <c r="E432" s="465" t="s">
        <v>822</v>
      </c>
      <c r="F432" s="466" t="s">
        <v>823</v>
      </c>
      <c r="G432" s="465" t="s">
        <v>1382</v>
      </c>
      <c r="H432" s="465" t="s">
        <v>1383</v>
      </c>
      <c r="I432" s="468">
        <v>1778.8800048828125</v>
      </c>
      <c r="J432" s="468">
        <v>1</v>
      </c>
      <c r="K432" s="469">
        <v>1778.8800048828125</v>
      </c>
    </row>
    <row r="433" spans="1:11" ht="14.45" customHeight="1" x14ac:dyDescent="0.2">
      <c r="A433" s="463" t="s">
        <v>436</v>
      </c>
      <c r="B433" s="464" t="s">
        <v>437</v>
      </c>
      <c r="C433" s="465" t="s">
        <v>444</v>
      </c>
      <c r="D433" s="466" t="s">
        <v>445</v>
      </c>
      <c r="E433" s="465" t="s">
        <v>822</v>
      </c>
      <c r="F433" s="466" t="s">
        <v>823</v>
      </c>
      <c r="G433" s="465" t="s">
        <v>1384</v>
      </c>
      <c r="H433" s="465" t="s">
        <v>1385</v>
      </c>
      <c r="I433" s="468">
        <v>754</v>
      </c>
      <c r="J433" s="468">
        <v>1</v>
      </c>
      <c r="K433" s="469">
        <v>754</v>
      </c>
    </row>
    <row r="434" spans="1:11" ht="14.45" customHeight="1" x14ac:dyDescent="0.2">
      <c r="A434" s="463" t="s">
        <v>436</v>
      </c>
      <c r="B434" s="464" t="s">
        <v>437</v>
      </c>
      <c r="C434" s="465" t="s">
        <v>444</v>
      </c>
      <c r="D434" s="466" t="s">
        <v>445</v>
      </c>
      <c r="E434" s="465" t="s">
        <v>822</v>
      </c>
      <c r="F434" s="466" t="s">
        <v>823</v>
      </c>
      <c r="G434" s="465" t="s">
        <v>1386</v>
      </c>
      <c r="H434" s="465" t="s">
        <v>1387</v>
      </c>
      <c r="I434" s="468">
        <v>600.02001953125</v>
      </c>
      <c r="J434" s="468">
        <v>1</v>
      </c>
      <c r="K434" s="469">
        <v>600.02001953125</v>
      </c>
    </row>
    <row r="435" spans="1:11" ht="14.45" customHeight="1" x14ac:dyDescent="0.2">
      <c r="A435" s="463" t="s">
        <v>436</v>
      </c>
      <c r="B435" s="464" t="s">
        <v>437</v>
      </c>
      <c r="C435" s="465" t="s">
        <v>444</v>
      </c>
      <c r="D435" s="466" t="s">
        <v>445</v>
      </c>
      <c r="E435" s="465" t="s">
        <v>822</v>
      </c>
      <c r="F435" s="466" t="s">
        <v>823</v>
      </c>
      <c r="G435" s="465" t="s">
        <v>1388</v>
      </c>
      <c r="H435" s="465" t="s">
        <v>1389</v>
      </c>
      <c r="I435" s="468">
        <v>879.989990234375</v>
      </c>
      <c r="J435" s="468">
        <v>1</v>
      </c>
      <c r="K435" s="469">
        <v>879.989990234375</v>
      </c>
    </row>
    <row r="436" spans="1:11" ht="14.45" customHeight="1" x14ac:dyDescent="0.2">
      <c r="A436" s="463" t="s">
        <v>436</v>
      </c>
      <c r="B436" s="464" t="s">
        <v>437</v>
      </c>
      <c r="C436" s="465" t="s">
        <v>444</v>
      </c>
      <c r="D436" s="466" t="s">
        <v>445</v>
      </c>
      <c r="E436" s="465" t="s">
        <v>822</v>
      </c>
      <c r="F436" s="466" t="s">
        <v>823</v>
      </c>
      <c r="G436" s="465" t="s">
        <v>1390</v>
      </c>
      <c r="H436" s="465" t="s">
        <v>1391</v>
      </c>
      <c r="I436" s="468">
        <v>693.5999755859375</v>
      </c>
      <c r="J436" s="468">
        <v>1</v>
      </c>
      <c r="K436" s="469">
        <v>693.5999755859375</v>
      </c>
    </row>
    <row r="437" spans="1:11" ht="14.45" customHeight="1" x14ac:dyDescent="0.2">
      <c r="A437" s="463" t="s">
        <v>436</v>
      </c>
      <c r="B437" s="464" t="s">
        <v>437</v>
      </c>
      <c r="C437" s="465" t="s">
        <v>444</v>
      </c>
      <c r="D437" s="466" t="s">
        <v>445</v>
      </c>
      <c r="E437" s="465" t="s">
        <v>822</v>
      </c>
      <c r="F437" s="466" t="s">
        <v>823</v>
      </c>
      <c r="G437" s="465" t="s">
        <v>1392</v>
      </c>
      <c r="H437" s="465" t="s">
        <v>1393</v>
      </c>
      <c r="I437" s="468">
        <v>715.27499389648438</v>
      </c>
      <c r="J437" s="468">
        <v>2</v>
      </c>
      <c r="K437" s="469">
        <v>1430.5499877929688</v>
      </c>
    </row>
    <row r="438" spans="1:11" ht="14.45" customHeight="1" x14ac:dyDescent="0.2">
      <c r="A438" s="463" t="s">
        <v>436</v>
      </c>
      <c r="B438" s="464" t="s">
        <v>437</v>
      </c>
      <c r="C438" s="465" t="s">
        <v>444</v>
      </c>
      <c r="D438" s="466" t="s">
        <v>445</v>
      </c>
      <c r="E438" s="465" t="s">
        <v>822</v>
      </c>
      <c r="F438" s="466" t="s">
        <v>823</v>
      </c>
      <c r="G438" s="465" t="s">
        <v>1376</v>
      </c>
      <c r="H438" s="465" t="s">
        <v>1394</v>
      </c>
      <c r="I438" s="468">
        <v>524.97998046875</v>
      </c>
      <c r="J438" s="468">
        <v>1</v>
      </c>
      <c r="K438" s="469">
        <v>524.97998046875</v>
      </c>
    </row>
    <row r="439" spans="1:11" ht="14.45" customHeight="1" x14ac:dyDescent="0.2">
      <c r="A439" s="463" t="s">
        <v>436</v>
      </c>
      <c r="B439" s="464" t="s">
        <v>437</v>
      </c>
      <c r="C439" s="465" t="s">
        <v>444</v>
      </c>
      <c r="D439" s="466" t="s">
        <v>445</v>
      </c>
      <c r="E439" s="465" t="s">
        <v>822</v>
      </c>
      <c r="F439" s="466" t="s">
        <v>823</v>
      </c>
      <c r="G439" s="465" t="s">
        <v>1395</v>
      </c>
      <c r="H439" s="465" t="s">
        <v>1396</v>
      </c>
      <c r="I439" s="468">
        <v>754</v>
      </c>
      <c r="J439" s="468">
        <v>1</v>
      </c>
      <c r="K439" s="469">
        <v>754</v>
      </c>
    </row>
    <row r="440" spans="1:11" ht="14.45" customHeight="1" x14ac:dyDescent="0.2">
      <c r="A440" s="463" t="s">
        <v>436</v>
      </c>
      <c r="B440" s="464" t="s">
        <v>437</v>
      </c>
      <c r="C440" s="465" t="s">
        <v>444</v>
      </c>
      <c r="D440" s="466" t="s">
        <v>445</v>
      </c>
      <c r="E440" s="465" t="s">
        <v>822</v>
      </c>
      <c r="F440" s="466" t="s">
        <v>823</v>
      </c>
      <c r="G440" s="465" t="s">
        <v>1397</v>
      </c>
      <c r="H440" s="465" t="s">
        <v>1398</v>
      </c>
      <c r="I440" s="468">
        <v>2362</v>
      </c>
      <c r="J440" s="468">
        <v>2</v>
      </c>
      <c r="K440" s="469">
        <v>4724</v>
      </c>
    </row>
    <row r="441" spans="1:11" ht="14.45" customHeight="1" x14ac:dyDescent="0.2">
      <c r="A441" s="463" t="s">
        <v>436</v>
      </c>
      <c r="B441" s="464" t="s">
        <v>437</v>
      </c>
      <c r="C441" s="465" t="s">
        <v>444</v>
      </c>
      <c r="D441" s="466" t="s">
        <v>445</v>
      </c>
      <c r="E441" s="465" t="s">
        <v>822</v>
      </c>
      <c r="F441" s="466" t="s">
        <v>823</v>
      </c>
      <c r="G441" s="465" t="s">
        <v>1399</v>
      </c>
      <c r="H441" s="465" t="s">
        <v>1400</v>
      </c>
      <c r="I441" s="468">
        <v>3898.760009765625</v>
      </c>
      <c r="J441" s="468">
        <v>1</v>
      </c>
      <c r="K441" s="469">
        <v>3898.760009765625</v>
      </c>
    </row>
    <row r="442" spans="1:11" ht="14.45" customHeight="1" x14ac:dyDescent="0.2">
      <c r="A442" s="463" t="s">
        <v>436</v>
      </c>
      <c r="B442" s="464" t="s">
        <v>437</v>
      </c>
      <c r="C442" s="465" t="s">
        <v>444</v>
      </c>
      <c r="D442" s="466" t="s">
        <v>445</v>
      </c>
      <c r="E442" s="465" t="s">
        <v>822</v>
      </c>
      <c r="F442" s="466" t="s">
        <v>823</v>
      </c>
      <c r="G442" s="465" t="s">
        <v>1401</v>
      </c>
      <c r="H442" s="465" t="s">
        <v>1402</v>
      </c>
      <c r="I442" s="468">
        <v>1528</v>
      </c>
      <c r="J442" s="468">
        <v>2</v>
      </c>
      <c r="K442" s="469">
        <v>3056</v>
      </c>
    </row>
    <row r="443" spans="1:11" ht="14.45" customHeight="1" x14ac:dyDescent="0.2">
      <c r="A443" s="463" t="s">
        <v>436</v>
      </c>
      <c r="B443" s="464" t="s">
        <v>437</v>
      </c>
      <c r="C443" s="465" t="s">
        <v>444</v>
      </c>
      <c r="D443" s="466" t="s">
        <v>445</v>
      </c>
      <c r="E443" s="465" t="s">
        <v>822</v>
      </c>
      <c r="F443" s="466" t="s">
        <v>823</v>
      </c>
      <c r="G443" s="465" t="s">
        <v>1378</v>
      </c>
      <c r="H443" s="465" t="s">
        <v>1403</v>
      </c>
      <c r="I443" s="468">
        <v>1096.0033365885417</v>
      </c>
      <c r="J443" s="468">
        <v>13</v>
      </c>
      <c r="K443" s="469">
        <v>14248.02978515625</v>
      </c>
    </row>
    <row r="444" spans="1:11" ht="14.45" customHeight="1" x14ac:dyDescent="0.2">
      <c r="A444" s="463" t="s">
        <v>436</v>
      </c>
      <c r="B444" s="464" t="s">
        <v>437</v>
      </c>
      <c r="C444" s="465" t="s">
        <v>444</v>
      </c>
      <c r="D444" s="466" t="s">
        <v>445</v>
      </c>
      <c r="E444" s="465" t="s">
        <v>822</v>
      </c>
      <c r="F444" s="466" t="s">
        <v>823</v>
      </c>
      <c r="G444" s="465" t="s">
        <v>1404</v>
      </c>
      <c r="H444" s="465" t="s">
        <v>1405</v>
      </c>
      <c r="I444" s="468">
        <v>1096</v>
      </c>
      <c r="J444" s="468">
        <v>5</v>
      </c>
      <c r="K444" s="469">
        <v>5479.989990234375</v>
      </c>
    </row>
    <row r="445" spans="1:11" ht="14.45" customHeight="1" x14ac:dyDescent="0.2">
      <c r="A445" s="463" t="s">
        <v>436</v>
      </c>
      <c r="B445" s="464" t="s">
        <v>437</v>
      </c>
      <c r="C445" s="465" t="s">
        <v>444</v>
      </c>
      <c r="D445" s="466" t="s">
        <v>445</v>
      </c>
      <c r="E445" s="465" t="s">
        <v>822</v>
      </c>
      <c r="F445" s="466" t="s">
        <v>823</v>
      </c>
      <c r="G445" s="465" t="s">
        <v>1406</v>
      </c>
      <c r="H445" s="465" t="s">
        <v>1407</v>
      </c>
      <c r="I445" s="468">
        <v>1096</v>
      </c>
      <c r="J445" s="468">
        <v>3</v>
      </c>
      <c r="K445" s="469">
        <v>3288</v>
      </c>
    </row>
    <row r="446" spans="1:11" ht="14.45" customHeight="1" x14ac:dyDescent="0.2">
      <c r="A446" s="463" t="s">
        <v>436</v>
      </c>
      <c r="B446" s="464" t="s">
        <v>437</v>
      </c>
      <c r="C446" s="465" t="s">
        <v>444</v>
      </c>
      <c r="D446" s="466" t="s">
        <v>445</v>
      </c>
      <c r="E446" s="465" t="s">
        <v>822</v>
      </c>
      <c r="F446" s="466" t="s">
        <v>823</v>
      </c>
      <c r="G446" s="465" t="s">
        <v>1380</v>
      </c>
      <c r="H446" s="465" t="s">
        <v>1408</v>
      </c>
      <c r="I446" s="468">
        <v>1096.010009765625</v>
      </c>
      <c r="J446" s="468">
        <v>8</v>
      </c>
      <c r="K446" s="469">
        <v>8768.090087890625</v>
      </c>
    </row>
    <row r="447" spans="1:11" ht="14.45" customHeight="1" x14ac:dyDescent="0.2">
      <c r="A447" s="463" t="s">
        <v>436</v>
      </c>
      <c r="B447" s="464" t="s">
        <v>437</v>
      </c>
      <c r="C447" s="465" t="s">
        <v>444</v>
      </c>
      <c r="D447" s="466" t="s">
        <v>445</v>
      </c>
      <c r="E447" s="465" t="s">
        <v>822</v>
      </c>
      <c r="F447" s="466" t="s">
        <v>823</v>
      </c>
      <c r="G447" s="465" t="s">
        <v>1409</v>
      </c>
      <c r="H447" s="465" t="s">
        <v>1410</v>
      </c>
      <c r="I447" s="468">
        <v>1096</v>
      </c>
      <c r="J447" s="468">
        <v>5</v>
      </c>
      <c r="K447" s="469">
        <v>5479.989990234375</v>
      </c>
    </row>
    <row r="448" spans="1:11" ht="14.45" customHeight="1" x14ac:dyDescent="0.2">
      <c r="A448" s="463" t="s">
        <v>436</v>
      </c>
      <c r="B448" s="464" t="s">
        <v>437</v>
      </c>
      <c r="C448" s="465" t="s">
        <v>444</v>
      </c>
      <c r="D448" s="466" t="s">
        <v>445</v>
      </c>
      <c r="E448" s="465" t="s">
        <v>822</v>
      </c>
      <c r="F448" s="466" t="s">
        <v>823</v>
      </c>
      <c r="G448" s="465" t="s">
        <v>1411</v>
      </c>
      <c r="H448" s="465" t="s">
        <v>1412</v>
      </c>
      <c r="I448" s="468">
        <v>1096</v>
      </c>
      <c r="J448" s="468">
        <v>6</v>
      </c>
      <c r="K448" s="469">
        <v>6575.989990234375</v>
      </c>
    </row>
    <row r="449" spans="1:11" ht="14.45" customHeight="1" x14ac:dyDescent="0.2">
      <c r="A449" s="463" t="s">
        <v>436</v>
      </c>
      <c r="B449" s="464" t="s">
        <v>437</v>
      </c>
      <c r="C449" s="465" t="s">
        <v>444</v>
      </c>
      <c r="D449" s="466" t="s">
        <v>445</v>
      </c>
      <c r="E449" s="465" t="s">
        <v>822</v>
      </c>
      <c r="F449" s="466" t="s">
        <v>823</v>
      </c>
      <c r="G449" s="465" t="s">
        <v>1413</v>
      </c>
      <c r="H449" s="465" t="s">
        <v>1414</v>
      </c>
      <c r="I449" s="468">
        <v>1482.4000244140625</v>
      </c>
      <c r="J449" s="468">
        <v>1</v>
      </c>
      <c r="K449" s="469">
        <v>1482.4000244140625</v>
      </c>
    </row>
    <row r="450" spans="1:11" ht="14.45" customHeight="1" x14ac:dyDescent="0.2">
      <c r="A450" s="463" t="s">
        <v>436</v>
      </c>
      <c r="B450" s="464" t="s">
        <v>437</v>
      </c>
      <c r="C450" s="465" t="s">
        <v>444</v>
      </c>
      <c r="D450" s="466" t="s">
        <v>445</v>
      </c>
      <c r="E450" s="465" t="s">
        <v>822</v>
      </c>
      <c r="F450" s="466" t="s">
        <v>823</v>
      </c>
      <c r="G450" s="465" t="s">
        <v>1415</v>
      </c>
      <c r="H450" s="465" t="s">
        <v>1416</v>
      </c>
      <c r="I450" s="468">
        <v>1528.510009765625</v>
      </c>
      <c r="J450" s="468">
        <v>5</v>
      </c>
      <c r="K450" s="469">
        <v>7689.030029296875</v>
      </c>
    </row>
    <row r="451" spans="1:11" ht="14.45" customHeight="1" x14ac:dyDescent="0.2">
      <c r="A451" s="463" t="s">
        <v>436</v>
      </c>
      <c r="B451" s="464" t="s">
        <v>437</v>
      </c>
      <c r="C451" s="465" t="s">
        <v>444</v>
      </c>
      <c r="D451" s="466" t="s">
        <v>445</v>
      </c>
      <c r="E451" s="465" t="s">
        <v>822</v>
      </c>
      <c r="F451" s="466" t="s">
        <v>823</v>
      </c>
      <c r="G451" s="465" t="s">
        <v>1382</v>
      </c>
      <c r="H451" s="465" t="s">
        <v>1417</v>
      </c>
      <c r="I451" s="468">
        <v>1528.510009765625</v>
      </c>
      <c r="J451" s="468">
        <v>4</v>
      </c>
      <c r="K451" s="469">
        <v>6114.02001953125</v>
      </c>
    </row>
    <row r="452" spans="1:11" ht="14.45" customHeight="1" x14ac:dyDescent="0.2">
      <c r="A452" s="463" t="s">
        <v>436</v>
      </c>
      <c r="B452" s="464" t="s">
        <v>437</v>
      </c>
      <c r="C452" s="465" t="s">
        <v>444</v>
      </c>
      <c r="D452" s="466" t="s">
        <v>445</v>
      </c>
      <c r="E452" s="465" t="s">
        <v>822</v>
      </c>
      <c r="F452" s="466" t="s">
        <v>823</v>
      </c>
      <c r="G452" s="465" t="s">
        <v>1418</v>
      </c>
      <c r="H452" s="465" t="s">
        <v>1419</v>
      </c>
      <c r="I452" s="468">
        <v>3505.030029296875</v>
      </c>
      <c r="J452" s="468">
        <v>3</v>
      </c>
      <c r="K452" s="469">
        <v>10515.080078125</v>
      </c>
    </row>
    <row r="453" spans="1:11" ht="14.45" customHeight="1" x14ac:dyDescent="0.2">
      <c r="A453" s="463" t="s">
        <v>436</v>
      </c>
      <c r="B453" s="464" t="s">
        <v>437</v>
      </c>
      <c r="C453" s="465" t="s">
        <v>444</v>
      </c>
      <c r="D453" s="466" t="s">
        <v>445</v>
      </c>
      <c r="E453" s="465" t="s">
        <v>822</v>
      </c>
      <c r="F453" s="466" t="s">
        <v>823</v>
      </c>
      <c r="G453" s="465" t="s">
        <v>1420</v>
      </c>
      <c r="H453" s="465" t="s">
        <v>1421</v>
      </c>
      <c r="I453" s="468">
        <v>4796.7099609375</v>
      </c>
      <c r="J453" s="468">
        <v>3</v>
      </c>
      <c r="K453" s="469">
        <v>14390.1298828125</v>
      </c>
    </row>
    <row r="454" spans="1:11" ht="14.45" customHeight="1" x14ac:dyDescent="0.2">
      <c r="A454" s="463" t="s">
        <v>436</v>
      </c>
      <c r="B454" s="464" t="s">
        <v>437</v>
      </c>
      <c r="C454" s="465" t="s">
        <v>444</v>
      </c>
      <c r="D454" s="466" t="s">
        <v>445</v>
      </c>
      <c r="E454" s="465" t="s">
        <v>822</v>
      </c>
      <c r="F454" s="466" t="s">
        <v>823</v>
      </c>
      <c r="G454" s="465" t="s">
        <v>1422</v>
      </c>
      <c r="H454" s="465" t="s">
        <v>1423</v>
      </c>
      <c r="I454" s="468">
        <v>3139</v>
      </c>
      <c r="J454" s="468">
        <v>2</v>
      </c>
      <c r="K454" s="469">
        <v>6278</v>
      </c>
    </row>
    <row r="455" spans="1:11" ht="14.45" customHeight="1" x14ac:dyDescent="0.2">
      <c r="A455" s="463" t="s">
        <v>436</v>
      </c>
      <c r="B455" s="464" t="s">
        <v>437</v>
      </c>
      <c r="C455" s="465" t="s">
        <v>444</v>
      </c>
      <c r="D455" s="466" t="s">
        <v>445</v>
      </c>
      <c r="E455" s="465" t="s">
        <v>822</v>
      </c>
      <c r="F455" s="466" t="s">
        <v>823</v>
      </c>
      <c r="G455" s="465" t="s">
        <v>1424</v>
      </c>
      <c r="H455" s="465" t="s">
        <v>1425</v>
      </c>
      <c r="I455" s="468">
        <v>119.40000152587891</v>
      </c>
      <c r="J455" s="468">
        <v>100</v>
      </c>
      <c r="K455" s="469">
        <v>11940</v>
      </c>
    </row>
    <row r="456" spans="1:11" ht="14.45" customHeight="1" x14ac:dyDescent="0.2">
      <c r="A456" s="463" t="s">
        <v>436</v>
      </c>
      <c r="B456" s="464" t="s">
        <v>437</v>
      </c>
      <c r="C456" s="465" t="s">
        <v>444</v>
      </c>
      <c r="D456" s="466" t="s">
        <v>445</v>
      </c>
      <c r="E456" s="465" t="s">
        <v>822</v>
      </c>
      <c r="F456" s="466" t="s">
        <v>823</v>
      </c>
      <c r="G456" s="465" t="s">
        <v>1426</v>
      </c>
      <c r="H456" s="465" t="s">
        <v>1427</v>
      </c>
      <c r="I456" s="468">
        <v>25.559999465942383</v>
      </c>
      <c r="J456" s="468">
        <v>36</v>
      </c>
      <c r="K456" s="469">
        <v>920</v>
      </c>
    </row>
    <row r="457" spans="1:11" ht="14.45" customHeight="1" x14ac:dyDescent="0.2">
      <c r="A457" s="463" t="s">
        <v>436</v>
      </c>
      <c r="B457" s="464" t="s">
        <v>437</v>
      </c>
      <c r="C457" s="465" t="s">
        <v>444</v>
      </c>
      <c r="D457" s="466" t="s">
        <v>445</v>
      </c>
      <c r="E457" s="465" t="s">
        <v>822</v>
      </c>
      <c r="F457" s="466" t="s">
        <v>823</v>
      </c>
      <c r="G457" s="465" t="s">
        <v>1428</v>
      </c>
      <c r="H457" s="465" t="s">
        <v>1429</v>
      </c>
      <c r="I457" s="468">
        <v>5.6700000762939453</v>
      </c>
      <c r="J457" s="468">
        <v>390</v>
      </c>
      <c r="K457" s="469">
        <v>2209.989990234375</v>
      </c>
    </row>
    <row r="458" spans="1:11" ht="14.45" customHeight="1" x14ac:dyDescent="0.2">
      <c r="A458" s="463" t="s">
        <v>436</v>
      </c>
      <c r="B458" s="464" t="s">
        <v>437</v>
      </c>
      <c r="C458" s="465" t="s">
        <v>444</v>
      </c>
      <c r="D458" s="466" t="s">
        <v>445</v>
      </c>
      <c r="E458" s="465" t="s">
        <v>822</v>
      </c>
      <c r="F458" s="466" t="s">
        <v>823</v>
      </c>
      <c r="G458" s="465" t="s">
        <v>1428</v>
      </c>
      <c r="H458" s="465" t="s">
        <v>1430</v>
      </c>
      <c r="I458" s="468">
        <v>5.6700000762939453</v>
      </c>
      <c r="J458" s="468">
        <v>120</v>
      </c>
      <c r="K458" s="469">
        <v>680.00999450683594</v>
      </c>
    </row>
    <row r="459" spans="1:11" ht="14.45" customHeight="1" x14ac:dyDescent="0.2">
      <c r="A459" s="463" t="s">
        <v>436</v>
      </c>
      <c r="B459" s="464" t="s">
        <v>437</v>
      </c>
      <c r="C459" s="465" t="s">
        <v>444</v>
      </c>
      <c r="D459" s="466" t="s">
        <v>445</v>
      </c>
      <c r="E459" s="465" t="s">
        <v>822</v>
      </c>
      <c r="F459" s="466" t="s">
        <v>823</v>
      </c>
      <c r="G459" s="465" t="s">
        <v>1431</v>
      </c>
      <c r="H459" s="465" t="s">
        <v>1432</v>
      </c>
      <c r="I459" s="468">
        <v>5.6120000839233395</v>
      </c>
      <c r="J459" s="468">
        <v>510</v>
      </c>
      <c r="K459" s="469">
        <v>2864.5</v>
      </c>
    </row>
    <row r="460" spans="1:11" ht="14.45" customHeight="1" x14ac:dyDescent="0.2">
      <c r="A460" s="463" t="s">
        <v>436</v>
      </c>
      <c r="B460" s="464" t="s">
        <v>437</v>
      </c>
      <c r="C460" s="465" t="s">
        <v>444</v>
      </c>
      <c r="D460" s="466" t="s">
        <v>445</v>
      </c>
      <c r="E460" s="465" t="s">
        <v>822</v>
      </c>
      <c r="F460" s="466" t="s">
        <v>823</v>
      </c>
      <c r="G460" s="465" t="s">
        <v>1433</v>
      </c>
      <c r="H460" s="465" t="s">
        <v>1434</v>
      </c>
      <c r="I460" s="468">
        <v>5.4766667683919268</v>
      </c>
      <c r="J460" s="468">
        <v>330</v>
      </c>
      <c r="K460" s="469">
        <v>1802.010009765625</v>
      </c>
    </row>
    <row r="461" spans="1:11" ht="14.45" customHeight="1" x14ac:dyDescent="0.2">
      <c r="A461" s="463" t="s">
        <v>436</v>
      </c>
      <c r="B461" s="464" t="s">
        <v>437</v>
      </c>
      <c r="C461" s="465" t="s">
        <v>444</v>
      </c>
      <c r="D461" s="466" t="s">
        <v>445</v>
      </c>
      <c r="E461" s="465" t="s">
        <v>822</v>
      </c>
      <c r="F461" s="466" t="s">
        <v>823</v>
      </c>
      <c r="G461" s="465" t="s">
        <v>1435</v>
      </c>
      <c r="H461" s="465" t="s">
        <v>1436</v>
      </c>
      <c r="I461" s="468">
        <v>5.6120000839233395</v>
      </c>
      <c r="J461" s="468">
        <v>690</v>
      </c>
      <c r="K461" s="469">
        <v>3884.52001953125</v>
      </c>
    </row>
    <row r="462" spans="1:11" ht="14.45" customHeight="1" x14ac:dyDescent="0.2">
      <c r="A462" s="463" t="s">
        <v>436</v>
      </c>
      <c r="B462" s="464" t="s">
        <v>437</v>
      </c>
      <c r="C462" s="465" t="s">
        <v>444</v>
      </c>
      <c r="D462" s="466" t="s">
        <v>445</v>
      </c>
      <c r="E462" s="465" t="s">
        <v>822</v>
      </c>
      <c r="F462" s="466" t="s">
        <v>823</v>
      </c>
      <c r="G462" s="465" t="s">
        <v>1437</v>
      </c>
      <c r="H462" s="465" t="s">
        <v>1438</v>
      </c>
      <c r="I462" s="468">
        <v>5.5733334223429365</v>
      </c>
      <c r="J462" s="468">
        <v>330</v>
      </c>
      <c r="K462" s="469">
        <v>1844.4800109863281</v>
      </c>
    </row>
    <row r="463" spans="1:11" ht="14.45" customHeight="1" x14ac:dyDescent="0.2">
      <c r="A463" s="463" t="s">
        <v>436</v>
      </c>
      <c r="B463" s="464" t="s">
        <v>437</v>
      </c>
      <c r="C463" s="465" t="s">
        <v>444</v>
      </c>
      <c r="D463" s="466" t="s">
        <v>445</v>
      </c>
      <c r="E463" s="465" t="s">
        <v>822</v>
      </c>
      <c r="F463" s="466" t="s">
        <v>823</v>
      </c>
      <c r="G463" s="465" t="s">
        <v>1439</v>
      </c>
      <c r="H463" s="465" t="s">
        <v>1440</v>
      </c>
      <c r="I463" s="468">
        <v>335.17001342773438</v>
      </c>
      <c r="J463" s="468">
        <v>2</v>
      </c>
      <c r="K463" s="469">
        <v>670.34002685546875</v>
      </c>
    </row>
    <row r="464" spans="1:11" ht="14.45" customHeight="1" x14ac:dyDescent="0.2">
      <c r="A464" s="463" t="s">
        <v>436</v>
      </c>
      <c r="B464" s="464" t="s">
        <v>437</v>
      </c>
      <c r="C464" s="465" t="s">
        <v>444</v>
      </c>
      <c r="D464" s="466" t="s">
        <v>445</v>
      </c>
      <c r="E464" s="465" t="s">
        <v>822</v>
      </c>
      <c r="F464" s="466" t="s">
        <v>823</v>
      </c>
      <c r="G464" s="465" t="s">
        <v>1441</v>
      </c>
      <c r="H464" s="465" t="s">
        <v>1442</v>
      </c>
      <c r="I464" s="468">
        <v>1420</v>
      </c>
      <c r="J464" s="468">
        <v>5</v>
      </c>
      <c r="K464" s="469">
        <v>7100</v>
      </c>
    </row>
    <row r="465" spans="1:11" ht="14.45" customHeight="1" x14ac:dyDescent="0.2">
      <c r="A465" s="463" t="s">
        <v>436</v>
      </c>
      <c r="B465" s="464" t="s">
        <v>437</v>
      </c>
      <c r="C465" s="465" t="s">
        <v>444</v>
      </c>
      <c r="D465" s="466" t="s">
        <v>445</v>
      </c>
      <c r="E465" s="465" t="s">
        <v>822</v>
      </c>
      <c r="F465" s="466" t="s">
        <v>823</v>
      </c>
      <c r="G465" s="465" t="s">
        <v>1443</v>
      </c>
      <c r="H465" s="465" t="s">
        <v>1444</v>
      </c>
      <c r="I465" s="468">
        <v>161.66999816894531</v>
      </c>
      <c r="J465" s="468">
        <v>6</v>
      </c>
      <c r="K465" s="469">
        <v>970</v>
      </c>
    </row>
    <row r="466" spans="1:11" ht="14.45" customHeight="1" x14ac:dyDescent="0.2">
      <c r="A466" s="463" t="s">
        <v>436</v>
      </c>
      <c r="B466" s="464" t="s">
        <v>437</v>
      </c>
      <c r="C466" s="465" t="s">
        <v>444</v>
      </c>
      <c r="D466" s="466" t="s">
        <v>445</v>
      </c>
      <c r="E466" s="465" t="s">
        <v>822</v>
      </c>
      <c r="F466" s="466" t="s">
        <v>823</v>
      </c>
      <c r="G466" s="465" t="s">
        <v>1445</v>
      </c>
      <c r="H466" s="465" t="s">
        <v>1446</v>
      </c>
      <c r="I466" s="468">
        <v>28.549999237060547</v>
      </c>
      <c r="J466" s="468">
        <v>150</v>
      </c>
      <c r="K466" s="469">
        <v>4282.679931640625</v>
      </c>
    </row>
    <row r="467" spans="1:11" ht="14.45" customHeight="1" x14ac:dyDescent="0.2">
      <c r="A467" s="463" t="s">
        <v>436</v>
      </c>
      <c r="B467" s="464" t="s">
        <v>437</v>
      </c>
      <c r="C467" s="465" t="s">
        <v>444</v>
      </c>
      <c r="D467" s="466" t="s">
        <v>445</v>
      </c>
      <c r="E467" s="465" t="s">
        <v>822</v>
      </c>
      <c r="F467" s="466" t="s">
        <v>823</v>
      </c>
      <c r="G467" s="465" t="s">
        <v>1447</v>
      </c>
      <c r="H467" s="465" t="s">
        <v>1448</v>
      </c>
      <c r="I467" s="468">
        <v>28.549999237060547</v>
      </c>
      <c r="J467" s="468">
        <v>100</v>
      </c>
      <c r="K467" s="469">
        <v>2855.030029296875</v>
      </c>
    </row>
    <row r="468" spans="1:11" ht="14.45" customHeight="1" x14ac:dyDescent="0.2">
      <c r="A468" s="463" t="s">
        <v>436</v>
      </c>
      <c r="B468" s="464" t="s">
        <v>437</v>
      </c>
      <c r="C468" s="465" t="s">
        <v>444</v>
      </c>
      <c r="D468" s="466" t="s">
        <v>445</v>
      </c>
      <c r="E468" s="465" t="s">
        <v>822</v>
      </c>
      <c r="F468" s="466" t="s">
        <v>823</v>
      </c>
      <c r="G468" s="465" t="s">
        <v>1449</v>
      </c>
      <c r="H468" s="465" t="s">
        <v>1450</v>
      </c>
      <c r="I468" s="468">
        <v>19.780000686645508</v>
      </c>
      <c r="J468" s="468">
        <v>50</v>
      </c>
      <c r="K468" s="469">
        <v>988.96002197265625</v>
      </c>
    </row>
    <row r="469" spans="1:11" ht="14.45" customHeight="1" x14ac:dyDescent="0.2">
      <c r="A469" s="463" t="s">
        <v>436</v>
      </c>
      <c r="B469" s="464" t="s">
        <v>437</v>
      </c>
      <c r="C469" s="465" t="s">
        <v>444</v>
      </c>
      <c r="D469" s="466" t="s">
        <v>445</v>
      </c>
      <c r="E469" s="465" t="s">
        <v>822</v>
      </c>
      <c r="F469" s="466" t="s">
        <v>823</v>
      </c>
      <c r="G469" s="465" t="s">
        <v>1451</v>
      </c>
      <c r="H469" s="465" t="s">
        <v>1452</v>
      </c>
      <c r="I469" s="468">
        <v>4475.670166015625</v>
      </c>
      <c r="J469" s="468">
        <v>8</v>
      </c>
      <c r="K469" s="469">
        <v>34810.76953125</v>
      </c>
    </row>
    <row r="470" spans="1:11" ht="14.45" customHeight="1" x14ac:dyDescent="0.2">
      <c r="A470" s="463" t="s">
        <v>436</v>
      </c>
      <c r="B470" s="464" t="s">
        <v>437</v>
      </c>
      <c r="C470" s="465" t="s">
        <v>444</v>
      </c>
      <c r="D470" s="466" t="s">
        <v>445</v>
      </c>
      <c r="E470" s="465" t="s">
        <v>822</v>
      </c>
      <c r="F470" s="466" t="s">
        <v>823</v>
      </c>
      <c r="G470" s="465" t="s">
        <v>1453</v>
      </c>
      <c r="H470" s="465" t="s">
        <v>1454</v>
      </c>
      <c r="I470" s="468">
        <v>23.729999542236328</v>
      </c>
      <c r="J470" s="468">
        <v>50</v>
      </c>
      <c r="K470" s="469">
        <v>1186.5400390625</v>
      </c>
    </row>
    <row r="471" spans="1:11" ht="14.45" customHeight="1" x14ac:dyDescent="0.2">
      <c r="A471" s="463" t="s">
        <v>436</v>
      </c>
      <c r="B471" s="464" t="s">
        <v>437</v>
      </c>
      <c r="C471" s="465" t="s">
        <v>444</v>
      </c>
      <c r="D471" s="466" t="s">
        <v>445</v>
      </c>
      <c r="E471" s="465" t="s">
        <v>822</v>
      </c>
      <c r="F471" s="466" t="s">
        <v>823</v>
      </c>
      <c r="G471" s="465" t="s">
        <v>1455</v>
      </c>
      <c r="H471" s="465" t="s">
        <v>1456</v>
      </c>
      <c r="I471" s="468">
        <v>340</v>
      </c>
      <c r="J471" s="468">
        <v>2</v>
      </c>
      <c r="K471" s="469">
        <v>680</v>
      </c>
    </row>
    <row r="472" spans="1:11" ht="14.45" customHeight="1" x14ac:dyDescent="0.2">
      <c r="A472" s="463" t="s">
        <v>436</v>
      </c>
      <c r="B472" s="464" t="s">
        <v>437</v>
      </c>
      <c r="C472" s="465" t="s">
        <v>444</v>
      </c>
      <c r="D472" s="466" t="s">
        <v>445</v>
      </c>
      <c r="E472" s="465" t="s">
        <v>822</v>
      </c>
      <c r="F472" s="466" t="s">
        <v>823</v>
      </c>
      <c r="G472" s="465" t="s">
        <v>1457</v>
      </c>
      <c r="H472" s="465" t="s">
        <v>1458</v>
      </c>
      <c r="I472" s="468">
        <v>273.1300048828125</v>
      </c>
      <c r="J472" s="468">
        <v>10</v>
      </c>
      <c r="K472" s="469">
        <v>2731.25</v>
      </c>
    </row>
    <row r="473" spans="1:11" ht="14.45" customHeight="1" x14ac:dyDescent="0.2">
      <c r="A473" s="463" t="s">
        <v>436</v>
      </c>
      <c r="B473" s="464" t="s">
        <v>437</v>
      </c>
      <c r="C473" s="465" t="s">
        <v>444</v>
      </c>
      <c r="D473" s="466" t="s">
        <v>445</v>
      </c>
      <c r="E473" s="465" t="s">
        <v>822</v>
      </c>
      <c r="F473" s="466" t="s">
        <v>823</v>
      </c>
      <c r="G473" s="465" t="s">
        <v>1459</v>
      </c>
      <c r="H473" s="465" t="s">
        <v>1460</v>
      </c>
      <c r="I473" s="468">
        <v>1249.989990234375</v>
      </c>
      <c r="J473" s="468">
        <v>1</v>
      </c>
      <c r="K473" s="469">
        <v>1249.989990234375</v>
      </c>
    </row>
    <row r="474" spans="1:11" ht="14.45" customHeight="1" x14ac:dyDescent="0.2">
      <c r="A474" s="463" t="s">
        <v>436</v>
      </c>
      <c r="B474" s="464" t="s">
        <v>437</v>
      </c>
      <c r="C474" s="465" t="s">
        <v>444</v>
      </c>
      <c r="D474" s="466" t="s">
        <v>445</v>
      </c>
      <c r="E474" s="465" t="s">
        <v>822</v>
      </c>
      <c r="F474" s="466" t="s">
        <v>823</v>
      </c>
      <c r="G474" s="465" t="s">
        <v>1461</v>
      </c>
      <c r="H474" s="465" t="s">
        <v>1462</v>
      </c>
      <c r="I474" s="468">
        <v>1250</v>
      </c>
      <c r="J474" s="468">
        <v>1</v>
      </c>
      <c r="K474" s="469">
        <v>1250</v>
      </c>
    </row>
    <row r="475" spans="1:11" ht="14.45" customHeight="1" x14ac:dyDescent="0.2">
      <c r="A475" s="463" t="s">
        <v>436</v>
      </c>
      <c r="B475" s="464" t="s">
        <v>437</v>
      </c>
      <c r="C475" s="465" t="s">
        <v>444</v>
      </c>
      <c r="D475" s="466" t="s">
        <v>445</v>
      </c>
      <c r="E475" s="465" t="s">
        <v>822</v>
      </c>
      <c r="F475" s="466" t="s">
        <v>823</v>
      </c>
      <c r="G475" s="465" t="s">
        <v>1463</v>
      </c>
      <c r="H475" s="465" t="s">
        <v>1464</v>
      </c>
      <c r="I475" s="468">
        <v>1976</v>
      </c>
      <c r="J475" s="468">
        <v>1</v>
      </c>
      <c r="K475" s="469">
        <v>1976</v>
      </c>
    </row>
    <row r="476" spans="1:11" ht="14.45" customHeight="1" x14ac:dyDescent="0.2">
      <c r="A476" s="463" t="s">
        <v>436</v>
      </c>
      <c r="B476" s="464" t="s">
        <v>437</v>
      </c>
      <c r="C476" s="465" t="s">
        <v>444</v>
      </c>
      <c r="D476" s="466" t="s">
        <v>445</v>
      </c>
      <c r="E476" s="465" t="s">
        <v>822</v>
      </c>
      <c r="F476" s="466" t="s">
        <v>823</v>
      </c>
      <c r="G476" s="465" t="s">
        <v>1465</v>
      </c>
      <c r="H476" s="465" t="s">
        <v>1466</v>
      </c>
      <c r="I476" s="468">
        <v>207.00499725341797</v>
      </c>
      <c r="J476" s="468">
        <v>20</v>
      </c>
      <c r="K476" s="469">
        <v>4140.139892578125</v>
      </c>
    </row>
    <row r="477" spans="1:11" ht="14.45" customHeight="1" x14ac:dyDescent="0.2">
      <c r="A477" s="463" t="s">
        <v>436</v>
      </c>
      <c r="B477" s="464" t="s">
        <v>437</v>
      </c>
      <c r="C477" s="465" t="s">
        <v>444</v>
      </c>
      <c r="D477" s="466" t="s">
        <v>445</v>
      </c>
      <c r="E477" s="465" t="s">
        <v>822</v>
      </c>
      <c r="F477" s="466" t="s">
        <v>823</v>
      </c>
      <c r="G477" s="465" t="s">
        <v>1467</v>
      </c>
      <c r="H477" s="465" t="s">
        <v>1468</v>
      </c>
      <c r="I477" s="468">
        <v>1.3799999952316284</v>
      </c>
      <c r="J477" s="468">
        <v>1000</v>
      </c>
      <c r="K477" s="469">
        <v>1380.010009765625</v>
      </c>
    </row>
    <row r="478" spans="1:11" ht="14.45" customHeight="1" x14ac:dyDescent="0.2">
      <c r="A478" s="463" t="s">
        <v>436</v>
      </c>
      <c r="B478" s="464" t="s">
        <v>437</v>
      </c>
      <c r="C478" s="465" t="s">
        <v>444</v>
      </c>
      <c r="D478" s="466" t="s">
        <v>445</v>
      </c>
      <c r="E478" s="465" t="s">
        <v>822</v>
      </c>
      <c r="F478" s="466" t="s">
        <v>823</v>
      </c>
      <c r="G478" s="465" t="s">
        <v>1469</v>
      </c>
      <c r="H478" s="465" t="s">
        <v>1470</v>
      </c>
      <c r="I478" s="468">
        <v>230</v>
      </c>
      <c r="J478" s="468">
        <v>30</v>
      </c>
      <c r="K478" s="469">
        <v>6900</v>
      </c>
    </row>
    <row r="479" spans="1:11" ht="14.45" customHeight="1" x14ac:dyDescent="0.2">
      <c r="A479" s="463" t="s">
        <v>436</v>
      </c>
      <c r="B479" s="464" t="s">
        <v>437</v>
      </c>
      <c r="C479" s="465" t="s">
        <v>444</v>
      </c>
      <c r="D479" s="466" t="s">
        <v>445</v>
      </c>
      <c r="E479" s="465" t="s">
        <v>822</v>
      </c>
      <c r="F479" s="466" t="s">
        <v>823</v>
      </c>
      <c r="G479" s="465" t="s">
        <v>1471</v>
      </c>
      <c r="H479" s="465" t="s">
        <v>1472</v>
      </c>
      <c r="I479" s="468">
        <v>265</v>
      </c>
      <c r="J479" s="468">
        <v>24</v>
      </c>
      <c r="K479" s="469">
        <v>6360</v>
      </c>
    </row>
    <row r="480" spans="1:11" ht="14.45" customHeight="1" x14ac:dyDescent="0.2">
      <c r="A480" s="463" t="s">
        <v>436</v>
      </c>
      <c r="B480" s="464" t="s">
        <v>437</v>
      </c>
      <c r="C480" s="465" t="s">
        <v>444</v>
      </c>
      <c r="D480" s="466" t="s">
        <v>445</v>
      </c>
      <c r="E480" s="465" t="s">
        <v>822</v>
      </c>
      <c r="F480" s="466" t="s">
        <v>823</v>
      </c>
      <c r="G480" s="465" t="s">
        <v>1473</v>
      </c>
      <c r="H480" s="465" t="s">
        <v>1474</v>
      </c>
      <c r="I480" s="468">
        <v>12.880000114440918</v>
      </c>
      <c r="J480" s="468">
        <v>50</v>
      </c>
      <c r="K480" s="469">
        <v>643.989990234375</v>
      </c>
    </row>
    <row r="481" spans="1:11" ht="14.45" customHeight="1" x14ac:dyDescent="0.2">
      <c r="A481" s="463" t="s">
        <v>436</v>
      </c>
      <c r="B481" s="464" t="s">
        <v>437</v>
      </c>
      <c r="C481" s="465" t="s">
        <v>444</v>
      </c>
      <c r="D481" s="466" t="s">
        <v>445</v>
      </c>
      <c r="E481" s="465" t="s">
        <v>822</v>
      </c>
      <c r="F481" s="466" t="s">
        <v>823</v>
      </c>
      <c r="G481" s="465" t="s">
        <v>1475</v>
      </c>
      <c r="H481" s="465" t="s">
        <v>1476</v>
      </c>
      <c r="I481" s="468">
        <v>2903.199951171875</v>
      </c>
      <c r="J481" s="468">
        <v>2</v>
      </c>
      <c r="K481" s="469">
        <v>5806.39013671875</v>
      </c>
    </row>
    <row r="482" spans="1:11" ht="14.45" customHeight="1" x14ac:dyDescent="0.2">
      <c r="A482" s="463" t="s">
        <v>436</v>
      </c>
      <c r="B482" s="464" t="s">
        <v>437</v>
      </c>
      <c r="C482" s="465" t="s">
        <v>444</v>
      </c>
      <c r="D482" s="466" t="s">
        <v>445</v>
      </c>
      <c r="E482" s="465" t="s">
        <v>822</v>
      </c>
      <c r="F482" s="466" t="s">
        <v>823</v>
      </c>
      <c r="G482" s="465" t="s">
        <v>1477</v>
      </c>
      <c r="H482" s="465" t="s">
        <v>1478</v>
      </c>
      <c r="I482" s="468">
        <v>385.98665873209637</v>
      </c>
      <c r="J482" s="468">
        <v>28</v>
      </c>
      <c r="K482" s="469">
        <v>10807.599731445313</v>
      </c>
    </row>
    <row r="483" spans="1:11" ht="14.45" customHeight="1" x14ac:dyDescent="0.2">
      <c r="A483" s="463" t="s">
        <v>436</v>
      </c>
      <c r="B483" s="464" t="s">
        <v>437</v>
      </c>
      <c r="C483" s="465" t="s">
        <v>444</v>
      </c>
      <c r="D483" s="466" t="s">
        <v>445</v>
      </c>
      <c r="E483" s="465" t="s">
        <v>822</v>
      </c>
      <c r="F483" s="466" t="s">
        <v>823</v>
      </c>
      <c r="G483" s="465" t="s">
        <v>1477</v>
      </c>
      <c r="H483" s="465" t="s">
        <v>1479</v>
      </c>
      <c r="I483" s="468">
        <v>385.989990234375</v>
      </c>
      <c r="J483" s="468">
        <v>48</v>
      </c>
      <c r="K483" s="469">
        <v>18527.51953125</v>
      </c>
    </row>
    <row r="484" spans="1:11" ht="14.45" customHeight="1" x14ac:dyDescent="0.2">
      <c r="A484" s="463" t="s">
        <v>436</v>
      </c>
      <c r="B484" s="464" t="s">
        <v>437</v>
      </c>
      <c r="C484" s="465" t="s">
        <v>444</v>
      </c>
      <c r="D484" s="466" t="s">
        <v>445</v>
      </c>
      <c r="E484" s="465" t="s">
        <v>822</v>
      </c>
      <c r="F484" s="466" t="s">
        <v>823</v>
      </c>
      <c r="G484" s="465" t="s">
        <v>1480</v>
      </c>
      <c r="H484" s="465" t="s">
        <v>1481</v>
      </c>
      <c r="I484" s="468">
        <v>574.7550048828125</v>
      </c>
      <c r="J484" s="468">
        <v>2</v>
      </c>
      <c r="K484" s="469">
        <v>1149.510009765625</v>
      </c>
    </row>
    <row r="485" spans="1:11" ht="14.45" customHeight="1" x14ac:dyDescent="0.2">
      <c r="A485" s="463" t="s">
        <v>436</v>
      </c>
      <c r="B485" s="464" t="s">
        <v>437</v>
      </c>
      <c r="C485" s="465" t="s">
        <v>444</v>
      </c>
      <c r="D485" s="466" t="s">
        <v>445</v>
      </c>
      <c r="E485" s="465" t="s">
        <v>822</v>
      </c>
      <c r="F485" s="466" t="s">
        <v>823</v>
      </c>
      <c r="G485" s="465" t="s">
        <v>1482</v>
      </c>
      <c r="H485" s="465" t="s">
        <v>1483</v>
      </c>
      <c r="I485" s="468">
        <v>360.95001220703125</v>
      </c>
      <c r="J485" s="468">
        <v>2</v>
      </c>
      <c r="K485" s="469">
        <v>721.8900146484375</v>
      </c>
    </row>
    <row r="486" spans="1:11" ht="14.45" customHeight="1" x14ac:dyDescent="0.2">
      <c r="A486" s="463" t="s">
        <v>436</v>
      </c>
      <c r="B486" s="464" t="s">
        <v>437</v>
      </c>
      <c r="C486" s="465" t="s">
        <v>444</v>
      </c>
      <c r="D486" s="466" t="s">
        <v>445</v>
      </c>
      <c r="E486" s="465" t="s">
        <v>822</v>
      </c>
      <c r="F486" s="466" t="s">
        <v>823</v>
      </c>
      <c r="G486" s="465" t="s">
        <v>1484</v>
      </c>
      <c r="H486" s="465" t="s">
        <v>1485</v>
      </c>
      <c r="I486" s="468">
        <v>387.19000244140625</v>
      </c>
      <c r="J486" s="468">
        <v>12</v>
      </c>
      <c r="K486" s="469">
        <v>4646.22998046875</v>
      </c>
    </row>
    <row r="487" spans="1:11" ht="14.45" customHeight="1" x14ac:dyDescent="0.2">
      <c r="A487" s="463" t="s">
        <v>436</v>
      </c>
      <c r="B487" s="464" t="s">
        <v>437</v>
      </c>
      <c r="C487" s="465" t="s">
        <v>444</v>
      </c>
      <c r="D487" s="466" t="s">
        <v>445</v>
      </c>
      <c r="E487" s="465" t="s">
        <v>822</v>
      </c>
      <c r="F487" s="466" t="s">
        <v>823</v>
      </c>
      <c r="G487" s="465" t="s">
        <v>1484</v>
      </c>
      <c r="H487" s="465" t="s">
        <v>1486</v>
      </c>
      <c r="I487" s="468">
        <v>387.20001220703125</v>
      </c>
      <c r="J487" s="468">
        <v>5</v>
      </c>
      <c r="K487" s="469">
        <v>1936</v>
      </c>
    </row>
    <row r="488" spans="1:11" ht="14.45" customHeight="1" x14ac:dyDescent="0.2">
      <c r="A488" s="463" t="s">
        <v>436</v>
      </c>
      <c r="B488" s="464" t="s">
        <v>437</v>
      </c>
      <c r="C488" s="465" t="s">
        <v>444</v>
      </c>
      <c r="D488" s="466" t="s">
        <v>445</v>
      </c>
      <c r="E488" s="465" t="s">
        <v>822</v>
      </c>
      <c r="F488" s="466" t="s">
        <v>823</v>
      </c>
      <c r="G488" s="465" t="s">
        <v>1487</v>
      </c>
      <c r="H488" s="465" t="s">
        <v>1488</v>
      </c>
      <c r="I488" s="468">
        <v>980.0999755859375</v>
      </c>
      <c r="J488" s="468">
        <v>1</v>
      </c>
      <c r="K488" s="469">
        <v>980.0999755859375</v>
      </c>
    </row>
    <row r="489" spans="1:11" ht="14.45" customHeight="1" x14ac:dyDescent="0.2">
      <c r="A489" s="463" t="s">
        <v>436</v>
      </c>
      <c r="B489" s="464" t="s">
        <v>437</v>
      </c>
      <c r="C489" s="465" t="s">
        <v>444</v>
      </c>
      <c r="D489" s="466" t="s">
        <v>445</v>
      </c>
      <c r="E489" s="465" t="s">
        <v>822</v>
      </c>
      <c r="F489" s="466" t="s">
        <v>823</v>
      </c>
      <c r="G489" s="465" t="s">
        <v>1489</v>
      </c>
      <c r="H489" s="465" t="s">
        <v>1490</v>
      </c>
      <c r="I489" s="468">
        <v>57.033332824707031</v>
      </c>
      <c r="J489" s="468">
        <v>20</v>
      </c>
      <c r="K489" s="469">
        <v>1150.4900016784668</v>
      </c>
    </row>
    <row r="490" spans="1:11" ht="14.45" customHeight="1" x14ac:dyDescent="0.2">
      <c r="A490" s="463" t="s">
        <v>436</v>
      </c>
      <c r="B490" s="464" t="s">
        <v>437</v>
      </c>
      <c r="C490" s="465" t="s">
        <v>444</v>
      </c>
      <c r="D490" s="466" t="s">
        <v>445</v>
      </c>
      <c r="E490" s="465" t="s">
        <v>822</v>
      </c>
      <c r="F490" s="466" t="s">
        <v>823</v>
      </c>
      <c r="G490" s="465" t="s">
        <v>1491</v>
      </c>
      <c r="H490" s="465" t="s">
        <v>1492</v>
      </c>
      <c r="I490" s="468">
        <v>390</v>
      </c>
      <c r="J490" s="468">
        <v>1</v>
      </c>
      <c r="K490" s="469">
        <v>390</v>
      </c>
    </row>
    <row r="491" spans="1:11" ht="14.45" customHeight="1" x14ac:dyDescent="0.2">
      <c r="A491" s="463" t="s">
        <v>436</v>
      </c>
      <c r="B491" s="464" t="s">
        <v>437</v>
      </c>
      <c r="C491" s="465" t="s">
        <v>444</v>
      </c>
      <c r="D491" s="466" t="s">
        <v>445</v>
      </c>
      <c r="E491" s="465" t="s">
        <v>822</v>
      </c>
      <c r="F491" s="466" t="s">
        <v>823</v>
      </c>
      <c r="G491" s="465" t="s">
        <v>1493</v>
      </c>
      <c r="H491" s="465" t="s">
        <v>1494</v>
      </c>
      <c r="I491" s="468">
        <v>3704.64990234375</v>
      </c>
      <c r="J491" s="468">
        <v>2</v>
      </c>
      <c r="K491" s="469">
        <v>7409.2900390625</v>
      </c>
    </row>
    <row r="492" spans="1:11" ht="14.45" customHeight="1" x14ac:dyDescent="0.2">
      <c r="A492" s="463" t="s">
        <v>436</v>
      </c>
      <c r="B492" s="464" t="s">
        <v>437</v>
      </c>
      <c r="C492" s="465" t="s">
        <v>444</v>
      </c>
      <c r="D492" s="466" t="s">
        <v>445</v>
      </c>
      <c r="E492" s="465" t="s">
        <v>822</v>
      </c>
      <c r="F492" s="466" t="s">
        <v>823</v>
      </c>
      <c r="G492" s="465" t="s">
        <v>1495</v>
      </c>
      <c r="H492" s="465" t="s">
        <v>1496</v>
      </c>
      <c r="I492" s="468">
        <v>650.03997802734375</v>
      </c>
      <c r="J492" s="468">
        <v>10</v>
      </c>
      <c r="K492" s="469">
        <v>6500.369873046875</v>
      </c>
    </row>
    <row r="493" spans="1:11" ht="14.45" customHeight="1" x14ac:dyDescent="0.2">
      <c r="A493" s="463" t="s">
        <v>436</v>
      </c>
      <c r="B493" s="464" t="s">
        <v>437</v>
      </c>
      <c r="C493" s="465" t="s">
        <v>444</v>
      </c>
      <c r="D493" s="466" t="s">
        <v>445</v>
      </c>
      <c r="E493" s="465" t="s">
        <v>822</v>
      </c>
      <c r="F493" s="466" t="s">
        <v>823</v>
      </c>
      <c r="G493" s="465" t="s">
        <v>1497</v>
      </c>
      <c r="H493" s="465" t="s">
        <v>1498</v>
      </c>
      <c r="I493" s="468">
        <v>670.63334147135413</v>
      </c>
      <c r="J493" s="468">
        <v>12</v>
      </c>
      <c r="K493" s="469">
        <v>8081.679931640625</v>
      </c>
    </row>
    <row r="494" spans="1:11" ht="14.45" customHeight="1" x14ac:dyDescent="0.2">
      <c r="A494" s="463" t="s">
        <v>436</v>
      </c>
      <c r="B494" s="464" t="s">
        <v>437</v>
      </c>
      <c r="C494" s="465" t="s">
        <v>444</v>
      </c>
      <c r="D494" s="466" t="s">
        <v>445</v>
      </c>
      <c r="E494" s="465" t="s">
        <v>822</v>
      </c>
      <c r="F494" s="466" t="s">
        <v>823</v>
      </c>
      <c r="G494" s="465" t="s">
        <v>1499</v>
      </c>
      <c r="H494" s="465" t="s">
        <v>1500</v>
      </c>
      <c r="I494" s="468">
        <v>650.04398193359373</v>
      </c>
      <c r="J494" s="468">
        <v>30</v>
      </c>
      <c r="K494" s="469">
        <v>19501.269775390625</v>
      </c>
    </row>
    <row r="495" spans="1:11" ht="14.45" customHeight="1" x14ac:dyDescent="0.2">
      <c r="A495" s="463" t="s">
        <v>436</v>
      </c>
      <c r="B495" s="464" t="s">
        <v>437</v>
      </c>
      <c r="C495" s="465" t="s">
        <v>444</v>
      </c>
      <c r="D495" s="466" t="s">
        <v>445</v>
      </c>
      <c r="E495" s="465" t="s">
        <v>822</v>
      </c>
      <c r="F495" s="466" t="s">
        <v>823</v>
      </c>
      <c r="G495" s="465" t="s">
        <v>1501</v>
      </c>
      <c r="H495" s="465" t="s">
        <v>1502</v>
      </c>
      <c r="I495" s="468">
        <v>7465.7001953125</v>
      </c>
      <c r="J495" s="468">
        <v>1</v>
      </c>
      <c r="K495" s="469">
        <v>7465.7001953125</v>
      </c>
    </row>
    <row r="496" spans="1:11" ht="14.45" customHeight="1" x14ac:dyDescent="0.2">
      <c r="A496" s="463" t="s">
        <v>436</v>
      </c>
      <c r="B496" s="464" t="s">
        <v>437</v>
      </c>
      <c r="C496" s="465" t="s">
        <v>444</v>
      </c>
      <c r="D496" s="466" t="s">
        <v>445</v>
      </c>
      <c r="E496" s="465" t="s">
        <v>822</v>
      </c>
      <c r="F496" s="466" t="s">
        <v>823</v>
      </c>
      <c r="G496" s="465" t="s">
        <v>1503</v>
      </c>
      <c r="H496" s="465" t="s">
        <v>1504</v>
      </c>
      <c r="I496" s="468">
        <v>402.91000366210938</v>
      </c>
      <c r="J496" s="468">
        <v>2</v>
      </c>
      <c r="K496" s="469">
        <v>805.80999755859375</v>
      </c>
    </row>
    <row r="497" spans="1:11" ht="14.45" customHeight="1" x14ac:dyDescent="0.2">
      <c r="A497" s="463" t="s">
        <v>436</v>
      </c>
      <c r="B497" s="464" t="s">
        <v>437</v>
      </c>
      <c r="C497" s="465" t="s">
        <v>444</v>
      </c>
      <c r="D497" s="466" t="s">
        <v>445</v>
      </c>
      <c r="E497" s="465" t="s">
        <v>822</v>
      </c>
      <c r="F497" s="466" t="s">
        <v>823</v>
      </c>
      <c r="G497" s="465" t="s">
        <v>1505</v>
      </c>
      <c r="H497" s="465" t="s">
        <v>1506</v>
      </c>
      <c r="I497" s="468">
        <v>2153.679931640625</v>
      </c>
      <c r="J497" s="468">
        <v>1</v>
      </c>
      <c r="K497" s="469">
        <v>2153.679931640625</v>
      </c>
    </row>
    <row r="498" spans="1:11" ht="14.45" customHeight="1" x14ac:dyDescent="0.2">
      <c r="A498" s="463" t="s">
        <v>436</v>
      </c>
      <c r="B498" s="464" t="s">
        <v>437</v>
      </c>
      <c r="C498" s="465" t="s">
        <v>444</v>
      </c>
      <c r="D498" s="466" t="s">
        <v>445</v>
      </c>
      <c r="E498" s="465" t="s">
        <v>822</v>
      </c>
      <c r="F498" s="466" t="s">
        <v>823</v>
      </c>
      <c r="G498" s="465" t="s">
        <v>1507</v>
      </c>
      <c r="H498" s="465" t="s">
        <v>1508</v>
      </c>
      <c r="I498" s="468">
        <v>942.56500244140625</v>
      </c>
      <c r="J498" s="468">
        <v>2</v>
      </c>
      <c r="K498" s="469">
        <v>1885.1300048828125</v>
      </c>
    </row>
    <row r="499" spans="1:11" ht="14.45" customHeight="1" x14ac:dyDescent="0.2">
      <c r="A499" s="463" t="s">
        <v>436</v>
      </c>
      <c r="B499" s="464" t="s">
        <v>437</v>
      </c>
      <c r="C499" s="465" t="s">
        <v>444</v>
      </c>
      <c r="D499" s="466" t="s">
        <v>445</v>
      </c>
      <c r="E499" s="465" t="s">
        <v>822</v>
      </c>
      <c r="F499" s="466" t="s">
        <v>823</v>
      </c>
      <c r="G499" s="465" t="s">
        <v>1509</v>
      </c>
      <c r="H499" s="465" t="s">
        <v>1510</v>
      </c>
      <c r="I499" s="468">
        <v>878</v>
      </c>
      <c r="J499" s="468">
        <v>1</v>
      </c>
      <c r="K499" s="469">
        <v>878</v>
      </c>
    </row>
    <row r="500" spans="1:11" ht="14.45" customHeight="1" x14ac:dyDescent="0.2">
      <c r="A500" s="463" t="s">
        <v>436</v>
      </c>
      <c r="B500" s="464" t="s">
        <v>437</v>
      </c>
      <c r="C500" s="465" t="s">
        <v>444</v>
      </c>
      <c r="D500" s="466" t="s">
        <v>445</v>
      </c>
      <c r="E500" s="465" t="s">
        <v>822</v>
      </c>
      <c r="F500" s="466" t="s">
        <v>823</v>
      </c>
      <c r="G500" s="465" t="s">
        <v>1511</v>
      </c>
      <c r="H500" s="465" t="s">
        <v>1512</v>
      </c>
      <c r="I500" s="468">
        <v>878</v>
      </c>
      <c r="J500" s="468">
        <v>1</v>
      </c>
      <c r="K500" s="469">
        <v>878</v>
      </c>
    </row>
    <row r="501" spans="1:11" ht="14.45" customHeight="1" x14ac:dyDescent="0.2">
      <c r="A501" s="463" t="s">
        <v>436</v>
      </c>
      <c r="B501" s="464" t="s">
        <v>437</v>
      </c>
      <c r="C501" s="465" t="s">
        <v>444</v>
      </c>
      <c r="D501" s="466" t="s">
        <v>445</v>
      </c>
      <c r="E501" s="465" t="s">
        <v>822</v>
      </c>
      <c r="F501" s="466" t="s">
        <v>823</v>
      </c>
      <c r="G501" s="465" t="s">
        <v>1513</v>
      </c>
      <c r="H501" s="465" t="s">
        <v>1514</v>
      </c>
      <c r="I501" s="468">
        <v>2662</v>
      </c>
      <c r="J501" s="468">
        <v>1</v>
      </c>
      <c r="K501" s="469">
        <v>2662</v>
      </c>
    </row>
    <row r="502" spans="1:11" ht="14.45" customHeight="1" x14ac:dyDescent="0.2">
      <c r="A502" s="463" t="s">
        <v>436</v>
      </c>
      <c r="B502" s="464" t="s">
        <v>437</v>
      </c>
      <c r="C502" s="465" t="s">
        <v>444</v>
      </c>
      <c r="D502" s="466" t="s">
        <v>445</v>
      </c>
      <c r="E502" s="465" t="s">
        <v>822</v>
      </c>
      <c r="F502" s="466" t="s">
        <v>823</v>
      </c>
      <c r="G502" s="465" t="s">
        <v>1515</v>
      </c>
      <c r="H502" s="465" t="s">
        <v>1516</v>
      </c>
      <c r="I502" s="468">
        <v>1710.93994140625</v>
      </c>
      <c r="J502" s="468">
        <v>1</v>
      </c>
      <c r="K502" s="469">
        <v>1710.93994140625</v>
      </c>
    </row>
    <row r="503" spans="1:11" ht="14.45" customHeight="1" x14ac:dyDescent="0.2">
      <c r="A503" s="463" t="s">
        <v>436</v>
      </c>
      <c r="B503" s="464" t="s">
        <v>437</v>
      </c>
      <c r="C503" s="465" t="s">
        <v>444</v>
      </c>
      <c r="D503" s="466" t="s">
        <v>445</v>
      </c>
      <c r="E503" s="465" t="s">
        <v>822</v>
      </c>
      <c r="F503" s="466" t="s">
        <v>823</v>
      </c>
      <c r="G503" s="465" t="s">
        <v>1517</v>
      </c>
      <c r="H503" s="465" t="s">
        <v>1518</v>
      </c>
      <c r="I503" s="468">
        <v>109</v>
      </c>
      <c r="J503" s="468">
        <v>30</v>
      </c>
      <c r="K503" s="469">
        <v>3270.010009765625</v>
      </c>
    </row>
    <row r="504" spans="1:11" ht="14.45" customHeight="1" x14ac:dyDescent="0.2">
      <c r="A504" s="463" t="s">
        <v>436</v>
      </c>
      <c r="B504" s="464" t="s">
        <v>437</v>
      </c>
      <c r="C504" s="465" t="s">
        <v>444</v>
      </c>
      <c r="D504" s="466" t="s">
        <v>445</v>
      </c>
      <c r="E504" s="465" t="s">
        <v>822</v>
      </c>
      <c r="F504" s="466" t="s">
        <v>823</v>
      </c>
      <c r="G504" s="465" t="s">
        <v>1519</v>
      </c>
      <c r="H504" s="465" t="s">
        <v>1520</v>
      </c>
      <c r="I504" s="468">
        <v>2773.0050048828125</v>
      </c>
      <c r="J504" s="468">
        <v>5</v>
      </c>
      <c r="K504" s="469">
        <v>13776.519775390625</v>
      </c>
    </row>
    <row r="505" spans="1:11" ht="14.45" customHeight="1" x14ac:dyDescent="0.2">
      <c r="A505" s="463" t="s">
        <v>436</v>
      </c>
      <c r="B505" s="464" t="s">
        <v>437</v>
      </c>
      <c r="C505" s="465" t="s">
        <v>444</v>
      </c>
      <c r="D505" s="466" t="s">
        <v>445</v>
      </c>
      <c r="E505" s="465" t="s">
        <v>822</v>
      </c>
      <c r="F505" s="466" t="s">
        <v>823</v>
      </c>
      <c r="G505" s="465" t="s">
        <v>1521</v>
      </c>
      <c r="H505" s="465" t="s">
        <v>1522</v>
      </c>
      <c r="I505" s="468">
        <v>139.49000549316406</v>
      </c>
      <c r="J505" s="468">
        <v>30</v>
      </c>
      <c r="K505" s="469">
        <v>4184.669921875</v>
      </c>
    </row>
    <row r="506" spans="1:11" ht="14.45" customHeight="1" x14ac:dyDescent="0.2">
      <c r="A506" s="463" t="s">
        <v>436</v>
      </c>
      <c r="B506" s="464" t="s">
        <v>437</v>
      </c>
      <c r="C506" s="465" t="s">
        <v>444</v>
      </c>
      <c r="D506" s="466" t="s">
        <v>445</v>
      </c>
      <c r="E506" s="465" t="s">
        <v>822</v>
      </c>
      <c r="F506" s="466" t="s">
        <v>823</v>
      </c>
      <c r="G506" s="465" t="s">
        <v>1523</v>
      </c>
      <c r="H506" s="465" t="s">
        <v>1524</v>
      </c>
      <c r="I506" s="468">
        <v>254.41000366210938</v>
      </c>
      <c r="J506" s="468">
        <v>2</v>
      </c>
      <c r="K506" s="469">
        <v>508.80999755859375</v>
      </c>
    </row>
    <row r="507" spans="1:11" ht="14.45" customHeight="1" x14ac:dyDescent="0.2">
      <c r="A507" s="463" t="s">
        <v>436</v>
      </c>
      <c r="B507" s="464" t="s">
        <v>437</v>
      </c>
      <c r="C507" s="465" t="s">
        <v>444</v>
      </c>
      <c r="D507" s="466" t="s">
        <v>445</v>
      </c>
      <c r="E507" s="465" t="s">
        <v>822</v>
      </c>
      <c r="F507" s="466" t="s">
        <v>823</v>
      </c>
      <c r="G507" s="465" t="s">
        <v>1525</v>
      </c>
      <c r="H507" s="465" t="s">
        <v>1526</v>
      </c>
      <c r="I507" s="468">
        <v>279</v>
      </c>
      <c r="J507" s="468">
        <v>2</v>
      </c>
      <c r="K507" s="469">
        <v>558</v>
      </c>
    </row>
    <row r="508" spans="1:11" ht="14.45" customHeight="1" x14ac:dyDescent="0.2">
      <c r="A508" s="463" t="s">
        <v>436</v>
      </c>
      <c r="B508" s="464" t="s">
        <v>437</v>
      </c>
      <c r="C508" s="465" t="s">
        <v>444</v>
      </c>
      <c r="D508" s="466" t="s">
        <v>445</v>
      </c>
      <c r="E508" s="465" t="s">
        <v>822</v>
      </c>
      <c r="F508" s="466" t="s">
        <v>823</v>
      </c>
      <c r="G508" s="465" t="s">
        <v>1527</v>
      </c>
      <c r="H508" s="465" t="s">
        <v>1528</v>
      </c>
      <c r="I508" s="468">
        <v>191.17499542236328</v>
      </c>
      <c r="J508" s="468">
        <v>12</v>
      </c>
      <c r="K508" s="469">
        <v>2294.0899658203125</v>
      </c>
    </row>
    <row r="509" spans="1:11" ht="14.45" customHeight="1" x14ac:dyDescent="0.2">
      <c r="A509" s="463" t="s">
        <v>436</v>
      </c>
      <c r="B509" s="464" t="s">
        <v>437</v>
      </c>
      <c r="C509" s="465" t="s">
        <v>444</v>
      </c>
      <c r="D509" s="466" t="s">
        <v>445</v>
      </c>
      <c r="E509" s="465" t="s">
        <v>822</v>
      </c>
      <c r="F509" s="466" t="s">
        <v>823</v>
      </c>
      <c r="G509" s="465" t="s">
        <v>1527</v>
      </c>
      <c r="H509" s="465" t="s">
        <v>1529</v>
      </c>
      <c r="I509" s="468">
        <v>191.17999267578125</v>
      </c>
      <c r="J509" s="468">
        <v>6</v>
      </c>
      <c r="K509" s="469">
        <v>1147.0799560546875</v>
      </c>
    </row>
    <row r="510" spans="1:11" ht="14.45" customHeight="1" x14ac:dyDescent="0.2">
      <c r="A510" s="463" t="s">
        <v>436</v>
      </c>
      <c r="B510" s="464" t="s">
        <v>437</v>
      </c>
      <c r="C510" s="465" t="s">
        <v>444</v>
      </c>
      <c r="D510" s="466" t="s">
        <v>445</v>
      </c>
      <c r="E510" s="465" t="s">
        <v>822</v>
      </c>
      <c r="F510" s="466" t="s">
        <v>823</v>
      </c>
      <c r="G510" s="465" t="s">
        <v>1530</v>
      </c>
      <c r="H510" s="465" t="s">
        <v>1531</v>
      </c>
      <c r="I510" s="468">
        <v>292.82000732421875</v>
      </c>
      <c r="J510" s="468">
        <v>10</v>
      </c>
      <c r="K510" s="469">
        <v>2928.199951171875</v>
      </c>
    </row>
    <row r="511" spans="1:11" ht="14.45" customHeight="1" x14ac:dyDescent="0.2">
      <c r="A511" s="463" t="s">
        <v>436</v>
      </c>
      <c r="B511" s="464" t="s">
        <v>437</v>
      </c>
      <c r="C511" s="465" t="s">
        <v>444</v>
      </c>
      <c r="D511" s="466" t="s">
        <v>445</v>
      </c>
      <c r="E511" s="465" t="s">
        <v>822</v>
      </c>
      <c r="F511" s="466" t="s">
        <v>823</v>
      </c>
      <c r="G511" s="465" t="s">
        <v>1527</v>
      </c>
      <c r="H511" s="465" t="s">
        <v>1532</v>
      </c>
      <c r="I511" s="468">
        <v>191.17999267578125</v>
      </c>
      <c r="J511" s="468">
        <v>10</v>
      </c>
      <c r="K511" s="469">
        <v>1911.800048828125</v>
      </c>
    </row>
    <row r="512" spans="1:11" ht="14.45" customHeight="1" x14ac:dyDescent="0.2">
      <c r="A512" s="463" t="s">
        <v>436</v>
      </c>
      <c r="B512" s="464" t="s">
        <v>437</v>
      </c>
      <c r="C512" s="465" t="s">
        <v>444</v>
      </c>
      <c r="D512" s="466" t="s">
        <v>445</v>
      </c>
      <c r="E512" s="465" t="s">
        <v>822</v>
      </c>
      <c r="F512" s="466" t="s">
        <v>823</v>
      </c>
      <c r="G512" s="465" t="s">
        <v>1530</v>
      </c>
      <c r="H512" s="465" t="s">
        <v>1533</v>
      </c>
      <c r="I512" s="468">
        <v>292.82000732421875</v>
      </c>
      <c r="J512" s="468">
        <v>10</v>
      </c>
      <c r="K512" s="469">
        <v>2928.199951171875</v>
      </c>
    </row>
    <row r="513" spans="1:11" ht="14.45" customHeight="1" x14ac:dyDescent="0.2">
      <c r="A513" s="463" t="s">
        <v>436</v>
      </c>
      <c r="B513" s="464" t="s">
        <v>437</v>
      </c>
      <c r="C513" s="465" t="s">
        <v>444</v>
      </c>
      <c r="D513" s="466" t="s">
        <v>445</v>
      </c>
      <c r="E513" s="465" t="s">
        <v>822</v>
      </c>
      <c r="F513" s="466" t="s">
        <v>823</v>
      </c>
      <c r="G513" s="465" t="s">
        <v>1534</v>
      </c>
      <c r="H513" s="465" t="s">
        <v>1535</v>
      </c>
      <c r="I513" s="468">
        <v>699.3800048828125</v>
      </c>
      <c r="J513" s="468">
        <v>2</v>
      </c>
      <c r="K513" s="469">
        <v>1398.760009765625</v>
      </c>
    </row>
    <row r="514" spans="1:11" ht="14.45" customHeight="1" x14ac:dyDescent="0.2">
      <c r="A514" s="463" t="s">
        <v>436</v>
      </c>
      <c r="B514" s="464" t="s">
        <v>437</v>
      </c>
      <c r="C514" s="465" t="s">
        <v>444</v>
      </c>
      <c r="D514" s="466" t="s">
        <v>445</v>
      </c>
      <c r="E514" s="465" t="s">
        <v>822</v>
      </c>
      <c r="F514" s="466" t="s">
        <v>823</v>
      </c>
      <c r="G514" s="465" t="s">
        <v>1536</v>
      </c>
      <c r="H514" s="465" t="s">
        <v>1537</v>
      </c>
      <c r="I514" s="468">
        <v>107.16000366210938</v>
      </c>
      <c r="J514" s="468">
        <v>14</v>
      </c>
      <c r="K514" s="469">
        <v>1500.300048828125</v>
      </c>
    </row>
    <row r="515" spans="1:11" ht="14.45" customHeight="1" x14ac:dyDescent="0.2">
      <c r="A515" s="463" t="s">
        <v>436</v>
      </c>
      <c r="B515" s="464" t="s">
        <v>437</v>
      </c>
      <c r="C515" s="465" t="s">
        <v>444</v>
      </c>
      <c r="D515" s="466" t="s">
        <v>445</v>
      </c>
      <c r="E515" s="465" t="s">
        <v>822</v>
      </c>
      <c r="F515" s="466" t="s">
        <v>823</v>
      </c>
      <c r="G515" s="465" t="s">
        <v>1538</v>
      </c>
      <c r="H515" s="465" t="s">
        <v>1539</v>
      </c>
      <c r="I515" s="468">
        <v>350.5</v>
      </c>
      <c r="J515" s="468">
        <v>4</v>
      </c>
      <c r="K515" s="469">
        <v>1402</v>
      </c>
    </row>
    <row r="516" spans="1:11" ht="14.45" customHeight="1" x14ac:dyDescent="0.2">
      <c r="A516" s="463" t="s">
        <v>436</v>
      </c>
      <c r="B516" s="464" t="s">
        <v>437</v>
      </c>
      <c r="C516" s="465" t="s">
        <v>444</v>
      </c>
      <c r="D516" s="466" t="s">
        <v>445</v>
      </c>
      <c r="E516" s="465" t="s">
        <v>822</v>
      </c>
      <c r="F516" s="466" t="s">
        <v>823</v>
      </c>
      <c r="G516" s="465" t="s">
        <v>1540</v>
      </c>
      <c r="H516" s="465" t="s">
        <v>1541</v>
      </c>
      <c r="I516" s="468">
        <v>541.5</v>
      </c>
      <c r="J516" s="468">
        <v>1</v>
      </c>
      <c r="K516" s="469">
        <v>541.5</v>
      </c>
    </row>
    <row r="517" spans="1:11" ht="14.45" customHeight="1" x14ac:dyDescent="0.2">
      <c r="A517" s="463" t="s">
        <v>436</v>
      </c>
      <c r="B517" s="464" t="s">
        <v>437</v>
      </c>
      <c r="C517" s="465" t="s">
        <v>444</v>
      </c>
      <c r="D517" s="466" t="s">
        <v>445</v>
      </c>
      <c r="E517" s="465" t="s">
        <v>822</v>
      </c>
      <c r="F517" s="466" t="s">
        <v>823</v>
      </c>
      <c r="G517" s="465" t="s">
        <v>1517</v>
      </c>
      <c r="H517" s="465" t="s">
        <v>1542</v>
      </c>
      <c r="I517" s="468">
        <v>109</v>
      </c>
      <c r="J517" s="468">
        <v>30</v>
      </c>
      <c r="K517" s="469">
        <v>3270</v>
      </c>
    </row>
    <row r="518" spans="1:11" ht="14.45" customHeight="1" x14ac:dyDescent="0.2">
      <c r="A518" s="463" t="s">
        <v>436</v>
      </c>
      <c r="B518" s="464" t="s">
        <v>437</v>
      </c>
      <c r="C518" s="465" t="s">
        <v>444</v>
      </c>
      <c r="D518" s="466" t="s">
        <v>445</v>
      </c>
      <c r="E518" s="465" t="s">
        <v>822</v>
      </c>
      <c r="F518" s="466" t="s">
        <v>823</v>
      </c>
      <c r="G518" s="465" t="s">
        <v>1543</v>
      </c>
      <c r="H518" s="465" t="s">
        <v>1544</v>
      </c>
      <c r="I518" s="468">
        <v>1165.3299560546875</v>
      </c>
      <c r="J518" s="468">
        <v>6</v>
      </c>
      <c r="K518" s="469">
        <v>6992</v>
      </c>
    </row>
    <row r="519" spans="1:11" ht="14.45" customHeight="1" x14ac:dyDescent="0.2">
      <c r="A519" s="463" t="s">
        <v>436</v>
      </c>
      <c r="B519" s="464" t="s">
        <v>437</v>
      </c>
      <c r="C519" s="465" t="s">
        <v>444</v>
      </c>
      <c r="D519" s="466" t="s">
        <v>445</v>
      </c>
      <c r="E519" s="465" t="s">
        <v>822</v>
      </c>
      <c r="F519" s="466" t="s">
        <v>823</v>
      </c>
      <c r="G519" s="465" t="s">
        <v>1545</v>
      </c>
      <c r="H519" s="465" t="s">
        <v>1546</v>
      </c>
      <c r="I519" s="468">
        <v>54.150001525878906</v>
      </c>
      <c r="J519" s="468">
        <v>10</v>
      </c>
      <c r="K519" s="469">
        <v>541.5</v>
      </c>
    </row>
    <row r="520" spans="1:11" ht="14.45" customHeight="1" x14ac:dyDescent="0.2">
      <c r="A520" s="463" t="s">
        <v>436</v>
      </c>
      <c r="B520" s="464" t="s">
        <v>437</v>
      </c>
      <c r="C520" s="465" t="s">
        <v>444</v>
      </c>
      <c r="D520" s="466" t="s">
        <v>445</v>
      </c>
      <c r="E520" s="465" t="s">
        <v>822</v>
      </c>
      <c r="F520" s="466" t="s">
        <v>823</v>
      </c>
      <c r="G520" s="465" t="s">
        <v>1547</v>
      </c>
      <c r="H520" s="465" t="s">
        <v>1548</v>
      </c>
      <c r="I520" s="468">
        <v>470</v>
      </c>
      <c r="J520" s="468">
        <v>10</v>
      </c>
      <c r="K520" s="469">
        <v>4700</v>
      </c>
    </row>
    <row r="521" spans="1:11" ht="14.45" customHeight="1" x14ac:dyDescent="0.2">
      <c r="A521" s="463" t="s">
        <v>436</v>
      </c>
      <c r="B521" s="464" t="s">
        <v>437</v>
      </c>
      <c r="C521" s="465" t="s">
        <v>444</v>
      </c>
      <c r="D521" s="466" t="s">
        <v>445</v>
      </c>
      <c r="E521" s="465" t="s">
        <v>822</v>
      </c>
      <c r="F521" s="466" t="s">
        <v>823</v>
      </c>
      <c r="G521" s="465" t="s">
        <v>1549</v>
      </c>
      <c r="H521" s="465" t="s">
        <v>1550</v>
      </c>
      <c r="I521" s="468">
        <v>143.68666585286459</v>
      </c>
      <c r="J521" s="468">
        <v>52</v>
      </c>
      <c r="K521" s="469">
        <v>7471.5800170898438</v>
      </c>
    </row>
    <row r="522" spans="1:11" ht="14.45" customHeight="1" x14ac:dyDescent="0.2">
      <c r="A522" s="463" t="s">
        <v>436</v>
      </c>
      <c r="B522" s="464" t="s">
        <v>437</v>
      </c>
      <c r="C522" s="465" t="s">
        <v>444</v>
      </c>
      <c r="D522" s="466" t="s">
        <v>445</v>
      </c>
      <c r="E522" s="465" t="s">
        <v>822</v>
      </c>
      <c r="F522" s="466" t="s">
        <v>823</v>
      </c>
      <c r="G522" s="465" t="s">
        <v>1551</v>
      </c>
      <c r="H522" s="465" t="s">
        <v>1552</v>
      </c>
      <c r="I522" s="468">
        <v>379.94000244140625</v>
      </c>
      <c r="J522" s="468">
        <v>1</v>
      </c>
      <c r="K522" s="469">
        <v>379.94000244140625</v>
      </c>
    </row>
    <row r="523" spans="1:11" ht="14.45" customHeight="1" x14ac:dyDescent="0.2">
      <c r="A523" s="463" t="s">
        <v>436</v>
      </c>
      <c r="B523" s="464" t="s">
        <v>437</v>
      </c>
      <c r="C523" s="465" t="s">
        <v>444</v>
      </c>
      <c r="D523" s="466" t="s">
        <v>445</v>
      </c>
      <c r="E523" s="465" t="s">
        <v>822</v>
      </c>
      <c r="F523" s="466" t="s">
        <v>823</v>
      </c>
      <c r="G523" s="465" t="s">
        <v>1551</v>
      </c>
      <c r="H523" s="465" t="s">
        <v>1553</v>
      </c>
      <c r="I523" s="468">
        <v>379.94000244140625</v>
      </c>
      <c r="J523" s="468">
        <v>2</v>
      </c>
      <c r="K523" s="469">
        <v>759.8800048828125</v>
      </c>
    </row>
    <row r="524" spans="1:11" ht="14.45" customHeight="1" x14ac:dyDescent="0.2">
      <c r="A524" s="463" t="s">
        <v>436</v>
      </c>
      <c r="B524" s="464" t="s">
        <v>437</v>
      </c>
      <c r="C524" s="465" t="s">
        <v>444</v>
      </c>
      <c r="D524" s="466" t="s">
        <v>445</v>
      </c>
      <c r="E524" s="465" t="s">
        <v>822</v>
      </c>
      <c r="F524" s="466" t="s">
        <v>823</v>
      </c>
      <c r="G524" s="465" t="s">
        <v>1554</v>
      </c>
      <c r="H524" s="465" t="s">
        <v>1555</v>
      </c>
      <c r="I524" s="468">
        <v>955.875</v>
      </c>
      <c r="J524" s="468">
        <v>2</v>
      </c>
      <c r="K524" s="469">
        <v>1911.75</v>
      </c>
    </row>
    <row r="525" spans="1:11" ht="14.45" customHeight="1" x14ac:dyDescent="0.2">
      <c r="A525" s="463" t="s">
        <v>436</v>
      </c>
      <c r="B525" s="464" t="s">
        <v>437</v>
      </c>
      <c r="C525" s="465" t="s">
        <v>444</v>
      </c>
      <c r="D525" s="466" t="s">
        <v>445</v>
      </c>
      <c r="E525" s="465" t="s">
        <v>822</v>
      </c>
      <c r="F525" s="466" t="s">
        <v>823</v>
      </c>
      <c r="G525" s="465" t="s">
        <v>1554</v>
      </c>
      <c r="H525" s="465" t="s">
        <v>1556</v>
      </c>
      <c r="I525" s="468">
        <v>955.90499877929688</v>
      </c>
      <c r="J525" s="468">
        <v>2</v>
      </c>
      <c r="K525" s="469">
        <v>1911.8099975585938</v>
      </c>
    </row>
    <row r="526" spans="1:11" ht="14.45" customHeight="1" x14ac:dyDescent="0.2">
      <c r="A526" s="463" t="s">
        <v>436</v>
      </c>
      <c r="B526" s="464" t="s">
        <v>437</v>
      </c>
      <c r="C526" s="465" t="s">
        <v>444</v>
      </c>
      <c r="D526" s="466" t="s">
        <v>445</v>
      </c>
      <c r="E526" s="465" t="s">
        <v>822</v>
      </c>
      <c r="F526" s="466" t="s">
        <v>823</v>
      </c>
      <c r="G526" s="465" t="s">
        <v>1557</v>
      </c>
      <c r="H526" s="465" t="s">
        <v>1558</v>
      </c>
      <c r="I526" s="468">
        <v>323.05999755859375</v>
      </c>
      <c r="J526" s="468">
        <v>8</v>
      </c>
      <c r="K526" s="469">
        <v>2584.469970703125</v>
      </c>
    </row>
    <row r="527" spans="1:11" ht="14.45" customHeight="1" x14ac:dyDescent="0.2">
      <c r="A527" s="463" t="s">
        <v>436</v>
      </c>
      <c r="B527" s="464" t="s">
        <v>437</v>
      </c>
      <c r="C527" s="465" t="s">
        <v>444</v>
      </c>
      <c r="D527" s="466" t="s">
        <v>445</v>
      </c>
      <c r="E527" s="465" t="s">
        <v>822</v>
      </c>
      <c r="F527" s="466" t="s">
        <v>823</v>
      </c>
      <c r="G527" s="465" t="s">
        <v>1559</v>
      </c>
      <c r="H527" s="465" t="s">
        <v>1560</v>
      </c>
      <c r="I527" s="468">
        <v>1615.3499755859375</v>
      </c>
      <c r="J527" s="468">
        <v>2</v>
      </c>
      <c r="K527" s="469">
        <v>3230.699951171875</v>
      </c>
    </row>
    <row r="528" spans="1:11" ht="14.45" customHeight="1" x14ac:dyDescent="0.2">
      <c r="A528" s="463" t="s">
        <v>436</v>
      </c>
      <c r="B528" s="464" t="s">
        <v>437</v>
      </c>
      <c r="C528" s="465" t="s">
        <v>444</v>
      </c>
      <c r="D528" s="466" t="s">
        <v>445</v>
      </c>
      <c r="E528" s="465" t="s">
        <v>822</v>
      </c>
      <c r="F528" s="466" t="s">
        <v>823</v>
      </c>
      <c r="G528" s="465" t="s">
        <v>1559</v>
      </c>
      <c r="H528" s="465" t="s">
        <v>1561</v>
      </c>
      <c r="I528" s="468">
        <v>1615.3499755859375</v>
      </c>
      <c r="J528" s="468">
        <v>1</v>
      </c>
      <c r="K528" s="469">
        <v>1615.3499755859375</v>
      </c>
    </row>
    <row r="529" spans="1:11" ht="14.45" customHeight="1" x14ac:dyDescent="0.2">
      <c r="A529" s="463" t="s">
        <v>436</v>
      </c>
      <c r="B529" s="464" t="s">
        <v>437</v>
      </c>
      <c r="C529" s="465" t="s">
        <v>444</v>
      </c>
      <c r="D529" s="466" t="s">
        <v>445</v>
      </c>
      <c r="E529" s="465" t="s">
        <v>822</v>
      </c>
      <c r="F529" s="466" t="s">
        <v>823</v>
      </c>
      <c r="G529" s="465" t="s">
        <v>1562</v>
      </c>
      <c r="H529" s="465" t="s">
        <v>1563</v>
      </c>
      <c r="I529" s="468">
        <v>3290</v>
      </c>
      <c r="J529" s="468">
        <v>1</v>
      </c>
      <c r="K529" s="469">
        <v>3290</v>
      </c>
    </row>
    <row r="530" spans="1:11" ht="14.45" customHeight="1" x14ac:dyDescent="0.2">
      <c r="A530" s="463" t="s">
        <v>436</v>
      </c>
      <c r="B530" s="464" t="s">
        <v>437</v>
      </c>
      <c r="C530" s="465" t="s">
        <v>444</v>
      </c>
      <c r="D530" s="466" t="s">
        <v>445</v>
      </c>
      <c r="E530" s="465" t="s">
        <v>822</v>
      </c>
      <c r="F530" s="466" t="s">
        <v>823</v>
      </c>
      <c r="G530" s="465" t="s">
        <v>1564</v>
      </c>
      <c r="H530" s="465" t="s">
        <v>1565</v>
      </c>
      <c r="I530" s="468">
        <v>2129.22998046875</v>
      </c>
      <c r="J530" s="468">
        <v>4</v>
      </c>
      <c r="K530" s="469">
        <v>8516.900390625</v>
      </c>
    </row>
    <row r="531" spans="1:11" ht="14.45" customHeight="1" x14ac:dyDescent="0.2">
      <c r="A531" s="463" t="s">
        <v>436</v>
      </c>
      <c r="B531" s="464" t="s">
        <v>437</v>
      </c>
      <c r="C531" s="465" t="s">
        <v>444</v>
      </c>
      <c r="D531" s="466" t="s">
        <v>445</v>
      </c>
      <c r="E531" s="465" t="s">
        <v>822</v>
      </c>
      <c r="F531" s="466" t="s">
        <v>823</v>
      </c>
      <c r="G531" s="465" t="s">
        <v>1566</v>
      </c>
      <c r="H531" s="465" t="s">
        <v>1567</v>
      </c>
      <c r="I531" s="468">
        <v>2134.580078125</v>
      </c>
      <c r="J531" s="468">
        <v>2</v>
      </c>
      <c r="K531" s="469">
        <v>4269.14990234375</v>
      </c>
    </row>
    <row r="532" spans="1:11" ht="14.45" customHeight="1" x14ac:dyDescent="0.2">
      <c r="A532" s="463" t="s">
        <v>436</v>
      </c>
      <c r="B532" s="464" t="s">
        <v>437</v>
      </c>
      <c r="C532" s="465" t="s">
        <v>444</v>
      </c>
      <c r="D532" s="466" t="s">
        <v>445</v>
      </c>
      <c r="E532" s="465" t="s">
        <v>822</v>
      </c>
      <c r="F532" s="466" t="s">
        <v>823</v>
      </c>
      <c r="G532" s="465" t="s">
        <v>1568</v>
      </c>
      <c r="H532" s="465" t="s">
        <v>1569</v>
      </c>
      <c r="I532" s="468">
        <v>2134.580078125</v>
      </c>
      <c r="J532" s="468">
        <v>2</v>
      </c>
      <c r="K532" s="469">
        <v>4269.14990234375</v>
      </c>
    </row>
    <row r="533" spans="1:11" ht="14.45" customHeight="1" x14ac:dyDescent="0.2">
      <c r="A533" s="463" t="s">
        <v>436</v>
      </c>
      <c r="B533" s="464" t="s">
        <v>437</v>
      </c>
      <c r="C533" s="465" t="s">
        <v>444</v>
      </c>
      <c r="D533" s="466" t="s">
        <v>445</v>
      </c>
      <c r="E533" s="465" t="s">
        <v>822</v>
      </c>
      <c r="F533" s="466" t="s">
        <v>823</v>
      </c>
      <c r="G533" s="465" t="s">
        <v>1570</v>
      </c>
      <c r="H533" s="465" t="s">
        <v>1571</v>
      </c>
      <c r="I533" s="468">
        <v>2123.1201171875</v>
      </c>
      <c r="J533" s="468">
        <v>4</v>
      </c>
      <c r="K533" s="469">
        <v>8492.490234375</v>
      </c>
    </row>
    <row r="534" spans="1:11" ht="14.45" customHeight="1" x14ac:dyDescent="0.2">
      <c r="A534" s="463" t="s">
        <v>436</v>
      </c>
      <c r="B534" s="464" t="s">
        <v>437</v>
      </c>
      <c r="C534" s="465" t="s">
        <v>444</v>
      </c>
      <c r="D534" s="466" t="s">
        <v>445</v>
      </c>
      <c r="E534" s="465" t="s">
        <v>822</v>
      </c>
      <c r="F534" s="466" t="s">
        <v>823</v>
      </c>
      <c r="G534" s="465" t="s">
        <v>1572</v>
      </c>
      <c r="H534" s="465" t="s">
        <v>1573</v>
      </c>
      <c r="I534" s="468">
        <v>2114.3699951171875</v>
      </c>
      <c r="J534" s="468">
        <v>3</v>
      </c>
      <c r="K534" s="469">
        <v>6337.840087890625</v>
      </c>
    </row>
    <row r="535" spans="1:11" ht="14.45" customHeight="1" x14ac:dyDescent="0.2">
      <c r="A535" s="463" t="s">
        <v>436</v>
      </c>
      <c r="B535" s="464" t="s">
        <v>437</v>
      </c>
      <c r="C535" s="465" t="s">
        <v>444</v>
      </c>
      <c r="D535" s="466" t="s">
        <v>445</v>
      </c>
      <c r="E535" s="465" t="s">
        <v>822</v>
      </c>
      <c r="F535" s="466" t="s">
        <v>823</v>
      </c>
      <c r="G535" s="465" t="s">
        <v>1574</v>
      </c>
      <c r="H535" s="465" t="s">
        <v>1575</v>
      </c>
      <c r="I535" s="468">
        <v>2109.10009765625</v>
      </c>
      <c r="J535" s="468">
        <v>2</v>
      </c>
      <c r="K535" s="469">
        <v>4218.2001953125</v>
      </c>
    </row>
    <row r="536" spans="1:11" ht="14.45" customHeight="1" x14ac:dyDescent="0.2">
      <c r="A536" s="463" t="s">
        <v>436</v>
      </c>
      <c r="B536" s="464" t="s">
        <v>437</v>
      </c>
      <c r="C536" s="465" t="s">
        <v>444</v>
      </c>
      <c r="D536" s="466" t="s">
        <v>445</v>
      </c>
      <c r="E536" s="465" t="s">
        <v>822</v>
      </c>
      <c r="F536" s="466" t="s">
        <v>823</v>
      </c>
      <c r="G536" s="465" t="s">
        <v>1566</v>
      </c>
      <c r="H536" s="465" t="s">
        <v>1576</v>
      </c>
      <c r="I536" s="468">
        <v>2129.22998046875</v>
      </c>
      <c r="J536" s="468">
        <v>2</v>
      </c>
      <c r="K536" s="469">
        <v>4258.4501953125</v>
      </c>
    </row>
    <row r="537" spans="1:11" ht="14.45" customHeight="1" x14ac:dyDescent="0.2">
      <c r="A537" s="463" t="s">
        <v>436</v>
      </c>
      <c r="B537" s="464" t="s">
        <v>437</v>
      </c>
      <c r="C537" s="465" t="s">
        <v>444</v>
      </c>
      <c r="D537" s="466" t="s">
        <v>445</v>
      </c>
      <c r="E537" s="465" t="s">
        <v>822</v>
      </c>
      <c r="F537" s="466" t="s">
        <v>823</v>
      </c>
      <c r="G537" s="465" t="s">
        <v>1577</v>
      </c>
      <c r="H537" s="465" t="s">
        <v>1578</v>
      </c>
      <c r="I537" s="468">
        <v>2126.8300170898438</v>
      </c>
      <c r="J537" s="468">
        <v>7</v>
      </c>
      <c r="K537" s="469">
        <v>14905.51025390625</v>
      </c>
    </row>
    <row r="538" spans="1:11" ht="14.45" customHeight="1" x14ac:dyDescent="0.2">
      <c r="A538" s="463" t="s">
        <v>436</v>
      </c>
      <c r="B538" s="464" t="s">
        <v>437</v>
      </c>
      <c r="C538" s="465" t="s">
        <v>444</v>
      </c>
      <c r="D538" s="466" t="s">
        <v>445</v>
      </c>
      <c r="E538" s="465" t="s">
        <v>822</v>
      </c>
      <c r="F538" s="466" t="s">
        <v>823</v>
      </c>
      <c r="G538" s="465" t="s">
        <v>1579</v>
      </c>
      <c r="H538" s="465" t="s">
        <v>1580</v>
      </c>
      <c r="I538" s="468">
        <v>2122.02001953125</v>
      </c>
      <c r="J538" s="468">
        <v>2</v>
      </c>
      <c r="K538" s="469">
        <v>4244.02978515625</v>
      </c>
    </row>
    <row r="539" spans="1:11" ht="14.45" customHeight="1" x14ac:dyDescent="0.2">
      <c r="A539" s="463" t="s">
        <v>436</v>
      </c>
      <c r="B539" s="464" t="s">
        <v>437</v>
      </c>
      <c r="C539" s="465" t="s">
        <v>444</v>
      </c>
      <c r="D539" s="466" t="s">
        <v>445</v>
      </c>
      <c r="E539" s="465" t="s">
        <v>822</v>
      </c>
      <c r="F539" s="466" t="s">
        <v>823</v>
      </c>
      <c r="G539" s="465" t="s">
        <v>1581</v>
      </c>
      <c r="H539" s="465" t="s">
        <v>1582</v>
      </c>
      <c r="I539" s="468">
        <v>124.16999816894531</v>
      </c>
      <c r="J539" s="468">
        <v>24</v>
      </c>
      <c r="K539" s="469">
        <v>2980</v>
      </c>
    </row>
    <row r="540" spans="1:11" ht="14.45" customHeight="1" x14ac:dyDescent="0.2">
      <c r="A540" s="463" t="s">
        <v>436</v>
      </c>
      <c r="B540" s="464" t="s">
        <v>437</v>
      </c>
      <c r="C540" s="465" t="s">
        <v>444</v>
      </c>
      <c r="D540" s="466" t="s">
        <v>445</v>
      </c>
      <c r="E540" s="465" t="s">
        <v>822</v>
      </c>
      <c r="F540" s="466" t="s">
        <v>823</v>
      </c>
      <c r="G540" s="465" t="s">
        <v>1583</v>
      </c>
      <c r="H540" s="465" t="s">
        <v>1584</v>
      </c>
      <c r="I540" s="468">
        <v>42.349998474121094</v>
      </c>
      <c r="J540" s="468">
        <v>60</v>
      </c>
      <c r="K540" s="469">
        <v>2541</v>
      </c>
    </row>
    <row r="541" spans="1:11" ht="14.45" customHeight="1" x14ac:dyDescent="0.2">
      <c r="A541" s="463" t="s">
        <v>436</v>
      </c>
      <c r="B541" s="464" t="s">
        <v>437</v>
      </c>
      <c r="C541" s="465" t="s">
        <v>444</v>
      </c>
      <c r="D541" s="466" t="s">
        <v>445</v>
      </c>
      <c r="E541" s="465" t="s">
        <v>822</v>
      </c>
      <c r="F541" s="466" t="s">
        <v>823</v>
      </c>
      <c r="G541" s="465" t="s">
        <v>1585</v>
      </c>
      <c r="H541" s="465" t="s">
        <v>1586</v>
      </c>
      <c r="I541" s="468">
        <v>42.349998474121094</v>
      </c>
      <c r="J541" s="468">
        <v>60</v>
      </c>
      <c r="K541" s="469">
        <v>2541</v>
      </c>
    </row>
    <row r="542" spans="1:11" ht="14.45" customHeight="1" x14ac:dyDescent="0.2">
      <c r="A542" s="463" t="s">
        <v>436</v>
      </c>
      <c r="B542" s="464" t="s">
        <v>437</v>
      </c>
      <c r="C542" s="465" t="s">
        <v>444</v>
      </c>
      <c r="D542" s="466" t="s">
        <v>445</v>
      </c>
      <c r="E542" s="465" t="s">
        <v>822</v>
      </c>
      <c r="F542" s="466" t="s">
        <v>823</v>
      </c>
      <c r="G542" s="465" t="s">
        <v>1587</v>
      </c>
      <c r="H542" s="465" t="s">
        <v>1588</v>
      </c>
      <c r="I542" s="468">
        <v>42.349998474121094</v>
      </c>
      <c r="J542" s="468">
        <v>180</v>
      </c>
      <c r="K542" s="469">
        <v>7623</v>
      </c>
    </row>
    <row r="543" spans="1:11" ht="14.45" customHeight="1" x14ac:dyDescent="0.2">
      <c r="A543" s="463" t="s">
        <v>436</v>
      </c>
      <c r="B543" s="464" t="s">
        <v>437</v>
      </c>
      <c r="C543" s="465" t="s">
        <v>444</v>
      </c>
      <c r="D543" s="466" t="s">
        <v>445</v>
      </c>
      <c r="E543" s="465" t="s">
        <v>822</v>
      </c>
      <c r="F543" s="466" t="s">
        <v>823</v>
      </c>
      <c r="G543" s="465" t="s">
        <v>1589</v>
      </c>
      <c r="H543" s="465" t="s">
        <v>1590</v>
      </c>
      <c r="I543" s="468">
        <v>42.349998474121094</v>
      </c>
      <c r="J543" s="468">
        <v>30</v>
      </c>
      <c r="K543" s="469">
        <v>1270.5</v>
      </c>
    </row>
    <row r="544" spans="1:11" ht="14.45" customHeight="1" x14ac:dyDescent="0.2">
      <c r="A544" s="463" t="s">
        <v>436</v>
      </c>
      <c r="B544" s="464" t="s">
        <v>437</v>
      </c>
      <c r="C544" s="465" t="s">
        <v>444</v>
      </c>
      <c r="D544" s="466" t="s">
        <v>445</v>
      </c>
      <c r="E544" s="465" t="s">
        <v>822</v>
      </c>
      <c r="F544" s="466" t="s">
        <v>823</v>
      </c>
      <c r="G544" s="465" t="s">
        <v>1591</v>
      </c>
      <c r="H544" s="465" t="s">
        <v>1592</v>
      </c>
      <c r="I544" s="468">
        <v>42.349998474121094</v>
      </c>
      <c r="J544" s="468">
        <v>24</v>
      </c>
      <c r="K544" s="469">
        <v>1016.4000244140625</v>
      </c>
    </row>
    <row r="545" spans="1:11" ht="14.45" customHeight="1" x14ac:dyDescent="0.2">
      <c r="A545" s="463" t="s">
        <v>436</v>
      </c>
      <c r="B545" s="464" t="s">
        <v>437</v>
      </c>
      <c r="C545" s="465" t="s">
        <v>444</v>
      </c>
      <c r="D545" s="466" t="s">
        <v>445</v>
      </c>
      <c r="E545" s="465" t="s">
        <v>822</v>
      </c>
      <c r="F545" s="466" t="s">
        <v>823</v>
      </c>
      <c r="G545" s="465" t="s">
        <v>1593</v>
      </c>
      <c r="H545" s="465" t="s">
        <v>1594</v>
      </c>
      <c r="I545" s="468">
        <v>166.97999572753906</v>
      </c>
      <c r="J545" s="468">
        <v>5</v>
      </c>
      <c r="K545" s="469">
        <v>834.9000244140625</v>
      </c>
    </row>
    <row r="546" spans="1:11" ht="14.45" customHeight="1" x14ac:dyDescent="0.2">
      <c r="A546" s="463" t="s">
        <v>436</v>
      </c>
      <c r="B546" s="464" t="s">
        <v>437</v>
      </c>
      <c r="C546" s="465" t="s">
        <v>444</v>
      </c>
      <c r="D546" s="466" t="s">
        <v>445</v>
      </c>
      <c r="E546" s="465" t="s">
        <v>822</v>
      </c>
      <c r="F546" s="466" t="s">
        <v>823</v>
      </c>
      <c r="G546" s="465" t="s">
        <v>1536</v>
      </c>
      <c r="H546" s="465" t="s">
        <v>1595</v>
      </c>
      <c r="I546" s="468">
        <v>107.16000366210938</v>
      </c>
      <c r="J546" s="468">
        <v>42</v>
      </c>
      <c r="K546" s="469">
        <v>4500.8701171875</v>
      </c>
    </row>
    <row r="547" spans="1:11" ht="14.45" customHeight="1" x14ac:dyDescent="0.2">
      <c r="A547" s="463" t="s">
        <v>436</v>
      </c>
      <c r="B547" s="464" t="s">
        <v>437</v>
      </c>
      <c r="C547" s="465" t="s">
        <v>444</v>
      </c>
      <c r="D547" s="466" t="s">
        <v>445</v>
      </c>
      <c r="E547" s="465" t="s">
        <v>822</v>
      </c>
      <c r="F547" s="466" t="s">
        <v>823</v>
      </c>
      <c r="G547" s="465" t="s">
        <v>1596</v>
      </c>
      <c r="H547" s="465" t="s">
        <v>1597</v>
      </c>
      <c r="I547" s="468">
        <v>834.9000244140625</v>
      </c>
      <c r="J547" s="468">
        <v>1</v>
      </c>
      <c r="K547" s="469">
        <v>834.9000244140625</v>
      </c>
    </row>
    <row r="548" spans="1:11" ht="14.45" customHeight="1" x14ac:dyDescent="0.2">
      <c r="A548" s="463" t="s">
        <v>436</v>
      </c>
      <c r="B548" s="464" t="s">
        <v>437</v>
      </c>
      <c r="C548" s="465" t="s">
        <v>444</v>
      </c>
      <c r="D548" s="466" t="s">
        <v>445</v>
      </c>
      <c r="E548" s="465" t="s">
        <v>822</v>
      </c>
      <c r="F548" s="466" t="s">
        <v>823</v>
      </c>
      <c r="G548" s="465" t="s">
        <v>1598</v>
      </c>
      <c r="H548" s="465" t="s">
        <v>1599</v>
      </c>
      <c r="I548" s="468">
        <v>834.9000244140625</v>
      </c>
      <c r="J548" s="468">
        <v>1</v>
      </c>
      <c r="K548" s="469">
        <v>834.9000244140625</v>
      </c>
    </row>
    <row r="549" spans="1:11" ht="14.45" customHeight="1" x14ac:dyDescent="0.2">
      <c r="A549" s="463" t="s">
        <v>436</v>
      </c>
      <c r="B549" s="464" t="s">
        <v>437</v>
      </c>
      <c r="C549" s="465" t="s">
        <v>444</v>
      </c>
      <c r="D549" s="466" t="s">
        <v>445</v>
      </c>
      <c r="E549" s="465" t="s">
        <v>822</v>
      </c>
      <c r="F549" s="466" t="s">
        <v>823</v>
      </c>
      <c r="G549" s="465" t="s">
        <v>1600</v>
      </c>
      <c r="H549" s="465" t="s">
        <v>1601</v>
      </c>
      <c r="I549" s="468">
        <v>834.9000244140625</v>
      </c>
      <c r="J549" s="468">
        <v>1</v>
      </c>
      <c r="K549" s="469">
        <v>834.9000244140625</v>
      </c>
    </row>
    <row r="550" spans="1:11" ht="14.45" customHeight="1" x14ac:dyDescent="0.2">
      <c r="A550" s="463" t="s">
        <v>436</v>
      </c>
      <c r="B550" s="464" t="s">
        <v>437</v>
      </c>
      <c r="C550" s="465" t="s">
        <v>444</v>
      </c>
      <c r="D550" s="466" t="s">
        <v>445</v>
      </c>
      <c r="E550" s="465" t="s">
        <v>822</v>
      </c>
      <c r="F550" s="466" t="s">
        <v>823</v>
      </c>
      <c r="G550" s="465" t="s">
        <v>1602</v>
      </c>
      <c r="H550" s="465" t="s">
        <v>1603</v>
      </c>
      <c r="I550" s="468">
        <v>834.9000244140625</v>
      </c>
      <c r="J550" s="468">
        <v>1</v>
      </c>
      <c r="K550" s="469">
        <v>834.9000244140625</v>
      </c>
    </row>
    <row r="551" spans="1:11" ht="14.45" customHeight="1" x14ac:dyDescent="0.2">
      <c r="A551" s="463" t="s">
        <v>436</v>
      </c>
      <c r="B551" s="464" t="s">
        <v>437</v>
      </c>
      <c r="C551" s="465" t="s">
        <v>444</v>
      </c>
      <c r="D551" s="466" t="s">
        <v>445</v>
      </c>
      <c r="E551" s="465" t="s">
        <v>822</v>
      </c>
      <c r="F551" s="466" t="s">
        <v>823</v>
      </c>
      <c r="G551" s="465" t="s">
        <v>1604</v>
      </c>
      <c r="H551" s="465" t="s">
        <v>1605</v>
      </c>
      <c r="I551" s="468">
        <v>119.79000091552734</v>
      </c>
      <c r="J551" s="468">
        <v>10</v>
      </c>
      <c r="K551" s="469">
        <v>1197.9000244140625</v>
      </c>
    </row>
    <row r="552" spans="1:11" ht="14.45" customHeight="1" x14ac:dyDescent="0.2">
      <c r="A552" s="463" t="s">
        <v>436</v>
      </c>
      <c r="B552" s="464" t="s">
        <v>437</v>
      </c>
      <c r="C552" s="465" t="s">
        <v>444</v>
      </c>
      <c r="D552" s="466" t="s">
        <v>445</v>
      </c>
      <c r="E552" s="465" t="s">
        <v>822</v>
      </c>
      <c r="F552" s="466" t="s">
        <v>823</v>
      </c>
      <c r="G552" s="465" t="s">
        <v>1606</v>
      </c>
      <c r="H552" s="465" t="s">
        <v>1607</v>
      </c>
      <c r="I552" s="468">
        <v>107.69000244140625</v>
      </c>
      <c r="J552" s="468">
        <v>10</v>
      </c>
      <c r="K552" s="469">
        <v>1076.9000244140625</v>
      </c>
    </row>
    <row r="553" spans="1:11" ht="14.45" customHeight="1" x14ac:dyDescent="0.2">
      <c r="A553" s="463" t="s">
        <v>436</v>
      </c>
      <c r="B553" s="464" t="s">
        <v>437</v>
      </c>
      <c r="C553" s="465" t="s">
        <v>444</v>
      </c>
      <c r="D553" s="466" t="s">
        <v>445</v>
      </c>
      <c r="E553" s="465" t="s">
        <v>822</v>
      </c>
      <c r="F553" s="466" t="s">
        <v>823</v>
      </c>
      <c r="G553" s="465" t="s">
        <v>1608</v>
      </c>
      <c r="H553" s="465" t="s">
        <v>1609</v>
      </c>
      <c r="I553" s="468">
        <v>32.439998626708984</v>
      </c>
      <c r="J553" s="468">
        <v>80</v>
      </c>
      <c r="K553" s="469">
        <v>2595</v>
      </c>
    </row>
    <row r="554" spans="1:11" ht="14.45" customHeight="1" x14ac:dyDescent="0.2">
      <c r="A554" s="463" t="s">
        <v>436</v>
      </c>
      <c r="B554" s="464" t="s">
        <v>437</v>
      </c>
      <c r="C554" s="465" t="s">
        <v>444</v>
      </c>
      <c r="D554" s="466" t="s">
        <v>445</v>
      </c>
      <c r="E554" s="465" t="s">
        <v>822</v>
      </c>
      <c r="F554" s="466" t="s">
        <v>823</v>
      </c>
      <c r="G554" s="465" t="s">
        <v>1610</v>
      </c>
      <c r="H554" s="465" t="s">
        <v>1611</v>
      </c>
      <c r="I554" s="468">
        <v>32.439998626708984</v>
      </c>
      <c r="J554" s="468">
        <v>160</v>
      </c>
      <c r="K554" s="469">
        <v>5190.0400390625</v>
      </c>
    </row>
    <row r="555" spans="1:11" ht="14.45" customHeight="1" x14ac:dyDescent="0.2">
      <c r="A555" s="463" t="s">
        <v>436</v>
      </c>
      <c r="B555" s="464" t="s">
        <v>437</v>
      </c>
      <c r="C555" s="465" t="s">
        <v>444</v>
      </c>
      <c r="D555" s="466" t="s">
        <v>445</v>
      </c>
      <c r="E555" s="465" t="s">
        <v>822</v>
      </c>
      <c r="F555" s="466" t="s">
        <v>823</v>
      </c>
      <c r="G555" s="465" t="s">
        <v>1612</v>
      </c>
      <c r="H555" s="465" t="s">
        <v>1613</v>
      </c>
      <c r="I555" s="468">
        <v>1669.510009765625</v>
      </c>
      <c r="J555" s="468">
        <v>1</v>
      </c>
      <c r="K555" s="469">
        <v>1669.510009765625</v>
      </c>
    </row>
    <row r="556" spans="1:11" ht="14.45" customHeight="1" x14ac:dyDescent="0.2">
      <c r="A556" s="463" t="s">
        <v>436</v>
      </c>
      <c r="B556" s="464" t="s">
        <v>437</v>
      </c>
      <c r="C556" s="465" t="s">
        <v>444</v>
      </c>
      <c r="D556" s="466" t="s">
        <v>445</v>
      </c>
      <c r="E556" s="465" t="s">
        <v>822</v>
      </c>
      <c r="F556" s="466" t="s">
        <v>823</v>
      </c>
      <c r="G556" s="465" t="s">
        <v>1614</v>
      </c>
      <c r="H556" s="465" t="s">
        <v>1615</v>
      </c>
      <c r="I556" s="468">
        <v>1179</v>
      </c>
      <c r="J556" s="468">
        <v>2</v>
      </c>
      <c r="K556" s="469">
        <v>2358</v>
      </c>
    </row>
    <row r="557" spans="1:11" ht="14.45" customHeight="1" x14ac:dyDescent="0.2">
      <c r="A557" s="463" t="s">
        <v>436</v>
      </c>
      <c r="B557" s="464" t="s">
        <v>437</v>
      </c>
      <c r="C557" s="465" t="s">
        <v>444</v>
      </c>
      <c r="D557" s="466" t="s">
        <v>445</v>
      </c>
      <c r="E557" s="465" t="s">
        <v>822</v>
      </c>
      <c r="F557" s="466" t="s">
        <v>823</v>
      </c>
      <c r="G557" s="465" t="s">
        <v>1616</v>
      </c>
      <c r="H557" s="465" t="s">
        <v>1617</v>
      </c>
      <c r="I557" s="468">
        <v>816.71002197265625</v>
      </c>
      <c r="J557" s="468">
        <v>1</v>
      </c>
      <c r="K557" s="469">
        <v>816.71002197265625</v>
      </c>
    </row>
    <row r="558" spans="1:11" ht="14.45" customHeight="1" x14ac:dyDescent="0.2">
      <c r="A558" s="463" t="s">
        <v>436</v>
      </c>
      <c r="B558" s="464" t="s">
        <v>437</v>
      </c>
      <c r="C558" s="465" t="s">
        <v>444</v>
      </c>
      <c r="D558" s="466" t="s">
        <v>445</v>
      </c>
      <c r="E558" s="465" t="s">
        <v>822</v>
      </c>
      <c r="F558" s="466" t="s">
        <v>823</v>
      </c>
      <c r="G558" s="465" t="s">
        <v>1618</v>
      </c>
      <c r="H558" s="465" t="s">
        <v>1619</v>
      </c>
      <c r="I558" s="468">
        <v>109.70999908447266</v>
      </c>
      <c r="J558" s="468">
        <v>12</v>
      </c>
      <c r="K558" s="469">
        <v>1316.47998046875</v>
      </c>
    </row>
    <row r="559" spans="1:11" ht="14.45" customHeight="1" x14ac:dyDescent="0.2">
      <c r="A559" s="463" t="s">
        <v>436</v>
      </c>
      <c r="B559" s="464" t="s">
        <v>437</v>
      </c>
      <c r="C559" s="465" t="s">
        <v>444</v>
      </c>
      <c r="D559" s="466" t="s">
        <v>445</v>
      </c>
      <c r="E559" s="465" t="s">
        <v>822</v>
      </c>
      <c r="F559" s="466" t="s">
        <v>823</v>
      </c>
      <c r="G559" s="465" t="s">
        <v>1620</v>
      </c>
      <c r="H559" s="465" t="s">
        <v>1621</v>
      </c>
      <c r="I559" s="468">
        <v>1326.0699462890625</v>
      </c>
      <c r="J559" s="468">
        <v>6</v>
      </c>
      <c r="K559" s="469">
        <v>7956.3896484375</v>
      </c>
    </row>
    <row r="560" spans="1:11" ht="14.45" customHeight="1" x14ac:dyDescent="0.2">
      <c r="A560" s="463" t="s">
        <v>436</v>
      </c>
      <c r="B560" s="464" t="s">
        <v>437</v>
      </c>
      <c r="C560" s="465" t="s">
        <v>444</v>
      </c>
      <c r="D560" s="466" t="s">
        <v>445</v>
      </c>
      <c r="E560" s="465" t="s">
        <v>822</v>
      </c>
      <c r="F560" s="466" t="s">
        <v>823</v>
      </c>
      <c r="G560" s="465" t="s">
        <v>1622</v>
      </c>
      <c r="H560" s="465" t="s">
        <v>1623</v>
      </c>
      <c r="I560" s="468">
        <v>235.64499664306641</v>
      </c>
      <c r="J560" s="468">
        <v>5</v>
      </c>
      <c r="K560" s="469">
        <v>1178.2099914550781</v>
      </c>
    </row>
    <row r="561" spans="1:11" ht="14.45" customHeight="1" x14ac:dyDescent="0.2">
      <c r="A561" s="463" t="s">
        <v>436</v>
      </c>
      <c r="B561" s="464" t="s">
        <v>437</v>
      </c>
      <c r="C561" s="465" t="s">
        <v>444</v>
      </c>
      <c r="D561" s="466" t="s">
        <v>445</v>
      </c>
      <c r="E561" s="465" t="s">
        <v>822</v>
      </c>
      <c r="F561" s="466" t="s">
        <v>823</v>
      </c>
      <c r="G561" s="465" t="s">
        <v>1622</v>
      </c>
      <c r="H561" s="465" t="s">
        <v>1624</v>
      </c>
      <c r="I561" s="468">
        <v>235.64999389648438</v>
      </c>
      <c r="J561" s="468">
        <v>3</v>
      </c>
      <c r="K561" s="469">
        <v>706.94000244140625</v>
      </c>
    </row>
    <row r="562" spans="1:11" ht="14.45" customHeight="1" x14ac:dyDescent="0.2">
      <c r="A562" s="463" t="s">
        <v>436</v>
      </c>
      <c r="B562" s="464" t="s">
        <v>437</v>
      </c>
      <c r="C562" s="465" t="s">
        <v>444</v>
      </c>
      <c r="D562" s="466" t="s">
        <v>445</v>
      </c>
      <c r="E562" s="465" t="s">
        <v>822</v>
      </c>
      <c r="F562" s="466" t="s">
        <v>823</v>
      </c>
      <c r="G562" s="465" t="s">
        <v>1625</v>
      </c>
      <c r="H562" s="465" t="s">
        <v>1626</v>
      </c>
      <c r="I562" s="468">
        <v>827.61502075195313</v>
      </c>
      <c r="J562" s="468">
        <v>3</v>
      </c>
      <c r="K562" s="469">
        <v>2482.820068359375</v>
      </c>
    </row>
    <row r="563" spans="1:11" ht="14.45" customHeight="1" x14ac:dyDescent="0.2">
      <c r="A563" s="463" t="s">
        <v>436</v>
      </c>
      <c r="B563" s="464" t="s">
        <v>437</v>
      </c>
      <c r="C563" s="465" t="s">
        <v>444</v>
      </c>
      <c r="D563" s="466" t="s">
        <v>445</v>
      </c>
      <c r="E563" s="465" t="s">
        <v>822</v>
      </c>
      <c r="F563" s="466" t="s">
        <v>823</v>
      </c>
      <c r="G563" s="465" t="s">
        <v>1625</v>
      </c>
      <c r="H563" s="465" t="s">
        <v>1627</v>
      </c>
      <c r="I563" s="468">
        <v>827.6400146484375</v>
      </c>
      <c r="J563" s="468">
        <v>2</v>
      </c>
      <c r="K563" s="469">
        <v>1655.280029296875</v>
      </c>
    </row>
    <row r="564" spans="1:11" ht="14.45" customHeight="1" x14ac:dyDescent="0.2">
      <c r="A564" s="463" t="s">
        <v>436</v>
      </c>
      <c r="B564" s="464" t="s">
        <v>437</v>
      </c>
      <c r="C564" s="465" t="s">
        <v>444</v>
      </c>
      <c r="D564" s="466" t="s">
        <v>445</v>
      </c>
      <c r="E564" s="465" t="s">
        <v>822</v>
      </c>
      <c r="F564" s="466" t="s">
        <v>823</v>
      </c>
      <c r="G564" s="465" t="s">
        <v>1628</v>
      </c>
      <c r="H564" s="465" t="s">
        <v>1629</v>
      </c>
      <c r="I564" s="468">
        <v>5232.60498046875</v>
      </c>
      <c r="J564" s="468">
        <v>6</v>
      </c>
      <c r="K564" s="469">
        <v>31395.419921875</v>
      </c>
    </row>
    <row r="565" spans="1:11" ht="14.45" customHeight="1" x14ac:dyDescent="0.2">
      <c r="A565" s="463" t="s">
        <v>436</v>
      </c>
      <c r="B565" s="464" t="s">
        <v>437</v>
      </c>
      <c r="C565" s="465" t="s">
        <v>444</v>
      </c>
      <c r="D565" s="466" t="s">
        <v>445</v>
      </c>
      <c r="E565" s="465" t="s">
        <v>822</v>
      </c>
      <c r="F565" s="466" t="s">
        <v>823</v>
      </c>
      <c r="G565" s="465" t="s">
        <v>1630</v>
      </c>
      <c r="H565" s="465" t="s">
        <v>1631</v>
      </c>
      <c r="I565" s="468">
        <v>42.349998474121094</v>
      </c>
      <c r="J565" s="468">
        <v>240</v>
      </c>
      <c r="K565" s="469">
        <v>10164</v>
      </c>
    </row>
    <row r="566" spans="1:11" ht="14.45" customHeight="1" x14ac:dyDescent="0.2">
      <c r="A566" s="463" t="s">
        <v>436</v>
      </c>
      <c r="B566" s="464" t="s">
        <v>437</v>
      </c>
      <c r="C566" s="465" t="s">
        <v>444</v>
      </c>
      <c r="D566" s="466" t="s">
        <v>445</v>
      </c>
      <c r="E566" s="465" t="s">
        <v>822</v>
      </c>
      <c r="F566" s="466" t="s">
        <v>823</v>
      </c>
      <c r="G566" s="465" t="s">
        <v>1632</v>
      </c>
      <c r="H566" s="465" t="s">
        <v>1633</v>
      </c>
      <c r="I566" s="468">
        <v>42.349998474121094</v>
      </c>
      <c r="J566" s="468">
        <v>24</v>
      </c>
      <c r="K566" s="469">
        <v>1016.4000244140625</v>
      </c>
    </row>
    <row r="567" spans="1:11" ht="14.45" customHeight="1" x14ac:dyDescent="0.2">
      <c r="A567" s="463" t="s">
        <v>436</v>
      </c>
      <c r="B567" s="464" t="s">
        <v>437</v>
      </c>
      <c r="C567" s="465" t="s">
        <v>444</v>
      </c>
      <c r="D567" s="466" t="s">
        <v>445</v>
      </c>
      <c r="E567" s="465" t="s">
        <v>822</v>
      </c>
      <c r="F567" s="466" t="s">
        <v>823</v>
      </c>
      <c r="G567" s="465" t="s">
        <v>1634</v>
      </c>
      <c r="H567" s="465" t="s">
        <v>1635</v>
      </c>
      <c r="I567" s="468">
        <v>42.349998474121094</v>
      </c>
      <c r="J567" s="468">
        <v>60</v>
      </c>
      <c r="K567" s="469">
        <v>2541</v>
      </c>
    </row>
    <row r="568" spans="1:11" ht="14.45" customHeight="1" x14ac:dyDescent="0.2">
      <c r="A568" s="463" t="s">
        <v>436</v>
      </c>
      <c r="B568" s="464" t="s">
        <v>437</v>
      </c>
      <c r="C568" s="465" t="s">
        <v>444</v>
      </c>
      <c r="D568" s="466" t="s">
        <v>445</v>
      </c>
      <c r="E568" s="465" t="s">
        <v>822</v>
      </c>
      <c r="F568" s="466" t="s">
        <v>823</v>
      </c>
      <c r="G568" s="465" t="s">
        <v>1630</v>
      </c>
      <c r="H568" s="465" t="s">
        <v>1636</v>
      </c>
      <c r="I568" s="468">
        <v>42.349998474121094</v>
      </c>
      <c r="J568" s="468">
        <v>60</v>
      </c>
      <c r="K568" s="469">
        <v>2541</v>
      </c>
    </row>
    <row r="569" spans="1:11" ht="14.45" customHeight="1" x14ac:dyDescent="0.2">
      <c r="A569" s="463" t="s">
        <v>436</v>
      </c>
      <c r="B569" s="464" t="s">
        <v>437</v>
      </c>
      <c r="C569" s="465" t="s">
        <v>444</v>
      </c>
      <c r="D569" s="466" t="s">
        <v>445</v>
      </c>
      <c r="E569" s="465" t="s">
        <v>822</v>
      </c>
      <c r="F569" s="466" t="s">
        <v>823</v>
      </c>
      <c r="G569" s="465" t="s">
        <v>1637</v>
      </c>
      <c r="H569" s="465" t="s">
        <v>1638</v>
      </c>
      <c r="I569" s="468">
        <v>42.349998474121094</v>
      </c>
      <c r="J569" s="468">
        <v>60</v>
      </c>
      <c r="K569" s="469">
        <v>2541</v>
      </c>
    </row>
    <row r="570" spans="1:11" ht="14.45" customHeight="1" x14ac:dyDescent="0.2">
      <c r="A570" s="463" t="s">
        <v>436</v>
      </c>
      <c r="B570" s="464" t="s">
        <v>437</v>
      </c>
      <c r="C570" s="465" t="s">
        <v>444</v>
      </c>
      <c r="D570" s="466" t="s">
        <v>445</v>
      </c>
      <c r="E570" s="465" t="s">
        <v>822</v>
      </c>
      <c r="F570" s="466" t="s">
        <v>823</v>
      </c>
      <c r="G570" s="465" t="s">
        <v>1639</v>
      </c>
      <c r="H570" s="465" t="s">
        <v>1640</v>
      </c>
      <c r="I570" s="468">
        <v>42.349998474121094</v>
      </c>
      <c r="J570" s="468">
        <v>30</v>
      </c>
      <c r="K570" s="469">
        <v>1270.5</v>
      </c>
    </row>
    <row r="571" spans="1:11" ht="14.45" customHeight="1" x14ac:dyDescent="0.2">
      <c r="A571" s="463" t="s">
        <v>436</v>
      </c>
      <c r="B571" s="464" t="s">
        <v>437</v>
      </c>
      <c r="C571" s="465" t="s">
        <v>444</v>
      </c>
      <c r="D571" s="466" t="s">
        <v>445</v>
      </c>
      <c r="E571" s="465" t="s">
        <v>822</v>
      </c>
      <c r="F571" s="466" t="s">
        <v>823</v>
      </c>
      <c r="G571" s="465" t="s">
        <v>1632</v>
      </c>
      <c r="H571" s="465" t="s">
        <v>1641</v>
      </c>
      <c r="I571" s="468">
        <v>42.349998474121094</v>
      </c>
      <c r="J571" s="468">
        <v>18</v>
      </c>
      <c r="K571" s="469">
        <v>762.29998779296875</v>
      </c>
    </row>
    <row r="572" spans="1:11" ht="14.45" customHeight="1" x14ac:dyDescent="0.2">
      <c r="A572" s="463" t="s">
        <v>436</v>
      </c>
      <c r="B572" s="464" t="s">
        <v>437</v>
      </c>
      <c r="C572" s="465" t="s">
        <v>444</v>
      </c>
      <c r="D572" s="466" t="s">
        <v>445</v>
      </c>
      <c r="E572" s="465" t="s">
        <v>822</v>
      </c>
      <c r="F572" s="466" t="s">
        <v>823</v>
      </c>
      <c r="G572" s="465" t="s">
        <v>1642</v>
      </c>
      <c r="H572" s="465" t="s">
        <v>1643</v>
      </c>
      <c r="I572" s="468">
        <v>42.349998474121094</v>
      </c>
      <c r="J572" s="468">
        <v>60</v>
      </c>
      <c r="K572" s="469">
        <v>2541</v>
      </c>
    </row>
    <row r="573" spans="1:11" ht="14.45" customHeight="1" x14ac:dyDescent="0.2">
      <c r="A573" s="463" t="s">
        <v>436</v>
      </c>
      <c r="B573" s="464" t="s">
        <v>437</v>
      </c>
      <c r="C573" s="465" t="s">
        <v>444</v>
      </c>
      <c r="D573" s="466" t="s">
        <v>445</v>
      </c>
      <c r="E573" s="465" t="s">
        <v>822</v>
      </c>
      <c r="F573" s="466" t="s">
        <v>823</v>
      </c>
      <c r="G573" s="465" t="s">
        <v>1644</v>
      </c>
      <c r="H573" s="465" t="s">
        <v>1645</v>
      </c>
      <c r="I573" s="468">
        <v>42.349998474121094</v>
      </c>
      <c r="J573" s="468">
        <v>60</v>
      </c>
      <c r="K573" s="469">
        <v>2541</v>
      </c>
    </row>
    <row r="574" spans="1:11" ht="14.45" customHeight="1" x14ac:dyDescent="0.2">
      <c r="A574" s="463" t="s">
        <v>436</v>
      </c>
      <c r="B574" s="464" t="s">
        <v>437</v>
      </c>
      <c r="C574" s="465" t="s">
        <v>444</v>
      </c>
      <c r="D574" s="466" t="s">
        <v>445</v>
      </c>
      <c r="E574" s="465" t="s">
        <v>822</v>
      </c>
      <c r="F574" s="466" t="s">
        <v>823</v>
      </c>
      <c r="G574" s="465" t="s">
        <v>1646</v>
      </c>
      <c r="H574" s="465" t="s">
        <v>1647</v>
      </c>
      <c r="I574" s="468">
        <v>1760.010009765625</v>
      </c>
      <c r="J574" s="468">
        <v>1</v>
      </c>
      <c r="K574" s="469">
        <v>1760.010009765625</v>
      </c>
    </row>
    <row r="575" spans="1:11" ht="14.45" customHeight="1" x14ac:dyDescent="0.2">
      <c r="A575" s="463" t="s">
        <v>436</v>
      </c>
      <c r="B575" s="464" t="s">
        <v>437</v>
      </c>
      <c r="C575" s="465" t="s">
        <v>444</v>
      </c>
      <c r="D575" s="466" t="s">
        <v>445</v>
      </c>
      <c r="E575" s="465" t="s">
        <v>822</v>
      </c>
      <c r="F575" s="466" t="s">
        <v>823</v>
      </c>
      <c r="G575" s="465" t="s">
        <v>1648</v>
      </c>
      <c r="H575" s="465" t="s">
        <v>1649</v>
      </c>
      <c r="I575" s="468">
        <v>42.349998474121094</v>
      </c>
      <c r="J575" s="468">
        <v>18</v>
      </c>
      <c r="K575" s="469">
        <v>762.29998779296875</v>
      </c>
    </row>
    <row r="576" spans="1:11" ht="14.45" customHeight="1" x14ac:dyDescent="0.2">
      <c r="A576" s="463" t="s">
        <v>436</v>
      </c>
      <c r="B576" s="464" t="s">
        <v>437</v>
      </c>
      <c r="C576" s="465" t="s">
        <v>444</v>
      </c>
      <c r="D576" s="466" t="s">
        <v>445</v>
      </c>
      <c r="E576" s="465" t="s">
        <v>822</v>
      </c>
      <c r="F576" s="466" t="s">
        <v>823</v>
      </c>
      <c r="G576" s="465" t="s">
        <v>1650</v>
      </c>
      <c r="H576" s="465" t="s">
        <v>1651</v>
      </c>
      <c r="I576" s="468">
        <v>42.349998474121094</v>
      </c>
      <c r="J576" s="468">
        <v>18</v>
      </c>
      <c r="K576" s="469">
        <v>762.29998779296875</v>
      </c>
    </row>
    <row r="577" spans="1:11" ht="14.45" customHeight="1" x14ac:dyDescent="0.2">
      <c r="A577" s="463" t="s">
        <v>436</v>
      </c>
      <c r="B577" s="464" t="s">
        <v>437</v>
      </c>
      <c r="C577" s="465" t="s">
        <v>444</v>
      </c>
      <c r="D577" s="466" t="s">
        <v>445</v>
      </c>
      <c r="E577" s="465" t="s">
        <v>822</v>
      </c>
      <c r="F577" s="466" t="s">
        <v>823</v>
      </c>
      <c r="G577" s="465" t="s">
        <v>1652</v>
      </c>
      <c r="H577" s="465" t="s">
        <v>1653</v>
      </c>
      <c r="I577" s="468">
        <v>42.349998474121094</v>
      </c>
      <c r="J577" s="468">
        <v>60</v>
      </c>
      <c r="K577" s="469">
        <v>2541</v>
      </c>
    </row>
    <row r="578" spans="1:11" ht="14.45" customHeight="1" x14ac:dyDescent="0.2">
      <c r="A578" s="463" t="s">
        <v>436</v>
      </c>
      <c r="B578" s="464" t="s">
        <v>437</v>
      </c>
      <c r="C578" s="465" t="s">
        <v>444</v>
      </c>
      <c r="D578" s="466" t="s">
        <v>445</v>
      </c>
      <c r="E578" s="465" t="s">
        <v>822</v>
      </c>
      <c r="F578" s="466" t="s">
        <v>823</v>
      </c>
      <c r="G578" s="465" t="s">
        <v>1654</v>
      </c>
      <c r="H578" s="465" t="s">
        <v>1655</v>
      </c>
      <c r="I578" s="468">
        <v>42.349998474121094</v>
      </c>
      <c r="J578" s="468">
        <v>60</v>
      </c>
      <c r="K578" s="469">
        <v>2541</v>
      </c>
    </row>
    <row r="579" spans="1:11" ht="14.45" customHeight="1" x14ac:dyDescent="0.2">
      <c r="A579" s="463" t="s">
        <v>436</v>
      </c>
      <c r="B579" s="464" t="s">
        <v>437</v>
      </c>
      <c r="C579" s="465" t="s">
        <v>444</v>
      </c>
      <c r="D579" s="466" t="s">
        <v>445</v>
      </c>
      <c r="E579" s="465" t="s">
        <v>822</v>
      </c>
      <c r="F579" s="466" t="s">
        <v>823</v>
      </c>
      <c r="G579" s="465" t="s">
        <v>1656</v>
      </c>
      <c r="H579" s="465" t="s">
        <v>1657</v>
      </c>
      <c r="I579" s="468">
        <v>42.349998474121094</v>
      </c>
      <c r="J579" s="468">
        <v>60</v>
      </c>
      <c r="K579" s="469">
        <v>2541</v>
      </c>
    </row>
    <row r="580" spans="1:11" ht="14.45" customHeight="1" x14ac:dyDescent="0.2">
      <c r="A580" s="463" t="s">
        <v>436</v>
      </c>
      <c r="B580" s="464" t="s">
        <v>437</v>
      </c>
      <c r="C580" s="465" t="s">
        <v>444</v>
      </c>
      <c r="D580" s="466" t="s">
        <v>445</v>
      </c>
      <c r="E580" s="465" t="s">
        <v>822</v>
      </c>
      <c r="F580" s="466" t="s">
        <v>823</v>
      </c>
      <c r="G580" s="465" t="s">
        <v>1658</v>
      </c>
      <c r="H580" s="465" t="s">
        <v>1659</v>
      </c>
      <c r="I580" s="468">
        <v>3197</v>
      </c>
      <c r="J580" s="468">
        <v>2</v>
      </c>
      <c r="K580" s="469">
        <v>6394</v>
      </c>
    </row>
    <row r="581" spans="1:11" ht="14.45" customHeight="1" x14ac:dyDescent="0.2">
      <c r="A581" s="463" t="s">
        <v>436</v>
      </c>
      <c r="B581" s="464" t="s">
        <v>437</v>
      </c>
      <c r="C581" s="465" t="s">
        <v>444</v>
      </c>
      <c r="D581" s="466" t="s">
        <v>445</v>
      </c>
      <c r="E581" s="465" t="s">
        <v>822</v>
      </c>
      <c r="F581" s="466" t="s">
        <v>823</v>
      </c>
      <c r="G581" s="465" t="s">
        <v>1660</v>
      </c>
      <c r="H581" s="465" t="s">
        <v>1661</v>
      </c>
      <c r="I581" s="468">
        <v>3197</v>
      </c>
      <c r="J581" s="468">
        <v>1</v>
      </c>
      <c r="K581" s="469">
        <v>3197</v>
      </c>
    </row>
    <row r="582" spans="1:11" ht="14.45" customHeight="1" x14ac:dyDescent="0.2">
      <c r="A582" s="463" t="s">
        <v>436</v>
      </c>
      <c r="B582" s="464" t="s">
        <v>437</v>
      </c>
      <c r="C582" s="465" t="s">
        <v>444</v>
      </c>
      <c r="D582" s="466" t="s">
        <v>445</v>
      </c>
      <c r="E582" s="465" t="s">
        <v>822</v>
      </c>
      <c r="F582" s="466" t="s">
        <v>823</v>
      </c>
      <c r="G582" s="465" t="s">
        <v>1662</v>
      </c>
      <c r="H582" s="465" t="s">
        <v>1663</v>
      </c>
      <c r="I582" s="468">
        <v>511.5</v>
      </c>
      <c r="J582" s="468">
        <v>8</v>
      </c>
      <c r="K582" s="469">
        <v>4092</v>
      </c>
    </row>
    <row r="583" spans="1:11" ht="14.45" customHeight="1" x14ac:dyDescent="0.2">
      <c r="A583" s="463" t="s">
        <v>436</v>
      </c>
      <c r="B583" s="464" t="s">
        <v>437</v>
      </c>
      <c r="C583" s="465" t="s">
        <v>444</v>
      </c>
      <c r="D583" s="466" t="s">
        <v>445</v>
      </c>
      <c r="E583" s="465" t="s">
        <v>822</v>
      </c>
      <c r="F583" s="466" t="s">
        <v>823</v>
      </c>
      <c r="G583" s="465" t="s">
        <v>1662</v>
      </c>
      <c r="H583" s="465" t="s">
        <v>1664</v>
      </c>
      <c r="I583" s="468">
        <v>487.66666666666669</v>
      </c>
      <c r="J583" s="468">
        <v>6</v>
      </c>
      <c r="K583" s="469">
        <v>2792.989990234375</v>
      </c>
    </row>
    <row r="584" spans="1:11" ht="14.45" customHeight="1" x14ac:dyDescent="0.2">
      <c r="A584" s="463" t="s">
        <v>436</v>
      </c>
      <c r="B584" s="464" t="s">
        <v>437</v>
      </c>
      <c r="C584" s="465" t="s">
        <v>444</v>
      </c>
      <c r="D584" s="466" t="s">
        <v>445</v>
      </c>
      <c r="E584" s="465" t="s">
        <v>822</v>
      </c>
      <c r="F584" s="466" t="s">
        <v>823</v>
      </c>
      <c r="G584" s="465" t="s">
        <v>1665</v>
      </c>
      <c r="H584" s="465" t="s">
        <v>1666</v>
      </c>
      <c r="I584" s="468">
        <v>1326.1600341796875</v>
      </c>
      <c r="J584" s="468">
        <v>2</v>
      </c>
      <c r="K584" s="469">
        <v>2652.320068359375</v>
      </c>
    </row>
    <row r="585" spans="1:11" ht="14.45" customHeight="1" x14ac:dyDescent="0.2">
      <c r="A585" s="463" t="s">
        <v>436</v>
      </c>
      <c r="B585" s="464" t="s">
        <v>437</v>
      </c>
      <c r="C585" s="465" t="s">
        <v>444</v>
      </c>
      <c r="D585" s="466" t="s">
        <v>445</v>
      </c>
      <c r="E585" s="465" t="s">
        <v>822</v>
      </c>
      <c r="F585" s="466" t="s">
        <v>823</v>
      </c>
      <c r="G585" s="465" t="s">
        <v>1667</v>
      </c>
      <c r="H585" s="465" t="s">
        <v>1668</v>
      </c>
      <c r="I585" s="468">
        <v>1051.1100097656249</v>
      </c>
      <c r="J585" s="468">
        <v>7</v>
      </c>
      <c r="K585" s="469">
        <v>7360.050048828125</v>
      </c>
    </row>
    <row r="586" spans="1:11" ht="14.45" customHeight="1" x14ac:dyDescent="0.2">
      <c r="A586" s="463" t="s">
        <v>436</v>
      </c>
      <c r="B586" s="464" t="s">
        <v>437</v>
      </c>
      <c r="C586" s="465" t="s">
        <v>444</v>
      </c>
      <c r="D586" s="466" t="s">
        <v>445</v>
      </c>
      <c r="E586" s="465" t="s">
        <v>822</v>
      </c>
      <c r="F586" s="466" t="s">
        <v>823</v>
      </c>
      <c r="G586" s="465" t="s">
        <v>1669</v>
      </c>
      <c r="H586" s="465" t="s">
        <v>1670</v>
      </c>
      <c r="I586" s="468">
        <v>12039.5</v>
      </c>
      <c r="J586" s="468">
        <v>1</v>
      </c>
      <c r="K586" s="469">
        <v>12039.5</v>
      </c>
    </row>
    <row r="587" spans="1:11" ht="14.45" customHeight="1" x14ac:dyDescent="0.2">
      <c r="A587" s="463" t="s">
        <v>436</v>
      </c>
      <c r="B587" s="464" t="s">
        <v>437</v>
      </c>
      <c r="C587" s="465" t="s">
        <v>444</v>
      </c>
      <c r="D587" s="466" t="s">
        <v>445</v>
      </c>
      <c r="E587" s="465" t="s">
        <v>822</v>
      </c>
      <c r="F587" s="466" t="s">
        <v>823</v>
      </c>
      <c r="G587" s="465" t="s">
        <v>1671</v>
      </c>
      <c r="H587" s="465" t="s">
        <v>1672</v>
      </c>
      <c r="I587" s="468">
        <v>19816</v>
      </c>
      <c r="J587" s="468">
        <v>1</v>
      </c>
      <c r="K587" s="469">
        <v>19816</v>
      </c>
    </row>
    <row r="588" spans="1:11" ht="14.45" customHeight="1" x14ac:dyDescent="0.2">
      <c r="A588" s="463" t="s">
        <v>436</v>
      </c>
      <c r="B588" s="464" t="s">
        <v>437</v>
      </c>
      <c r="C588" s="465" t="s">
        <v>444</v>
      </c>
      <c r="D588" s="466" t="s">
        <v>445</v>
      </c>
      <c r="E588" s="465" t="s">
        <v>822</v>
      </c>
      <c r="F588" s="466" t="s">
        <v>823</v>
      </c>
      <c r="G588" s="465" t="s">
        <v>1673</v>
      </c>
      <c r="H588" s="465" t="s">
        <v>1674</v>
      </c>
      <c r="I588" s="468">
        <v>5808</v>
      </c>
      <c r="J588" s="468">
        <v>1</v>
      </c>
      <c r="K588" s="469">
        <v>5808</v>
      </c>
    </row>
    <row r="589" spans="1:11" ht="14.45" customHeight="1" x14ac:dyDescent="0.2">
      <c r="A589" s="463" t="s">
        <v>436</v>
      </c>
      <c r="B589" s="464" t="s">
        <v>437</v>
      </c>
      <c r="C589" s="465" t="s">
        <v>444</v>
      </c>
      <c r="D589" s="466" t="s">
        <v>445</v>
      </c>
      <c r="E589" s="465" t="s">
        <v>822</v>
      </c>
      <c r="F589" s="466" t="s">
        <v>823</v>
      </c>
      <c r="G589" s="465" t="s">
        <v>1675</v>
      </c>
      <c r="H589" s="465" t="s">
        <v>1676</v>
      </c>
      <c r="I589" s="468">
        <v>367.83250045776367</v>
      </c>
      <c r="J589" s="468">
        <v>17</v>
      </c>
      <c r="K589" s="469">
        <v>6253.1099853515625</v>
      </c>
    </row>
    <row r="590" spans="1:11" ht="14.45" customHeight="1" x14ac:dyDescent="0.2">
      <c r="A590" s="463" t="s">
        <v>436</v>
      </c>
      <c r="B590" s="464" t="s">
        <v>437</v>
      </c>
      <c r="C590" s="465" t="s">
        <v>444</v>
      </c>
      <c r="D590" s="466" t="s">
        <v>445</v>
      </c>
      <c r="E590" s="465" t="s">
        <v>822</v>
      </c>
      <c r="F590" s="466" t="s">
        <v>823</v>
      </c>
      <c r="G590" s="465" t="s">
        <v>1677</v>
      </c>
      <c r="H590" s="465" t="s">
        <v>1678</v>
      </c>
      <c r="I590" s="468">
        <v>129.99199829101562</v>
      </c>
      <c r="J590" s="468">
        <v>23</v>
      </c>
      <c r="K590" s="469">
        <v>2989.9599914550781</v>
      </c>
    </row>
    <row r="591" spans="1:11" ht="14.45" customHeight="1" x14ac:dyDescent="0.2">
      <c r="A591" s="463" t="s">
        <v>436</v>
      </c>
      <c r="B591" s="464" t="s">
        <v>437</v>
      </c>
      <c r="C591" s="465" t="s">
        <v>444</v>
      </c>
      <c r="D591" s="466" t="s">
        <v>445</v>
      </c>
      <c r="E591" s="465" t="s">
        <v>822</v>
      </c>
      <c r="F591" s="466" t="s">
        <v>823</v>
      </c>
      <c r="G591" s="465" t="s">
        <v>1677</v>
      </c>
      <c r="H591" s="465" t="s">
        <v>1679</v>
      </c>
      <c r="I591" s="468">
        <v>130.01600036621093</v>
      </c>
      <c r="J591" s="468">
        <v>15</v>
      </c>
      <c r="K591" s="469">
        <v>1950.1700134277344</v>
      </c>
    </row>
    <row r="592" spans="1:11" ht="14.45" customHeight="1" x14ac:dyDescent="0.2">
      <c r="A592" s="463" t="s">
        <v>436</v>
      </c>
      <c r="B592" s="464" t="s">
        <v>437</v>
      </c>
      <c r="C592" s="465" t="s">
        <v>444</v>
      </c>
      <c r="D592" s="466" t="s">
        <v>445</v>
      </c>
      <c r="E592" s="465" t="s">
        <v>822</v>
      </c>
      <c r="F592" s="466" t="s">
        <v>823</v>
      </c>
      <c r="G592" s="465" t="s">
        <v>1680</v>
      </c>
      <c r="H592" s="465" t="s">
        <v>1681</v>
      </c>
      <c r="I592" s="468">
        <v>834.989990234375</v>
      </c>
      <c r="J592" s="468">
        <v>4</v>
      </c>
      <c r="K592" s="469">
        <v>3339.9599609375</v>
      </c>
    </row>
    <row r="593" spans="1:11" ht="14.45" customHeight="1" x14ac:dyDescent="0.2">
      <c r="A593" s="463" t="s">
        <v>436</v>
      </c>
      <c r="B593" s="464" t="s">
        <v>437</v>
      </c>
      <c r="C593" s="465" t="s">
        <v>444</v>
      </c>
      <c r="D593" s="466" t="s">
        <v>445</v>
      </c>
      <c r="E593" s="465" t="s">
        <v>822</v>
      </c>
      <c r="F593" s="466" t="s">
        <v>823</v>
      </c>
      <c r="G593" s="465" t="s">
        <v>1682</v>
      </c>
      <c r="H593" s="465" t="s">
        <v>1683</v>
      </c>
      <c r="I593" s="468">
        <v>399</v>
      </c>
      <c r="J593" s="468">
        <v>2</v>
      </c>
      <c r="K593" s="469">
        <v>798</v>
      </c>
    </row>
    <row r="594" spans="1:11" ht="14.45" customHeight="1" x14ac:dyDescent="0.2">
      <c r="A594" s="463" t="s">
        <v>436</v>
      </c>
      <c r="B594" s="464" t="s">
        <v>437</v>
      </c>
      <c r="C594" s="465" t="s">
        <v>444</v>
      </c>
      <c r="D594" s="466" t="s">
        <v>445</v>
      </c>
      <c r="E594" s="465" t="s">
        <v>822</v>
      </c>
      <c r="F594" s="466" t="s">
        <v>823</v>
      </c>
      <c r="G594" s="465" t="s">
        <v>1684</v>
      </c>
      <c r="H594" s="465" t="s">
        <v>1685</v>
      </c>
      <c r="I594" s="468">
        <v>21.379999160766602</v>
      </c>
      <c r="J594" s="468">
        <v>250</v>
      </c>
      <c r="K594" s="469">
        <v>5344.9599609375</v>
      </c>
    </row>
    <row r="595" spans="1:11" ht="14.45" customHeight="1" x14ac:dyDescent="0.2">
      <c r="A595" s="463" t="s">
        <v>436</v>
      </c>
      <c r="B595" s="464" t="s">
        <v>437</v>
      </c>
      <c r="C595" s="465" t="s">
        <v>444</v>
      </c>
      <c r="D595" s="466" t="s">
        <v>445</v>
      </c>
      <c r="E595" s="465" t="s">
        <v>822</v>
      </c>
      <c r="F595" s="466" t="s">
        <v>823</v>
      </c>
      <c r="G595" s="465" t="s">
        <v>1686</v>
      </c>
      <c r="H595" s="465" t="s">
        <v>1687</v>
      </c>
      <c r="I595" s="468">
        <v>36.779998779296875</v>
      </c>
      <c r="J595" s="468">
        <v>125</v>
      </c>
      <c r="K595" s="469">
        <v>4597.8499145507813</v>
      </c>
    </row>
    <row r="596" spans="1:11" ht="14.45" customHeight="1" x14ac:dyDescent="0.2">
      <c r="A596" s="463" t="s">
        <v>436</v>
      </c>
      <c r="B596" s="464" t="s">
        <v>437</v>
      </c>
      <c r="C596" s="465" t="s">
        <v>444</v>
      </c>
      <c r="D596" s="466" t="s">
        <v>445</v>
      </c>
      <c r="E596" s="465" t="s">
        <v>822</v>
      </c>
      <c r="F596" s="466" t="s">
        <v>823</v>
      </c>
      <c r="G596" s="465" t="s">
        <v>1688</v>
      </c>
      <c r="H596" s="465" t="s">
        <v>1689</v>
      </c>
      <c r="I596" s="468">
        <v>2344.925048828125</v>
      </c>
      <c r="J596" s="468">
        <v>4</v>
      </c>
      <c r="K596" s="469">
        <v>9379.7001953125</v>
      </c>
    </row>
    <row r="597" spans="1:11" ht="14.45" customHeight="1" x14ac:dyDescent="0.2">
      <c r="A597" s="463" t="s">
        <v>436</v>
      </c>
      <c r="B597" s="464" t="s">
        <v>437</v>
      </c>
      <c r="C597" s="465" t="s">
        <v>444</v>
      </c>
      <c r="D597" s="466" t="s">
        <v>445</v>
      </c>
      <c r="E597" s="465" t="s">
        <v>822</v>
      </c>
      <c r="F597" s="466" t="s">
        <v>823</v>
      </c>
      <c r="G597" s="465" t="s">
        <v>1690</v>
      </c>
      <c r="H597" s="465" t="s">
        <v>1691</v>
      </c>
      <c r="I597" s="468">
        <v>93.796002197265622</v>
      </c>
      <c r="J597" s="468">
        <v>125</v>
      </c>
      <c r="K597" s="469">
        <v>11724.66015625</v>
      </c>
    </row>
    <row r="598" spans="1:11" ht="14.45" customHeight="1" x14ac:dyDescent="0.2">
      <c r="A598" s="463" t="s">
        <v>436</v>
      </c>
      <c r="B598" s="464" t="s">
        <v>437</v>
      </c>
      <c r="C598" s="465" t="s">
        <v>444</v>
      </c>
      <c r="D598" s="466" t="s">
        <v>445</v>
      </c>
      <c r="E598" s="465" t="s">
        <v>822</v>
      </c>
      <c r="F598" s="466" t="s">
        <v>823</v>
      </c>
      <c r="G598" s="465" t="s">
        <v>1692</v>
      </c>
      <c r="H598" s="465" t="s">
        <v>1693</v>
      </c>
      <c r="I598" s="468">
        <v>35.400001525878906</v>
      </c>
      <c r="J598" s="468">
        <v>300</v>
      </c>
      <c r="K598" s="469">
        <v>10620.869995117188</v>
      </c>
    </row>
    <row r="599" spans="1:11" ht="14.45" customHeight="1" x14ac:dyDescent="0.2">
      <c r="A599" s="463" t="s">
        <v>436</v>
      </c>
      <c r="B599" s="464" t="s">
        <v>437</v>
      </c>
      <c r="C599" s="465" t="s">
        <v>444</v>
      </c>
      <c r="D599" s="466" t="s">
        <v>445</v>
      </c>
      <c r="E599" s="465" t="s">
        <v>822</v>
      </c>
      <c r="F599" s="466" t="s">
        <v>823</v>
      </c>
      <c r="G599" s="465" t="s">
        <v>1694</v>
      </c>
      <c r="H599" s="465" t="s">
        <v>1695</v>
      </c>
      <c r="I599" s="468">
        <v>3508.9366861979165</v>
      </c>
      <c r="J599" s="468">
        <v>4</v>
      </c>
      <c r="K599" s="469">
        <v>14035.81005859375</v>
      </c>
    </row>
    <row r="600" spans="1:11" ht="14.45" customHeight="1" x14ac:dyDescent="0.2">
      <c r="A600" s="463" t="s">
        <v>436</v>
      </c>
      <c r="B600" s="464" t="s">
        <v>437</v>
      </c>
      <c r="C600" s="465" t="s">
        <v>444</v>
      </c>
      <c r="D600" s="466" t="s">
        <v>445</v>
      </c>
      <c r="E600" s="465" t="s">
        <v>822</v>
      </c>
      <c r="F600" s="466" t="s">
        <v>823</v>
      </c>
      <c r="G600" s="465" t="s">
        <v>1696</v>
      </c>
      <c r="H600" s="465" t="s">
        <v>1697</v>
      </c>
      <c r="I600" s="468">
        <v>4021.68994140625</v>
      </c>
      <c r="J600" s="468">
        <v>1</v>
      </c>
      <c r="K600" s="469">
        <v>4021.68994140625</v>
      </c>
    </row>
    <row r="601" spans="1:11" ht="14.45" customHeight="1" x14ac:dyDescent="0.2">
      <c r="A601" s="463" t="s">
        <v>436</v>
      </c>
      <c r="B601" s="464" t="s">
        <v>437</v>
      </c>
      <c r="C601" s="465" t="s">
        <v>444</v>
      </c>
      <c r="D601" s="466" t="s">
        <v>445</v>
      </c>
      <c r="E601" s="465" t="s">
        <v>822</v>
      </c>
      <c r="F601" s="466" t="s">
        <v>823</v>
      </c>
      <c r="G601" s="465" t="s">
        <v>1698</v>
      </c>
      <c r="H601" s="465" t="s">
        <v>1699</v>
      </c>
      <c r="I601" s="468">
        <v>1190</v>
      </c>
      <c r="J601" s="468">
        <v>3</v>
      </c>
      <c r="K601" s="469">
        <v>3570</v>
      </c>
    </row>
    <row r="602" spans="1:11" ht="14.45" customHeight="1" x14ac:dyDescent="0.2">
      <c r="A602" s="463" t="s">
        <v>436</v>
      </c>
      <c r="B602" s="464" t="s">
        <v>437</v>
      </c>
      <c r="C602" s="465" t="s">
        <v>444</v>
      </c>
      <c r="D602" s="466" t="s">
        <v>445</v>
      </c>
      <c r="E602" s="465" t="s">
        <v>822</v>
      </c>
      <c r="F602" s="466" t="s">
        <v>823</v>
      </c>
      <c r="G602" s="465" t="s">
        <v>1700</v>
      </c>
      <c r="H602" s="465" t="s">
        <v>1701</v>
      </c>
      <c r="I602" s="468">
        <v>590.47998046875</v>
      </c>
      <c r="J602" s="468">
        <v>1</v>
      </c>
      <c r="K602" s="469">
        <v>590.47998046875</v>
      </c>
    </row>
    <row r="603" spans="1:11" ht="14.45" customHeight="1" x14ac:dyDescent="0.2">
      <c r="A603" s="463" t="s">
        <v>436</v>
      </c>
      <c r="B603" s="464" t="s">
        <v>437</v>
      </c>
      <c r="C603" s="465" t="s">
        <v>444</v>
      </c>
      <c r="D603" s="466" t="s">
        <v>445</v>
      </c>
      <c r="E603" s="465" t="s">
        <v>822</v>
      </c>
      <c r="F603" s="466" t="s">
        <v>823</v>
      </c>
      <c r="G603" s="465" t="s">
        <v>1702</v>
      </c>
      <c r="H603" s="465" t="s">
        <v>1703</v>
      </c>
      <c r="I603" s="468">
        <v>1233.2766520182292</v>
      </c>
      <c r="J603" s="468">
        <v>13</v>
      </c>
      <c r="K603" s="469">
        <v>16009.650390625</v>
      </c>
    </row>
    <row r="604" spans="1:11" ht="14.45" customHeight="1" x14ac:dyDescent="0.2">
      <c r="A604" s="463" t="s">
        <v>436</v>
      </c>
      <c r="B604" s="464" t="s">
        <v>437</v>
      </c>
      <c r="C604" s="465" t="s">
        <v>444</v>
      </c>
      <c r="D604" s="466" t="s">
        <v>445</v>
      </c>
      <c r="E604" s="465" t="s">
        <v>822</v>
      </c>
      <c r="F604" s="466" t="s">
        <v>823</v>
      </c>
      <c r="G604" s="465" t="s">
        <v>1702</v>
      </c>
      <c r="H604" s="465" t="s">
        <v>1704</v>
      </c>
      <c r="I604" s="468">
        <v>1250.9366861979167</v>
      </c>
      <c r="J604" s="468">
        <v>7</v>
      </c>
      <c r="K604" s="469">
        <v>8756.050048828125</v>
      </c>
    </row>
    <row r="605" spans="1:11" ht="14.45" customHeight="1" x14ac:dyDescent="0.2">
      <c r="A605" s="463" t="s">
        <v>436</v>
      </c>
      <c r="B605" s="464" t="s">
        <v>437</v>
      </c>
      <c r="C605" s="465" t="s">
        <v>444</v>
      </c>
      <c r="D605" s="466" t="s">
        <v>445</v>
      </c>
      <c r="E605" s="465" t="s">
        <v>822</v>
      </c>
      <c r="F605" s="466" t="s">
        <v>823</v>
      </c>
      <c r="G605" s="465" t="s">
        <v>1684</v>
      </c>
      <c r="H605" s="465" t="s">
        <v>1705</v>
      </c>
      <c r="I605" s="468">
        <v>21.379999160766602</v>
      </c>
      <c r="J605" s="468">
        <v>250</v>
      </c>
      <c r="K605" s="469">
        <v>5345.210205078125</v>
      </c>
    </row>
    <row r="606" spans="1:11" ht="14.45" customHeight="1" x14ac:dyDescent="0.2">
      <c r="A606" s="463" t="s">
        <v>436</v>
      </c>
      <c r="B606" s="464" t="s">
        <v>437</v>
      </c>
      <c r="C606" s="465" t="s">
        <v>444</v>
      </c>
      <c r="D606" s="466" t="s">
        <v>445</v>
      </c>
      <c r="E606" s="465" t="s">
        <v>822</v>
      </c>
      <c r="F606" s="466" t="s">
        <v>823</v>
      </c>
      <c r="G606" s="465" t="s">
        <v>1686</v>
      </c>
      <c r="H606" s="465" t="s">
        <v>1706</v>
      </c>
      <c r="I606" s="468">
        <v>36.779998779296875</v>
      </c>
      <c r="J606" s="468">
        <v>125</v>
      </c>
      <c r="K606" s="469">
        <v>4597.9998779296875</v>
      </c>
    </row>
    <row r="607" spans="1:11" ht="14.45" customHeight="1" x14ac:dyDescent="0.2">
      <c r="A607" s="463" t="s">
        <v>436</v>
      </c>
      <c r="B607" s="464" t="s">
        <v>437</v>
      </c>
      <c r="C607" s="465" t="s">
        <v>444</v>
      </c>
      <c r="D607" s="466" t="s">
        <v>445</v>
      </c>
      <c r="E607" s="465" t="s">
        <v>822</v>
      </c>
      <c r="F607" s="466" t="s">
        <v>823</v>
      </c>
      <c r="G607" s="465" t="s">
        <v>1688</v>
      </c>
      <c r="H607" s="465" t="s">
        <v>1707</v>
      </c>
      <c r="I607" s="468">
        <v>2344.97998046875</v>
      </c>
      <c r="J607" s="468">
        <v>5</v>
      </c>
      <c r="K607" s="469">
        <v>11724.89990234375</v>
      </c>
    </row>
    <row r="608" spans="1:11" ht="14.45" customHeight="1" x14ac:dyDescent="0.2">
      <c r="A608" s="463" t="s">
        <v>436</v>
      </c>
      <c r="B608" s="464" t="s">
        <v>437</v>
      </c>
      <c r="C608" s="465" t="s">
        <v>444</v>
      </c>
      <c r="D608" s="466" t="s">
        <v>445</v>
      </c>
      <c r="E608" s="465" t="s">
        <v>822</v>
      </c>
      <c r="F608" s="466" t="s">
        <v>823</v>
      </c>
      <c r="G608" s="465" t="s">
        <v>1690</v>
      </c>
      <c r="H608" s="465" t="s">
        <v>1708</v>
      </c>
      <c r="I608" s="468">
        <v>93.800003051757813</v>
      </c>
      <c r="J608" s="468">
        <v>125</v>
      </c>
      <c r="K608" s="469">
        <v>11724.89990234375</v>
      </c>
    </row>
    <row r="609" spans="1:11" ht="14.45" customHeight="1" x14ac:dyDescent="0.2">
      <c r="A609" s="463" t="s">
        <v>436</v>
      </c>
      <c r="B609" s="464" t="s">
        <v>437</v>
      </c>
      <c r="C609" s="465" t="s">
        <v>444</v>
      </c>
      <c r="D609" s="466" t="s">
        <v>445</v>
      </c>
      <c r="E609" s="465" t="s">
        <v>822</v>
      </c>
      <c r="F609" s="466" t="s">
        <v>823</v>
      </c>
      <c r="G609" s="465" t="s">
        <v>1692</v>
      </c>
      <c r="H609" s="465" t="s">
        <v>1709</v>
      </c>
      <c r="I609" s="468">
        <v>35.400001525878906</v>
      </c>
      <c r="J609" s="468">
        <v>400</v>
      </c>
      <c r="K609" s="469">
        <v>14161.860107421875</v>
      </c>
    </row>
    <row r="610" spans="1:11" ht="14.45" customHeight="1" x14ac:dyDescent="0.2">
      <c r="A610" s="463" t="s">
        <v>436</v>
      </c>
      <c r="B610" s="464" t="s">
        <v>437</v>
      </c>
      <c r="C610" s="465" t="s">
        <v>444</v>
      </c>
      <c r="D610" s="466" t="s">
        <v>445</v>
      </c>
      <c r="E610" s="465" t="s">
        <v>822</v>
      </c>
      <c r="F610" s="466" t="s">
        <v>823</v>
      </c>
      <c r="G610" s="465" t="s">
        <v>1710</v>
      </c>
      <c r="H610" s="465" t="s">
        <v>1711</v>
      </c>
      <c r="I610" s="468">
        <v>2.0199999809265137</v>
      </c>
      <c r="J610" s="468">
        <v>200</v>
      </c>
      <c r="K610" s="469">
        <v>403.989990234375</v>
      </c>
    </row>
    <row r="611" spans="1:11" ht="14.45" customHeight="1" x14ac:dyDescent="0.2">
      <c r="A611" s="463" t="s">
        <v>436</v>
      </c>
      <c r="B611" s="464" t="s">
        <v>437</v>
      </c>
      <c r="C611" s="465" t="s">
        <v>444</v>
      </c>
      <c r="D611" s="466" t="s">
        <v>445</v>
      </c>
      <c r="E611" s="465" t="s">
        <v>822</v>
      </c>
      <c r="F611" s="466" t="s">
        <v>823</v>
      </c>
      <c r="G611" s="465" t="s">
        <v>1712</v>
      </c>
      <c r="H611" s="465" t="s">
        <v>1713</v>
      </c>
      <c r="I611" s="468">
        <v>24</v>
      </c>
      <c r="J611" s="468">
        <v>20</v>
      </c>
      <c r="K611" s="469">
        <v>480</v>
      </c>
    </row>
    <row r="612" spans="1:11" ht="14.45" customHeight="1" x14ac:dyDescent="0.2">
      <c r="A612" s="463" t="s">
        <v>436</v>
      </c>
      <c r="B612" s="464" t="s">
        <v>437</v>
      </c>
      <c r="C612" s="465" t="s">
        <v>444</v>
      </c>
      <c r="D612" s="466" t="s">
        <v>445</v>
      </c>
      <c r="E612" s="465" t="s">
        <v>822</v>
      </c>
      <c r="F612" s="466" t="s">
        <v>823</v>
      </c>
      <c r="G612" s="465" t="s">
        <v>1714</v>
      </c>
      <c r="H612" s="465" t="s">
        <v>1715</v>
      </c>
      <c r="I612" s="468">
        <v>24</v>
      </c>
      <c r="J612" s="468">
        <v>20</v>
      </c>
      <c r="K612" s="469">
        <v>480.02999877929688</v>
      </c>
    </row>
    <row r="613" spans="1:11" ht="14.45" customHeight="1" x14ac:dyDescent="0.2">
      <c r="A613" s="463" t="s">
        <v>436</v>
      </c>
      <c r="B613" s="464" t="s">
        <v>437</v>
      </c>
      <c r="C613" s="465" t="s">
        <v>444</v>
      </c>
      <c r="D613" s="466" t="s">
        <v>445</v>
      </c>
      <c r="E613" s="465" t="s">
        <v>822</v>
      </c>
      <c r="F613" s="466" t="s">
        <v>823</v>
      </c>
      <c r="G613" s="465" t="s">
        <v>1714</v>
      </c>
      <c r="H613" s="465" t="s">
        <v>1716</v>
      </c>
      <c r="I613" s="468">
        <v>24</v>
      </c>
      <c r="J613" s="468">
        <v>20</v>
      </c>
      <c r="K613" s="469">
        <v>480</v>
      </c>
    </row>
    <row r="614" spans="1:11" ht="14.45" customHeight="1" x14ac:dyDescent="0.2">
      <c r="A614" s="463" t="s">
        <v>436</v>
      </c>
      <c r="B614" s="464" t="s">
        <v>437</v>
      </c>
      <c r="C614" s="465" t="s">
        <v>444</v>
      </c>
      <c r="D614" s="466" t="s">
        <v>445</v>
      </c>
      <c r="E614" s="465" t="s">
        <v>822</v>
      </c>
      <c r="F614" s="466" t="s">
        <v>823</v>
      </c>
      <c r="G614" s="465" t="s">
        <v>1717</v>
      </c>
      <c r="H614" s="465" t="s">
        <v>1718</v>
      </c>
      <c r="I614" s="468">
        <v>1.1881818554618142</v>
      </c>
      <c r="J614" s="468">
        <v>8900</v>
      </c>
      <c r="K614" s="469">
        <v>10545.510009765625</v>
      </c>
    </row>
    <row r="615" spans="1:11" ht="14.45" customHeight="1" x14ac:dyDescent="0.2">
      <c r="A615" s="463" t="s">
        <v>436</v>
      </c>
      <c r="B615" s="464" t="s">
        <v>437</v>
      </c>
      <c r="C615" s="465" t="s">
        <v>444</v>
      </c>
      <c r="D615" s="466" t="s">
        <v>445</v>
      </c>
      <c r="E615" s="465" t="s">
        <v>822</v>
      </c>
      <c r="F615" s="466" t="s">
        <v>823</v>
      </c>
      <c r="G615" s="465" t="s">
        <v>1717</v>
      </c>
      <c r="H615" s="465" t="s">
        <v>1719</v>
      </c>
      <c r="I615" s="468">
        <v>1.188571470124381</v>
      </c>
      <c r="J615" s="468">
        <v>13400</v>
      </c>
      <c r="K615" s="469">
        <v>15888.460205078125</v>
      </c>
    </row>
    <row r="616" spans="1:11" ht="14.45" customHeight="1" x14ac:dyDescent="0.2">
      <c r="A616" s="463" t="s">
        <v>436</v>
      </c>
      <c r="B616" s="464" t="s">
        <v>437</v>
      </c>
      <c r="C616" s="465" t="s">
        <v>444</v>
      </c>
      <c r="D616" s="466" t="s">
        <v>445</v>
      </c>
      <c r="E616" s="465" t="s">
        <v>822</v>
      </c>
      <c r="F616" s="466" t="s">
        <v>823</v>
      </c>
      <c r="G616" s="465" t="s">
        <v>1720</v>
      </c>
      <c r="H616" s="465" t="s">
        <v>1721</v>
      </c>
      <c r="I616" s="468">
        <v>3910</v>
      </c>
      <c r="J616" s="468">
        <v>1</v>
      </c>
      <c r="K616" s="469">
        <v>3910</v>
      </c>
    </row>
    <row r="617" spans="1:11" ht="14.45" customHeight="1" x14ac:dyDescent="0.2">
      <c r="A617" s="463" t="s">
        <v>436</v>
      </c>
      <c r="B617" s="464" t="s">
        <v>437</v>
      </c>
      <c r="C617" s="465" t="s">
        <v>444</v>
      </c>
      <c r="D617" s="466" t="s">
        <v>445</v>
      </c>
      <c r="E617" s="465" t="s">
        <v>822</v>
      </c>
      <c r="F617" s="466" t="s">
        <v>823</v>
      </c>
      <c r="G617" s="465" t="s">
        <v>1722</v>
      </c>
      <c r="H617" s="465" t="s">
        <v>1723</v>
      </c>
      <c r="I617" s="468">
        <v>798.4949951171875</v>
      </c>
      <c r="J617" s="468">
        <v>3</v>
      </c>
      <c r="K617" s="469">
        <v>2395.47998046875</v>
      </c>
    </row>
    <row r="618" spans="1:11" ht="14.45" customHeight="1" x14ac:dyDescent="0.2">
      <c r="A618" s="463" t="s">
        <v>436</v>
      </c>
      <c r="B618" s="464" t="s">
        <v>437</v>
      </c>
      <c r="C618" s="465" t="s">
        <v>444</v>
      </c>
      <c r="D618" s="466" t="s">
        <v>445</v>
      </c>
      <c r="E618" s="465" t="s">
        <v>822</v>
      </c>
      <c r="F618" s="466" t="s">
        <v>823</v>
      </c>
      <c r="G618" s="465" t="s">
        <v>1724</v>
      </c>
      <c r="H618" s="465" t="s">
        <v>1725</v>
      </c>
      <c r="I618" s="468">
        <v>19995</v>
      </c>
      <c r="J618" s="468">
        <v>1</v>
      </c>
      <c r="K618" s="469">
        <v>19995</v>
      </c>
    </row>
    <row r="619" spans="1:11" ht="14.45" customHeight="1" x14ac:dyDescent="0.2">
      <c r="A619" s="463" t="s">
        <v>436</v>
      </c>
      <c r="B619" s="464" t="s">
        <v>437</v>
      </c>
      <c r="C619" s="465" t="s">
        <v>444</v>
      </c>
      <c r="D619" s="466" t="s">
        <v>445</v>
      </c>
      <c r="E619" s="465" t="s">
        <v>822</v>
      </c>
      <c r="F619" s="466" t="s">
        <v>823</v>
      </c>
      <c r="G619" s="465" t="s">
        <v>1726</v>
      </c>
      <c r="H619" s="465" t="s">
        <v>1727</v>
      </c>
      <c r="I619" s="468">
        <v>2559</v>
      </c>
      <c r="J619" s="468">
        <v>1</v>
      </c>
      <c r="K619" s="469">
        <v>2559</v>
      </c>
    </row>
    <row r="620" spans="1:11" ht="14.45" customHeight="1" x14ac:dyDescent="0.2">
      <c r="A620" s="463" t="s">
        <v>436</v>
      </c>
      <c r="B620" s="464" t="s">
        <v>437</v>
      </c>
      <c r="C620" s="465" t="s">
        <v>444</v>
      </c>
      <c r="D620" s="466" t="s">
        <v>445</v>
      </c>
      <c r="E620" s="465" t="s">
        <v>822</v>
      </c>
      <c r="F620" s="466" t="s">
        <v>823</v>
      </c>
      <c r="G620" s="465" t="s">
        <v>1728</v>
      </c>
      <c r="H620" s="465" t="s">
        <v>1729</v>
      </c>
      <c r="I620" s="468">
        <v>955.9000244140625</v>
      </c>
      <c r="J620" s="468">
        <v>1</v>
      </c>
      <c r="K620" s="469">
        <v>955.9000244140625</v>
      </c>
    </row>
    <row r="621" spans="1:11" ht="14.45" customHeight="1" x14ac:dyDescent="0.2">
      <c r="A621" s="463" t="s">
        <v>436</v>
      </c>
      <c r="B621" s="464" t="s">
        <v>437</v>
      </c>
      <c r="C621" s="465" t="s">
        <v>444</v>
      </c>
      <c r="D621" s="466" t="s">
        <v>445</v>
      </c>
      <c r="E621" s="465" t="s">
        <v>822</v>
      </c>
      <c r="F621" s="466" t="s">
        <v>823</v>
      </c>
      <c r="G621" s="465" t="s">
        <v>1730</v>
      </c>
      <c r="H621" s="465" t="s">
        <v>1731</v>
      </c>
      <c r="I621" s="468">
        <v>863.8800048828125</v>
      </c>
      <c r="J621" s="468">
        <v>1</v>
      </c>
      <c r="K621" s="469">
        <v>863.8800048828125</v>
      </c>
    </row>
    <row r="622" spans="1:11" ht="14.45" customHeight="1" x14ac:dyDescent="0.2">
      <c r="A622" s="463" t="s">
        <v>436</v>
      </c>
      <c r="B622" s="464" t="s">
        <v>437</v>
      </c>
      <c r="C622" s="465" t="s">
        <v>444</v>
      </c>
      <c r="D622" s="466" t="s">
        <v>445</v>
      </c>
      <c r="E622" s="465" t="s">
        <v>822</v>
      </c>
      <c r="F622" s="466" t="s">
        <v>823</v>
      </c>
      <c r="G622" s="465" t="s">
        <v>1732</v>
      </c>
      <c r="H622" s="465" t="s">
        <v>1733</v>
      </c>
      <c r="I622" s="468">
        <v>859.0999755859375</v>
      </c>
      <c r="J622" s="468">
        <v>1</v>
      </c>
      <c r="K622" s="469">
        <v>859.0999755859375</v>
      </c>
    </row>
    <row r="623" spans="1:11" ht="14.45" customHeight="1" x14ac:dyDescent="0.2">
      <c r="A623" s="463" t="s">
        <v>436</v>
      </c>
      <c r="B623" s="464" t="s">
        <v>437</v>
      </c>
      <c r="C623" s="465" t="s">
        <v>444</v>
      </c>
      <c r="D623" s="466" t="s">
        <v>445</v>
      </c>
      <c r="E623" s="465" t="s">
        <v>822</v>
      </c>
      <c r="F623" s="466" t="s">
        <v>823</v>
      </c>
      <c r="G623" s="465" t="s">
        <v>1734</v>
      </c>
      <c r="H623" s="465" t="s">
        <v>1735</v>
      </c>
      <c r="I623" s="468">
        <v>316.10665893554688</v>
      </c>
      <c r="J623" s="468">
        <v>13</v>
      </c>
      <c r="K623" s="469">
        <v>4109.3598937988281</v>
      </c>
    </row>
    <row r="624" spans="1:11" ht="14.45" customHeight="1" x14ac:dyDescent="0.2">
      <c r="A624" s="463" t="s">
        <v>436</v>
      </c>
      <c r="B624" s="464" t="s">
        <v>437</v>
      </c>
      <c r="C624" s="465" t="s">
        <v>444</v>
      </c>
      <c r="D624" s="466" t="s">
        <v>445</v>
      </c>
      <c r="E624" s="465" t="s">
        <v>822</v>
      </c>
      <c r="F624" s="466" t="s">
        <v>823</v>
      </c>
      <c r="G624" s="465" t="s">
        <v>1736</v>
      </c>
      <c r="H624" s="465" t="s">
        <v>1737</v>
      </c>
      <c r="I624" s="468">
        <v>528.75</v>
      </c>
      <c r="J624" s="468">
        <v>3</v>
      </c>
      <c r="K624" s="469">
        <v>1586.27001953125</v>
      </c>
    </row>
    <row r="625" spans="1:11" ht="14.45" customHeight="1" x14ac:dyDescent="0.2">
      <c r="A625" s="463" t="s">
        <v>436</v>
      </c>
      <c r="B625" s="464" t="s">
        <v>437</v>
      </c>
      <c r="C625" s="465" t="s">
        <v>444</v>
      </c>
      <c r="D625" s="466" t="s">
        <v>445</v>
      </c>
      <c r="E625" s="465" t="s">
        <v>822</v>
      </c>
      <c r="F625" s="466" t="s">
        <v>823</v>
      </c>
      <c r="G625" s="465" t="s">
        <v>1738</v>
      </c>
      <c r="H625" s="465" t="s">
        <v>1739</v>
      </c>
      <c r="I625" s="468">
        <v>954.07602539062498</v>
      </c>
      <c r="J625" s="468">
        <v>5</v>
      </c>
      <c r="K625" s="469">
        <v>4770.380126953125</v>
      </c>
    </row>
    <row r="626" spans="1:11" ht="14.45" customHeight="1" x14ac:dyDescent="0.2">
      <c r="A626" s="463" t="s">
        <v>436</v>
      </c>
      <c r="B626" s="464" t="s">
        <v>437</v>
      </c>
      <c r="C626" s="465" t="s">
        <v>444</v>
      </c>
      <c r="D626" s="466" t="s">
        <v>445</v>
      </c>
      <c r="E626" s="465" t="s">
        <v>822</v>
      </c>
      <c r="F626" s="466" t="s">
        <v>823</v>
      </c>
      <c r="G626" s="465" t="s">
        <v>1740</v>
      </c>
      <c r="H626" s="465" t="s">
        <v>1741</v>
      </c>
      <c r="I626" s="468">
        <v>827.6400146484375</v>
      </c>
      <c r="J626" s="468">
        <v>2</v>
      </c>
      <c r="K626" s="469">
        <v>1655.280029296875</v>
      </c>
    </row>
    <row r="627" spans="1:11" ht="14.45" customHeight="1" x14ac:dyDescent="0.2">
      <c r="A627" s="463" t="s">
        <v>436</v>
      </c>
      <c r="B627" s="464" t="s">
        <v>437</v>
      </c>
      <c r="C627" s="465" t="s">
        <v>444</v>
      </c>
      <c r="D627" s="466" t="s">
        <v>445</v>
      </c>
      <c r="E627" s="465" t="s">
        <v>822</v>
      </c>
      <c r="F627" s="466" t="s">
        <v>823</v>
      </c>
      <c r="G627" s="465" t="s">
        <v>1742</v>
      </c>
      <c r="H627" s="465" t="s">
        <v>1743</v>
      </c>
      <c r="I627" s="468">
        <v>384.17999267578125</v>
      </c>
      <c r="J627" s="468">
        <v>16</v>
      </c>
      <c r="K627" s="469">
        <v>6146.7998046875</v>
      </c>
    </row>
    <row r="628" spans="1:11" ht="14.45" customHeight="1" x14ac:dyDescent="0.2">
      <c r="A628" s="463" t="s">
        <v>436</v>
      </c>
      <c r="B628" s="464" t="s">
        <v>437</v>
      </c>
      <c r="C628" s="465" t="s">
        <v>444</v>
      </c>
      <c r="D628" s="466" t="s">
        <v>445</v>
      </c>
      <c r="E628" s="465" t="s">
        <v>822</v>
      </c>
      <c r="F628" s="466" t="s">
        <v>823</v>
      </c>
      <c r="G628" s="465" t="s">
        <v>1744</v>
      </c>
      <c r="H628" s="465" t="s">
        <v>1745</v>
      </c>
      <c r="I628" s="468">
        <v>980.08497619628906</v>
      </c>
      <c r="J628" s="468">
        <v>4</v>
      </c>
      <c r="K628" s="469">
        <v>3920.3399047851563</v>
      </c>
    </row>
    <row r="629" spans="1:11" ht="14.45" customHeight="1" x14ac:dyDescent="0.2">
      <c r="A629" s="463" t="s">
        <v>436</v>
      </c>
      <c r="B629" s="464" t="s">
        <v>437</v>
      </c>
      <c r="C629" s="465" t="s">
        <v>444</v>
      </c>
      <c r="D629" s="466" t="s">
        <v>445</v>
      </c>
      <c r="E629" s="465" t="s">
        <v>822</v>
      </c>
      <c r="F629" s="466" t="s">
        <v>823</v>
      </c>
      <c r="G629" s="465" t="s">
        <v>1746</v>
      </c>
      <c r="H629" s="465" t="s">
        <v>1747</v>
      </c>
      <c r="I629" s="468">
        <v>776.77001953125</v>
      </c>
      <c r="J629" s="468">
        <v>2</v>
      </c>
      <c r="K629" s="469">
        <v>1553.5400390625</v>
      </c>
    </row>
    <row r="630" spans="1:11" ht="14.45" customHeight="1" x14ac:dyDescent="0.2">
      <c r="A630" s="463" t="s">
        <v>436</v>
      </c>
      <c r="B630" s="464" t="s">
        <v>437</v>
      </c>
      <c r="C630" s="465" t="s">
        <v>444</v>
      </c>
      <c r="D630" s="466" t="s">
        <v>445</v>
      </c>
      <c r="E630" s="465" t="s">
        <v>822</v>
      </c>
      <c r="F630" s="466" t="s">
        <v>823</v>
      </c>
      <c r="G630" s="465" t="s">
        <v>1748</v>
      </c>
      <c r="H630" s="465" t="s">
        <v>1749</v>
      </c>
      <c r="I630" s="468">
        <v>558.65997314453125</v>
      </c>
      <c r="J630" s="468">
        <v>3</v>
      </c>
      <c r="K630" s="469">
        <v>1675.9799194335938</v>
      </c>
    </row>
    <row r="631" spans="1:11" ht="14.45" customHeight="1" x14ac:dyDescent="0.2">
      <c r="A631" s="463" t="s">
        <v>436</v>
      </c>
      <c r="B631" s="464" t="s">
        <v>437</v>
      </c>
      <c r="C631" s="465" t="s">
        <v>444</v>
      </c>
      <c r="D631" s="466" t="s">
        <v>445</v>
      </c>
      <c r="E631" s="465" t="s">
        <v>822</v>
      </c>
      <c r="F631" s="466" t="s">
        <v>823</v>
      </c>
      <c r="G631" s="465" t="s">
        <v>1750</v>
      </c>
      <c r="H631" s="465" t="s">
        <v>1751</v>
      </c>
      <c r="I631" s="468">
        <v>145.92999267578125</v>
      </c>
      <c r="J631" s="468">
        <v>8</v>
      </c>
      <c r="K631" s="469">
        <v>1167.4100341796875</v>
      </c>
    </row>
    <row r="632" spans="1:11" ht="14.45" customHeight="1" x14ac:dyDescent="0.2">
      <c r="A632" s="463" t="s">
        <v>436</v>
      </c>
      <c r="B632" s="464" t="s">
        <v>437</v>
      </c>
      <c r="C632" s="465" t="s">
        <v>444</v>
      </c>
      <c r="D632" s="466" t="s">
        <v>445</v>
      </c>
      <c r="E632" s="465" t="s">
        <v>822</v>
      </c>
      <c r="F632" s="466" t="s">
        <v>823</v>
      </c>
      <c r="G632" s="465" t="s">
        <v>1752</v>
      </c>
      <c r="H632" s="465" t="s">
        <v>1753</v>
      </c>
      <c r="I632" s="468">
        <v>145.92999267578125</v>
      </c>
      <c r="J632" s="468">
        <v>8</v>
      </c>
      <c r="K632" s="469">
        <v>1167.4100341796875</v>
      </c>
    </row>
    <row r="633" spans="1:11" ht="14.45" customHeight="1" x14ac:dyDescent="0.2">
      <c r="A633" s="463" t="s">
        <v>436</v>
      </c>
      <c r="B633" s="464" t="s">
        <v>437</v>
      </c>
      <c r="C633" s="465" t="s">
        <v>444</v>
      </c>
      <c r="D633" s="466" t="s">
        <v>445</v>
      </c>
      <c r="E633" s="465" t="s">
        <v>822</v>
      </c>
      <c r="F633" s="466" t="s">
        <v>823</v>
      </c>
      <c r="G633" s="465" t="s">
        <v>1754</v>
      </c>
      <c r="H633" s="465" t="s">
        <v>1755</v>
      </c>
      <c r="I633" s="468">
        <v>182.41000366210938</v>
      </c>
      <c r="J633" s="468">
        <v>8</v>
      </c>
      <c r="K633" s="469">
        <v>1459.260009765625</v>
      </c>
    </row>
    <row r="634" spans="1:11" ht="14.45" customHeight="1" x14ac:dyDescent="0.2">
      <c r="A634" s="463" t="s">
        <v>436</v>
      </c>
      <c r="B634" s="464" t="s">
        <v>437</v>
      </c>
      <c r="C634" s="465" t="s">
        <v>444</v>
      </c>
      <c r="D634" s="466" t="s">
        <v>445</v>
      </c>
      <c r="E634" s="465" t="s">
        <v>822</v>
      </c>
      <c r="F634" s="466" t="s">
        <v>823</v>
      </c>
      <c r="G634" s="465" t="s">
        <v>1756</v>
      </c>
      <c r="H634" s="465" t="s">
        <v>1757</v>
      </c>
      <c r="I634" s="468">
        <v>240.48624992370605</v>
      </c>
      <c r="J634" s="468">
        <v>80</v>
      </c>
      <c r="K634" s="469">
        <v>19238.8798828125</v>
      </c>
    </row>
    <row r="635" spans="1:11" ht="14.45" customHeight="1" x14ac:dyDescent="0.2">
      <c r="A635" s="463" t="s">
        <v>436</v>
      </c>
      <c r="B635" s="464" t="s">
        <v>437</v>
      </c>
      <c r="C635" s="465" t="s">
        <v>444</v>
      </c>
      <c r="D635" s="466" t="s">
        <v>445</v>
      </c>
      <c r="E635" s="465" t="s">
        <v>822</v>
      </c>
      <c r="F635" s="466" t="s">
        <v>823</v>
      </c>
      <c r="G635" s="465" t="s">
        <v>1758</v>
      </c>
      <c r="H635" s="465" t="s">
        <v>1759</v>
      </c>
      <c r="I635" s="468">
        <v>1122.8724975585938</v>
      </c>
      <c r="J635" s="468">
        <v>6</v>
      </c>
      <c r="K635" s="469">
        <v>6737.22998046875</v>
      </c>
    </row>
    <row r="636" spans="1:11" ht="14.45" customHeight="1" x14ac:dyDescent="0.2">
      <c r="A636" s="463" t="s">
        <v>436</v>
      </c>
      <c r="B636" s="464" t="s">
        <v>437</v>
      </c>
      <c r="C636" s="465" t="s">
        <v>444</v>
      </c>
      <c r="D636" s="466" t="s">
        <v>445</v>
      </c>
      <c r="E636" s="465" t="s">
        <v>822</v>
      </c>
      <c r="F636" s="466" t="s">
        <v>823</v>
      </c>
      <c r="G636" s="465" t="s">
        <v>1760</v>
      </c>
      <c r="H636" s="465" t="s">
        <v>1761</v>
      </c>
      <c r="I636" s="468">
        <v>911.530029296875</v>
      </c>
      <c r="J636" s="468">
        <v>6</v>
      </c>
      <c r="K636" s="469">
        <v>5469.2001953125</v>
      </c>
    </row>
    <row r="637" spans="1:11" ht="14.45" customHeight="1" x14ac:dyDescent="0.2">
      <c r="A637" s="463" t="s">
        <v>436</v>
      </c>
      <c r="B637" s="464" t="s">
        <v>437</v>
      </c>
      <c r="C637" s="465" t="s">
        <v>444</v>
      </c>
      <c r="D637" s="466" t="s">
        <v>445</v>
      </c>
      <c r="E637" s="465" t="s">
        <v>822</v>
      </c>
      <c r="F637" s="466" t="s">
        <v>823</v>
      </c>
      <c r="G637" s="465" t="s">
        <v>1760</v>
      </c>
      <c r="H637" s="465" t="s">
        <v>1762</v>
      </c>
      <c r="I637" s="468">
        <v>911.530029296875</v>
      </c>
      <c r="J637" s="468">
        <v>12</v>
      </c>
      <c r="K637" s="469">
        <v>10938.400390625</v>
      </c>
    </row>
    <row r="638" spans="1:11" ht="14.45" customHeight="1" x14ac:dyDescent="0.2">
      <c r="A638" s="463" t="s">
        <v>436</v>
      </c>
      <c r="B638" s="464" t="s">
        <v>437</v>
      </c>
      <c r="C638" s="465" t="s">
        <v>444</v>
      </c>
      <c r="D638" s="466" t="s">
        <v>445</v>
      </c>
      <c r="E638" s="465" t="s">
        <v>822</v>
      </c>
      <c r="F638" s="466" t="s">
        <v>823</v>
      </c>
      <c r="G638" s="465" t="s">
        <v>1763</v>
      </c>
      <c r="H638" s="465" t="s">
        <v>1764</v>
      </c>
      <c r="I638" s="468">
        <v>1115.02001953125</v>
      </c>
      <c r="J638" s="468">
        <v>1</v>
      </c>
      <c r="K638" s="469">
        <v>1115.02001953125</v>
      </c>
    </row>
    <row r="639" spans="1:11" ht="14.45" customHeight="1" x14ac:dyDescent="0.2">
      <c r="A639" s="463" t="s">
        <v>436</v>
      </c>
      <c r="B639" s="464" t="s">
        <v>437</v>
      </c>
      <c r="C639" s="465" t="s">
        <v>444</v>
      </c>
      <c r="D639" s="466" t="s">
        <v>445</v>
      </c>
      <c r="E639" s="465" t="s">
        <v>822</v>
      </c>
      <c r="F639" s="466" t="s">
        <v>823</v>
      </c>
      <c r="G639" s="465" t="s">
        <v>1765</v>
      </c>
      <c r="H639" s="465" t="s">
        <v>1766</v>
      </c>
      <c r="I639" s="468">
        <v>284.30999755859375</v>
      </c>
      <c r="J639" s="468">
        <v>2</v>
      </c>
      <c r="K639" s="469">
        <v>568.6199951171875</v>
      </c>
    </row>
    <row r="640" spans="1:11" ht="14.45" customHeight="1" x14ac:dyDescent="0.2">
      <c r="A640" s="463" t="s">
        <v>436</v>
      </c>
      <c r="B640" s="464" t="s">
        <v>437</v>
      </c>
      <c r="C640" s="465" t="s">
        <v>444</v>
      </c>
      <c r="D640" s="466" t="s">
        <v>445</v>
      </c>
      <c r="E640" s="465" t="s">
        <v>822</v>
      </c>
      <c r="F640" s="466" t="s">
        <v>823</v>
      </c>
      <c r="G640" s="465" t="s">
        <v>1767</v>
      </c>
      <c r="H640" s="465" t="s">
        <v>1768</v>
      </c>
      <c r="I640" s="468">
        <v>304.92001342773438</v>
      </c>
      <c r="J640" s="468">
        <v>1</v>
      </c>
      <c r="K640" s="469">
        <v>304.92001342773438</v>
      </c>
    </row>
    <row r="641" spans="1:11" ht="14.45" customHeight="1" x14ac:dyDescent="0.2">
      <c r="A641" s="463" t="s">
        <v>436</v>
      </c>
      <c r="B641" s="464" t="s">
        <v>437</v>
      </c>
      <c r="C641" s="465" t="s">
        <v>444</v>
      </c>
      <c r="D641" s="466" t="s">
        <v>445</v>
      </c>
      <c r="E641" s="465" t="s">
        <v>822</v>
      </c>
      <c r="F641" s="466" t="s">
        <v>823</v>
      </c>
      <c r="G641" s="465" t="s">
        <v>1769</v>
      </c>
      <c r="H641" s="465" t="s">
        <v>1770</v>
      </c>
      <c r="I641" s="468">
        <v>1107.1500244140625</v>
      </c>
      <c r="J641" s="468">
        <v>1</v>
      </c>
      <c r="K641" s="469">
        <v>1107.1500244140625</v>
      </c>
    </row>
    <row r="642" spans="1:11" ht="14.45" customHeight="1" x14ac:dyDescent="0.2">
      <c r="A642" s="463" t="s">
        <v>436</v>
      </c>
      <c r="B642" s="464" t="s">
        <v>437</v>
      </c>
      <c r="C642" s="465" t="s">
        <v>444</v>
      </c>
      <c r="D642" s="466" t="s">
        <v>445</v>
      </c>
      <c r="E642" s="465" t="s">
        <v>822</v>
      </c>
      <c r="F642" s="466" t="s">
        <v>823</v>
      </c>
      <c r="G642" s="465" t="s">
        <v>1771</v>
      </c>
      <c r="H642" s="465" t="s">
        <v>1772</v>
      </c>
      <c r="I642" s="468">
        <v>252.88999938964844</v>
      </c>
      <c r="J642" s="468">
        <v>15</v>
      </c>
      <c r="K642" s="469">
        <v>3793.3499145507813</v>
      </c>
    </row>
    <row r="643" spans="1:11" ht="14.45" customHeight="1" x14ac:dyDescent="0.2">
      <c r="A643" s="463" t="s">
        <v>436</v>
      </c>
      <c r="B643" s="464" t="s">
        <v>437</v>
      </c>
      <c r="C643" s="465" t="s">
        <v>444</v>
      </c>
      <c r="D643" s="466" t="s">
        <v>445</v>
      </c>
      <c r="E643" s="465" t="s">
        <v>822</v>
      </c>
      <c r="F643" s="466" t="s">
        <v>823</v>
      </c>
      <c r="G643" s="465" t="s">
        <v>1773</v>
      </c>
      <c r="H643" s="465" t="s">
        <v>1774</v>
      </c>
      <c r="I643" s="468">
        <v>168.97856794084822</v>
      </c>
      <c r="J643" s="468">
        <v>17</v>
      </c>
      <c r="K643" s="469">
        <v>2872.5700073242188</v>
      </c>
    </row>
    <row r="644" spans="1:11" ht="14.45" customHeight="1" x14ac:dyDescent="0.2">
      <c r="A644" s="463" t="s">
        <v>436</v>
      </c>
      <c r="B644" s="464" t="s">
        <v>437</v>
      </c>
      <c r="C644" s="465" t="s">
        <v>444</v>
      </c>
      <c r="D644" s="466" t="s">
        <v>445</v>
      </c>
      <c r="E644" s="465" t="s">
        <v>822</v>
      </c>
      <c r="F644" s="466" t="s">
        <v>823</v>
      </c>
      <c r="G644" s="465" t="s">
        <v>1775</v>
      </c>
      <c r="H644" s="465" t="s">
        <v>1776</v>
      </c>
      <c r="I644" s="468">
        <v>597.739990234375</v>
      </c>
      <c r="J644" s="468">
        <v>13</v>
      </c>
      <c r="K644" s="469">
        <v>7770.619873046875</v>
      </c>
    </row>
    <row r="645" spans="1:11" ht="14.45" customHeight="1" x14ac:dyDescent="0.2">
      <c r="A645" s="463" t="s">
        <v>436</v>
      </c>
      <c r="B645" s="464" t="s">
        <v>437</v>
      </c>
      <c r="C645" s="465" t="s">
        <v>444</v>
      </c>
      <c r="D645" s="466" t="s">
        <v>445</v>
      </c>
      <c r="E645" s="465" t="s">
        <v>822</v>
      </c>
      <c r="F645" s="466" t="s">
        <v>823</v>
      </c>
      <c r="G645" s="465" t="s">
        <v>1777</v>
      </c>
      <c r="H645" s="465" t="s">
        <v>1778</v>
      </c>
      <c r="I645" s="468">
        <v>597.70001220703125</v>
      </c>
      <c r="J645" s="468">
        <v>1</v>
      </c>
      <c r="K645" s="469">
        <v>597.70001220703125</v>
      </c>
    </row>
    <row r="646" spans="1:11" ht="14.45" customHeight="1" x14ac:dyDescent="0.2">
      <c r="A646" s="463" t="s">
        <v>436</v>
      </c>
      <c r="B646" s="464" t="s">
        <v>437</v>
      </c>
      <c r="C646" s="465" t="s">
        <v>444</v>
      </c>
      <c r="D646" s="466" t="s">
        <v>445</v>
      </c>
      <c r="E646" s="465" t="s">
        <v>822</v>
      </c>
      <c r="F646" s="466" t="s">
        <v>823</v>
      </c>
      <c r="G646" s="465" t="s">
        <v>1779</v>
      </c>
      <c r="H646" s="465" t="s">
        <v>1780</v>
      </c>
      <c r="I646" s="468">
        <v>187.3699951171875</v>
      </c>
      <c r="J646" s="468">
        <v>2</v>
      </c>
      <c r="K646" s="469">
        <v>374.739990234375</v>
      </c>
    </row>
    <row r="647" spans="1:11" ht="14.45" customHeight="1" x14ac:dyDescent="0.2">
      <c r="A647" s="463" t="s">
        <v>436</v>
      </c>
      <c r="B647" s="464" t="s">
        <v>437</v>
      </c>
      <c r="C647" s="465" t="s">
        <v>444</v>
      </c>
      <c r="D647" s="466" t="s">
        <v>445</v>
      </c>
      <c r="E647" s="465" t="s">
        <v>822</v>
      </c>
      <c r="F647" s="466" t="s">
        <v>823</v>
      </c>
      <c r="G647" s="465" t="s">
        <v>1781</v>
      </c>
      <c r="H647" s="465" t="s">
        <v>1782</v>
      </c>
      <c r="I647" s="468">
        <v>2990</v>
      </c>
      <c r="J647" s="468">
        <v>1</v>
      </c>
      <c r="K647" s="469">
        <v>2990</v>
      </c>
    </row>
    <row r="648" spans="1:11" ht="14.45" customHeight="1" x14ac:dyDescent="0.2">
      <c r="A648" s="463" t="s">
        <v>436</v>
      </c>
      <c r="B648" s="464" t="s">
        <v>437</v>
      </c>
      <c r="C648" s="465" t="s">
        <v>444</v>
      </c>
      <c r="D648" s="466" t="s">
        <v>445</v>
      </c>
      <c r="E648" s="465" t="s">
        <v>822</v>
      </c>
      <c r="F648" s="466" t="s">
        <v>823</v>
      </c>
      <c r="G648" s="465" t="s">
        <v>1781</v>
      </c>
      <c r="H648" s="465" t="s">
        <v>1783</v>
      </c>
      <c r="I648" s="468">
        <v>2990.010009765625</v>
      </c>
      <c r="J648" s="468">
        <v>1</v>
      </c>
      <c r="K648" s="469">
        <v>2990.010009765625</v>
      </c>
    </row>
    <row r="649" spans="1:11" ht="14.45" customHeight="1" x14ac:dyDescent="0.2">
      <c r="A649" s="463" t="s">
        <v>436</v>
      </c>
      <c r="B649" s="464" t="s">
        <v>437</v>
      </c>
      <c r="C649" s="465" t="s">
        <v>444</v>
      </c>
      <c r="D649" s="466" t="s">
        <v>445</v>
      </c>
      <c r="E649" s="465" t="s">
        <v>822</v>
      </c>
      <c r="F649" s="466" t="s">
        <v>823</v>
      </c>
      <c r="G649" s="465" t="s">
        <v>1784</v>
      </c>
      <c r="H649" s="465" t="s">
        <v>1785</v>
      </c>
      <c r="I649" s="468">
        <v>764.0999755859375</v>
      </c>
      <c r="J649" s="468">
        <v>6</v>
      </c>
      <c r="K649" s="469">
        <v>4584.60009765625</v>
      </c>
    </row>
    <row r="650" spans="1:11" ht="14.45" customHeight="1" x14ac:dyDescent="0.2">
      <c r="A650" s="463" t="s">
        <v>436</v>
      </c>
      <c r="B650" s="464" t="s">
        <v>437</v>
      </c>
      <c r="C650" s="465" t="s">
        <v>444</v>
      </c>
      <c r="D650" s="466" t="s">
        <v>445</v>
      </c>
      <c r="E650" s="465" t="s">
        <v>822</v>
      </c>
      <c r="F650" s="466" t="s">
        <v>823</v>
      </c>
      <c r="G650" s="465" t="s">
        <v>1786</v>
      </c>
      <c r="H650" s="465" t="s">
        <v>1787</v>
      </c>
      <c r="I650" s="468">
        <v>721.6500244140625</v>
      </c>
      <c r="J650" s="468">
        <v>6</v>
      </c>
      <c r="K650" s="469">
        <v>4329.8798828125</v>
      </c>
    </row>
    <row r="651" spans="1:11" ht="14.45" customHeight="1" x14ac:dyDescent="0.2">
      <c r="A651" s="463" t="s">
        <v>436</v>
      </c>
      <c r="B651" s="464" t="s">
        <v>437</v>
      </c>
      <c r="C651" s="465" t="s">
        <v>444</v>
      </c>
      <c r="D651" s="466" t="s">
        <v>445</v>
      </c>
      <c r="E651" s="465" t="s">
        <v>822</v>
      </c>
      <c r="F651" s="466" t="s">
        <v>823</v>
      </c>
      <c r="G651" s="465" t="s">
        <v>1788</v>
      </c>
      <c r="H651" s="465" t="s">
        <v>1789</v>
      </c>
      <c r="I651" s="468">
        <v>721.65997314453125</v>
      </c>
      <c r="J651" s="468">
        <v>4</v>
      </c>
      <c r="K651" s="469">
        <v>2886.6201171875</v>
      </c>
    </row>
    <row r="652" spans="1:11" ht="14.45" customHeight="1" x14ac:dyDescent="0.2">
      <c r="A652" s="463" t="s">
        <v>436</v>
      </c>
      <c r="B652" s="464" t="s">
        <v>437</v>
      </c>
      <c r="C652" s="465" t="s">
        <v>444</v>
      </c>
      <c r="D652" s="466" t="s">
        <v>445</v>
      </c>
      <c r="E652" s="465" t="s">
        <v>822</v>
      </c>
      <c r="F652" s="466" t="s">
        <v>823</v>
      </c>
      <c r="G652" s="465" t="s">
        <v>1329</v>
      </c>
      <c r="H652" s="465" t="s">
        <v>1790</v>
      </c>
      <c r="I652" s="468">
        <v>617.0999755859375</v>
      </c>
      <c r="J652" s="468">
        <v>5</v>
      </c>
      <c r="K652" s="469">
        <v>3085.5</v>
      </c>
    </row>
    <row r="653" spans="1:11" ht="14.45" customHeight="1" x14ac:dyDescent="0.2">
      <c r="A653" s="463" t="s">
        <v>436</v>
      </c>
      <c r="B653" s="464" t="s">
        <v>437</v>
      </c>
      <c r="C653" s="465" t="s">
        <v>444</v>
      </c>
      <c r="D653" s="466" t="s">
        <v>445</v>
      </c>
      <c r="E653" s="465" t="s">
        <v>822</v>
      </c>
      <c r="F653" s="466" t="s">
        <v>823</v>
      </c>
      <c r="G653" s="465" t="s">
        <v>1791</v>
      </c>
      <c r="H653" s="465" t="s">
        <v>1792</v>
      </c>
      <c r="I653" s="468">
        <v>1066.5249633789063</v>
      </c>
      <c r="J653" s="468">
        <v>2</v>
      </c>
      <c r="K653" s="469">
        <v>2133.0499267578125</v>
      </c>
    </row>
    <row r="654" spans="1:11" ht="14.45" customHeight="1" x14ac:dyDescent="0.2">
      <c r="A654" s="463" t="s">
        <v>436</v>
      </c>
      <c r="B654" s="464" t="s">
        <v>437</v>
      </c>
      <c r="C654" s="465" t="s">
        <v>444</v>
      </c>
      <c r="D654" s="466" t="s">
        <v>445</v>
      </c>
      <c r="E654" s="465" t="s">
        <v>822</v>
      </c>
      <c r="F654" s="466" t="s">
        <v>823</v>
      </c>
      <c r="G654" s="465" t="s">
        <v>1793</v>
      </c>
      <c r="H654" s="465" t="s">
        <v>1794</v>
      </c>
      <c r="I654" s="468">
        <v>1045.344970703125</v>
      </c>
      <c r="J654" s="468">
        <v>3</v>
      </c>
      <c r="K654" s="469">
        <v>3136.0399169921875</v>
      </c>
    </row>
    <row r="655" spans="1:11" ht="14.45" customHeight="1" x14ac:dyDescent="0.2">
      <c r="A655" s="463" t="s">
        <v>436</v>
      </c>
      <c r="B655" s="464" t="s">
        <v>437</v>
      </c>
      <c r="C655" s="465" t="s">
        <v>444</v>
      </c>
      <c r="D655" s="466" t="s">
        <v>445</v>
      </c>
      <c r="E655" s="465" t="s">
        <v>822</v>
      </c>
      <c r="F655" s="466" t="s">
        <v>823</v>
      </c>
      <c r="G655" s="465" t="s">
        <v>1331</v>
      </c>
      <c r="H655" s="465" t="s">
        <v>1795</v>
      </c>
      <c r="I655" s="468">
        <v>2.5699999332427979</v>
      </c>
      <c r="J655" s="468">
        <v>2400</v>
      </c>
      <c r="K655" s="469">
        <v>6170.6396484375</v>
      </c>
    </row>
    <row r="656" spans="1:11" ht="14.45" customHeight="1" x14ac:dyDescent="0.2">
      <c r="A656" s="463" t="s">
        <v>436</v>
      </c>
      <c r="B656" s="464" t="s">
        <v>437</v>
      </c>
      <c r="C656" s="465" t="s">
        <v>444</v>
      </c>
      <c r="D656" s="466" t="s">
        <v>445</v>
      </c>
      <c r="E656" s="465" t="s">
        <v>822</v>
      </c>
      <c r="F656" s="466" t="s">
        <v>823</v>
      </c>
      <c r="G656" s="465" t="s">
        <v>1796</v>
      </c>
      <c r="H656" s="465" t="s">
        <v>1797</v>
      </c>
      <c r="I656" s="468">
        <v>23.399999618530273</v>
      </c>
      <c r="J656" s="468">
        <v>40</v>
      </c>
      <c r="K656" s="469">
        <v>936.02001953125</v>
      </c>
    </row>
    <row r="657" spans="1:11" ht="14.45" customHeight="1" x14ac:dyDescent="0.2">
      <c r="A657" s="463" t="s">
        <v>436</v>
      </c>
      <c r="B657" s="464" t="s">
        <v>437</v>
      </c>
      <c r="C657" s="465" t="s">
        <v>444</v>
      </c>
      <c r="D657" s="466" t="s">
        <v>445</v>
      </c>
      <c r="E657" s="465" t="s">
        <v>822</v>
      </c>
      <c r="F657" s="466" t="s">
        <v>823</v>
      </c>
      <c r="G657" s="465" t="s">
        <v>1798</v>
      </c>
      <c r="H657" s="465" t="s">
        <v>1799</v>
      </c>
      <c r="I657" s="468">
        <v>22.253332773844402</v>
      </c>
      <c r="J657" s="468">
        <v>120</v>
      </c>
      <c r="K657" s="469">
        <v>2670.5700531005859</v>
      </c>
    </row>
    <row r="658" spans="1:11" ht="14.45" customHeight="1" x14ac:dyDescent="0.2">
      <c r="A658" s="463" t="s">
        <v>436</v>
      </c>
      <c r="B658" s="464" t="s">
        <v>437</v>
      </c>
      <c r="C658" s="465" t="s">
        <v>444</v>
      </c>
      <c r="D658" s="466" t="s">
        <v>445</v>
      </c>
      <c r="E658" s="465" t="s">
        <v>822</v>
      </c>
      <c r="F658" s="466" t="s">
        <v>823</v>
      </c>
      <c r="G658" s="465" t="s">
        <v>1800</v>
      </c>
      <c r="H658" s="465" t="s">
        <v>1801</v>
      </c>
      <c r="I658" s="468">
        <v>23.199999491373699</v>
      </c>
      <c r="J658" s="468">
        <v>150</v>
      </c>
      <c r="K658" s="469">
        <v>3432.0800628662109</v>
      </c>
    </row>
    <row r="659" spans="1:11" ht="14.45" customHeight="1" x14ac:dyDescent="0.2">
      <c r="A659" s="463" t="s">
        <v>436</v>
      </c>
      <c r="B659" s="464" t="s">
        <v>437</v>
      </c>
      <c r="C659" s="465" t="s">
        <v>444</v>
      </c>
      <c r="D659" s="466" t="s">
        <v>445</v>
      </c>
      <c r="E659" s="465" t="s">
        <v>822</v>
      </c>
      <c r="F659" s="466" t="s">
        <v>823</v>
      </c>
      <c r="G659" s="465" t="s">
        <v>1802</v>
      </c>
      <c r="H659" s="465" t="s">
        <v>1803</v>
      </c>
      <c r="I659" s="468">
        <v>2042.47998046875</v>
      </c>
      <c r="J659" s="468">
        <v>1</v>
      </c>
      <c r="K659" s="469">
        <v>2042.47998046875</v>
      </c>
    </row>
    <row r="660" spans="1:11" ht="14.45" customHeight="1" x14ac:dyDescent="0.2">
      <c r="A660" s="463" t="s">
        <v>436</v>
      </c>
      <c r="B660" s="464" t="s">
        <v>437</v>
      </c>
      <c r="C660" s="465" t="s">
        <v>444</v>
      </c>
      <c r="D660" s="466" t="s">
        <v>445</v>
      </c>
      <c r="E660" s="465" t="s">
        <v>822</v>
      </c>
      <c r="F660" s="466" t="s">
        <v>823</v>
      </c>
      <c r="G660" s="465" t="s">
        <v>1804</v>
      </c>
      <c r="H660" s="465" t="s">
        <v>1805</v>
      </c>
      <c r="I660" s="468">
        <v>591.6400146484375</v>
      </c>
      <c r="J660" s="468">
        <v>3</v>
      </c>
      <c r="K660" s="469">
        <v>1774.9200439453125</v>
      </c>
    </row>
    <row r="661" spans="1:11" ht="14.45" customHeight="1" x14ac:dyDescent="0.2">
      <c r="A661" s="463" t="s">
        <v>436</v>
      </c>
      <c r="B661" s="464" t="s">
        <v>437</v>
      </c>
      <c r="C661" s="465" t="s">
        <v>444</v>
      </c>
      <c r="D661" s="466" t="s">
        <v>445</v>
      </c>
      <c r="E661" s="465" t="s">
        <v>822</v>
      </c>
      <c r="F661" s="466" t="s">
        <v>823</v>
      </c>
      <c r="G661" s="465" t="s">
        <v>1804</v>
      </c>
      <c r="H661" s="465" t="s">
        <v>1806</v>
      </c>
      <c r="I661" s="468">
        <v>591.6400146484375</v>
      </c>
      <c r="J661" s="468">
        <v>3</v>
      </c>
      <c r="K661" s="469">
        <v>1774.9200439453125</v>
      </c>
    </row>
    <row r="662" spans="1:11" ht="14.45" customHeight="1" x14ac:dyDescent="0.2">
      <c r="A662" s="463" t="s">
        <v>436</v>
      </c>
      <c r="B662" s="464" t="s">
        <v>437</v>
      </c>
      <c r="C662" s="465" t="s">
        <v>444</v>
      </c>
      <c r="D662" s="466" t="s">
        <v>445</v>
      </c>
      <c r="E662" s="465" t="s">
        <v>822</v>
      </c>
      <c r="F662" s="466" t="s">
        <v>823</v>
      </c>
      <c r="G662" s="465" t="s">
        <v>1807</v>
      </c>
      <c r="H662" s="465" t="s">
        <v>1808</v>
      </c>
      <c r="I662" s="468">
        <v>1686.3699951171875</v>
      </c>
      <c r="J662" s="468">
        <v>1</v>
      </c>
      <c r="K662" s="469">
        <v>1686.3699951171875</v>
      </c>
    </row>
    <row r="663" spans="1:11" ht="14.45" customHeight="1" x14ac:dyDescent="0.2">
      <c r="A663" s="463" t="s">
        <v>436</v>
      </c>
      <c r="B663" s="464" t="s">
        <v>437</v>
      </c>
      <c r="C663" s="465" t="s">
        <v>444</v>
      </c>
      <c r="D663" s="466" t="s">
        <v>445</v>
      </c>
      <c r="E663" s="465" t="s">
        <v>822</v>
      </c>
      <c r="F663" s="466" t="s">
        <v>823</v>
      </c>
      <c r="G663" s="465" t="s">
        <v>1809</v>
      </c>
      <c r="H663" s="465" t="s">
        <v>1810</v>
      </c>
      <c r="I663" s="468">
        <v>1530.614990234375</v>
      </c>
      <c r="J663" s="468">
        <v>3</v>
      </c>
      <c r="K663" s="469">
        <v>4591.8399658203125</v>
      </c>
    </row>
    <row r="664" spans="1:11" ht="14.45" customHeight="1" x14ac:dyDescent="0.2">
      <c r="A664" s="463" t="s">
        <v>436</v>
      </c>
      <c r="B664" s="464" t="s">
        <v>437</v>
      </c>
      <c r="C664" s="465" t="s">
        <v>444</v>
      </c>
      <c r="D664" s="466" t="s">
        <v>445</v>
      </c>
      <c r="E664" s="465" t="s">
        <v>822</v>
      </c>
      <c r="F664" s="466" t="s">
        <v>823</v>
      </c>
      <c r="G664" s="465" t="s">
        <v>1811</v>
      </c>
      <c r="H664" s="465" t="s">
        <v>1812</v>
      </c>
      <c r="I664" s="468">
        <v>938.02001953125</v>
      </c>
      <c r="J664" s="468">
        <v>1</v>
      </c>
      <c r="K664" s="469">
        <v>938.02001953125</v>
      </c>
    </row>
    <row r="665" spans="1:11" ht="14.45" customHeight="1" x14ac:dyDescent="0.2">
      <c r="A665" s="463" t="s">
        <v>436</v>
      </c>
      <c r="B665" s="464" t="s">
        <v>437</v>
      </c>
      <c r="C665" s="465" t="s">
        <v>444</v>
      </c>
      <c r="D665" s="466" t="s">
        <v>445</v>
      </c>
      <c r="E665" s="465" t="s">
        <v>822</v>
      </c>
      <c r="F665" s="466" t="s">
        <v>823</v>
      </c>
      <c r="G665" s="465" t="s">
        <v>1813</v>
      </c>
      <c r="H665" s="465" t="s">
        <v>1814</v>
      </c>
      <c r="I665" s="468">
        <v>938.02001953125</v>
      </c>
      <c r="J665" s="468">
        <v>1</v>
      </c>
      <c r="K665" s="469">
        <v>938.02001953125</v>
      </c>
    </row>
    <row r="666" spans="1:11" ht="14.45" customHeight="1" x14ac:dyDescent="0.2">
      <c r="A666" s="463" t="s">
        <v>436</v>
      </c>
      <c r="B666" s="464" t="s">
        <v>437</v>
      </c>
      <c r="C666" s="465" t="s">
        <v>444</v>
      </c>
      <c r="D666" s="466" t="s">
        <v>445</v>
      </c>
      <c r="E666" s="465" t="s">
        <v>822</v>
      </c>
      <c r="F666" s="466" t="s">
        <v>823</v>
      </c>
      <c r="G666" s="465" t="s">
        <v>1815</v>
      </c>
      <c r="H666" s="465" t="s">
        <v>1816</v>
      </c>
      <c r="I666" s="468">
        <v>935.21002197265625</v>
      </c>
      <c r="J666" s="468">
        <v>1</v>
      </c>
      <c r="K666" s="469">
        <v>935.21002197265625</v>
      </c>
    </row>
    <row r="667" spans="1:11" ht="14.45" customHeight="1" x14ac:dyDescent="0.2">
      <c r="A667" s="463" t="s">
        <v>436</v>
      </c>
      <c r="B667" s="464" t="s">
        <v>437</v>
      </c>
      <c r="C667" s="465" t="s">
        <v>444</v>
      </c>
      <c r="D667" s="466" t="s">
        <v>445</v>
      </c>
      <c r="E667" s="465" t="s">
        <v>822</v>
      </c>
      <c r="F667" s="466" t="s">
        <v>823</v>
      </c>
      <c r="G667" s="465" t="s">
        <v>1817</v>
      </c>
      <c r="H667" s="465" t="s">
        <v>1818</v>
      </c>
      <c r="I667" s="468">
        <v>938</v>
      </c>
      <c r="J667" s="468">
        <v>2</v>
      </c>
      <c r="K667" s="469">
        <v>1876</v>
      </c>
    </row>
    <row r="668" spans="1:11" ht="14.45" customHeight="1" x14ac:dyDescent="0.2">
      <c r="A668" s="463" t="s">
        <v>436</v>
      </c>
      <c r="B668" s="464" t="s">
        <v>437</v>
      </c>
      <c r="C668" s="465" t="s">
        <v>444</v>
      </c>
      <c r="D668" s="466" t="s">
        <v>445</v>
      </c>
      <c r="E668" s="465" t="s">
        <v>822</v>
      </c>
      <c r="F668" s="466" t="s">
        <v>823</v>
      </c>
      <c r="G668" s="465" t="s">
        <v>1819</v>
      </c>
      <c r="H668" s="465" t="s">
        <v>1820</v>
      </c>
      <c r="I668" s="468">
        <v>938.010009765625</v>
      </c>
      <c r="J668" s="468">
        <v>2</v>
      </c>
      <c r="K668" s="469">
        <v>1876.02001953125</v>
      </c>
    </row>
    <row r="669" spans="1:11" ht="14.45" customHeight="1" x14ac:dyDescent="0.2">
      <c r="A669" s="463" t="s">
        <v>436</v>
      </c>
      <c r="B669" s="464" t="s">
        <v>437</v>
      </c>
      <c r="C669" s="465" t="s">
        <v>444</v>
      </c>
      <c r="D669" s="466" t="s">
        <v>445</v>
      </c>
      <c r="E669" s="465" t="s">
        <v>822</v>
      </c>
      <c r="F669" s="466" t="s">
        <v>823</v>
      </c>
      <c r="G669" s="465" t="s">
        <v>1821</v>
      </c>
      <c r="H669" s="465" t="s">
        <v>1822</v>
      </c>
      <c r="I669" s="468">
        <v>1011.9436201615767</v>
      </c>
      <c r="J669" s="468">
        <v>25</v>
      </c>
      <c r="K669" s="469">
        <v>25298.389526367188</v>
      </c>
    </row>
    <row r="670" spans="1:11" ht="14.45" customHeight="1" x14ac:dyDescent="0.2">
      <c r="A670" s="463" t="s">
        <v>436</v>
      </c>
      <c r="B670" s="464" t="s">
        <v>437</v>
      </c>
      <c r="C670" s="465" t="s">
        <v>444</v>
      </c>
      <c r="D670" s="466" t="s">
        <v>445</v>
      </c>
      <c r="E670" s="465" t="s">
        <v>822</v>
      </c>
      <c r="F670" s="466" t="s">
        <v>823</v>
      </c>
      <c r="G670" s="465" t="s">
        <v>1823</v>
      </c>
      <c r="H670" s="465" t="s">
        <v>1824</v>
      </c>
      <c r="I670" s="468">
        <v>3811.5</v>
      </c>
      <c r="J670" s="468">
        <v>3</v>
      </c>
      <c r="K670" s="469">
        <v>11434.5</v>
      </c>
    </row>
    <row r="671" spans="1:11" ht="14.45" customHeight="1" x14ac:dyDescent="0.2">
      <c r="A671" s="463" t="s">
        <v>436</v>
      </c>
      <c r="B671" s="464" t="s">
        <v>437</v>
      </c>
      <c r="C671" s="465" t="s">
        <v>444</v>
      </c>
      <c r="D671" s="466" t="s">
        <v>445</v>
      </c>
      <c r="E671" s="465" t="s">
        <v>822</v>
      </c>
      <c r="F671" s="466" t="s">
        <v>823</v>
      </c>
      <c r="G671" s="465" t="s">
        <v>1825</v>
      </c>
      <c r="H671" s="465" t="s">
        <v>1826</v>
      </c>
      <c r="I671" s="468">
        <v>2238.18994140625</v>
      </c>
      <c r="J671" s="468">
        <v>1</v>
      </c>
      <c r="K671" s="469">
        <v>2238.18994140625</v>
      </c>
    </row>
    <row r="672" spans="1:11" ht="14.45" customHeight="1" x14ac:dyDescent="0.2">
      <c r="A672" s="463" t="s">
        <v>436</v>
      </c>
      <c r="B672" s="464" t="s">
        <v>437</v>
      </c>
      <c r="C672" s="465" t="s">
        <v>444</v>
      </c>
      <c r="D672" s="466" t="s">
        <v>445</v>
      </c>
      <c r="E672" s="465" t="s">
        <v>822</v>
      </c>
      <c r="F672" s="466" t="s">
        <v>823</v>
      </c>
      <c r="G672" s="465" t="s">
        <v>1827</v>
      </c>
      <c r="H672" s="465" t="s">
        <v>1828</v>
      </c>
      <c r="I672" s="468">
        <v>874.780029296875</v>
      </c>
      <c r="J672" s="468">
        <v>1</v>
      </c>
      <c r="K672" s="469">
        <v>874.780029296875</v>
      </c>
    </row>
    <row r="673" spans="1:11" ht="14.45" customHeight="1" x14ac:dyDescent="0.2">
      <c r="A673" s="463" t="s">
        <v>436</v>
      </c>
      <c r="B673" s="464" t="s">
        <v>437</v>
      </c>
      <c r="C673" s="465" t="s">
        <v>444</v>
      </c>
      <c r="D673" s="466" t="s">
        <v>445</v>
      </c>
      <c r="E673" s="465" t="s">
        <v>822</v>
      </c>
      <c r="F673" s="466" t="s">
        <v>823</v>
      </c>
      <c r="G673" s="465" t="s">
        <v>1829</v>
      </c>
      <c r="H673" s="465" t="s">
        <v>1830</v>
      </c>
      <c r="I673" s="468">
        <v>865.1500244140625</v>
      </c>
      <c r="J673" s="468">
        <v>1</v>
      </c>
      <c r="K673" s="469">
        <v>865.1500244140625</v>
      </c>
    </row>
    <row r="674" spans="1:11" ht="14.45" customHeight="1" x14ac:dyDescent="0.2">
      <c r="A674" s="463" t="s">
        <v>436</v>
      </c>
      <c r="B674" s="464" t="s">
        <v>437</v>
      </c>
      <c r="C674" s="465" t="s">
        <v>444</v>
      </c>
      <c r="D674" s="466" t="s">
        <v>445</v>
      </c>
      <c r="E674" s="465" t="s">
        <v>822</v>
      </c>
      <c r="F674" s="466" t="s">
        <v>823</v>
      </c>
      <c r="G674" s="465" t="s">
        <v>1831</v>
      </c>
      <c r="H674" s="465" t="s">
        <v>1832</v>
      </c>
      <c r="I674" s="468">
        <v>865.1500244140625</v>
      </c>
      <c r="J674" s="468">
        <v>1</v>
      </c>
      <c r="K674" s="469">
        <v>865.1500244140625</v>
      </c>
    </row>
    <row r="675" spans="1:11" ht="14.45" customHeight="1" x14ac:dyDescent="0.2">
      <c r="A675" s="463" t="s">
        <v>436</v>
      </c>
      <c r="B675" s="464" t="s">
        <v>437</v>
      </c>
      <c r="C675" s="465" t="s">
        <v>444</v>
      </c>
      <c r="D675" s="466" t="s">
        <v>445</v>
      </c>
      <c r="E675" s="465" t="s">
        <v>822</v>
      </c>
      <c r="F675" s="466" t="s">
        <v>823</v>
      </c>
      <c r="G675" s="465" t="s">
        <v>1833</v>
      </c>
      <c r="H675" s="465" t="s">
        <v>1834</v>
      </c>
      <c r="I675" s="468">
        <v>598</v>
      </c>
      <c r="J675" s="468">
        <v>10</v>
      </c>
      <c r="K675" s="469">
        <v>5980</v>
      </c>
    </row>
    <row r="676" spans="1:11" ht="14.45" customHeight="1" x14ac:dyDescent="0.2">
      <c r="A676" s="463" t="s">
        <v>436</v>
      </c>
      <c r="B676" s="464" t="s">
        <v>437</v>
      </c>
      <c r="C676" s="465" t="s">
        <v>444</v>
      </c>
      <c r="D676" s="466" t="s">
        <v>445</v>
      </c>
      <c r="E676" s="465" t="s">
        <v>822</v>
      </c>
      <c r="F676" s="466" t="s">
        <v>823</v>
      </c>
      <c r="G676" s="465" t="s">
        <v>1835</v>
      </c>
      <c r="H676" s="465" t="s">
        <v>1836</v>
      </c>
      <c r="I676" s="468">
        <v>598</v>
      </c>
      <c r="J676" s="468">
        <v>10</v>
      </c>
      <c r="K676" s="469">
        <v>5980</v>
      </c>
    </row>
    <row r="677" spans="1:11" ht="14.45" customHeight="1" x14ac:dyDescent="0.2">
      <c r="A677" s="463" t="s">
        <v>436</v>
      </c>
      <c r="B677" s="464" t="s">
        <v>437</v>
      </c>
      <c r="C677" s="465" t="s">
        <v>444</v>
      </c>
      <c r="D677" s="466" t="s">
        <v>445</v>
      </c>
      <c r="E677" s="465" t="s">
        <v>822</v>
      </c>
      <c r="F677" s="466" t="s">
        <v>823</v>
      </c>
      <c r="G677" s="465" t="s">
        <v>1837</v>
      </c>
      <c r="H677" s="465" t="s">
        <v>1838</v>
      </c>
      <c r="I677" s="468">
        <v>4.5000001788139343E-2</v>
      </c>
      <c r="J677" s="468">
        <v>3750</v>
      </c>
      <c r="K677" s="469">
        <v>355.90999984741211</v>
      </c>
    </row>
    <row r="678" spans="1:11" ht="14.45" customHeight="1" x14ac:dyDescent="0.2">
      <c r="A678" s="463" t="s">
        <v>436</v>
      </c>
      <c r="B678" s="464" t="s">
        <v>437</v>
      </c>
      <c r="C678" s="465" t="s">
        <v>444</v>
      </c>
      <c r="D678" s="466" t="s">
        <v>445</v>
      </c>
      <c r="E678" s="465" t="s">
        <v>822</v>
      </c>
      <c r="F678" s="466" t="s">
        <v>823</v>
      </c>
      <c r="G678" s="465" t="s">
        <v>1839</v>
      </c>
      <c r="H678" s="465" t="s">
        <v>1840</v>
      </c>
      <c r="I678" s="468">
        <v>1604</v>
      </c>
      <c r="J678" s="468">
        <v>2</v>
      </c>
      <c r="K678" s="469">
        <v>3208</v>
      </c>
    </row>
    <row r="679" spans="1:11" ht="14.45" customHeight="1" x14ac:dyDescent="0.2">
      <c r="A679" s="463" t="s">
        <v>436</v>
      </c>
      <c r="B679" s="464" t="s">
        <v>437</v>
      </c>
      <c r="C679" s="465" t="s">
        <v>444</v>
      </c>
      <c r="D679" s="466" t="s">
        <v>445</v>
      </c>
      <c r="E679" s="465" t="s">
        <v>822</v>
      </c>
      <c r="F679" s="466" t="s">
        <v>823</v>
      </c>
      <c r="G679" s="465" t="s">
        <v>1837</v>
      </c>
      <c r="H679" s="465" t="s">
        <v>1841</v>
      </c>
      <c r="I679" s="468">
        <v>9.0000003576278687E-2</v>
      </c>
      <c r="J679" s="468">
        <v>3750</v>
      </c>
      <c r="K679" s="469">
        <v>355.17999267578125</v>
      </c>
    </row>
    <row r="680" spans="1:11" ht="14.45" customHeight="1" x14ac:dyDescent="0.2">
      <c r="A680" s="463" t="s">
        <v>436</v>
      </c>
      <c r="B680" s="464" t="s">
        <v>437</v>
      </c>
      <c r="C680" s="465" t="s">
        <v>444</v>
      </c>
      <c r="D680" s="466" t="s">
        <v>445</v>
      </c>
      <c r="E680" s="465" t="s">
        <v>822</v>
      </c>
      <c r="F680" s="466" t="s">
        <v>823</v>
      </c>
      <c r="G680" s="465" t="s">
        <v>1842</v>
      </c>
      <c r="H680" s="465" t="s">
        <v>1843</v>
      </c>
      <c r="I680" s="468">
        <v>720.010009765625</v>
      </c>
      <c r="J680" s="468">
        <v>2</v>
      </c>
      <c r="K680" s="469">
        <v>1440.02001953125</v>
      </c>
    </row>
    <row r="681" spans="1:11" ht="14.45" customHeight="1" x14ac:dyDescent="0.2">
      <c r="A681" s="463" t="s">
        <v>436</v>
      </c>
      <c r="B681" s="464" t="s">
        <v>437</v>
      </c>
      <c r="C681" s="465" t="s">
        <v>444</v>
      </c>
      <c r="D681" s="466" t="s">
        <v>445</v>
      </c>
      <c r="E681" s="465" t="s">
        <v>822</v>
      </c>
      <c r="F681" s="466" t="s">
        <v>823</v>
      </c>
      <c r="G681" s="465" t="s">
        <v>1844</v>
      </c>
      <c r="H681" s="465" t="s">
        <v>1845</v>
      </c>
      <c r="I681" s="468">
        <v>119.99499893188477</v>
      </c>
      <c r="J681" s="468">
        <v>7</v>
      </c>
      <c r="K681" s="469">
        <v>839.94998168945313</v>
      </c>
    </row>
    <row r="682" spans="1:11" ht="14.45" customHeight="1" x14ac:dyDescent="0.2">
      <c r="A682" s="463" t="s">
        <v>436</v>
      </c>
      <c r="B682" s="464" t="s">
        <v>437</v>
      </c>
      <c r="C682" s="465" t="s">
        <v>444</v>
      </c>
      <c r="D682" s="466" t="s">
        <v>445</v>
      </c>
      <c r="E682" s="465" t="s">
        <v>822</v>
      </c>
      <c r="F682" s="466" t="s">
        <v>823</v>
      </c>
      <c r="G682" s="465" t="s">
        <v>1846</v>
      </c>
      <c r="H682" s="465" t="s">
        <v>1847</v>
      </c>
      <c r="I682" s="468">
        <v>515.46002197265625</v>
      </c>
      <c r="J682" s="468">
        <v>2</v>
      </c>
      <c r="K682" s="469">
        <v>1030.9200439453125</v>
      </c>
    </row>
    <row r="683" spans="1:11" ht="14.45" customHeight="1" x14ac:dyDescent="0.2">
      <c r="A683" s="463" t="s">
        <v>436</v>
      </c>
      <c r="B683" s="464" t="s">
        <v>437</v>
      </c>
      <c r="C683" s="465" t="s">
        <v>444</v>
      </c>
      <c r="D683" s="466" t="s">
        <v>445</v>
      </c>
      <c r="E683" s="465" t="s">
        <v>822</v>
      </c>
      <c r="F683" s="466" t="s">
        <v>823</v>
      </c>
      <c r="G683" s="465" t="s">
        <v>1848</v>
      </c>
      <c r="H683" s="465" t="s">
        <v>1849</v>
      </c>
      <c r="I683" s="468">
        <v>475</v>
      </c>
      <c r="J683" s="468">
        <v>2</v>
      </c>
      <c r="K683" s="469">
        <v>950</v>
      </c>
    </row>
    <row r="684" spans="1:11" ht="14.45" customHeight="1" x14ac:dyDescent="0.2">
      <c r="A684" s="463" t="s">
        <v>436</v>
      </c>
      <c r="B684" s="464" t="s">
        <v>437</v>
      </c>
      <c r="C684" s="465" t="s">
        <v>444</v>
      </c>
      <c r="D684" s="466" t="s">
        <v>445</v>
      </c>
      <c r="E684" s="465" t="s">
        <v>822</v>
      </c>
      <c r="F684" s="466" t="s">
        <v>823</v>
      </c>
      <c r="G684" s="465" t="s">
        <v>1850</v>
      </c>
      <c r="H684" s="465" t="s">
        <v>1851</v>
      </c>
      <c r="I684" s="468">
        <v>475</v>
      </c>
      <c r="J684" s="468">
        <v>1</v>
      </c>
      <c r="K684" s="469">
        <v>475</v>
      </c>
    </row>
    <row r="685" spans="1:11" ht="14.45" customHeight="1" x14ac:dyDescent="0.2">
      <c r="A685" s="463" t="s">
        <v>436</v>
      </c>
      <c r="B685" s="464" t="s">
        <v>437</v>
      </c>
      <c r="C685" s="465" t="s">
        <v>444</v>
      </c>
      <c r="D685" s="466" t="s">
        <v>445</v>
      </c>
      <c r="E685" s="465" t="s">
        <v>822</v>
      </c>
      <c r="F685" s="466" t="s">
        <v>823</v>
      </c>
      <c r="G685" s="465" t="s">
        <v>1842</v>
      </c>
      <c r="H685" s="465" t="s">
        <v>1852</v>
      </c>
      <c r="I685" s="468">
        <v>767.0474853515625</v>
      </c>
      <c r="J685" s="468">
        <v>10</v>
      </c>
      <c r="K685" s="469">
        <v>7670.4398193359375</v>
      </c>
    </row>
    <row r="686" spans="1:11" ht="14.45" customHeight="1" x14ac:dyDescent="0.2">
      <c r="A686" s="463" t="s">
        <v>436</v>
      </c>
      <c r="B686" s="464" t="s">
        <v>437</v>
      </c>
      <c r="C686" s="465" t="s">
        <v>444</v>
      </c>
      <c r="D686" s="466" t="s">
        <v>445</v>
      </c>
      <c r="E686" s="465" t="s">
        <v>822</v>
      </c>
      <c r="F686" s="466" t="s">
        <v>823</v>
      </c>
      <c r="G686" s="465" t="s">
        <v>1844</v>
      </c>
      <c r="H686" s="465" t="s">
        <v>1853</v>
      </c>
      <c r="I686" s="468">
        <v>120</v>
      </c>
      <c r="J686" s="468">
        <v>9</v>
      </c>
      <c r="K686" s="469">
        <v>1079.989990234375</v>
      </c>
    </row>
    <row r="687" spans="1:11" ht="14.45" customHeight="1" x14ac:dyDescent="0.2">
      <c r="A687" s="463" t="s">
        <v>436</v>
      </c>
      <c r="B687" s="464" t="s">
        <v>437</v>
      </c>
      <c r="C687" s="465" t="s">
        <v>444</v>
      </c>
      <c r="D687" s="466" t="s">
        <v>445</v>
      </c>
      <c r="E687" s="465" t="s">
        <v>822</v>
      </c>
      <c r="F687" s="466" t="s">
        <v>823</v>
      </c>
      <c r="G687" s="465" t="s">
        <v>1854</v>
      </c>
      <c r="H687" s="465" t="s">
        <v>1855</v>
      </c>
      <c r="I687" s="468">
        <v>528.75</v>
      </c>
      <c r="J687" s="468">
        <v>4</v>
      </c>
      <c r="K687" s="469">
        <v>2115.0400390625</v>
      </c>
    </row>
    <row r="688" spans="1:11" ht="14.45" customHeight="1" x14ac:dyDescent="0.2">
      <c r="A688" s="463" t="s">
        <v>436</v>
      </c>
      <c r="B688" s="464" t="s">
        <v>437</v>
      </c>
      <c r="C688" s="465" t="s">
        <v>444</v>
      </c>
      <c r="D688" s="466" t="s">
        <v>445</v>
      </c>
      <c r="E688" s="465" t="s">
        <v>822</v>
      </c>
      <c r="F688" s="466" t="s">
        <v>823</v>
      </c>
      <c r="G688" s="465" t="s">
        <v>1854</v>
      </c>
      <c r="H688" s="465" t="s">
        <v>1856</v>
      </c>
      <c r="I688" s="468">
        <v>528.77001953125</v>
      </c>
      <c r="J688" s="468">
        <v>3</v>
      </c>
      <c r="K688" s="469">
        <v>1586.31005859375</v>
      </c>
    </row>
    <row r="689" spans="1:11" ht="14.45" customHeight="1" x14ac:dyDescent="0.2">
      <c r="A689" s="463" t="s">
        <v>436</v>
      </c>
      <c r="B689" s="464" t="s">
        <v>437</v>
      </c>
      <c r="C689" s="465" t="s">
        <v>444</v>
      </c>
      <c r="D689" s="466" t="s">
        <v>445</v>
      </c>
      <c r="E689" s="465" t="s">
        <v>822</v>
      </c>
      <c r="F689" s="466" t="s">
        <v>823</v>
      </c>
      <c r="G689" s="465" t="s">
        <v>1857</v>
      </c>
      <c r="H689" s="465" t="s">
        <v>1858</v>
      </c>
      <c r="I689" s="468">
        <v>998.23000081380212</v>
      </c>
      <c r="J689" s="468">
        <v>4</v>
      </c>
      <c r="K689" s="469">
        <v>3992.9400024414063</v>
      </c>
    </row>
    <row r="690" spans="1:11" ht="14.45" customHeight="1" x14ac:dyDescent="0.2">
      <c r="A690" s="463" t="s">
        <v>436</v>
      </c>
      <c r="B690" s="464" t="s">
        <v>437</v>
      </c>
      <c r="C690" s="465" t="s">
        <v>444</v>
      </c>
      <c r="D690" s="466" t="s">
        <v>445</v>
      </c>
      <c r="E690" s="465" t="s">
        <v>822</v>
      </c>
      <c r="F690" s="466" t="s">
        <v>823</v>
      </c>
      <c r="G690" s="465" t="s">
        <v>1857</v>
      </c>
      <c r="H690" s="465" t="s">
        <v>1859</v>
      </c>
      <c r="I690" s="468">
        <v>998.25</v>
      </c>
      <c r="J690" s="468">
        <v>4</v>
      </c>
      <c r="K690" s="469">
        <v>3993</v>
      </c>
    </row>
    <row r="691" spans="1:11" ht="14.45" customHeight="1" x14ac:dyDescent="0.2">
      <c r="A691" s="463" t="s">
        <v>436</v>
      </c>
      <c r="B691" s="464" t="s">
        <v>437</v>
      </c>
      <c r="C691" s="465" t="s">
        <v>444</v>
      </c>
      <c r="D691" s="466" t="s">
        <v>445</v>
      </c>
      <c r="E691" s="465" t="s">
        <v>822</v>
      </c>
      <c r="F691" s="466" t="s">
        <v>823</v>
      </c>
      <c r="G691" s="465" t="s">
        <v>1860</v>
      </c>
      <c r="H691" s="465" t="s">
        <v>1861</v>
      </c>
      <c r="I691" s="468">
        <v>232.31667073567709</v>
      </c>
      <c r="J691" s="468">
        <v>3</v>
      </c>
      <c r="K691" s="469">
        <v>696.95001220703125</v>
      </c>
    </row>
    <row r="692" spans="1:11" ht="14.45" customHeight="1" x14ac:dyDescent="0.2">
      <c r="A692" s="463" t="s">
        <v>436</v>
      </c>
      <c r="B692" s="464" t="s">
        <v>437</v>
      </c>
      <c r="C692" s="465" t="s">
        <v>444</v>
      </c>
      <c r="D692" s="466" t="s">
        <v>445</v>
      </c>
      <c r="E692" s="465" t="s">
        <v>822</v>
      </c>
      <c r="F692" s="466" t="s">
        <v>823</v>
      </c>
      <c r="G692" s="465" t="s">
        <v>1860</v>
      </c>
      <c r="H692" s="465" t="s">
        <v>1862</v>
      </c>
      <c r="I692" s="468">
        <v>232.32000732421875</v>
      </c>
      <c r="J692" s="468">
        <v>1</v>
      </c>
      <c r="K692" s="469">
        <v>232.32000732421875</v>
      </c>
    </row>
    <row r="693" spans="1:11" ht="14.45" customHeight="1" x14ac:dyDescent="0.2">
      <c r="A693" s="463" t="s">
        <v>436</v>
      </c>
      <c r="B693" s="464" t="s">
        <v>437</v>
      </c>
      <c r="C693" s="465" t="s">
        <v>444</v>
      </c>
      <c r="D693" s="466" t="s">
        <v>445</v>
      </c>
      <c r="E693" s="465" t="s">
        <v>822</v>
      </c>
      <c r="F693" s="466" t="s">
        <v>823</v>
      </c>
      <c r="G693" s="465" t="s">
        <v>1863</v>
      </c>
      <c r="H693" s="465" t="s">
        <v>1864</v>
      </c>
      <c r="I693" s="468">
        <v>672.760009765625</v>
      </c>
      <c r="J693" s="468">
        <v>1</v>
      </c>
      <c r="K693" s="469">
        <v>672.760009765625</v>
      </c>
    </row>
    <row r="694" spans="1:11" ht="14.45" customHeight="1" x14ac:dyDescent="0.2">
      <c r="A694" s="463" t="s">
        <v>436</v>
      </c>
      <c r="B694" s="464" t="s">
        <v>437</v>
      </c>
      <c r="C694" s="465" t="s">
        <v>444</v>
      </c>
      <c r="D694" s="466" t="s">
        <v>445</v>
      </c>
      <c r="E694" s="465" t="s">
        <v>822</v>
      </c>
      <c r="F694" s="466" t="s">
        <v>823</v>
      </c>
      <c r="G694" s="465" t="s">
        <v>1865</v>
      </c>
      <c r="H694" s="465" t="s">
        <v>1866</v>
      </c>
      <c r="I694" s="468">
        <v>487.739990234375</v>
      </c>
      <c r="J694" s="468">
        <v>1</v>
      </c>
      <c r="K694" s="469">
        <v>487.739990234375</v>
      </c>
    </row>
    <row r="695" spans="1:11" ht="14.45" customHeight="1" x14ac:dyDescent="0.2">
      <c r="A695" s="463" t="s">
        <v>436</v>
      </c>
      <c r="B695" s="464" t="s">
        <v>437</v>
      </c>
      <c r="C695" s="465" t="s">
        <v>444</v>
      </c>
      <c r="D695" s="466" t="s">
        <v>445</v>
      </c>
      <c r="E695" s="465" t="s">
        <v>822</v>
      </c>
      <c r="F695" s="466" t="s">
        <v>823</v>
      </c>
      <c r="G695" s="465" t="s">
        <v>1867</v>
      </c>
      <c r="H695" s="465" t="s">
        <v>1868</v>
      </c>
      <c r="I695" s="468">
        <v>922.65997314453125</v>
      </c>
      <c r="J695" s="468">
        <v>1</v>
      </c>
      <c r="K695" s="469">
        <v>922.65997314453125</v>
      </c>
    </row>
    <row r="696" spans="1:11" ht="14.45" customHeight="1" x14ac:dyDescent="0.2">
      <c r="A696" s="463" t="s">
        <v>436</v>
      </c>
      <c r="B696" s="464" t="s">
        <v>437</v>
      </c>
      <c r="C696" s="465" t="s">
        <v>444</v>
      </c>
      <c r="D696" s="466" t="s">
        <v>445</v>
      </c>
      <c r="E696" s="465" t="s">
        <v>822</v>
      </c>
      <c r="F696" s="466" t="s">
        <v>823</v>
      </c>
      <c r="G696" s="465" t="s">
        <v>1869</v>
      </c>
      <c r="H696" s="465" t="s">
        <v>1870</v>
      </c>
      <c r="I696" s="468">
        <v>275.8800048828125</v>
      </c>
      <c r="J696" s="468">
        <v>4</v>
      </c>
      <c r="K696" s="469">
        <v>1103.52001953125</v>
      </c>
    </row>
    <row r="697" spans="1:11" ht="14.45" customHeight="1" x14ac:dyDescent="0.2">
      <c r="A697" s="463" t="s">
        <v>436</v>
      </c>
      <c r="B697" s="464" t="s">
        <v>437</v>
      </c>
      <c r="C697" s="465" t="s">
        <v>444</v>
      </c>
      <c r="D697" s="466" t="s">
        <v>445</v>
      </c>
      <c r="E697" s="465" t="s">
        <v>822</v>
      </c>
      <c r="F697" s="466" t="s">
        <v>823</v>
      </c>
      <c r="G697" s="465" t="s">
        <v>1871</v>
      </c>
      <c r="H697" s="465" t="s">
        <v>1872</v>
      </c>
      <c r="I697" s="468">
        <v>294</v>
      </c>
      <c r="J697" s="468">
        <v>6</v>
      </c>
      <c r="K697" s="469">
        <v>1764</v>
      </c>
    </row>
    <row r="698" spans="1:11" ht="14.45" customHeight="1" x14ac:dyDescent="0.2">
      <c r="A698" s="463" t="s">
        <v>436</v>
      </c>
      <c r="B698" s="464" t="s">
        <v>437</v>
      </c>
      <c r="C698" s="465" t="s">
        <v>444</v>
      </c>
      <c r="D698" s="466" t="s">
        <v>445</v>
      </c>
      <c r="E698" s="465" t="s">
        <v>822</v>
      </c>
      <c r="F698" s="466" t="s">
        <v>823</v>
      </c>
      <c r="G698" s="465" t="s">
        <v>1871</v>
      </c>
      <c r="H698" s="465" t="s">
        <v>1873</v>
      </c>
      <c r="I698" s="468">
        <v>294.00250244140625</v>
      </c>
      <c r="J698" s="468">
        <v>11</v>
      </c>
      <c r="K698" s="469">
        <v>3234.030029296875</v>
      </c>
    </row>
    <row r="699" spans="1:11" ht="14.45" customHeight="1" x14ac:dyDescent="0.2">
      <c r="A699" s="463" t="s">
        <v>436</v>
      </c>
      <c r="B699" s="464" t="s">
        <v>437</v>
      </c>
      <c r="C699" s="465" t="s">
        <v>444</v>
      </c>
      <c r="D699" s="466" t="s">
        <v>445</v>
      </c>
      <c r="E699" s="465" t="s">
        <v>822</v>
      </c>
      <c r="F699" s="466" t="s">
        <v>823</v>
      </c>
      <c r="G699" s="465" t="s">
        <v>1874</v>
      </c>
      <c r="H699" s="465" t="s">
        <v>1875</v>
      </c>
      <c r="I699" s="468">
        <v>1239.8642752511162</v>
      </c>
      <c r="J699" s="468">
        <v>214</v>
      </c>
      <c r="K699" s="469">
        <v>259185.208984375</v>
      </c>
    </row>
    <row r="700" spans="1:11" ht="14.45" customHeight="1" x14ac:dyDescent="0.2">
      <c r="A700" s="463" t="s">
        <v>436</v>
      </c>
      <c r="B700" s="464" t="s">
        <v>437</v>
      </c>
      <c r="C700" s="465" t="s">
        <v>444</v>
      </c>
      <c r="D700" s="466" t="s">
        <v>445</v>
      </c>
      <c r="E700" s="465" t="s">
        <v>822</v>
      </c>
      <c r="F700" s="466" t="s">
        <v>823</v>
      </c>
      <c r="G700" s="465" t="s">
        <v>1876</v>
      </c>
      <c r="H700" s="465" t="s">
        <v>1877</v>
      </c>
      <c r="I700" s="468">
        <v>204.25</v>
      </c>
      <c r="J700" s="468">
        <v>6</v>
      </c>
      <c r="K700" s="469">
        <v>1225.510009765625</v>
      </c>
    </row>
    <row r="701" spans="1:11" ht="14.45" customHeight="1" x14ac:dyDescent="0.2">
      <c r="A701" s="463" t="s">
        <v>436</v>
      </c>
      <c r="B701" s="464" t="s">
        <v>437</v>
      </c>
      <c r="C701" s="465" t="s">
        <v>444</v>
      </c>
      <c r="D701" s="466" t="s">
        <v>445</v>
      </c>
      <c r="E701" s="465" t="s">
        <v>822</v>
      </c>
      <c r="F701" s="466" t="s">
        <v>823</v>
      </c>
      <c r="G701" s="465" t="s">
        <v>1874</v>
      </c>
      <c r="H701" s="465" t="s">
        <v>1878</v>
      </c>
      <c r="I701" s="468">
        <v>1205.5879882812501</v>
      </c>
      <c r="J701" s="468">
        <v>57</v>
      </c>
      <c r="K701" s="469">
        <v>69324.48876953125</v>
      </c>
    </row>
    <row r="702" spans="1:11" ht="14.45" customHeight="1" x14ac:dyDescent="0.2">
      <c r="A702" s="463" t="s">
        <v>436</v>
      </c>
      <c r="B702" s="464" t="s">
        <v>437</v>
      </c>
      <c r="C702" s="465" t="s">
        <v>444</v>
      </c>
      <c r="D702" s="466" t="s">
        <v>445</v>
      </c>
      <c r="E702" s="465" t="s">
        <v>822</v>
      </c>
      <c r="F702" s="466" t="s">
        <v>823</v>
      </c>
      <c r="G702" s="465" t="s">
        <v>1879</v>
      </c>
      <c r="H702" s="465" t="s">
        <v>1880</v>
      </c>
      <c r="I702" s="468">
        <v>1316.780029296875</v>
      </c>
      <c r="J702" s="468">
        <v>1</v>
      </c>
      <c r="K702" s="469">
        <v>1316.780029296875</v>
      </c>
    </row>
    <row r="703" spans="1:11" ht="14.45" customHeight="1" x14ac:dyDescent="0.2">
      <c r="A703" s="463" t="s">
        <v>436</v>
      </c>
      <c r="B703" s="464" t="s">
        <v>437</v>
      </c>
      <c r="C703" s="465" t="s">
        <v>444</v>
      </c>
      <c r="D703" s="466" t="s">
        <v>445</v>
      </c>
      <c r="E703" s="465" t="s">
        <v>822</v>
      </c>
      <c r="F703" s="466" t="s">
        <v>823</v>
      </c>
      <c r="G703" s="465" t="s">
        <v>1881</v>
      </c>
      <c r="H703" s="465" t="s">
        <v>1882</v>
      </c>
      <c r="I703" s="468">
        <v>1316.7900390625</v>
      </c>
      <c r="J703" s="468">
        <v>1</v>
      </c>
      <c r="K703" s="469">
        <v>1316.7900390625</v>
      </c>
    </row>
    <row r="704" spans="1:11" ht="14.45" customHeight="1" x14ac:dyDescent="0.2">
      <c r="A704" s="463" t="s">
        <v>436</v>
      </c>
      <c r="B704" s="464" t="s">
        <v>437</v>
      </c>
      <c r="C704" s="465" t="s">
        <v>444</v>
      </c>
      <c r="D704" s="466" t="s">
        <v>445</v>
      </c>
      <c r="E704" s="465" t="s">
        <v>822</v>
      </c>
      <c r="F704" s="466" t="s">
        <v>823</v>
      </c>
      <c r="G704" s="465" t="s">
        <v>1883</v>
      </c>
      <c r="H704" s="465" t="s">
        <v>1884</v>
      </c>
      <c r="I704" s="468">
        <v>87</v>
      </c>
      <c r="J704" s="468">
        <v>100</v>
      </c>
      <c r="K704" s="469">
        <v>8700</v>
      </c>
    </row>
    <row r="705" spans="1:11" ht="14.45" customHeight="1" x14ac:dyDescent="0.2">
      <c r="A705" s="463" t="s">
        <v>436</v>
      </c>
      <c r="B705" s="464" t="s">
        <v>437</v>
      </c>
      <c r="C705" s="465" t="s">
        <v>444</v>
      </c>
      <c r="D705" s="466" t="s">
        <v>445</v>
      </c>
      <c r="E705" s="465" t="s">
        <v>822</v>
      </c>
      <c r="F705" s="466" t="s">
        <v>823</v>
      </c>
      <c r="G705" s="465" t="s">
        <v>1885</v>
      </c>
      <c r="H705" s="465" t="s">
        <v>1886</v>
      </c>
      <c r="I705" s="468">
        <v>138</v>
      </c>
      <c r="J705" s="468">
        <v>110</v>
      </c>
      <c r="K705" s="469">
        <v>15180</v>
      </c>
    </row>
    <row r="706" spans="1:11" ht="14.45" customHeight="1" x14ac:dyDescent="0.2">
      <c r="A706" s="463" t="s">
        <v>436</v>
      </c>
      <c r="B706" s="464" t="s">
        <v>437</v>
      </c>
      <c r="C706" s="465" t="s">
        <v>444</v>
      </c>
      <c r="D706" s="466" t="s">
        <v>445</v>
      </c>
      <c r="E706" s="465" t="s">
        <v>822</v>
      </c>
      <c r="F706" s="466" t="s">
        <v>823</v>
      </c>
      <c r="G706" s="465" t="s">
        <v>1885</v>
      </c>
      <c r="H706" s="465" t="s">
        <v>1887</v>
      </c>
      <c r="I706" s="468">
        <v>138</v>
      </c>
      <c r="J706" s="468">
        <v>286</v>
      </c>
      <c r="K706" s="469">
        <v>39468</v>
      </c>
    </row>
    <row r="707" spans="1:11" ht="14.45" customHeight="1" x14ac:dyDescent="0.2">
      <c r="A707" s="463" t="s">
        <v>436</v>
      </c>
      <c r="B707" s="464" t="s">
        <v>437</v>
      </c>
      <c r="C707" s="465" t="s">
        <v>444</v>
      </c>
      <c r="D707" s="466" t="s">
        <v>445</v>
      </c>
      <c r="E707" s="465" t="s">
        <v>822</v>
      </c>
      <c r="F707" s="466" t="s">
        <v>823</v>
      </c>
      <c r="G707" s="465" t="s">
        <v>1888</v>
      </c>
      <c r="H707" s="465" t="s">
        <v>1889</v>
      </c>
      <c r="I707" s="468">
        <v>138</v>
      </c>
      <c r="J707" s="468">
        <v>185</v>
      </c>
      <c r="K707" s="469">
        <v>25530</v>
      </c>
    </row>
    <row r="708" spans="1:11" ht="14.45" customHeight="1" thickBot="1" x14ac:dyDescent="0.25">
      <c r="A708" s="470" t="s">
        <v>436</v>
      </c>
      <c r="B708" s="471" t="s">
        <v>437</v>
      </c>
      <c r="C708" s="472" t="s">
        <v>444</v>
      </c>
      <c r="D708" s="473" t="s">
        <v>445</v>
      </c>
      <c r="E708" s="472" t="s">
        <v>822</v>
      </c>
      <c r="F708" s="473" t="s">
        <v>823</v>
      </c>
      <c r="G708" s="472" t="s">
        <v>1888</v>
      </c>
      <c r="H708" s="472" t="s">
        <v>1890</v>
      </c>
      <c r="I708" s="475">
        <v>138</v>
      </c>
      <c r="J708" s="475">
        <v>250</v>
      </c>
      <c r="K708" s="476">
        <v>34500</v>
      </c>
    </row>
  </sheetData>
  <autoFilter ref="A4:K4" xr:uid="{00000000-0009-0000-0000-000019000000}"/>
  <mergeCells count="2">
    <mergeCell ref="A1:K1"/>
    <mergeCell ref="C3:G3"/>
  </mergeCells>
  <hyperlinks>
    <hyperlink ref="A2" location="Obsah!A1" display="Zpět na Obsah  KL 01  1.-4.měsíc" xr:uid="{2EB8381B-CA9C-415A-AE0A-D2B16B1D73BC}"/>
  </hyperlinks>
  <pageMargins left="0.25" right="0.25" top="0.75" bottom="0.75" header="0.3" footer="0.3"/>
  <pageSetup paperSize="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27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252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206" customWidth="1"/>
    <col min="18" max="18" width="7.28515625" style="251" customWidth="1"/>
    <col min="19" max="19" width="8" style="206" customWidth="1"/>
    <col min="21" max="21" width="11.28515625" bestFit="1" customWidth="1"/>
  </cols>
  <sheetData>
    <row r="1" spans="1:19" ht="19.5" thickBot="1" x14ac:dyDescent="0.35">
      <c r="A1" s="375" t="s">
        <v>90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336"/>
      <c r="S1" s="336"/>
    </row>
    <row r="2" spans="1:19" ht="15.75" thickBot="1" x14ac:dyDescent="0.3">
      <c r="A2" s="207" t="s">
        <v>242</v>
      </c>
      <c r="B2" s="208"/>
    </row>
    <row r="3" spans="1:19" x14ac:dyDescent="0.25">
      <c r="A3" s="387" t="s">
        <v>163</v>
      </c>
      <c r="B3" s="388"/>
      <c r="C3" s="389" t="s">
        <v>152</v>
      </c>
      <c r="D3" s="390"/>
      <c r="E3" s="390"/>
      <c r="F3" s="391"/>
      <c r="G3" s="392" t="s">
        <v>153</v>
      </c>
      <c r="H3" s="393"/>
      <c r="I3" s="393"/>
      <c r="J3" s="394"/>
      <c r="K3" s="395" t="s">
        <v>162</v>
      </c>
      <c r="L3" s="396"/>
      <c r="M3" s="396"/>
      <c r="N3" s="396"/>
      <c r="O3" s="397"/>
      <c r="P3" s="393" t="s">
        <v>217</v>
      </c>
      <c r="Q3" s="393"/>
      <c r="R3" s="393"/>
      <c r="S3" s="394"/>
    </row>
    <row r="4" spans="1:19" ht="15.75" thickBot="1" x14ac:dyDescent="0.3">
      <c r="A4" s="367">
        <v>2019</v>
      </c>
      <c r="B4" s="368"/>
      <c r="C4" s="369" t="s">
        <v>216</v>
      </c>
      <c r="D4" s="371" t="s">
        <v>91</v>
      </c>
      <c r="E4" s="371" t="s">
        <v>61</v>
      </c>
      <c r="F4" s="373" t="s">
        <v>54</v>
      </c>
      <c r="G4" s="361" t="s">
        <v>154</v>
      </c>
      <c r="H4" s="363" t="s">
        <v>158</v>
      </c>
      <c r="I4" s="363" t="s">
        <v>215</v>
      </c>
      <c r="J4" s="365" t="s">
        <v>155</v>
      </c>
      <c r="K4" s="384" t="s">
        <v>214</v>
      </c>
      <c r="L4" s="385"/>
      <c r="M4" s="385"/>
      <c r="N4" s="386"/>
      <c r="O4" s="373" t="s">
        <v>213</v>
      </c>
      <c r="P4" s="376" t="s">
        <v>212</v>
      </c>
      <c r="Q4" s="376" t="s">
        <v>165</v>
      </c>
      <c r="R4" s="378" t="s">
        <v>61</v>
      </c>
      <c r="S4" s="380" t="s">
        <v>164</v>
      </c>
    </row>
    <row r="5" spans="1:19" s="286" customFormat="1" ht="19.149999999999999" customHeight="1" x14ac:dyDescent="0.25">
      <c r="A5" s="382" t="s">
        <v>211</v>
      </c>
      <c r="B5" s="383"/>
      <c r="C5" s="370"/>
      <c r="D5" s="372"/>
      <c r="E5" s="372"/>
      <c r="F5" s="374"/>
      <c r="G5" s="362"/>
      <c r="H5" s="364"/>
      <c r="I5" s="364"/>
      <c r="J5" s="366"/>
      <c r="K5" s="289" t="s">
        <v>156</v>
      </c>
      <c r="L5" s="288" t="s">
        <v>157</v>
      </c>
      <c r="M5" s="288" t="s">
        <v>210</v>
      </c>
      <c r="N5" s="287" t="s">
        <v>3</v>
      </c>
      <c r="O5" s="374"/>
      <c r="P5" s="377"/>
      <c r="Q5" s="377"/>
      <c r="R5" s="379"/>
      <c r="S5" s="381"/>
    </row>
    <row r="6" spans="1:19" ht="15.75" thickBot="1" x14ac:dyDescent="0.3">
      <c r="A6" s="359" t="s">
        <v>151</v>
      </c>
      <c r="B6" s="360"/>
      <c r="C6" s="285">
        <f ca="1">SUM(Tabulka[01 uv_sk])/2</f>
        <v>53.35</v>
      </c>
      <c r="D6" s="283"/>
      <c r="E6" s="283"/>
      <c r="F6" s="282"/>
      <c r="G6" s="284">
        <f ca="1">SUM(Tabulka[05 h_vram])/2</f>
        <v>89347.3</v>
      </c>
      <c r="H6" s="283">
        <f ca="1">SUM(Tabulka[06 h_naduv])/2</f>
        <v>0</v>
      </c>
      <c r="I6" s="283">
        <f ca="1">SUM(Tabulka[07 h_nadzk])/2</f>
        <v>0</v>
      </c>
      <c r="J6" s="282">
        <f ca="1">SUM(Tabulka[08 h_oon])/2</f>
        <v>1454</v>
      </c>
      <c r="K6" s="284">
        <f ca="1">SUM(Tabulka[09 m_kl])/2</f>
        <v>0</v>
      </c>
      <c r="L6" s="283">
        <f ca="1">SUM(Tabulka[10 m_gr])/2</f>
        <v>0</v>
      </c>
      <c r="M6" s="283">
        <f ca="1">SUM(Tabulka[11 m_jo])/2</f>
        <v>1944484</v>
      </c>
      <c r="N6" s="283">
        <f ca="1">SUM(Tabulka[12 m_oc])/2</f>
        <v>1944484</v>
      </c>
      <c r="O6" s="282">
        <f ca="1">SUM(Tabulka[13 m_sk])/2</f>
        <v>24788641</v>
      </c>
      <c r="P6" s="281">
        <f ca="1">SUM(Tabulka[14_vzsk])/2</f>
        <v>48720</v>
      </c>
      <c r="Q6" s="281">
        <f ca="1">SUM(Tabulka[15_vzpl])/2</f>
        <v>89529.569892473111</v>
      </c>
      <c r="R6" s="280">
        <f ca="1">IF(Q6=0,0,P6/Q6)</f>
        <v>0.54417775108842525</v>
      </c>
      <c r="S6" s="279">
        <f ca="1">Q6-P6</f>
        <v>40809.569892473111</v>
      </c>
    </row>
    <row r="7" spans="1:19" hidden="1" x14ac:dyDescent="0.25">
      <c r="A7" s="278" t="s">
        <v>209</v>
      </c>
      <c r="B7" s="277" t="s">
        <v>208</v>
      </c>
      <c r="C7" s="276" t="s">
        <v>207</v>
      </c>
      <c r="D7" s="275" t="s">
        <v>206</v>
      </c>
      <c r="E7" s="274" t="s">
        <v>205</v>
      </c>
      <c r="F7" s="273" t="s">
        <v>204</v>
      </c>
      <c r="G7" s="272" t="s">
        <v>203</v>
      </c>
      <c r="H7" s="270" t="s">
        <v>202</v>
      </c>
      <c r="I7" s="270" t="s">
        <v>201</v>
      </c>
      <c r="J7" s="269" t="s">
        <v>200</v>
      </c>
      <c r="K7" s="271" t="s">
        <v>199</v>
      </c>
      <c r="L7" s="270" t="s">
        <v>198</v>
      </c>
      <c r="M7" s="270" t="s">
        <v>197</v>
      </c>
      <c r="N7" s="269" t="s">
        <v>196</v>
      </c>
      <c r="O7" s="268" t="s">
        <v>195</v>
      </c>
      <c r="P7" s="267" t="s">
        <v>194</v>
      </c>
      <c r="Q7" s="266" t="s">
        <v>193</v>
      </c>
      <c r="R7" s="265" t="s">
        <v>192</v>
      </c>
      <c r="S7" s="264" t="s">
        <v>191</v>
      </c>
    </row>
    <row r="8" spans="1:19" x14ac:dyDescent="0.25">
      <c r="A8" s="261" t="s">
        <v>190</v>
      </c>
      <c r="B8" s="260"/>
      <c r="C8" s="25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11.263636363636365</v>
      </c>
      <c r="D8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19080.399999999998</v>
      </c>
      <c r="H8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8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8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840</v>
      </c>
      <c r="K8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766426</v>
      </c>
      <c r="N8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766426</v>
      </c>
      <c r="O8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7643226</v>
      </c>
      <c r="P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39112.903225806447</v>
      </c>
      <c r="R8" s="263">
        <f ca="1">IF(Tabulka[[#This Row],[15_vzpl]]=0,"",Tabulka[[#This Row],[14_vzsk]]/Tabulka[[#This Row],[15_vzpl]])</f>
        <v>0</v>
      </c>
      <c r="S8" s="262">
        <f ca="1">IF(Tabulka[[#This Row],[15_vzpl]]-Tabulka[[#This Row],[14_vzsk]]=0,"",Tabulka[[#This Row],[15_vzpl]]-Tabulka[[#This Row],[14_vzsk]])</f>
        <v>39112.903225806447</v>
      </c>
    </row>
    <row r="9" spans="1:19" x14ac:dyDescent="0.25">
      <c r="A9" s="261">
        <v>99</v>
      </c>
      <c r="B9" s="260" t="s">
        <v>1907</v>
      </c>
      <c r="C9" s="25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9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9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9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9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39112.903225806447</v>
      </c>
      <c r="R9" s="263">
        <f ca="1">IF(Tabulka[[#This Row],[15_vzpl]]=0,"",Tabulka[[#This Row],[14_vzsk]]/Tabulka[[#This Row],[15_vzpl]])</f>
        <v>0</v>
      </c>
      <c r="S9" s="262">
        <f ca="1">IF(Tabulka[[#This Row],[15_vzpl]]-Tabulka[[#This Row],[14_vzsk]]=0,"",Tabulka[[#This Row],[15_vzpl]]-Tabulka[[#This Row],[14_vzsk]])</f>
        <v>39112.903225806447</v>
      </c>
    </row>
    <row r="10" spans="1:19" x14ac:dyDescent="0.25">
      <c r="A10" s="261">
        <v>102</v>
      </c>
      <c r="B10" s="260" t="s">
        <v>1908</v>
      </c>
      <c r="C10" s="25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5.1045454545454554</v>
      </c>
      <c r="D10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8852.7999999999993</v>
      </c>
      <c r="H10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0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840</v>
      </c>
      <c r="K10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403912</v>
      </c>
      <c r="N10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403912</v>
      </c>
      <c r="O10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2846875</v>
      </c>
      <c r="P10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63" t="str">
        <f ca="1">IF(Tabulka[[#This Row],[15_vzpl]]=0,"",Tabulka[[#This Row],[14_vzsk]]/Tabulka[[#This Row],[15_vzpl]])</f>
        <v/>
      </c>
      <c r="S10" s="262" t="str">
        <f ca="1">IF(Tabulka[[#This Row],[15_vzpl]]-Tabulka[[#This Row],[14_vzsk]]=0,"",Tabulka[[#This Row],[15_vzpl]]-Tabulka[[#This Row],[14_vzsk]])</f>
        <v/>
      </c>
    </row>
    <row r="11" spans="1:19" x14ac:dyDescent="0.25">
      <c r="A11" s="261">
        <v>103</v>
      </c>
      <c r="B11" s="260" t="s">
        <v>1909</v>
      </c>
      <c r="C11" s="25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6.1590909090909092</v>
      </c>
      <c r="D11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10227.6</v>
      </c>
      <c r="H11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1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1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362514</v>
      </c>
      <c r="N11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362514</v>
      </c>
      <c r="O11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4796351</v>
      </c>
      <c r="P11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263" t="str">
        <f ca="1">IF(Tabulka[[#This Row],[15_vzpl]]=0,"",Tabulka[[#This Row],[14_vzsk]]/Tabulka[[#This Row],[15_vzpl]])</f>
        <v/>
      </c>
      <c r="S11" s="262" t="str">
        <f ca="1">IF(Tabulka[[#This Row],[15_vzpl]]-Tabulka[[#This Row],[14_vzsk]]=0,"",Tabulka[[#This Row],[15_vzpl]]-Tabulka[[#This Row],[14_vzsk]])</f>
        <v/>
      </c>
    </row>
    <row r="12" spans="1:19" x14ac:dyDescent="0.25">
      <c r="A12" s="261" t="s">
        <v>1892</v>
      </c>
      <c r="B12" s="260"/>
      <c r="C12" s="25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40.136363636363633</v>
      </c>
      <c r="D12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67009.199999999983</v>
      </c>
      <c r="H12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1144828</v>
      </c>
      <c r="N12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1144828</v>
      </c>
      <c r="O12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16580127</v>
      </c>
      <c r="P12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48720</v>
      </c>
      <c r="Q12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50416.666666666672</v>
      </c>
      <c r="R12" s="263">
        <f ca="1">IF(Tabulka[[#This Row],[15_vzpl]]=0,"",Tabulka[[#This Row],[14_vzsk]]/Tabulka[[#This Row],[15_vzpl]])</f>
        <v>0.96634710743801644</v>
      </c>
      <c r="S12" s="262">
        <f ca="1">IF(Tabulka[[#This Row],[15_vzpl]]-Tabulka[[#This Row],[14_vzsk]]=0,"",Tabulka[[#This Row],[15_vzpl]]-Tabulka[[#This Row],[14_vzsk]])</f>
        <v>1696.6666666666715</v>
      </c>
    </row>
    <row r="13" spans="1:19" x14ac:dyDescent="0.25">
      <c r="A13" s="261">
        <v>303</v>
      </c>
      <c r="B13" s="260" t="s">
        <v>1910</v>
      </c>
      <c r="C13" s="25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22.599999999999998</v>
      </c>
      <c r="D13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37232.800000000003</v>
      </c>
      <c r="H13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3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580969</v>
      </c>
      <c r="N13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580969</v>
      </c>
      <c r="O13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8992515</v>
      </c>
      <c r="P13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48720</v>
      </c>
      <c r="Q13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50416.666666666672</v>
      </c>
      <c r="R13" s="263">
        <f ca="1">IF(Tabulka[[#This Row],[15_vzpl]]=0,"",Tabulka[[#This Row],[14_vzsk]]/Tabulka[[#This Row],[15_vzpl]])</f>
        <v>0.96634710743801644</v>
      </c>
      <c r="S13" s="262">
        <f ca="1">IF(Tabulka[[#This Row],[15_vzpl]]-Tabulka[[#This Row],[14_vzsk]]=0,"",Tabulka[[#This Row],[15_vzpl]]-Tabulka[[#This Row],[14_vzsk]])</f>
        <v>1696.6666666666715</v>
      </c>
    </row>
    <row r="14" spans="1:19" x14ac:dyDescent="0.25">
      <c r="A14" s="261">
        <v>304</v>
      </c>
      <c r="B14" s="260" t="s">
        <v>1911</v>
      </c>
      <c r="C14" s="25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</v>
      </c>
      <c r="D14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8720</v>
      </c>
      <c r="H14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191748</v>
      </c>
      <c r="N14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191748</v>
      </c>
      <c r="O14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2664672</v>
      </c>
      <c r="P14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63" t="str">
        <f ca="1">IF(Tabulka[[#This Row],[15_vzpl]]=0,"",Tabulka[[#This Row],[14_vzsk]]/Tabulka[[#This Row],[15_vzpl]])</f>
        <v/>
      </c>
      <c r="S14" s="262" t="str">
        <f ca="1">IF(Tabulka[[#This Row],[15_vzpl]]-Tabulka[[#This Row],[14_vzsk]]=0,"",Tabulka[[#This Row],[15_vzpl]]-Tabulka[[#This Row],[14_vzsk]])</f>
        <v/>
      </c>
    </row>
    <row r="15" spans="1:19" x14ac:dyDescent="0.25">
      <c r="A15" s="261">
        <v>408</v>
      </c>
      <c r="B15" s="260" t="s">
        <v>1912</v>
      </c>
      <c r="C15" s="25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5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5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5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8000</v>
      </c>
      <c r="N15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8000</v>
      </c>
      <c r="O15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8000</v>
      </c>
      <c r="P15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263" t="str">
        <f ca="1">IF(Tabulka[[#This Row],[15_vzpl]]=0,"",Tabulka[[#This Row],[14_vzsk]]/Tabulka[[#This Row],[15_vzpl]])</f>
        <v/>
      </c>
      <c r="S15" s="262" t="str">
        <f ca="1">IF(Tabulka[[#This Row],[15_vzpl]]-Tabulka[[#This Row],[14_vzsk]]=0,"",Tabulka[[#This Row],[15_vzpl]]-Tabulka[[#This Row],[14_vzsk]])</f>
        <v/>
      </c>
    </row>
    <row r="16" spans="1:19" x14ac:dyDescent="0.25">
      <c r="A16" s="261">
        <v>416</v>
      </c>
      <c r="B16" s="260" t="s">
        <v>1913</v>
      </c>
      <c r="C16" s="25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12.536363636363633</v>
      </c>
      <c r="D16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21056.400000000001</v>
      </c>
      <c r="H16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6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364111</v>
      </c>
      <c r="N16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364111</v>
      </c>
      <c r="O16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4914940</v>
      </c>
      <c r="P16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263" t="str">
        <f ca="1">IF(Tabulka[[#This Row],[15_vzpl]]=0,"",Tabulka[[#This Row],[14_vzsk]]/Tabulka[[#This Row],[15_vzpl]])</f>
        <v/>
      </c>
      <c r="S16" s="262" t="str">
        <f ca="1">IF(Tabulka[[#This Row],[15_vzpl]]-Tabulka[[#This Row],[14_vzsk]]=0,"",Tabulka[[#This Row],[15_vzpl]]-Tabulka[[#This Row],[14_vzsk]])</f>
        <v/>
      </c>
    </row>
    <row r="17" spans="1:19" x14ac:dyDescent="0.25">
      <c r="A17" s="261" t="s">
        <v>1893</v>
      </c>
      <c r="B17" s="260"/>
      <c r="C17" s="25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1.9499999999999995</v>
      </c>
      <c r="D17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3257.7</v>
      </c>
      <c r="H17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7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7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524</v>
      </c>
      <c r="K17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33230</v>
      </c>
      <c r="N17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33230</v>
      </c>
      <c r="O17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549088</v>
      </c>
      <c r="P17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263" t="str">
        <f ca="1">IF(Tabulka[[#This Row],[15_vzpl]]=0,"",Tabulka[[#This Row],[14_vzsk]]/Tabulka[[#This Row],[15_vzpl]])</f>
        <v/>
      </c>
      <c r="S17" s="262" t="str">
        <f ca="1">IF(Tabulka[[#This Row],[15_vzpl]]-Tabulka[[#This Row],[14_vzsk]]=0,"",Tabulka[[#This Row],[15_vzpl]]-Tabulka[[#This Row],[14_vzsk]])</f>
        <v/>
      </c>
    </row>
    <row r="18" spans="1:19" x14ac:dyDescent="0.25">
      <c r="A18" s="261">
        <v>25</v>
      </c>
      <c r="B18" s="260" t="s">
        <v>1914</v>
      </c>
      <c r="C18" s="25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8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1728</v>
      </c>
      <c r="H18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8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8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17702</v>
      </c>
      <c r="N18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17702</v>
      </c>
      <c r="O18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223161</v>
      </c>
      <c r="P1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263" t="str">
        <f ca="1">IF(Tabulka[[#This Row],[15_vzpl]]=0,"",Tabulka[[#This Row],[14_vzsk]]/Tabulka[[#This Row],[15_vzpl]])</f>
        <v/>
      </c>
      <c r="S18" s="262" t="str">
        <f ca="1">IF(Tabulka[[#This Row],[15_vzpl]]-Tabulka[[#This Row],[14_vzsk]]=0,"",Tabulka[[#This Row],[15_vzpl]]-Tabulka[[#This Row],[14_vzsk]])</f>
        <v/>
      </c>
    </row>
    <row r="19" spans="1:19" x14ac:dyDescent="0.25">
      <c r="A19" s="261">
        <v>30</v>
      </c>
      <c r="B19" s="260" t="s">
        <v>1915</v>
      </c>
      <c r="C19" s="25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0.95</v>
      </c>
      <c r="D19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9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9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9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1529.7</v>
      </c>
      <c r="H19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9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9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524</v>
      </c>
      <c r="K19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9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9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15528</v>
      </c>
      <c r="N19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15528</v>
      </c>
      <c r="O19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325927</v>
      </c>
      <c r="P19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9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9" s="263" t="str">
        <f ca="1">IF(Tabulka[[#This Row],[15_vzpl]]=0,"",Tabulka[[#This Row],[14_vzsk]]/Tabulka[[#This Row],[15_vzpl]])</f>
        <v/>
      </c>
      <c r="S19" s="262" t="str">
        <f ca="1">IF(Tabulka[[#This Row],[15_vzpl]]-Tabulka[[#This Row],[14_vzsk]]=0,"",Tabulka[[#This Row],[15_vzpl]]-Tabulka[[#This Row],[14_vzsk]])</f>
        <v/>
      </c>
    </row>
    <row r="20" spans="1:19" x14ac:dyDescent="0.25">
      <c r="A20" s="261" t="s">
        <v>1894</v>
      </c>
      <c r="B20" s="260"/>
      <c r="C20" s="25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20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0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0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0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20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0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0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90</v>
      </c>
      <c r="K20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0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0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0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0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16200</v>
      </c>
      <c r="P20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0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0" s="263" t="str">
        <f ca="1">IF(Tabulka[[#This Row],[15_vzpl]]=0,"",Tabulka[[#This Row],[14_vzsk]]/Tabulka[[#This Row],[15_vzpl]])</f>
        <v/>
      </c>
      <c r="S20" s="262" t="str">
        <f ca="1">IF(Tabulka[[#This Row],[15_vzpl]]-Tabulka[[#This Row],[14_vzsk]]=0,"",Tabulka[[#This Row],[15_vzpl]]-Tabulka[[#This Row],[14_vzsk]])</f>
        <v/>
      </c>
    </row>
    <row r="21" spans="1:19" x14ac:dyDescent="0.25">
      <c r="A21" s="261">
        <v>417</v>
      </c>
      <c r="B21" s="260" t="s">
        <v>1894</v>
      </c>
      <c r="C21" s="25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21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1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1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1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21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1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1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90</v>
      </c>
      <c r="K21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1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1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1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1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16200</v>
      </c>
      <c r="P21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1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1" s="263" t="str">
        <f ca="1">IF(Tabulka[[#This Row],[15_vzpl]]=0,"",Tabulka[[#This Row],[14_vzsk]]/Tabulka[[#This Row],[15_vzpl]])</f>
        <v/>
      </c>
      <c r="S21" s="262" t="str">
        <f ca="1">IF(Tabulka[[#This Row],[15_vzpl]]-Tabulka[[#This Row],[14_vzsk]]=0,"",Tabulka[[#This Row],[15_vzpl]]-Tabulka[[#This Row],[14_vzsk]])</f>
        <v/>
      </c>
    </row>
    <row r="22" spans="1:19" x14ac:dyDescent="0.25">
      <c r="A22" t="s">
        <v>219</v>
      </c>
    </row>
    <row r="23" spans="1:19" x14ac:dyDescent="0.25">
      <c r="A23" s="98" t="s">
        <v>133</v>
      </c>
    </row>
    <row r="24" spans="1:19" x14ac:dyDescent="0.25">
      <c r="A24" s="99" t="s">
        <v>189</v>
      </c>
    </row>
    <row r="25" spans="1:19" x14ac:dyDescent="0.25">
      <c r="A25" s="253" t="s">
        <v>188</v>
      </c>
    </row>
    <row r="26" spans="1:19" x14ac:dyDescent="0.25">
      <c r="A26" s="210" t="s">
        <v>161</v>
      </c>
    </row>
    <row r="27" spans="1:19" x14ac:dyDescent="0.25">
      <c r="A27" s="212" t="s">
        <v>166</v>
      </c>
    </row>
  </sheetData>
  <mergeCells count="23"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</mergeCells>
  <conditionalFormatting sqref="S6:S21">
    <cfRule type="cellIs" dxfId="4" priority="3" operator="lessThan">
      <formula>0</formula>
    </cfRule>
  </conditionalFormatting>
  <conditionalFormatting sqref="R6:R21">
    <cfRule type="cellIs" dxfId="3" priority="4" operator="greaterThan">
      <formula>1</formula>
    </cfRule>
  </conditionalFormatting>
  <conditionalFormatting sqref="A8:S21">
    <cfRule type="expression" dxfId="2" priority="2">
      <formula>$B8=""</formula>
    </cfRule>
  </conditionalFormatting>
  <conditionalFormatting sqref="P8:S21">
    <cfRule type="expression" dxfId="1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hyperlinks>
    <hyperlink ref="A2" location="Obsah!A1" display="Zpět na Obsah  KL 01  1.-4.měsíc" xr:uid="{64661603-0155-4B2B-8AB5-F52B017952A1}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16">
    <tabColor theme="7" tint="0.39997558519241921"/>
  </sheetPr>
  <dimension ref="A1:S158"/>
  <sheetViews>
    <sheetView workbookViewId="0"/>
  </sheetViews>
  <sheetFormatPr defaultRowHeight="15" x14ac:dyDescent="0.25"/>
  <cols>
    <col min="1" max="1" width="9.42578125" customWidth="1"/>
    <col min="5" max="5" width="10.28515625" customWidth="1"/>
    <col min="6" max="6" width="11" customWidth="1"/>
    <col min="7" max="7" width="11.140625" customWidth="1"/>
    <col min="8" max="8" width="12.140625" customWidth="1"/>
    <col min="9" max="9" width="11.7109375" customWidth="1"/>
    <col min="10" max="10" width="12.7109375" customWidth="1"/>
    <col min="11" max="11" width="12.42578125" customWidth="1"/>
    <col min="12" max="12" width="10.7109375" customWidth="1"/>
    <col min="13" max="13" width="9.42578125" customWidth="1"/>
    <col min="14" max="15" width="9.7109375" customWidth="1"/>
    <col min="16" max="16" width="10" customWidth="1"/>
    <col min="17" max="17" width="9.7109375" customWidth="1"/>
    <col min="18" max="18" width="9.42578125" customWidth="1"/>
    <col min="19" max="19" width="9.28515625" customWidth="1"/>
  </cols>
  <sheetData>
    <row r="1" spans="1:19" x14ac:dyDescent="0.25">
      <c r="A1" t="s">
        <v>1906</v>
      </c>
    </row>
    <row r="2" spans="1:19" x14ac:dyDescent="0.25">
      <c r="A2" s="207" t="s">
        <v>242</v>
      </c>
    </row>
    <row r="3" spans="1:19" x14ac:dyDescent="0.25">
      <c r="A3" s="299" t="s">
        <v>138</v>
      </c>
      <c r="B3" s="298">
        <v>2019</v>
      </c>
      <c r="C3" t="s">
        <v>218</v>
      </c>
      <c r="D3" t="s">
        <v>209</v>
      </c>
      <c r="E3" t="s">
        <v>207</v>
      </c>
      <c r="F3" t="s">
        <v>206</v>
      </c>
      <c r="G3" t="s">
        <v>205</v>
      </c>
      <c r="H3" t="s">
        <v>204</v>
      </c>
      <c r="I3" t="s">
        <v>203</v>
      </c>
      <c r="J3" t="s">
        <v>202</v>
      </c>
      <c r="K3" t="s">
        <v>201</v>
      </c>
      <c r="L3" t="s">
        <v>200</v>
      </c>
      <c r="M3" t="s">
        <v>199</v>
      </c>
      <c r="N3" t="s">
        <v>198</v>
      </c>
      <c r="O3" t="s">
        <v>197</v>
      </c>
      <c r="P3" t="s">
        <v>196</v>
      </c>
      <c r="Q3" t="s">
        <v>195</v>
      </c>
      <c r="R3" t="s">
        <v>194</v>
      </c>
      <c r="S3" t="s">
        <v>193</v>
      </c>
    </row>
    <row r="4" spans="1:19" x14ac:dyDescent="0.25">
      <c r="A4" s="297" t="s">
        <v>139</v>
      </c>
      <c r="B4" s="296">
        <v>1</v>
      </c>
      <c r="C4" s="291">
        <v>1</v>
      </c>
      <c r="D4" s="291" t="s">
        <v>190</v>
      </c>
      <c r="E4" s="290">
        <v>10.95</v>
      </c>
      <c r="F4" s="290"/>
      <c r="G4" s="290"/>
      <c r="H4" s="290"/>
      <c r="I4" s="290">
        <v>1853</v>
      </c>
      <c r="J4" s="290"/>
      <c r="K4" s="290"/>
      <c r="L4" s="290">
        <v>70</v>
      </c>
      <c r="M4" s="290"/>
      <c r="N4" s="290"/>
      <c r="O4" s="290">
        <v>750</v>
      </c>
      <c r="P4" s="290">
        <v>750</v>
      </c>
      <c r="Q4" s="290">
        <v>637763</v>
      </c>
      <c r="R4" s="290"/>
      <c r="S4" s="290">
        <v>3555.7184750733136</v>
      </c>
    </row>
    <row r="5" spans="1:19" x14ac:dyDescent="0.25">
      <c r="A5" s="295" t="s">
        <v>140</v>
      </c>
      <c r="B5" s="294">
        <v>2</v>
      </c>
      <c r="C5">
        <v>1</v>
      </c>
      <c r="D5">
        <v>99</v>
      </c>
      <c r="S5">
        <v>3555.7184750733136</v>
      </c>
    </row>
    <row r="6" spans="1:19" x14ac:dyDescent="0.25">
      <c r="A6" s="297" t="s">
        <v>141</v>
      </c>
      <c r="B6" s="296">
        <v>3</v>
      </c>
      <c r="C6">
        <v>1</v>
      </c>
      <c r="D6">
        <v>102</v>
      </c>
      <c r="E6">
        <v>4.3499999999999996</v>
      </c>
      <c r="I6">
        <v>723</v>
      </c>
      <c r="L6">
        <v>70</v>
      </c>
      <c r="O6">
        <v>750</v>
      </c>
      <c r="P6">
        <v>750</v>
      </c>
      <c r="Q6">
        <v>175177</v>
      </c>
    </row>
    <row r="7" spans="1:19" x14ac:dyDescent="0.25">
      <c r="A7" s="295" t="s">
        <v>142</v>
      </c>
      <c r="B7" s="294">
        <v>4</v>
      </c>
      <c r="C7">
        <v>1</v>
      </c>
      <c r="D7">
        <v>103</v>
      </c>
      <c r="E7">
        <v>6.6</v>
      </c>
      <c r="I7">
        <v>1130</v>
      </c>
      <c r="Q7">
        <v>462586</v>
      </c>
    </row>
    <row r="8" spans="1:19" x14ac:dyDescent="0.25">
      <c r="A8" s="297" t="s">
        <v>143</v>
      </c>
      <c r="B8" s="296">
        <v>5</v>
      </c>
      <c r="C8">
        <v>1</v>
      </c>
      <c r="D8" t="s">
        <v>1892</v>
      </c>
      <c r="E8">
        <v>40.1</v>
      </c>
      <c r="I8">
        <v>7079.2000000000007</v>
      </c>
      <c r="O8">
        <v>5000</v>
      </c>
      <c r="P8">
        <v>5000</v>
      </c>
      <c r="Q8">
        <v>1433790</v>
      </c>
      <c r="S8">
        <v>4583.333333333333</v>
      </c>
    </row>
    <row r="9" spans="1:19" x14ac:dyDescent="0.25">
      <c r="A9" s="295" t="s">
        <v>144</v>
      </c>
      <c r="B9" s="294">
        <v>6</v>
      </c>
      <c r="C9">
        <v>1</v>
      </c>
      <c r="D9">
        <v>303</v>
      </c>
      <c r="E9">
        <v>22.6</v>
      </c>
      <c r="I9">
        <v>4060.8</v>
      </c>
      <c r="Q9">
        <v>792563</v>
      </c>
      <c r="S9">
        <v>4583.333333333333</v>
      </c>
    </row>
    <row r="10" spans="1:19" x14ac:dyDescent="0.25">
      <c r="A10" s="297" t="s">
        <v>145</v>
      </c>
      <c r="B10" s="296">
        <v>7</v>
      </c>
      <c r="C10">
        <v>1</v>
      </c>
      <c r="D10">
        <v>304</v>
      </c>
      <c r="E10">
        <v>5</v>
      </c>
      <c r="I10">
        <v>904</v>
      </c>
      <c r="Q10">
        <v>223544</v>
      </c>
    </row>
    <row r="11" spans="1:19" x14ac:dyDescent="0.25">
      <c r="A11" s="295" t="s">
        <v>146</v>
      </c>
      <c r="B11" s="294">
        <v>8</v>
      </c>
      <c r="C11">
        <v>1</v>
      </c>
      <c r="D11">
        <v>416</v>
      </c>
      <c r="E11">
        <v>12.5</v>
      </c>
      <c r="I11">
        <v>2114.4</v>
      </c>
      <c r="O11">
        <v>5000</v>
      </c>
      <c r="P11">
        <v>5000</v>
      </c>
      <c r="Q11">
        <v>417683</v>
      </c>
    </row>
    <row r="12" spans="1:19" x14ac:dyDescent="0.25">
      <c r="A12" s="297" t="s">
        <v>147</v>
      </c>
      <c r="B12" s="296">
        <v>9</v>
      </c>
      <c r="C12">
        <v>1</v>
      </c>
      <c r="D12" t="s">
        <v>1893</v>
      </c>
      <c r="E12">
        <v>1.9500000000000002</v>
      </c>
      <c r="I12">
        <v>316.10000000000002</v>
      </c>
      <c r="L12">
        <v>55</v>
      </c>
      <c r="O12">
        <v>5000</v>
      </c>
      <c r="P12">
        <v>5000</v>
      </c>
      <c r="Q12">
        <v>42346</v>
      </c>
    </row>
    <row r="13" spans="1:19" x14ac:dyDescent="0.25">
      <c r="A13" s="295" t="s">
        <v>148</v>
      </c>
      <c r="B13" s="294">
        <v>10</v>
      </c>
      <c r="C13">
        <v>1</v>
      </c>
      <c r="D13">
        <v>25</v>
      </c>
      <c r="E13">
        <v>1</v>
      </c>
      <c r="I13">
        <v>184</v>
      </c>
      <c r="O13">
        <v>5000</v>
      </c>
      <c r="P13">
        <v>5000</v>
      </c>
      <c r="Q13">
        <v>19060</v>
      </c>
    </row>
    <row r="14" spans="1:19" x14ac:dyDescent="0.25">
      <c r="A14" s="297" t="s">
        <v>149</v>
      </c>
      <c r="B14" s="296">
        <v>11</v>
      </c>
      <c r="C14">
        <v>1</v>
      </c>
      <c r="D14">
        <v>30</v>
      </c>
      <c r="E14">
        <v>0.95000000000000007</v>
      </c>
      <c r="I14">
        <v>132.10000000000002</v>
      </c>
      <c r="L14">
        <v>55</v>
      </c>
      <c r="Q14">
        <v>23286</v>
      </c>
    </row>
    <row r="15" spans="1:19" x14ac:dyDescent="0.25">
      <c r="A15" s="295" t="s">
        <v>150</v>
      </c>
      <c r="B15" s="294">
        <v>12</v>
      </c>
      <c r="C15">
        <v>1</v>
      </c>
      <c r="D15" t="s">
        <v>1894</v>
      </c>
      <c r="L15">
        <v>9.5</v>
      </c>
      <c r="Q15">
        <v>1710</v>
      </c>
    </row>
    <row r="16" spans="1:19" x14ac:dyDescent="0.25">
      <c r="A16" s="293" t="s">
        <v>138</v>
      </c>
      <c r="B16" s="292">
        <v>2019</v>
      </c>
      <c r="C16">
        <v>1</v>
      </c>
      <c r="D16">
        <v>417</v>
      </c>
      <c r="L16">
        <v>9.5</v>
      </c>
      <c r="Q16">
        <v>1710</v>
      </c>
    </row>
    <row r="17" spans="3:19" x14ac:dyDescent="0.25">
      <c r="C17" t="s">
        <v>1895</v>
      </c>
      <c r="E17">
        <v>53</v>
      </c>
      <c r="I17">
        <v>9248.3000000000011</v>
      </c>
      <c r="L17">
        <v>134.5</v>
      </c>
      <c r="O17">
        <v>10750</v>
      </c>
      <c r="P17">
        <v>10750</v>
      </c>
      <c r="Q17">
        <v>2115609</v>
      </c>
      <c r="S17">
        <v>8139.0518084066462</v>
      </c>
    </row>
    <row r="18" spans="3:19" x14ac:dyDescent="0.25">
      <c r="C18">
        <v>2</v>
      </c>
      <c r="D18" t="s">
        <v>190</v>
      </c>
      <c r="E18">
        <v>10.45</v>
      </c>
      <c r="I18">
        <v>1455.7</v>
      </c>
      <c r="L18">
        <v>80</v>
      </c>
      <c r="O18">
        <v>22970</v>
      </c>
      <c r="P18">
        <v>22970</v>
      </c>
      <c r="Q18">
        <v>619129</v>
      </c>
      <c r="S18">
        <v>3555.7184750733136</v>
      </c>
    </row>
    <row r="19" spans="3:19" x14ac:dyDescent="0.25">
      <c r="C19">
        <v>2</v>
      </c>
      <c r="D19">
        <v>99</v>
      </c>
      <c r="S19">
        <v>3555.7184750733136</v>
      </c>
    </row>
    <row r="20" spans="3:19" x14ac:dyDescent="0.25">
      <c r="C20">
        <v>2</v>
      </c>
      <c r="D20">
        <v>102</v>
      </c>
      <c r="E20">
        <v>3.85</v>
      </c>
      <c r="I20">
        <v>581.1</v>
      </c>
      <c r="L20">
        <v>80</v>
      </c>
      <c r="O20">
        <v>13858</v>
      </c>
      <c r="P20">
        <v>13858</v>
      </c>
      <c r="Q20">
        <v>170668</v>
      </c>
    </row>
    <row r="21" spans="3:19" x14ac:dyDescent="0.25">
      <c r="C21">
        <v>2</v>
      </c>
      <c r="D21">
        <v>103</v>
      </c>
      <c r="E21">
        <v>6.6</v>
      </c>
      <c r="I21">
        <v>874.6</v>
      </c>
      <c r="O21">
        <v>9112</v>
      </c>
      <c r="P21">
        <v>9112</v>
      </c>
      <c r="Q21">
        <v>448461</v>
      </c>
    </row>
    <row r="22" spans="3:19" x14ac:dyDescent="0.25">
      <c r="C22">
        <v>2</v>
      </c>
      <c r="D22" t="s">
        <v>1892</v>
      </c>
      <c r="E22">
        <v>40.1</v>
      </c>
      <c r="I22">
        <v>5704</v>
      </c>
      <c r="O22">
        <v>14478</v>
      </c>
      <c r="P22">
        <v>14478</v>
      </c>
      <c r="Q22">
        <v>1367301</v>
      </c>
      <c r="S22">
        <v>4583.333333333333</v>
      </c>
    </row>
    <row r="23" spans="3:19" x14ac:dyDescent="0.25">
      <c r="C23">
        <v>2</v>
      </c>
      <c r="D23">
        <v>303</v>
      </c>
      <c r="E23">
        <v>22.6</v>
      </c>
      <c r="I23">
        <v>3080</v>
      </c>
      <c r="O23">
        <v>10728</v>
      </c>
      <c r="P23">
        <v>10728</v>
      </c>
      <c r="Q23">
        <v>719208</v>
      </c>
      <c r="S23">
        <v>4583.333333333333</v>
      </c>
    </row>
    <row r="24" spans="3:19" x14ac:dyDescent="0.25">
      <c r="C24">
        <v>2</v>
      </c>
      <c r="D24">
        <v>304</v>
      </c>
      <c r="E24">
        <v>5</v>
      </c>
      <c r="I24">
        <v>792</v>
      </c>
      <c r="Q24">
        <v>223445</v>
      </c>
    </row>
    <row r="25" spans="3:19" x14ac:dyDescent="0.25">
      <c r="C25">
        <v>2</v>
      </c>
      <c r="D25">
        <v>408</v>
      </c>
      <c r="O25">
        <v>3000</v>
      </c>
      <c r="P25">
        <v>3000</v>
      </c>
      <c r="Q25">
        <v>3000</v>
      </c>
    </row>
    <row r="26" spans="3:19" x14ac:dyDescent="0.25">
      <c r="C26">
        <v>2</v>
      </c>
      <c r="D26">
        <v>416</v>
      </c>
      <c r="E26">
        <v>12.5</v>
      </c>
      <c r="I26">
        <v>1832</v>
      </c>
      <c r="O26">
        <v>750</v>
      </c>
      <c r="P26">
        <v>750</v>
      </c>
      <c r="Q26">
        <v>421648</v>
      </c>
    </row>
    <row r="27" spans="3:19" x14ac:dyDescent="0.25">
      <c r="C27">
        <v>2</v>
      </c>
      <c r="D27" t="s">
        <v>1893</v>
      </c>
      <c r="E27">
        <v>1.9500000000000002</v>
      </c>
      <c r="I27">
        <v>280</v>
      </c>
      <c r="L27">
        <v>50</v>
      </c>
      <c r="Q27">
        <v>41710</v>
      </c>
    </row>
    <row r="28" spans="3:19" x14ac:dyDescent="0.25">
      <c r="C28">
        <v>2</v>
      </c>
      <c r="D28">
        <v>25</v>
      </c>
      <c r="E28">
        <v>1</v>
      </c>
      <c r="I28">
        <v>160</v>
      </c>
      <c r="Q28">
        <v>19060</v>
      </c>
    </row>
    <row r="29" spans="3:19" x14ac:dyDescent="0.25">
      <c r="C29">
        <v>2</v>
      </c>
      <c r="D29">
        <v>30</v>
      </c>
      <c r="E29">
        <v>0.95000000000000007</v>
      </c>
      <c r="I29">
        <v>120</v>
      </c>
      <c r="L29">
        <v>50</v>
      </c>
      <c r="Q29">
        <v>22650</v>
      </c>
    </row>
    <row r="30" spans="3:19" x14ac:dyDescent="0.25">
      <c r="C30">
        <v>2</v>
      </c>
      <c r="D30" t="s">
        <v>1894</v>
      </c>
      <c r="L30">
        <v>9</v>
      </c>
      <c r="Q30">
        <v>1620</v>
      </c>
    </row>
    <row r="31" spans="3:19" x14ac:dyDescent="0.25">
      <c r="C31">
        <v>2</v>
      </c>
      <c r="D31">
        <v>417</v>
      </c>
      <c r="L31">
        <v>9</v>
      </c>
      <c r="Q31">
        <v>1620</v>
      </c>
    </row>
    <row r="32" spans="3:19" x14ac:dyDescent="0.25">
      <c r="C32" t="s">
        <v>1896</v>
      </c>
      <c r="E32">
        <v>52.5</v>
      </c>
      <c r="I32">
        <v>7439.7</v>
      </c>
      <c r="L32">
        <v>139</v>
      </c>
      <c r="O32">
        <v>37448</v>
      </c>
      <c r="P32">
        <v>37448</v>
      </c>
      <c r="Q32">
        <v>2029760</v>
      </c>
      <c r="S32">
        <v>8139.0518084066462</v>
      </c>
    </row>
    <row r="33" spans="3:19" x14ac:dyDescent="0.25">
      <c r="C33">
        <v>3</v>
      </c>
      <c r="D33" t="s">
        <v>190</v>
      </c>
      <c r="E33">
        <v>10.85</v>
      </c>
      <c r="I33">
        <v>1687.7</v>
      </c>
      <c r="L33">
        <v>88.5</v>
      </c>
      <c r="O33">
        <v>120000</v>
      </c>
      <c r="P33">
        <v>120000</v>
      </c>
      <c r="Q33">
        <v>744167</v>
      </c>
      <c r="S33">
        <v>3555.7184750733136</v>
      </c>
    </row>
    <row r="34" spans="3:19" x14ac:dyDescent="0.25">
      <c r="C34">
        <v>3</v>
      </c>
      <c r="D34">
        <v>99</v>
      </c>
      <c r="S34">
        <v>3555.7184750733136</v>
      </c>
    </row>
    <row r="35" spans="3:19" x14ac:dyDescent="0.25">
      <c r="C35">
        <v>3</v>
      </c>
      <c r="D35">
        <v>102</v>
      </c>
      <c r="E35">
        <v>4.25</v>
      </c>
      <c r="I35">
        <v>639.5</v>
      </c>
      <c r="L35">
        <v>88.5</v>
      </c>
      <c r="O35">
        <v>20000</v>
      </c>
      <c r="P35">
        <v>20000</v>
      </c>
      <c r="Q35">
        <v>194785</v>
      </c>
    </row>
    <row r="36" spans="3:19" x14ac:dyDescent="0.25">
      <c r="C36">
        <v>3</v>
      </c>
      <c r="D36">
        <v>103</v>
      </c>
      <c r="E36">
        <v>6.6</v>
      </c>
      <c r="I36">
        <v>1048.2</v>
      </c>
      <c r="O36">
        <v>100000</v>
      </c>
      <c r="P36">
        <v>100000</v>
      </c>
      <c r="Q36">
        <v>549382</v>
      </c>
    </row>
    <row r="37" spans="3:19" x14ac:dyDescent="0.25">
      <c r="C37">
        <v>3</v>
      </c>
      <c r="D37" t="s">
        <v>1892</v>
      </c>
      <c r="E37">
        <v>40.1</v>
      </c>
      <c r="I37">
        <v>6288</v>
      </c>
      <c r="O37">
        <v>14478</v>
      </c>
      <c r="P37">
        <v>14478</v>
      </c>
      <c r="Q37">
        <v>1410361</v>
      </c>
      <c r="R37">
        <v>10500</v>
      </c>
      <c r="S37">
        <v>4583.333333333333</v>
      </c>
    </row>
    <row r="38" spans="3:19" x14ac:dyDescent="0.25">
      <c r="C38">
        <v>3</v>
      </c>
      <c r="D38">
        <v>303</v>
      </c>
      <c r="E38">
        <v>22.6</v>
      </c>
      <c r="I38">
        <v>3432</v>
      </c>
      <c r="O38">
        <v>10728</v>
      </c>
      <c r="P38">
        <v>10728</v>
      </c>
      <c r="Q38">
        <v>755022</v>
      </c>
      <c r="R38">
        <v>10500</v>
      </c>
      <c r="S38">
        <v>4583.333333333333</v>
      </c>
    </row>
    <row r="39" spans="3:19" x14ac:dyDescent="0.25">
      <c r="C39">
        <v>3</v>
      </c>
      <c r="D39">
        <v>304</v>
      </c>
      <c r="E39">
        <v>5</v>
      </c>
      <c r="I39">
        <v>808</v>
      </c>
      <c r="Q39">
        <v>223544</v>
      </c>
    </row>
    <row r="40" spans="3:19" x14ac:dyDescent="0.25">
      <c r="C40">
        <v>3</v>
      </c>
      <c r="D40">
        <v>408</v>
      </c>
      <c r="O40">
        <v>3000</v>
      </c>
      <c r="P40">
        <v>3000</v>
      </c>
      <c r="Q40">
        <v>3000</v>
      </c>
    </row>
    <row r="41" spans="3:19" x14ac:dyDescent="0.25">
      <c r="C41">
        <v>3</v>
      </c>
      <c r="D41">
        <v>416</v>
      </c>
      <c r="E41">
        <v>12.5</v>
      </c>
      <c r="I41">
        <v>2048</v>
      </c>
      <c r="O41">
        <v>750</v>
      </c>
      <c r="P41">
        <v>750</v>
      </c>
      <c r="Q41">
        <v>428795</v>
      </c>
    </row>
    <row r="42" spans="3:19" x14ac:dyDescent="0.25">
      <c r="C42">
        <v>3</v>
      </c>
      <c r="D42" t="s">
        <v>1893</v>
      </c>
      <c r="E42">
        <v>1.9500000000000002</v>
      </c>
      <c r="I42">
        <v>292</v>
      </c>
      <c r="L42">
        <v>32.5</v>
      </c>
      <c r="Q42">
        <v>40109</v>
      </c>
    </row>
    <row r="43" spans="3:19" x14ac:dyDescent="0.25">
      <c r="C43">
        <v>3</v>
      </c>
      <c r="D43">
        <v>25</v>
      </c>
      <c r="E43">
        <v>1</v>
      </c>
      <c r="I43">
        <v>168</v>
      </c>
      <c r="Q43">
        <v>19060</v>
      </c>
    </row>
    <row r="44" spans="3:19" x14ac:dyDescent="0.25">
      <c r="C44">
        <v>3</v>
      </c>
      <c r="D44">
        <v>30</v>
      </c>
      <c r="E44">
        <v>0.95000000000000007</v>
      </c>
      <c r="I44">
        <v>124</v>
      </c>
      <c r="L44">
        <v>32.5</v>
      </c>
      <c r="Q44">
        <v>21049</v>
      </c>
    </row>
    <row r="45" spans="3:19" x14ac:dyDescent="0.25">
      <c r="C45">
        <v>3</v>
      </c>
      <c r="D45" t="s">
        <v>1894</v>
      </c>
      <c r="L45">
        <v>8</v>
      </c>
      <c r="Q45">
        <v>1440</v>
      </c>
    </row>
    <row r="46" spans="3:19" x14ac:dyDescent="0.25">
      <c r="C46">
        <v>3</v>
      </c>
      <c r="D46">
        <v>417</v>
      </c>
      <c r="L46">
        <v>8</v>
      </c>
      <c r="Q46">
        <v>1440</v>
      </c>
    </row>
    <row r="47" spans="3:19" x14ac:dyDescent="0.25">
      <c r="C47" t="s">
        <v>1897</v>
      </c>
      <c r="E47">
        <v>52.900000000000006</v>
      </c>
      <c r="I47">
        <v>8267.7000000000007</v>
      </c>
      <c r="L47">
        <v>129</v>
      </c>
      <c r="O47">
        <v>134478</v>
      </c>
      <c r="P47">
        <v>134478</v>
      </c>
      <c r="Q47">
        <v>2196077</v>
      </c>
      <c r="R47">
        <v>10500</v>
      </c>
      <c r="S47">
        <v>8139.0518084066462</v>
      </c>
    </row>
    <row r="48" spans="3:19" x14ac:dyDescent="0.25">
      <c r="C48">
        <v>4</v>
      </c>
      <c r="D48" t="s">
        <v>190</v>
      </c>
      <c r="E48">
        <v>11</v>
      </c>
      <c r="I48">
        <v>1836.8999999999999</v>
      </c>
      <c r="L48">
        <v>92</v>
      </c>
      <c r="O48">
        <v>750</v>
      </c>
      <c r="P48">
        <v>750</v>
      </c>
      <c r="Q48">
        <v>626977</v>
      </c>
      <c r="S48">
        <v>3555.7184750733136</v>
      </c>
    </row>
    <row r="49" spans="3:19" x14ac:dyDescent="0.25">
      <c r="C49">
        <v>4</v>
      </c>
      <c r="D49">
        <v>99</v>
      </c>
      <c r="S49">
        <v>3555.7184750733136</v>
      </c>
    </row>
    <row r="50" spans="3:19" x14ac:dyDescent="0.25">
      <c r="C50">
        <v>4</v>
      </c>
      <c r="D50">
        <v>102</v>
      </c>
      <c r="E50">
        <v>5.05</v>
      </c>
      <c r="I50">
        <v>801.3</v>
      </c>
      <c r="L50">
        <v>92</v>
      </c>
      <c r="O50">
        <v>750</v>
      </c>
      <c r="P50">
        <v>750</v>
      </c>
      <c r="Q50">
        <v>236806</v>
      </c>
    </row>
    <row r="51" spans="3:19" x14ac:dyDescent="0.25">
      <c r="C51">
        <v>4</v>
      </c>
      <c r="D51">
        <v>103</v>
      </c>
      <c r="E51">
        <v>5.95</v>
      </c>
      <c r="I51">
        <v>1035.5999999999999</v>
      </c>
      <c r="Q51">
        <v>390171</v>
      </c>
    </row>
    <row r="52" spans="3:19" x14ac:dyDescent="0.25">
      <c r="C52">
        <v>4</v>
      </c>
      <c r="D52" t="s">
        <v>1892</v>
      </c>
      <c r="E52">
        <v>40.1</v>
      </c>
      <c r="I52">
        <v>6712.8</v>
      </c>
      <c r="O52">
        <v>1500</v>
      </c>
      <c r="P52">
        <v>1500</v>
      </c>
      <c r="Q52">
        <v>1413249</v>
      </c>
      <c r="R52">
        <v>220</v>
      </c>
      <c r="S52">
        <v>4583.333333333333</v>
      </c>
    </row>
    <row r="53" spans="3:19" x14ac:dyDescent="0.25">
      <c r="C53">
        <v>4</v>
      </c>
      <c r="D53">
        <v>303</v>
      </c>
      <c r="E53">
        <v>22.6</v>
      </c>
      <c r="I53">
        <v>3720</v>
      </c>
      <c r="Q53">
        <v>773948</v>
      </c>
      <c r="R53">
        <v>220</v>
      </c>
      <c r="S53">
        <v>4583.333333333333</v>
      </c>
    </row>
    <row r="54" spans="3:19" x14ac:dyDescent="0.25">
      <c r="C54">
        <v>4</v>
      </c>
      <c r="D54">
        <v>304</v>
      </c>
      <c r="E54">
        <v>5</v>
      </c>
      <c r="I54">
        <v>880</v>
      </c>
      <c r="Q54">
        <v>223400</v>
      </c>
    </row>
    <row r="55" spans="3:19" x14ac:dyDescent="0.25">
      <c r="C55">
        <v>4</v>
      </c>
      <c r="D55">
        <v>416</v>
      </c>
      <c r="E55">
        <v>12.5</v>
      </c>
      <c r="I55">
        <v>2112.8000000000002</v>
      </c>
      <c r="O55">
        <v>1500</v>
      </c>
      <c r="P55">
        <v>1500</v>
      </c>
      <c r="Q55">
        <v>415901</v>
      </c>
    </row>
    <row r="56" spans="3:19" x14ac:dyDescent="0.25">
      <c r="C56">
        <v>4</v>
      </c>
      <c r="D56" t="s">
        <v>1893</v>
      </c>
      <c r="E56">
        <v>1.9500000000000002</v>
      </c>
      <c r="I56">
        <v>308.2</v>
      </c>
      <c r="L56">
        <v>47.5</v>
      </c>
      <c r="Q56">
        <v>44660</v>
      </c>
    </row>
    <row r="57" spans="3:19" x14ac:dyDescent="0.25">
      <c r="C57">
        <v>4</v>
      </c>
      <c r="D57">
        <v>25</v>
      </c>
      <c r="E57">
        <v>1</v>
      </c>
      <c r="I57">
        <v>176</v>
      </c>
      <c r="Q57">
        <v>19060</v>
      </c>
    </row>
    <row r="58" spans="3:19" x14ac:dyDescent="0.25">
      <c r="C58">
        <v>4</v>
      </c>
      <c r="D58">
        <v>30</v>
      </c>
      <c r="E58">
        <v>0.95000000000000007</v>
      </c>
      <c r="I58">
        <v>132.19999999999999</v>
      </c>
      <c r="L58">
        <v>47.5</v>
      </c>
      <c r="Q58">
        <v>25600</v>
      </c>
    </row>
    <row r="59" spans="3:19" x14ac:dyDescent="0.25">
      <c r="C59">
        <v>4</v>
      </c>
      <c r="D59" t="s">
        <v>1894</v>
      </c>
      <c r="L59">
        <v>10</v>
      </c>
      <c r="Q59">
        <v>1800</v>
      </c>
    </row>
    <row r="60" spans="3:19" x14ac:dyDescent="0.25">
      <c r="C60">
        <v>4</v>
      </c>
      <c r="D60">
        <v>417</v>
      </c>
      <c r="L60">
        <v>10</v>
      </c>
      <c r="Q60">
        <v>1800</v>
      </c>
    </row>
    <row r="61" spans="3:19" x14ac:dyDescent="0.25">
      <c r="C61" t="s">
        <v>1898</v>
      </c>
      <c r="E61">
        <v>53.050000000000004</v>
      </c>
      <c r="I61">
        <v>8857.9000000000015</v>
      </c>
      <c r="L61">
        <v>149.5</v>
      </c>
      <c r="O61">
        <v>2250</v>
      </c>
      <c r="P61">
        <v>2250</v>
      </c>
      <c r="Q61">
        <v>2086686</v>
      </c>
      <c r="R61">
        <v>220</v>
      </c>
      <c r="S61">
        <v>8139.0518084066462</v>
      </c>
    </row>
    <row r="62" spans="3:19" x14ac:dyDescent="0.25">
      <c r="C62">
        <v>5</v>
      </c>
      <c r="D62" t="s">
        <v>190</v>
      </c>
      <c r="E62">
        <v>11</v>
      </c>
      <c r="I62">
        <v>1890.6999999999998</v>
      </c>
      <c r="L62">
        <v>80</v>
      </c>
      <c r="Q62">
        <v>627753</v>
      </c>
      <c r="S62">
        <v>3555.7184750733136</v>
      </c>
    </row>
    <row r="63" spans="3:19" x14ac:dyDescent="0.25">
      <c r="C63">
        <v>5</v>
      </c>
      <c r="D63">
        <v>99</v>
      </c>
      <c r="S63">
        <v>3555.7184750733136</v>
      </c>
    </row>
    <row r="64" spans="3:19" x14ac:dyDescent="0.25">
      <c r="C64">
        <v>5</v>
      </c>
      <c r="D64">
        <v>102</v>
      </c>
      <c r="E64">
        <v>5.05</v>
      </c>
      <c r="I64">
        <v>862.9</v>
      </c>
      <c r="L64">
        <v>80</v>
      </c>
      <c r="Q64">
        <v>231431</v>
      </c>
    </row>
    <row r="65" spans="3:19" x14ac:dyDescent="0.25">
      <c r="C65">
        <v>5</v>
      </c>
      <c r="D65">
        <v>103</v>
      </c>
      <c r="E65">
        <v>5.95</v>
      </c>
      <c r="I65">
        <v>1027.8</v>
      </c>
      <c r="Q65">
        <v>396322</v>
      </c>
    </row>
    <row r="66" spans="3:19" x14ac:dyDescent="0.25">
      <c r="C66">
        <v>5</v>
      </c>
      <c r="D66" t="s">
        <v>1892</v>
      </c>
      <c r="E66">
        <v>40.1</v>
      </c>
      <c r="I66">
        <v>6929.6</v>
      </c>
      <c r="Q66">
        <v>1435877</v>
      </c>
      <c r="S66">
        <v>4583.333333333333</v>
      </c>
    </row>
    <row r="67" spans="3:19" x14ac:dyDescent="0.25">
      <c r="C67">
        <v>5</v>
      </c>
      <c r="D67">
        <v>303</v>
      </c>
      <c r="E67">
        <v>22.6</v>
      </c>
      <c r="I67">
        <v>3892</v>
      </c>
      <c r="Q67">
        <v>794819</v>
      </c>
      <c r="S67">
        <v>4583.333333333333</v>
      </c>
    </row>
    <row r="68" spans="3:19" x14ac:dyDescent="0.25">
      <c r="C68">
        <v>5</v>
      </c>
      <c r="D68">
        <v>304</v>
      </c>
      <c r="E68">
        <v>5</v>
      </c>
      <c r="I68">
        <v>880</v>
      </c>
      <c r="Q68">
        <v>224781</v>
      </c>
    </row>
    <row r="69" spans="3:19" x14ac:dyDescent="0.25">
      <c r="C69">
        <v>5</v>
      </c>
      <c r="D69">
        <v>416</v>
      </c>
      <c r="E69">
        <v>12.5</v>
      </c>
      <c r="I69">
        <v>2157.6000000000004</v>
      </c>
      <c r="Q69">
        <v>416277</v>
      </c>
    </row>
    <row r="70" spans="3:19" x14ac:dyDescent="0.25">
      <c r="C70">
        <v>5</v>
      </c>
      <c r="D70" t="s">
        <v>1893</v>
      </c>
      <c r="E70">
        <v>1.9500000000000002</v>
      </c>
      <c r="I70">
        <v>329.8</v>
      </c>
      <c r="L70">
        <v>52.5</v>
      </c>
      <c r="Q70">
        <v>50001</v>
      </c>
    </row>
    <row r="71" spans="3:19" x14ac:dyDescent="0.25">
      <c r="C71">
        <v>5</v>
      </c>
      <c r="D71">
        <v>25</v>
      </c>
      <c r="E71">
        <v>1</v>
      </c>
      <c r="I71">
        <v>160</v>
      </c>
      <c r="Q71">
        <v>19396</v>
      </c>
    </row>
    <row r="72" spans="3:19" x14ac:dyDescent="0.25">
      <c r="C72">
        <v>5</v>
      </c>
      <c r="D72">
        <v>30</v>
      </c>
      <c r="E72">
        <v>0.95000000000000007</v>
      </c>
      <c r="I72">
        <v>169.8</v>
      </c>
      <c r="L72">
        <v>52.5</v>
      </c>
      <c r="Q72">
        <v>30605</v>
      </c>
    </row>
    <row r="73" spans="3:19" x14ac:dyDescent="0.25">
      <c r="C73">
        <v>5</v>
      </c>
      <c r="D73" t="s">
        <v>1894</v>
      </c>
      <c r="L73">
        <v>10.5</v>
      </c>
      <c r="Q73">
        <v>1890</v>
      </c>
    </row>
    <row r="74" spans="3:19" x14ac:dyDescent="0.25">
      <c r="C74">
        <v>5</v>
      </c>
      <c r="D74">
        <v>417</v>
      </c>
      <c r="L74">
        <v>10.5</v>
      </c>
      <c r="Q74">
        <v>1890</v>
      </c>
    </row>
    <row r="75" spans="3:19" x14ac:dyDescent="0.25">
      <c r="C75" t="s">
        <v>1899</v>
      </c>
      <c r="E75">
        <v>53.050000000000004</v>
      </c>
      <c r="I75">
        <v>9150.0999999999985</v>
      </c>
      <c r="L75">
        <v>143</v>
      </c>
      <c r="Q75">
        <v>2115521</v>
      </c>
      <c r="S75">
        <v>8139.0518084066462</v>
      </c>
    </row>
    <row r="76" spans="3:19" x14ac:dyDescent="0.25">
      <c r="C76">
        <v>6</v>
      </c>
      <c r="D76" t="s">
        <v>190</v>
      </c>
      <c r="E76">
        <v>11.05</v>
      </c>
      <c r="I76">
        <v>1648.4</v>
      </c>
      <c r="L76">
        <v>63</v>
      </c>
      <c r="O76">
        <v>26500</v>
      </c>
      <c r="P76">
        <v>26500</v>
      </c>
      <c r="Q76">
        <v>616168</v>
      </c>
      <c r="S76">
        <v>3555.7184750733136</v>
      </c>
    </row>
    <row r="77" spans="3:19" x14ac:dyDescent="0.25">
      <c r="C77">
        <v>6</v>
      </c>
      <c r="D77">
        <v>99</v>
      </c>
      <c r="S77">
        <v>3555.7184750733136</v>
      </c>
    </row>
    <row r="78" spans="3:19" x14ac:dyDescent="0.25">
      <c r="C78">
        <v>6</v>
      </c>
      <c r="D78">
        <v>102</v>
      </c>
      <c r="E78">
        <v>5.0999999999999996</v>
      </c>
      <c r="I78">
        <v>709.19999999999993</v>
      </c>
      <c r="L78">
        <v>63</v>
      </c>
      <c r="O78">
        <v>750</v>
      </c>
      <c r="P78">
        <v>750</v>
      </c>
      <c r="Q78">
        <v>226222</v>
      </c>
    </row>
    <row r="79" spans="3:19" x14ac:dyDescent="0.25">
      <c r="C79">
        <v>6</v>
      </c>
      <c r="D79">
        <v>103</v>
      </c>
      <c r="E79">
        <v>5.95</v>
      </c>
      <c r="I79">
        <v>939.2</v>
      </c>
      <c r="O79">
        <v>25750</v>
      </c>
      <c r="P79">
        <v>25750</v>
      </c>
      <c r="Q79">
        <v>389946</v>
      </c>
    </row>
    <row r="80" spans="3:19" x14ac:dyDescent="0.25">
      <c r="C80">
        <v>6</v>
      </c>
      <c r="D80" t="s">
        <v>1892</v>
      </c>
      <c r="E80">
        <v>40.1</v>
      </c>
      <c r="I80">
        <v>5647.2</v>
      </c>
      <c r="O80">
        <v>26750</v>
      </c>
      <c r="P80">
        <v>26750</v>
      </c>
      <c r="Q80">
        <v>1377493</v>
      </c>
      <c r="S80">
        <v>4583.333333333333</v>
      </c>
    </row>
    <row r="81" spans="3:19" x14ac:dyDescent="0.25">
      <c r="C81">
        <v>6</v>
      </c>
      <c r="D81">
        <v>303</v>
      </c>
      <c r="E81">
        <v>22.6</v>
      </c>
      <c r="I81">
        <v>3224</v>
      </c>
      <c r="O81">
        <v>9728</v>
      </c>
      <c r="P81">
        <v>9728</v>
      </c>
      <c r="Q81">
        <v>761821</v>
      </c>
      <c r="S81">
        <v>4583.333333333333</v>
      </c>
    </row>
    <row r="82" spans="3:19" x14ac:dyDescent="0.25">
      <c r="C82">
        <v>6</v>
      </c>
      <c r="D82">
        <v>304</v>
      </c>
      <c r="E82">
        <v>5</v>
      </c>
      <c r="I82">
        <v>720</v>
      </c>
      <c r="O82">
        <v>4000</v>
      </c>
      <c r="P82">
        <v>4000</v>
      </c>
      <c r="Q82">
        <v>228058</v>
      </c>
    </row>
    <row r="83" spans="3:19" x14ac:dyDescent="0.25">
      <c r="C83">
        <v>6</v>
      </c>
      <c r="D83">
        <v>416</v>
      </c>
      <c r="E83">
        <v>12.5</v>
      </c>
      <c r="I83">
        <v>1703.2</v>
      </c>
      <c r="O83">
        <v>13022</v>
      </c>
      <c r="P83">
        <v>13022</v>
      </c>
      <c r="Q83">
        <v>387614</v>
      </c>
    </row>
    <row r="84" spans="3:19" x14ac:dyDescent="0.25">
      <c r="C84">
        <v>6</v>
      </c>
      <c r="D84" t="s">
        <v>1893</v>
      </c>
      <c r="E84">
        <v>1.95</v>
      </c>
      <c r="I84">
        <v>265.60000000000002</v>
      </c>
      <c r="L84">
        <v>47.5</v>
      </c>
      <c r="Q84">
        <v>49587</v>
      </c>
    </row>
    <row r="85" spans="3:19" x14ac:dyDescent="0.25">
      <c r="C85">
        <v>6</v>
      </c>
      <c r="D85">
        <v>25</v>
      </c>
      <c r="E85">
        <v>1</v>
      </c>
      <c r="I85">
        <v>128</v>
      </c>
      <c r="Q85">
        <v>19011</v>
      </c>
    </row>
    <row r="86" spans="3:19" x14ac:dyDescent="0.25">
      <c r="C86">
        <v>6</v>
      </c>
      <c r="D86">
        <v>30</v>
      </c>
      <c r="E86">
        <v>0.95</v>
      </c>
      <c r="I86">
        <v>137.6</v>
      </c>
      <c r="L86">
        <v>47.5</v>
      </c>
      <c r="Q86">
        <v>30576</v>
      </c>
    </row>
    <row r="87" spans="3:19" x14ac:dyDescent="0.25">
      <c r="C87">
        <v>6</v>
      </c>
      <c r="D87" t="s">
        <v>1894</v>
      </c>
      <c r="L87">
        <v>10</v>
      </c>
      <c r="Q87">
        <v>1800</v>
      </c>
    </row>
    <row r="88" spans="3:19" x14ac:dyDescent="0.25">
      <c r="C88">
        <v>6</v>
      </c>
      <c r="D88">
        <v>417</v>
      </c>
      <c r="L88">
        <v>10</v>
      </c>
      <c r="Q88">
        <v>1800</v>
      </c>
    </row>
    <row r="89" spans="3:19" x14ac:dyDescent="0.25">
      <c r="C89" t="s">
        <v>1900</v>
      </c>
      <c r="E89">
        <v>53.100000000000009</v>
      </c>
      <c r="I89">
        <v>7561.2</v>
      </c>
      <c r="L89">
        <v>120.5</v>
      </c>
      <c r="O89">
        <v>53250</v>
      </c>
      <c r="P89">
        <v>53250</v>
      </c>
      <c r="Q89">
        <v>2045048</v>
      </c>
      <c r="S89">
        <v>8139.0518084066462</v>
      </c>
    </row>
    <row r="90" spans="3:19" x14ac:dyDescent="0.25">
      <c r="C90">
        <v>7</v>
      </c>
      <c r="D90" t="s">
        <v>190</v>
      </c>
      <c r="E90">
        <v>10.9</v>
      </c>
      <c r="I90">
        <v>1596.5</v>
      </c>
      <c r="L90">
        <v>47</v>
      </c>
      <c r="O90">
        <v>375221</v>
      </c>
      <c r="P90">
        <v>375221</v>
      </c>
      <c r="Q90">
        <v>1036593</v>
      </c>
      <c r="S90">
        <v>3555.7184750733136</v>
      </c>
    </row>
    <row r="91" spans="3:19" x14ac:dyDescent="0.25">
      <c r="C91">
        <v>7</v>
      </c>
      <c r="D91">
        <v>99</v>
      </c>
      <c r="S91">
        <v>3555.7184750733136</v>
      </c>
    </row>
    <row r="92" spans="3:19" x14ac:dyDescent="0.25">
      <c r="C92">
        <v>7</v>
      </c>
      <c r="D92">
        <v>102</v>
      </c>
      <c r="E92">
        <v>4.7</v>
      </c>
      <c r="I92">
        <v>688.9</v>
      </c>
      <c r="L92">
        <v>47</v>
      </c>
      <c r="O92">
        <v>205490</v>
      </c>
      <c r="P92">
        <v>205490</v>
      </c>
      <c r="Q92">
        <v>416667</v>
      </c>
    </row>
    <row r="93" spans="3:19" x14ac:dyDescent="0.25">
      <c r="C93">
        <v>7</v>
      </c>
      <c r="D93">
        <v>103</v>
      </c>
      <c r="E93">
        <v>6.2</v>
      </c>
      <c r="I93">
        <v>907.6</v>
      </c>
      <c r="O93">
        <v>169731</v>
      </c>
      <c r="P93">
        <v>169731</v>
      </c>
      <c r="Q93">
        <v>619926</v>
      </c>
    </row>
    <row r="94" spans="3:19" x14ac:dyDescent="0.25">
      <c r="C94">
        <v>7</v>
      </c>
      <c r="D94" t="s">
        <v>1892</v>
      </c>
      <c r="E94">
        <v>40.1</v>
      </c>
      <c r="I94">
        <v>4831.2</v>
      </c>
      <c r="O94">
        <v>522703</v>
      </c>
      <c r="P94">
        <v>522703</v>
      </c>
      <c r="Q94">
        <v>1971282</v>
      </c>
      <c r="S94">
        <v>4583.333333333333</v>
      </c>
    </row>
    <row r="95" spans="3:19" x14ac:dyDescent="0.25">
      <c r="C95">
        <v>7</v>
      </c>
      <c r="D95">
        <v>303</v>
      </c>
      <c r="E95">
        <v>22.6</v>
      </c>
      <c r="I95">
        <v>2672</v>
      </c>
      <c r="O95">
        <v>261557</v>
      </c>
      <c r="P95">
        <v>261557</v>
      </c>
      <c r="Q95">
        <v>1071713</v>
      </c>
      <c r="S95">
        <v>4583.333333333333</v>
      </c>
    </row>
    <row r="96" spans="3:19" x14ac:dyDescent="0.25">
      <c r="C96">
        <v>7</v>
      </c>
      <c r="D96">
        <v>304</v>
      </c>
      <c r="E96">
        <v>5</v>
      </c>
      <c r="I96">
        <v>608</v>
      </c>
      <c r="O96">
        <v>92451</v>
      </c>
      <c r="P96">
        <v>92451</v>
      </c>
      <c r="Q96">
        <v>322163</v>
      </c>
    </row>
    <row r="97" spans="3:19" x14ac:dyDescent="0.25">
      <c r="C97">
        <v>7</v>
      </c>
      <c r="D97">
        <v>416</v>
      </c>
      <c r="E97">
        <v>12.5</v>
      </c>
      <c r="I97">
        <v>1551.2</v>
      </c>
      <c r="O97">
        <v>168695</v>
      </c>
      <c r="P97">
        <v>168695</v>
      </c>
      <c r="Q97">
        <v>577406</v>
      </c>
    </row>
    <row r="98" spans="3:19" x14ac:dyDescent="0.25">
      <c r="C98">
        <v>7</v>
      </c>
      <c r="D98" t="s">
        <v>1893</v>
      </c>
      <c r="E98">
        <v>1.95</v>
      </c>
      <c r="I98">
        <v>207.9</v>
      </c>
      <c r="L98">
        <v>49</v>
      </c>
      <c r="O98">
        <v>12783</v>
      </c>
      <c r="P98">
        <v>12783</v>
      </c>
      <c r="Q98">
        <v>63589</v>
      </c>
    </row>
    <row r="99" spans="3:19" x14ac:dyDescent="0.25">
      <c r="C99">
        <v>7</v>
      </c>
      <c r="D99">
        <v>25</v>
      </c>
      <c r="E99">
        <v>1</v>
      </c>
      <c r="I99">
        <v>104</v>
      </c>
      <c r="O99">
        <v>6351</v>
      </c>
      <c r="P99">
        <v>6351</v>
      </c>
      <c r="Q99">
        <v>25898</v>
      </c>
    </row>
    <row r="100" spans="3:19" x14ac:dyDescent="0.25">
      <c r="C100">
        <v>7</v>
      </c>
      <c r="D100">
        <v>30</v>
      </c>
      <c r="E100">
        <v>0.95</v>
      </c>
      <c r="I100">
        <v>103.9</v>
      </c>
      <c r="L100">
        <v>49</v>
      </c>
      <c r="O100">
        <v>6432</v>
      </c>
      <c r="P100">
        <v>6432</v>
      </c>
      <c r="Q100">
        <v>37691</v>
      </c>
    </row>
    <row r="101" spans="3:19" x14ac:dyDescent="0.25">
      <c r="C101" t="s">
        <v>1901</v>
      </c>
      <c r="E101">
        <v>52.95</v>
      </c>
      <c r="I101">
        <v>6635.5999999999995</v>
      </c>
      <c r="L101">
        <v>96</v>
      </c>
      <c r="O101">
        <v>910707</v>
      </c>
      <c r="P101">
        <v>910707</v>
      </c>
      <c r="Q101">
        <v>3071464</v>
      </c>
      <c r="S101">
        <v>8139.0518084066462</v>
      </c>
    </row>
    <row r="102" spans="3:19" x14ac:dyDescent="0.25">
      <c r="C102">
        <v>8</v>
      </c>
      <c r="D102" t="s">
        <v>190</v>
      </c>
      <c r="E102">
        <v>11.25</v>
      </c>
      <c r="I102">
        <v>1543.9</v>
      </c>
      <c r="L102">
        <v>26.5</v>
      </c>
      <c r="Q102">
        <v>610516</v>
      </c>
      <c r="S102">
        <v>3555.7184750733136</v>
      </c>
    </row>
    <row r="103" spans="3:19" x14ac:dyDescent="0.25">
      <c r="C103">
        <v>8</v>
      </c>
      <c r="D103">
        <v>99</v>
      </c>
      <c r="S103">
        <v>3555.7184750733136</v>
      </c>
    </row>
    <row r="104" spans="3:19" x14ac:dyDescent="0.25">
      <c r="C104">
        <v>8</v>
      </c>
      <c r="D104">
        <v>102</v>
      </c>
      <c r="E104">
        <v>5.0500000000000007</v>
      </c>
      <c r="I104">
        <v>797.1</v>
      </c>
      <c r="L104">
        <v>26.5</v>
      </c>
      <c r="Q104">
        <v>215941</v>
      </c>
    </row>
    <row r="105" spans="3:19" x14ac:dyDescent="0.25">
      <c r="C105">
        <v>8</v>
      </c>
      <c r="D105">
        <v>103</v>
      </c>
      <c r="E105">
        <v>6.2</v>
      </c>
      <c r="I105">
        <v>746.8</v>
      </c>
      <c r="Q105">
        <v>394575</v>
      </c>
    </row>
    <row r="106" spans="3:19" x14ac:dyDescent="0.25">
      <c r="C106">
        <v>8</v>
      </c>
      <c r="D106" t="s">
        <v>1892</v>
      </c>
      <c r="E106">
        <v>40.200000000000003</v>
      </c>
      <c r="I106">
        <v>4709.2</v>
      </c>
      <c r="Q106">
        <v>1443109</v>
      </c>
      <c r="S106">
        <v>4583.333333333333</v>
      </c>
    </row>
    <row r="107" spans="3:19" x14ac:dyDescent="0.25">
      <c r="C107">
        <v>8</v>
      </c>
      <c r="D107">
        <v>303</v>
      </c>
      <c r="E107">
        <v>22.6</v>
      </c>
      <c r="I107">
        <v>2640</v>
      </c>
      <c r="Q107">
        <v>782930</v>
      </c>
      <c r="S107">
        <v>4583.333333333333</v>
      </c>
    </row>
    <row r="108" spans="3:19" x14ac:dyDescent="0.25">
      <c r="C108">
        <v>8</v>
      </c>
      <c r="D108">
        <v>304</v>
      </c>
      <c r="E108">
        <v>5</v>
      </c>
      <c r="I108">
        <v>680</v>
      </c>
      <c r="Q108">
        <v>225644</v>
      </c>
    </row>
    <row r="109" spans="3:19" x14ac:dyDescent="0.25">
      <c r="C109">
        <v>8</v>
      </c>
      <c r="D109">
        <v>416</v>
      </c>
      <c r="E109">
        <v>12.600000000000001</v>
      </c>
      <c r="I109">
        <v>1389.1999999999998</v>
      </c>
      <c r="Q109">
        <v>434535</v>
      </c>
    </row>
    <row r="110" spans="3:19" x14ac:dyDescent="0.25">
      <c r="C110">
        <v>8</v>
      </c>
      <c r="D110" t="s">
        <v>1893</v>
      </c>
      <c r="E110">
        <v>1.95</v>
      </c>
      <c r="I110">
        <v>260.10000000000002</v>
      </c>
      <c r="L110">
        <v>29</v>
      </c>
      <c r="Q110">
        <v>46423</v>
      </c>
    </row>
    <row r="111" spans="3:19" x14ac:dyDescent="0.25">
      <c r="C111">
        <v>8</v>
      </c>
      <c r="D111">
        <v>25</v>
      </c>
      <c r="E111">
        <v>1</v>
      </c>
      <c r="I111">
        <v>136</v>
      </c>
      <c r="Q111">
        <v>19115</v>
      </c>
    </row>
    <row r="112" spans="3:19" x14ac:dyDescent="0.25">
      <c r="C112">
        <v>8</v>
      </c>
      <c r="D112">
        <v>30</v>
      </c>
      <c r="E112">
        <v>0.95</v>
      </c>
      <c r="I112">
        <v>124.1</v>
      </c>
      <c r="L112">
        <v>29</v>
      </c>
      <c r="Q112">
        <v>27308</v>
      </c>
    </row>
    <row r="113" spans="3:19" x14ac:dyDescent="0.25">
      <c r="C113">
        <v>8</v>
      </c>
      <c r="D113" t="s">
        <v>1894</v>
      </c>
      <c r="L113">
        <v>1.5</v>
      </c>
      <c r="Q113">
        <v>270</v>
      </c>
    </row>
    <row r="114" spans="3:19" x14ac:dyDescent="0.25">
      <c r="C114">
        <v>8</v>
      </c>
      <c r="D114">
        <v>417</v>
      </c>
      <c r="L114">
        <v>1.5</v>
      </c>
      <c r="Q114">
        <v>270</v>
      </c>
    </row>
    <row r="115" spans="3:19" x14ac:dyDescent="0.25">
      <c r="C115" t="s">
        <v>1902</v>
      </c>
      <c r="E115">
        <v>53.400000000000006</v>
      </c>
      <c r="I115">
        <v>6513.2</v>
      </c>
      <c r="L115">
        <v>57</v>
      </c>
      <c r="Q115">
        <v>2100318</v>
      </c>
      <c r="S115">
        <v>8139.0518084066462</v>
      </c>
    </row>
    <row r="116" spans="3:19" x14ac:dyDescent="0.25">
      <c r="C116">
        <v>9</v>
      </c>
      <c r="D116" t="s">
        <v>190</v>
      </c>
      <c r="E116">
        <v>12.15</v>
      </c>
      <c r="I116">
        <v>1893.3000000000002</v>
      </c>
      <c r="L116">
        <v>92.5</v>
      </c>
      <c r="O116">
        <v>750</v>
      </c>
      <c r="P116">
        <v>750</v>
      </c>
      <c r="Q116">
        <v>646330</v>
      </c>
      <c r="S116">
        <v>3555.7184750733136</v>
      </c>
    </row>
    <row r="117" spans="3:19" x14ac:dyDescent="0.25">
      <c r="C117">
        <v>9</v>
      </c>
      <c r="D117">
        <v>99</v>
      </c>
      <c r="S117">
        <v>3555.7184750733136</v>
      </c>
    </row>
    <row r="118" spans="3:19" x14ac:dyDescent="0.25">
      <c r="C118">
        <v>9</v>
      </c>
      <c r="D118">
        <v>102</v>
      </c>
      <c r="E118">
        <v>6.25</v>
      </c>
      <c r="I118">
        <v>1017.9</v>
      </c>
      <c r="L118">
        <v>92.5</v>
      </c>
      <c r="O118">
        <v>750</v>
      </c>
      <c r="P118">
        <v>750</v>
      </c>
      <c r="Q118">
        <v>276489</v>
      </c>
    </row>
    <row r="119" spans="3:19" x14ac:dyDescent="0.25">
      <c r="C119">
        <v>9</v>
      </c>
      <c r="D119">
        <v>103</v>
      </c>
      <c r="E119">
        <v>5.9</v>
      </c>
      <c r="I119">
        <v>875.40000000000009</v>
      </c>
      <c r="Q119">
        <v>369841</v>
      </c>
    </row>
    <row r="120" spans="3:19" x14ac:dyDescent="0.25">
      <c r="C120">
        <v>9</v>
      </c>
      <c r="D120" t="s">
        <v>1892</v>
      </c>
      <c r="E120">
        <v>40.200000000000003</v>
      </c>
      <c r="I120">
        <v>5911.2</v>
      </c>
      <c r="O120">
        <v>33250</v>
      </c>
      <c r="P120">
        <v>33250</v>
      </c>
      <c r="Q120">
        <v>1397617</v>
      </c>
      <c r="S120">
        <v>4583.333333333333</v>
      </c>
    </row>
    <row r="121" spans="3:19" x14ac:dyDescent="0.25">
      <c r="C121">
        <v>9</v>
      </c>
      <c r="D121">
        <v>303</v>
      </c>
      <c r="E121">
        <v>22.6</v>
      </c>
      <c r="I121">
        <v>3280</v>
      </c>
      <c r="O121">
        <v>5000</v>
      </c>
      <c r="P121">
        <v>5000</v>
      </c>
      <c r="Q121">
        <v>750177</v>
      </c>
      <c r="S121">
        <v>4583.333333333333</v>
      </c>
    </row>
    <row r="122" spans="3:19" x14ac:dyDescent="0.25">
      <c r="C122">
        <v>9</v>
      </c>
      <c r="D122">
        <v>304</v>
      </c>
      <c r="E122">
        <v>5</v>
      </c>
      <c r="I122">
        <v>728</v>
      </c>
      <c r="Q122">
        <v>223947</v>
      </c>
    </row>
    <row r="123" spans="3:19" x14ac:dyDescent="0.25">
      <c r="C123">
        <v>9</v>
      </c>
      <c r="D123">
        <v>416</v>
      </c>
      <c r="E123">
        <v>12.600000000000001</v>
      </c>
      <c r="I123">
        <v>1903.2</v>
      </c>
      <c r="O123">
        <v>28250</v>
      </c>
      <c r="P123">
        <v>28250</v>
      </c>
      <c r="Q123">
        <v>423493</v>
      </c>
    </row>
    <row r="124" spans="3:19" x14ac:dyDescent="0.25">
      <c r="C124">
        <v>9</v>
      </c>
      <c r="D124" t="s">
        <v>1893</v>
      </c>
      <c r="E124">
        <v>1.95</v>
      </c>
      <c r="I124">
        <v>313.3</v>
      </c>
      <c r="L124">
        <v>52.5</v>
      </c>
      <c r="Q124">
        <v>51036</v>
      </c>
    </row>
    <row r="125" spans="3:19" x14ac:dyDescent="0.25">
      <c r="C125">
        <v>9</v>
      </c>
      <c r="D125">
        <v>25</v>
      </c>
      <c r="E125">
        <v>1</v>
      </c>
      <c r="I125">
        <v>160</v>
      </c>
      <c r="Q125">
        <v>19030</v>
      </c>
    </row>
    <row r="126" spans="3:19" x14ac:dyDescent="0.25">
      <c r="C126">
        <v>9</v>
      </c>
      <c r="D126">
        <v>30</v>
      </c>
      <c r="E126">
        <v>0.95</v>
      </c>
      <c r="I126">
        <v>153.30000000000001</v>
      </c>
      <c r="L126">
        <v>52.5</v>
      </c>
      <c r="Q126">
        <v>32006</v>
      </c>
    </row>
    <row r="127" spans="3:19" x14ac:dyDescent="0.25">
      <c r="C127">
        <v>9</v>
      </c>
      <c r="D127" t="s">
        <v>1894</v>
      </c>
      <c r="L127">
        <v>10</v>
      </c>
      <c r="Q127">
        <v>1800</v>
      </c>
    </row>
    <row r="128" spans="3:19" x14ac:dyDescent="0.25">
      <c r="C128">
        <v>9</v>
      </c>
      <c r="D128">
        <v>417</v>
      </c>
      <c r="L128">
        <v>10</v>
      </c>
      <c r="Q128">
        <v>1800</v>
      </c>
    </row>
    <row r="129" spans="3:19" x14ac:dyDescent="0.25">
      <c r="C129" t="s">
        <v>1903</v>
      </c>
      <c r="E129">
        <v>54.300000000000004</v>
      </c>
      <c r="I129">
        <v>8117.8</v>
      </c>
      <c r="L129">
        <v>155</v>
      </c>
      <c r="O129">
        <v>34000</v>
      </c>
      <c r="P129">
        <v>34000</v>
      </c>
      <c r="Q129">
        <v>2096783</v>
      </c>
      <c r="S129">
        <v>8139.0518084066462</v>
      </c>
    </row>
    <row r="130" spans="3:19" x14ac:dyDescent="0.25">
      <c r="C130">
        <v>10</v>
      </c>
      <c r="D130" t="s">
        <v>190</v>
      </c>
      <c r="E130">
        <v>12.15</v>
      </c>
      <c r="I130">
        <v>1953.8000000000002</v>
      </c>
      <c r="L130">
        <v>101.5</v>
      </c>
      <c r="Q130">
        <v>617402</v>
      </c>
      <c r="S130">
        <v>3555.7184750733136</v>
      </c>
    </row>
    <row r="131" spans="3:19" x14ac:dyDescent="0.25">
      <c r="C131">
        <v>10</v>
      </c>
      <c r="D131">
        <v>99</v>
      </c>
      <c r="S131">
        <v>3555.7184750733136</v>
      </c>
    </row>
    <row r="132" spans="3:19" x14ac:dyDescent="0.25">
      <c r="C132">
        <v>10</v>
      </c>
      <c r="D132">
        <v>102</v>
      </c>
      <c r="E132">
        <v>6.25</v>
      </c>
      <c r="I132">
        <v>1081.4000000000001</v>
      </c>
      <c r="L132">
        <v>101.5</v>
      </c>
      <c r="Q132">
        <v>275443</v>
      </c>
    </row>
    <row r="133" spans="3:19" x14ac:dyDescent="0.25">
      <c r="C133">
        <v>10</v>
      </c>
      <c r="D133">
        <v>103</v>
      </c>
      <c r="E133">
        <v>5.9</v>
      </c>
      <c r="I133">
        <v>872.4</v>
      </c>
      <c r="Q133">
        <v>341959</v>
      </c>
    </row>
    <row r="134" spans="3:19" x14ac:dyDescent="0.25">
      <c r="C134">
        <v>10</v>
      </c>
      <c r="D134" t="s">
        <v>1892</v>
      </c>
      <c r="E134">
        <v>40.200000000000003</v>
      </c>
      <c r="I134">
        <v>6928</v>
      </c>
      <c r="O134">
        <v>13728</v>
      </c>
      <c r="P134">
        <v>13728</v>
      </c>
      <c r="Q134">
        <v>1422243</v>
      </c>
      <c r="R134">
        <v>20000</v>
      </c>
      <c r="S134">
        <v>4583.333333333333</v>
      </c>
    </row>
    <row r="135" spans="3:19" x14ac:dyDescent="0.25">
      <c r="C135">
        <v>10</v>
      </c>
      <c r="D135">
        <v>303</v>
      </c>
      <c r="E135">
        <v>22.6</v>
      </c>
      <c r="I135">
        <v>3808</v>
      </c>
      <c r="O135">
        <v>10228</v>
      </c>
      <c r="P135">
        <v>10228</v>
      </c>
      <c r="Q135">
        <v>771253</v>
      </c>
      <c r="R135">
        <v>20000</v>
      </c>
      <c r="S135">
        <v>4583.333333333333</v>
      </c>
    </row>
    <row r="136" spans="3:19" x14ac:dyDescent="0.25">
      <c r="C136">
        <v>10</v>
      </c>
      <c r="D136">
        <v>304</v>
      </c>
      <c r="E136">
        <v>5</v>
      </c>
      <c r="I136">
        <v>888</v>
      </c>
      <c r="Q136">
        <v>226028</v>
      </c>
    </row>
    <row r="137" spans="3:19" x14ac:dyDescent="0.25">
      <c r="C137">
        <v>10</v>
      </c>
      <c r="D137">
        <v>408</v>
      </c>
      <c r="O137">
        <v>2000</v>
      </c>
      <c r="P137">
        <v>2000</v>
      </c>
      <c r="Q137">
        <v>2000</v>
      </c>
    </row>
    <row r="138" spans="3:19" x14ac:dyDescent="0.25">
      <c r="C138">
        <v>10</v>
      </c>
      <c r="D138">
        <v>416</v>
      </c>
      <c r="E138">
        <v>12.600000000000001</v>
      </c>
      <c r="I138">
        <v>2232</v>
      </c>
      <c r="O138">
        <v>1500</v>
      </c>
      <c r="P138">
        <v>1500</v>
      </c>
      <c r="Q138">
        <v>422962</v>
      </c>
    </row>
    <row r="139" spans="3:19" x14ac:dyDescent="0.25">
      <c r="C139">
        <v>10</v>
      </c>
      <c r="D139" t="s">
        <v>1893</v>
      </c>
      <c r="E139">
        <v>1.95</v>
      </c>
      <c r="I139">
        <v>357.5</v>
      </c>
      <c r="L139">
        <v>56</v>
      </c>
      <c r="Q139">
        <v>53083</v>
      </c>
    </row>
    <row r="140" spans="3:19" x14ac:dyDescent="0.25">
      <c r="C140">
        <v>10</v>
      </c>
      <c r="D140">
        <v>25</v>
      </c>
      <c r="E140">
        <v>1</v>
      </c>
      <c r="I140">
        <v>184</v>
      </c>
      <c r="Q140">
        <v>19060</v>
      </c>
    </row>
    <row r="141" spans="3:19" x14ac:dyDescent="0.25">
      <c r="C141">
        <v>10</v>
      </c>
      <c r="D141">
        <v>30</v>
      </c>
      <c r="E141">
        <v>0.95</v>
      </c>
      <c r="I141">
        <v>173.5</v>
      </c>
      <c r="L141">
        <v>56</v>
      </c>
      <c r="Q141">
        <v>34023</v>
      </c>
    </row>
    <row r="142" spans="3:19" x14ac:dyDescent="0.25">
      <c r="C142">
        <v>10</v>
      </c>
      <c r="D142" t="s">
        <v>1894</v>
      </c>
      <c r="L142">
        <v>11</v>
      </c>
      <c r="Q142">
        <v>1980</v>
      </c>
    </row>
    <row r="143" spans="3:19" x14ac:dyDescent="0.25">
      <c r="C143">
        <v>10</v>
      </c>
      <c r="D143">
        <v>417</v>
      </c>
      <c r="L143">
        <v>11</v>
      </c>
      <c r="Q143">
        <v>1980</v>
      </c>
    </row>
    <row r="144" spans="3:19" x14ac:dyDescent="0.25">
      <c r="C144" t="s">
        <v>1904</v>
      </c>
      <c r="E144">
        <v>54.300000000000004</v>
      </c>
      <c r="I144">
        <v>9239.2999999999993</v>
      </c>
      <c r="L144">
        <v>168.5</v>
      </c>
      <c r="O144">
        <v>13728</v>
      </c>
      <c r="P144">
        <v>13728</v>
      </c>
      <c r="Q144">
        <v>2094708</v>
      </c>
      <c r="R144">
        <v>20000</v>
      </c>
      <c r="S144">
        <v>8139.0518084066462</v>
      </c>
    </row>
    <row r="145" spans="3:19" x14ac:dyDescent="0.25">
      <c r="C145">
        <v>11</v>
      </c>
      <c r="D145" t="s">
        <v>190</v>
      </c>
      <c r="E145">
        <v>12.15</v>
      </c>
      <c r="I145">
        <v>1720.5</v>
      </c>
      <c r="L145">
        <v>99</v>
      </c>
      <c r="O145">
        <v>219485</v>
      </c>
      <c r="P145">
        <v>219485</v>
      </c>
      <c r="Q145">
        <v>860428</v>
      </c>
      <c r="S145">
        <v>3555.7184750733136</v>
      </c>
    </row>
    <row r="146" spans="3:19" x14ac:dyDescent="0.25">
      <c r="C146">
        <v>11</v>
      </c>
      <c r="D146">
        <v>99</v>
      </c>
      <c r="S146">
        <v>3555.7184750733136</v>
      </c>
    </row>
    <row r="147" spans="3:19" x14ac:dyDescent="0.25">
      <c r="C147">
        <v>11</v>
      </c>
      <c r="D147">
        <v>102</v>
      </c>
      <c r="E147">
        <v>6.25</v>
      </c>
      <c r="I147">
        <v>950.5</v>
      </c>
      <c r="L147">
        <v>99</v>
      </c>
      <c r="O147">
        <v>161564</v>
      </c>
      <c r="P147">
        <v>161564</v>
      </c>
      <c r="Q147">
        <v>427246</v>
      </c>
    </row>
    <row r="148" spans="3:19" x14ac:dyDescent="0.25">
      <c r="C148">
        <v>11</v>
      </c>
      <c r="D148">
        <v>103</v>
      </c>
      <c r="E148">
        <v>5.9</v>
      </c>
      <c r="I148">
        <v>770</v>
      </c>
      <c r="O148">
        <v>57921</v>
      </c>
      <c r="P148">
        <v>57921</v>
      </c>
      <c r="Q148">
        <v>433182</v>
      </c>
    </row>
    <row r="149" spans="3:19" x14ac:dyDescent="0.25">
      <c r="C149">
        <v>11</v>
      </c>
      <c r="D149" t="s">
        <v>1892</v>
      </c>
      <c r="E149">
        <v>40.200000000000003</v>
      </c>
      <c r="I149">
        <v>6268.8</v>
      </c>
      <c r="O149">
        <v>512941</v>
      </c>
      <c r="P149">
        <v>512941</v>
      </c>
      <c r="Q149">
        <v>1907805</v>
      </c>
      <c r="R149">
        <v>18000</v>
      </c>
      <c r="S149">
        <v>4583.333333333333</v>
      </c>
    </row>
    <row r="150" spans="3:19" x14ac:dyDescent="0.25">
      <c r="C150">
        <v>11</v>
      </c>
      <c r="D150">
        <v>303</v>
      </c>
      <c r="E150">
        <v>22.6</v>
      </c>
      <c r="I150">
        <v>3424</v>
      </c>
      <c r="O150">
        <v>273000</v>
      </c>
      <c r="P150">
        <v>273000</v>
      </c>
      <c r="Q150">
        <v>1019061</v>
      </c>
      <c r="R150">
        <v>18000</v>
      </c>
      <c r="S150">
        <v>4583.333333333333</v>
      </c>
    </row>
    <row r="151" spans="3:19" x14ac:dyDescent="0.25">
      <c r="C151">
        <v>11</v>
      </c>
      <c r="D151">
        <v>304</v>
      </c>
      <c r="E151">
        <v>5</v>
      </c>
      <c r="I151">
        <v>832</v>
      </c>
      <c r="O151">
        <v>95297</v>
      </c>
      <c r="P151">
        <v>95297</v>
      </c>
      <c r="Q151">
        <v>320118</v>
      </c>
    </row>
    <row r="152" spans="3:19" x14ac:dyDescent="0.25">
      <c r="C152">
        <v>11</v>
      </c>
      <c r="D152">
        <v>416</v>
      </c>
      <c r="E152">
        <v>12.600000000000001</v>
      </c>
      <c r="I152">
        <v>2012.8</v>
      </c>
      <c r="O152">
        <v>144644</v>
      </c>
      <c r="P152">
        <v>144644</v>
      </c>
      <c r="Q152">
        <v>568626</v>
      </c>
    </row>
    <row r="153" spans="3:19" x14ac:dyDescent="0.25">
      <c r="C153">
        <v>11</v>
      </c>
      <c r="D153" t="s">
        <v>1893</v>
      </c>
      <c r="E153">
        <v>1.95</v>
      </c>
      <c r="I153">
        <v>327.2</v>
      </c>
      <c r="L153">
        <v>52.5</v>
      </c>
      <c r="O153">
        <v>15447</v>
      </c>
      <c r="P153">
        <v>15447</v>
      </c>
      <c r="Q153">
        <v>66544</v>
      </c>
    </row>
    <row r="154" spans="3:19" x14ac:dyDescent="0.25">
      <c r="C154">
        <v>11</v>
      </c>
      <c r="D154">
        <v>25</v>
      </c>
      <c r="E154">
        <v>1</v>
      </c>
      <c r="I154">
        <v>168</v>
      </c>
      <c r="O154">
        <v>6351</v>
      </c>
      <c r="P154">
        <v>6351</v>
      </c>
      <c r="Q154">
        <v>25411</v>
      </c>
    </row>
    <row r="155" spans="3:19" x14ac:dyDescent="0.25">
      <c r="C155">
        <v>11</v>
      </c>
      <c r="D155">
        <v>30</v>
      </c>
      <c r="E155">
        <v>0.95</v>
      </c>
      <c r="I155">
        <v>159.19999999999999</v>
      </c>
      <c r="L155">
        <v>52.5</v>
      </c>
      <c r="O155">
        <v>9096</v>
      </c>
      <c r="P155">
        <v>9096</v>
      </c>
      <c r="Q155">
        <v>41133</v>
      </c>
    </row>
    <row r="156" spans="3:19" x14ac:dyDescent="0.25">
      <c r="C156">
        <v>11</v>
      </c>
      <c r="D156" t="s">
        <v>1894</v>
      </c>
      <c r="L156">
        <v>10.5</v>
      </c>
      <c r="Q156">
        <v>1890</v>
      </c>
    </row>
    <row r="157" spans="3:19" x14ac:dyDescent="0.25">
      <c r="C157">
        <v>11</v>
      </c>
      <c r="D157">
        <v>417</v>
      </c>
      <c r="L157">
        <v>10.5</v>
      </c>
      <c r="Q157">
        <v>1890</v>
      </c>
    </row>
    <row r="158" spans="3:19" x14ac:dyDescent="0.25">
      <c r="C158" t="s">
        <v>1905</v>
      </c>
      <c r="E158">
        <v>54.300000000000004</v>
      </c>
      <c r="I158">
        <v>8316.5</v>
      </c>
      <c r="L158">
        <v>162</v>
      </c>
      <c r="O158">
        <v>747873</v>
      </c>
      <c r="P158">
        <v>747873</v>
      </c>
      <c r="Q158">
        <v>2836667</v>
      </c>
      <c r="R158">
        <v>18000</v>
      </c>
      <c r="S158">
        <v>8139.0518084066462</v>
      </c>
    </row>
  </sheetData>
  <hyperlinks>
    <hyperlink ref="A2" location="Obsah!A1" display="Zpět na Obsah  KL 01  1.-4.měsíc" xr:uid="{6E8D693E-D495-4A9F-A043-4A163E7DBE41}"/>
  </hyperlinks>
  <pageMargins left="0.7" right="0.7" top="0.78740157499999996" bottom="0.78740157499999996" header="0.3" footer="0.3"/>
  <tableParts count="1">
    <tablePart r:id="rId1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List3">
    <tabColor theme="5" tint="0.39997558519241921"/>
    <outlinePr summaryRight="0"/>
    <pageSetUpPr fitToPage="1"/>
  </sheetPr>
  <dimension ref="A1:AB23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ColWidth="8.85546875" defaultRowHeight="14.45" customHeight="1" outlineLevelCol="1" x14ac:dyDescent="0.2"/>
  <cols>
    <col min="1" max="1" width="50" style="114" customWidth="1" collapsed="1"/>
    <col min="2" max="2" width="7.7109375" style="91" hidden="1" customWidth="1" outlineLevel="1"/>
    <col min="3" max="4" width="5.42578125" style="114" hidden="1" customWidth="1"/>
    <col min="5" max="5" width="7.7109375" style="91" customWidth="1"/>
    <col min="6" max="6" width="7.7109375" style="91" hidden="1" customWidth="1"/>
    <col min="7" max="7" width="5.42578125" style="114" hidden="1" customWidth="1"/>
    <col min="8" max="8" width="7.7109375" style="91" customWidth="1" collapsed="1"/>
    <col min="9" max="9" width="7.7109375" style="192" hidden="1" customWidth="1" outlineLevel="1"/>
    <col min="10" max="10" width="7.7109375" style="192" customWidth="1" collapsed="1"/>
    <col min="11" max="12" width="7.7109375" style="91" hidden="1" customWidth="1"/>
    <col min="13" max="13" width="5.42578125" style="114" hidden="1" customWidth="1"/>
    <col min="14" max="14" width="7.7109375" style="91" customWidth="1"/>
    <col min="15" max="15" width="7.7109375" style="91" hidden="1" customWidth="1"/>
    <col min="16" max="16" width="5.42578125" style="114" hidden="1" customWidth="1"/>
    <col min="17" max="17" width="7.7109375" style="91" customWidth="1" collapsed="1"/>
    <col min="18" max="18" width="7.7109375" style="192" hidden="1" customWidth="1" outlineLevel="1"/>
    <col min="19" max="19" width="7.7109375" style="192" customWidth="1" collapsed="1"/>
    <col min="20" max="21" width="7.7109375" style="91" hidden="1" customWidth="1"/>
    <col min="22" max="22" width="5" style="114" hidden="1" customWidth="1"/>
    <col min="23" max="23" width="7.7109375" style="91" customWidth="1"/>
    <col min="24" max="24" width="7.7109375" style="91" hidden="1" customWidth="1"/>
    <col min="25" max="25" width="5" style="114" hidden="1" customWidth="1"/>
    <col min="26" max="26" width="7.7109375" style="91" customWidth="1" collapsed="1"/>
    <col min="27" max="27" width="7.7109375" style="192" hidden="1" customWidth="1" outlineLevel="1"/>
    <col min="28" max="28" width="7.7109375" style="192" customWidth="1" collapsed="1"/>
    <col min="29" max="16384" width="8.85546875" style="114"/>
  </cols>
  <sheetData>
    <row r="1" spans="1:28" ht="18.600000000000001" customHeight="1" thickBot="1" x14ac:dyDescent="0.35">
      <c r="A1" s="398" t="s">
        <v>1919</v>
      </c>
      <c r="B1" s="304"/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  <c r="N1" s="304"/>
      <c r="O1" s="304"/>
      <c r="P1" s="304"/>
      <c r="Q1" s="304"/>
      <c r="R1" s="304"/>
      <c r="S1" s="304"/>
      <c r="T1" s="304"/>
      <c r="U1" s="304"/>
      <c r="V1" s="304"/>
      <c r="W1" s="304"/>
      <c r="X1" s="304"/>
      <c r="Y1" s="304"/>
      <c r="Z1" s="304"/>
      <c r="AA1" s="304"/>
      <c r="AB1" s="304"/>
    </row>
    <row r="2" spans="1:28" ht="14.45" customHeight="1" thickBot="1" x14ac:dyDescent="0.25">
      <c r="A2" s="207" t="s">
        <v>242</v>
      </c>
      <c r="B2" s="96"/>
      <c r="C2" s="96"/>
      <c r="D2" s="96"/>
      <c r="E2" s="96"/>
      <c r="F2" s="96"/>
      <c r="G2" s="96"/>
      <c r="H2" s="96"/>
      <c r="I2" s="204"/>
      <c r="J2" s="204"/>
      <c r="K2" s="96"/>
      <c r="L2" s="96"/>
      <c r="M2" s="96"/>
      <c r="N2" s="96"/>
      <c r="O2" s="96"/>
      <c r="P2" s="96"/>
      <c r="Q2" s="96"/>
      <c r="R2" s="204"/>
      <c r="S2" s="204"/>
      <c r="T2" s="96"/>
      <c r="U2" s="96"/>
      <c r="V2" s="96"/>
      <c r="W2" s="96"/>
      <c r="X2" s="96"/>
      <c r="Y2" s="96"/>
      <c r="Z2" s="96"/>
      <c r="AA2" s="204"/>
      <c r="AB2" s="204"/>
    </row>
    <row r="3" spans="1:28" ht="14.45" customHeight="1" thickBot="1" x14ac:dyDescent="0.25">
      <c r="A3" s="198" t="s">
        <v>107</v>
      </c>
      <c r="B3" s="199">
        <f>SUBTOTAL(9,B6:B1048576)/4</f>
        <v>16884730.149999991</v>
      </c>
      <c r="C3" s="200">
        <f t="shared" ref="C3:Z3" si="0">SUBTOTAL(9,C6:C1048576)</f>
        <v>13</v>
      </c>
      <c r="D3" s="200"/>
      <c r="E3" s="200">
        <f>SUBTOTAL(9,E6:E1048576)/4</f>
        <v>17721385.609999992</v>
      </c>
      <c r="F3" s="200"/>
      <c r="G3" s="200">
        <f t="shared" si="0"/>
        <v>13</v>
      </c>
      <c r="H3" s="200">
        <f>SUBTOTAL(9,H6:H1048576)/4</f>
        <v>17653132.140000001</v>
      </c>
      <c r="I3" s="203">
        <f>IF(B3&lt;&gt;0,H3/B3,"")</f>
        <v>1.0455086923613055</v>
      </c>
      <c r="J3" s="201">
        <f>IF(E3&lt;&gt;0,H3/E3,"")</f>
        <v>0.99614852520553043</v>
      </c>
      <c r="K3" s="202">
        <f t="shared" si="0"/>
        <v>4467682</v>
      </c>
      <c r="L3" s="202"/>
      <c r="M3" s="200">
        <f t="shared" si="0"/>
        <v>3.1395740317586975</v>
      </c>
      <c r="N3" s="200">
        <f t="shared" si="0"/>
        <v>4240762</v>
      </c>
      <c r="O3" s="200"/>
      <c r="P3" s="200">
        <f t="shared" si="0"/>
        <v>3</v>
      </c>
      <c r="Q3" s="200">
        <f t="shared" si="0"/>
        <v>3966739.08</v>
      </c>
      <c r="R3" s="203">
        <f>IF(K3&lt;&gt;0,Q3/K3,"")</f>
        <v>0.88787408772602883</v>
      </c>
      <c r="S3" s="203">
        <f>IF(N3&lt;&gt;0,Q3/N3,"")</f>
        <v>0.93538356550072843</v>
      </c>
      <c r="T3" s="199">
        <f t="shared" si="0"/>
        <v>0</v>
      </c>
      <c r="U3" s="202"/>
      <c r="V3" s="200">
        <f t="shared" si="0"/>
        <v>0</v>
      </c>
      <c r="W3" s="200">
        <f t="shared" si="0"/>
        <v>0</v>
      </c>
      <c r="X3" s="200"/>
      <c r="Y3" s="200">
        <f t="shared" si="0"/>
        <v>0</v>
      </c>
      <c r="Z3" s="200">
        <f t="shared" si="0"/>
        <v>0</v>
      </c>
      <c r="AA3" s="203" t="str">
        <f>IF(T3&lt;&gt;0,Z3/T3,"")</f>
        <v/>
      </c>
      <c r="AB3" s="201" t="str">
        <f>IF(W3&lt;&gt;0,Z3/W3,"")</f>
        <v/>
      </c>
    </row>
    <row r="4" spans="1:28" ht="14.45" customHeight="1" x14ac:dyDescent="0.2">
      <c r="A4" s="399" t="s">
        <v>182</v>
      </c>
      <c r="B4" s="400" t="s">
        <v>84</v>
      </c>
      <c r="C4" s="401"/>
      <c r="D4" s="402"/>
      <c r="E4" s="401"/>
      <c r="F4" s="402"/>
      <c r="G4" s="401"/>
      <c r="H4" s="401"/>
      <c r="I4" s="402"/>
      <c r="J4" s="403"/>
      <c r="K4" s="400" t="s">
        <v>85</v>
      </c>
      <c r="L4" s="402"/>
      <c r="M4" s="401"/>
      <c r="N4" s="401"/>
      <c r="O4" s="402"/>
      <c r="P4" s="401"/>
      <c r="Q4" s="401"/>
      <c r="R4" s="402"/>
      <c r="S4" s="403"/>
      <c r="T4" s="400" t="s">
        <v>86</v>
      </c>
      <c r="U4" s="402"/>
      <c r="V4" s="401"/>
      <c r="W4" s="401"/>
      <c r="X4" s="402"/>
      <c r="Y4" s="401"/>
      <c r="Z4" s="401"/>
      <c r="AA4" s="402"/>
      <c r="AB4" s="403"/>
    </row>
    <row r="5" spans="1:28" ht="14.45" customHeight="1" thickBot="1" x14ac:dyDescent="0.25">
      <c r="A5" s="517"/>
      <c r="B5" s="518">
        <v>2015</v>
      </c>
      <c r="C5" s="519"/>
      <c r="D5" s="519"/>
      <c r="E5" s="519">
        <v>2018</v>
      </c>
      <c r="F5" s="519"/>
      <c r="G5" s="519"/>
      <c r="H5" s="519">
        <v>2019</v>
      </c>
      <c r="I5" s="520" t="s">
        <v>183</v>
      </c>
      <c r="J5" s="521" t="s">
        <v>2</v>
      </c>
      <c r="K5" s="518">
        <v>2015</v>
      </c>
      <c r="L5" s="519"/>
      <c r="M5" s="519"/>
      <c r="N5" s="519">
        <v>2018</v>
      </c>
      <c r="O5" s="519"/>
      <c r="P5" s="519"/>
      <c r="Q5" s="519">
        <v>2019</v>
      </c>
      <c r="R5" s="520" t="s">
        <v>183</v>
      </c>
      <c r="S5" s="521" t="s">
        <v>2</v>
      </c>
      <c r="T5" s="518">
        <v>2015</v>
      </c>
      <c r="U5" s="519"/>
      <c r="V5" s="519"/>
      <c r="W5" s="519">
        <v>2018</v>
      </c>
      <c r="X5" s="519"/>
      <c r="Y5" s="519"/>
      <c r="Z5" s="519">
        <v>2019</v>
      </c>
      <c r="AA5" s="520" t="s">
        <v>183</v>
      </c>
      <c r="AB5" s="521" t="s">
        <v>2</v>
      </c>
    </row>
    <row r="6" spans="1:28" ht="14.45" customHeight="1" x14ac:dyDescent="0.25">
      <c r="A6" s="522" t="s">
        <v>1916</v>
      </c>
      <c r="B6" s="523">
        <v>16884730.149999987</v>
      </c>
      <c r="C6" s="524">
        <v>1</v>
      </c>
      <c r="D6" s="524">
        <v>0.95278837228574864</v>
      </c>
      <c r="E6" s="523">
        <v>17721385.609999999</v>
      </c>
      <c r="F6" s="524">
        <v>1.0495510116281019</v>
      </c>
      <c r="G6" s="524">
        <v>1</v>
      </c>
      <c r="H6" s="523">
        <v>17653132.140000001</v>
      </c>
      <c r="I6" s="524">
        <v>1.0455086923613057</v>
      </c>
      <c r="J6" s="524">
        <v>0.99614852520552999</v>
      </c>
      <c r="K6" s="523">
        <v>2233841</v>
      </c>
      <c r="L6" s="524">
        <v>1</v>
      </c>
      <c r="M6" s="524">
        <v>1.0535092514034035</v>
      </c>
      <c r="N6" s="523">
        <v>2120381</v>
      </c>
      <c r="O6" s="524">
        <v>0.9492085605018441</v>
      </c>
      <c r="P6" s="524">
        <v>1</v>
      </c>
      <c r="Q6" s="523">
        <v>1983369.54</v>
      </c>
      <c r="R6" s="524">
        <v>0.88787408772602883</v>
      </c>
      <c r="S6" s="524">
        <v>0.93538356550072843</v>
      </c>
      <c r="T6" s="523"/>
      <c r="U6" s="524"/>
      <c r="V6" s="524"/>
      <c r="W6" s="523"/>
      <c r="X6" s="524"/>
      <c r="Y6" s="524"/>
      <c r="Z6" s="523"/>
      <c r="AA6" s="524"/>
      <c r="AB6" s="525"/>
    </row>
    <row r="7" spans="1:28" ht="14.45" customHeight="1" x14ac:dyDescent="0.25">
      <c r="A7" s="532" t="s">
        <v>1917</v>
      </c>
      <c r="B7" s="526">
        <v>12120110.109999986</v>
      </c>
      <c r="C7" s="527">
        <v>1</v>
      </c>
      <c r="D7" s="527">
        <v>1.0317777737719656</v>
      </c>
      <c r="E7" s="526">
        <v>11746822.249999996</v>
      </c>
      <c r="F7" s="527">
        <v>0.96920095142601059</v>
      </c>
      <c r="G7" s="527">
        <v>1</v>
      </c>
      <c r="H7" s="526">
        <v>11621555.469999999</v>
      </c>
      <c r="I7" s="527">
        <v>0.95886550241910395</v>
      </c>
      <c r="J7" s="527">
        <v>0.98933611343272032</v>
      </c>
      <c r="K7" s="526">
        <v>1377466</v>
      </c>
      <c r="L7" s="527">
        <v>1</v>
      </c>
      <c r="M7" s="527">
        <v>1.2304923073349872</v>
      </c>
      <c r="N7" s="526">
        <v>1119443</v>
      </c>
      <c r="O7" s="527">
        <v>0.81268285387806305</v>
      </c>
      <c r="P7" s="527">
        <v>1</v>
      </c>
      <c r="Q7" s="526">
        <v>959698</v>
      </c>
      <c r="R7" s="527">
        <v>0.69671265933242632</v>
      </c>
      <c r="S7" s="527">
        <v>0.85729956773145211</v>
      </c>
      <c r="T7" s="526"/>
      <c r="U7" s="527"/>
      <c r="V7" s="527"/>
      <c r="W7" s="526"/>
      <c r="X7" s="527"/>
      <c r="Y7" s="527"/>
      <c r="Z7" s="526"/>
      <c r="AA7" s="527"/>
      <c r="AB7" s="528"/>
    </row>
    <row r="8" spans="1:28" ht="14.45" customHeight="1" thickBot="1" x14ac:dyDescent="0.3">
      <c r="A8" s="533" t="s">
        <v>1918</v>
      </c>
      <c r="B8" s="529">
        <v>4764620.04</v>
      </c>
      <c r="C8" s="530">
        <v>1</v>
      </c>
      <c r="D8" s="530">
        <v>0.79748422652931716</v>
      </c>
      <c r="E8" s="529">
        <v>5974563.3600000022</v>
      </c>
      <c r="F8" s="530">
        <v>1.2539432965991559</v>
      </c>
      <c r="G8" s="530">
        <v>1</v>
      </c>
      <c r="H8" s="529">
        <v>6031576.6699999999</v>
      </c>
      <c r="I8" s="530">
        <v>1.2659092686014055</v>
      </c>
      <c r="J8" s="530">
        <v>1.0095426739268856</v>
      </c>
      <c r="K8" s="529">
        <v>856375</v>
      </c>
      <c r="L8" s="530">
        <v>1</v>
      </c>
      <c r="M8" s="530">
        <v>0.85557247302030692</v>
      </c>
      <c r="N8" s="529">
        <v>1000938</v>
      </c>
      <c r="O8" s="530">
        <v>1.1688080572179245</v>
      </c>
      <c r="P8" s="530">
        <v>1</v>
      </c>
      <c r="Q8" s="529">
        <v>1023671.54</v>
      </c>
      <c r="R8" s="530">
        <v>1.1953543015618158</v>
      </c>
      <c r="S8" s="530">
        <v>1.0227122359227045</v>
      </c>
      <c r="T8" s="529"/>
      <c r="U8" s="530"/>
      <c r="V8" s="530"/>
      <c r="W8" s="529"/>
      <c r="X8" s="530"/>
      <c r="Y8" s="530"/>
      <c r="Z8" s="529"/>
      <c r="AA8" s="530"/>
      <c r="AB8" s="531"/>
    </row>
    <row r="9" spans="1:28" ht="14.45" customHeight="1" thickBot="1" x14ac:dyDescent="0.25"/>
    <row r="10" spans="1:28" ht="14.45" customHeight="1" x14ac:dyDescent="0.25">
      <c r="A10" s="522" t="s">
        <v>444</v>
      </c>
      <c r="B10" s="523">
        <v>1062007.8</v>
      </c>
      <c r="C10" s="524">
        <v>1</v>
      </c>
      <c r="D10" s="524">
        <v>1.0403999009217411</v>
      </c>
      <c r="E10" s="523">
        <v>1020768.8399999996</v>
      </c>
      <c r="F10" s="524">
        <v>0.9611688727709905</v>
      </c>
      <c r="G10" s="524">
        <v>1</v>
      </c>
      <c r="H10" s="523">
        <v>1113721.08</v>
      </c>
      <c r="I10" s="524">
        <v>1.0486938796494716</v>
      </c>
      <c r="J10" s="525">
        <v>1.0910610084845462</v>
      </c>
    </row>
    <row r="11" spans="1:28" ht="14.45" customHeight="1" x14ac:dyDescent="0.25">
      <c r="A11" s="532" t="s">
        <v>1920</v>
      </c>
      <c r="B11" s="526">
        <v>1062007.8</v>
      </c>
      <c r="C11" s="527">
        <v>1</v>
      </c>
      <c r="D11" s="527">
        <v>1.0403999009217411</v>
      </c>
      <c r="E11" s="526">
        <v>1020768.8399999996</v>
      </c>
      <c r="F11" s="527">
        <v>0.9611688727709905</v>
      </c>
      <c r="G11" s="527">
        <v>1</v>
      </c>
      <c r="H11" s="526">
        <v>1113721.08</v>
      </c>
      <c r="I11" s="527">
        <v>1.0486938796494716</v>
      </c>
      <c r="J11" s="528">
        <v>1.0910610084845462</v>
      </c>
    </row>
    <row r="12" spans="1:28" ht="14.45" customHeight="1" x14ac:dyDescent="0.25">
      <c r="A12" s="534" t="s">
        <v>1921</v>
      </c>
      <c r="B12" s="535">
        <v>4764620.040000001</v>
      </c>
      <c r="C12" s="536">
        <v>1</v>
      </c>
      <c r="D12" s="536">
        <v>0.7974842265293175</v>
      </c>
      <c r="E12" s="535">
        <v>5974563.3600000013</v>
      </c>
      <c r="F12" s="536">
        <v>1.2539432965991555</v>
      </c>
      <c r="G12" s="536">
        <v>1</v>
      </c>
      <c r="H12" s="535">
        <v>6031332.2299999995</v>
      </c>
      <c r="I12" s="536">
        <v>1.2658579654548903</v>
      </c>
      <c r="J12" s="537">
        <v>1.0095017604767687</v>
      </c>
    </row>
    <row r="13" spans="1:28" ht="14.45" customHeight="1" x14ac:dyDescent="0.25">
      <c r="A13" s="532" t="s">
        <v>1920</v>
      </c>
      <c r="B13" s="526">
        <v>4764620.040000001</v>
      </c>
      <c r="C13" s="527">
        <v>1</v>
      </c>
      <c r="D13" s="527">
        <v>0.7974842265293175</v>
      </c>
      <c r="E13" s="526">
        <v>5974563.3600000013</v>
      </c>
      <c r="F13" s="527">
        <v>1.2539432965991555</v>
      </c>
      <c r="G13" s="527">
        <v>1</v>
      </c>
      <c r="H13" s="526">
        <v>6031332.2299999995</v>
      </c>
      <c r="I13" s="527">
        <v>1.2658579654548903</v>
      </c>
      <c r="J13" s="528">
        <v>1.0095017604767687</v>
      </c>
    </row>
    <row r="14" spans="1:28" ht="14.45" customHeight="1" x14ac:dyDescent="0.25">
      <c r="A14" s="534" t="s">
        <v>1922</v>
      </c>
      <c r="B14" s="535">
        <v>2774320.0099999993</v>
      </c>
      <c r="C14" s="536">
        <v>1</v>
      </c>
      <c r="D14" s="536">
        <v>0.92720431493706057</v>
      </c>
      <c r="E14" s="535">
        <v>2992134.4899999979</v>
      </c>
      <c r="F14" s="536">
        <v>1.0785109429391306</v>
      </c>
      <c r="G14" s="536">
        <v>1</v>
      </c>
      <c r="H14" s="535">
        <v>3447283.2799999993</v>
      </c>
      <c r="I14" s="536">
        <v>1.242568725876724</v>
      </c>
      <c r="J14" s="537">
        <v>1.1521150842387442</v>
      </c>
    </row>
    <row r="15" spans="1:28" ht="14.45" customHeight="1" x14ac:dyDescent="0.25">
      <c r="A15" s="532" t="s">
        <v>1920</v>
      </c>
      <c r="B15" s="526">
        <v>2774320.0099999993</v>
      </c>
      <c r="C15" s="527">
        <v>1</v>
      </c>
      <c r="D15" s="527">
        <v>0.92720431493706057</v>
      </c>
      <c r="E15" s="526">
        <v>2992134.4899999979</v>
      </c>
      <c r="F15" s="527">
        <v>1.0785109429391306</v>
      </c>
      <c r="G15" s="527">
        <v>1</v>
      </c>
      <c r="H15" s="526">
        <v>3447283.2799999993</v>
      </c>
      <c r="I15" s="527">
        <v>1.242568725876724</v>
      </c>
      <c r="J15" s="528">
        <v>1.1521150842387442</v>
      </c>
    </row>
    <row r="16" spans="1:28" ht="14.45" customHeight="1" x14ac:dyDescent="0.25">
      <c r="A16" s="534" t="s">
        <v>1923</v>
      </c>
      <c r="B16" s="535">
        <v>3629893.4099999988</v>
      </c>
      <c r="C16" s="536">
        <v>1</v>
      </c>
      <c r="D16" s="536">
        <v>1.0062638827604167</v>
      </c>
      <c r="E16" s="535">
        <v>3607297.72</v>
      </c>
      <c r="F16" s="536">
        <v>0.99377510922559054</v>
      </c>
      <c r="G16" s="536">
        <v>1</v>
      </c>
      <c r="H16" s="535">
        <v>3543486.5900000008</v>
      </c>
      <c r="I16" s="536">
        <v>0.97619576934078678</v>
      </c>
      <c r="J16" s="537">
        <v>0.98231054519115224</v>
      </c>
    </row>
    <row r="17" spans="1:10" ht="14.45" customHeight="1" x14ac:dyDescent="0.25">
      <c r="A17" s="532" t="s">
        <v>1920</v>
      </c>
      <c r="B17" s="526">
        <v>3629893.4099999988</v>
      </c>
      <c r="C17" s="527">
        <v>1</v>
      </c>
      <c r="D17" s="527">
        <v>1.0062638827604167</v>
      </c>
      <c r="E17" s="526">
        <v>3607297.72</v>
      </c>
      <c r="F17" s="527">
        <v>0.99377510922559054</v>
      </c>
      <c r="G17" s="527">
        <v>1</v>
      </c>
      <c r="H17" s="526">
        <v>3543486.5900000008</v>
      </c>
      <c r="I17" s="527">
        <v>0.97619576934078678</v>
      </c>
      <c r="J17" s="528">
        <v>0.98231054519115224</v>
      </c>
    </row>
    <row r="18" spans="1:10" ht="14.45" customHeight="1" x14ac:dyDescent="0.25">
      <c r="A18" s="534" t="s">
        <v>1924</v>
      </c>
      <c r="B18" s="535">
        <v>4653888.8900000025</v>
      </c>
      <c r="C18" s="536">
        <v>1</v>
      </c>
      <c r="D18" s="536">
        <v>1.1277722534842802</v>
      </c>
      <c r="E18" s="535">
        <v>4126621.1999999983</v>
      </c>
      <c r="F18" s="536">
        <v>0.88670385080895131</v>
      </c>
      <c r="G18" s="536">
        <v>1</v>
      </c>
      <c r="H18" s="535">
        <v>3517308.959999999</v>
      </c>
      <c r="I18" s="536">
        <v>0.755778456068812</v>
      </c>
      <c r="J18" s="537">
        <v>0.85234597253559408</v>
      </c>
    </row>
    <row r="19" spans="1:10" ht="14.45" customHeight="1" thickBot="1" x14ac:dyDescent="0.3">
      <c r="A19" s="533" t="s">
        <v>1920</v>
      </c>
      <c r="B19" s="529">
        <v>4653888.8900000025</v>
      </c>
      <c r="C19" s="530">
        <v>1</v>
      </c>
      <c r="D19" s="530">
        <v>1.1277722534842802</v>
      </c>
      <c r="E19" s="529">
        <v>4126621.1999999983</v>
      </c>
      <c r="F19" s="530">
        <v>0.88670385080895131</v>
      </c>
      <c r="G19" s="530">
        <v>1</v>
      </c>
      <c r="H19" s="529">
        <v>3517308.959999999</v>
      </c>
      <c r="I19" s="530">
        <v>0.755778456068812</v>
      </c>
      <c r="J19" s="531">
        <v>0.85234597253559408</v>
      </c>
    </row>
    <row r="20" spans="1:10" ht="14.45" customHeight="1" x14ac:dyDescent="0.2">
      <c r="A20" s="538" t="s">
        <v>219</v>
      </c>
    </row>
    <row r="21" spans="1:10" ht="14.45" customHeight="1" x14ac:dyDescent="0.2">
      <c r="A21" s="539" t="s">
        <v>1925</v>
      </c>
    </row>
    <row r="22" spans="1:10" ht="14.45" customHeight="1" x14ac:dyDescent="0.2">
      <c r="A22" s="538" t="s">
        <v>1926</v>
      </c>
    </row>
    <row r="23" spans="1:10" ht="14.45" customHeight="1" x14ac:dyDescent="0.2">
      <c r="A23" s="538" t="s">
        <v>1927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 xr:uid="{FAB90704-4784-4A18-B359-912C85F15469}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List57">
    <tabColor theme="0" tint="-0.249977111117893"/>
    <pageSetUpPr fitToPage="1"/>
  </sheetPr>
  <dimension ref="A1:G9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ColWidth="8.85546875" defaultRowHeight="14.45" customHeight="1" outlineLevelCol="1" x14ac:dyDescent="0.2"/>
  <cols>
    <col min="1" max="1" width="46.7109375" style="114" bestFit="1" customWidth="1"/>
    <col min="2" max="2" width="7.7109375" style="189" hidden="1" customWidth="1" outlineLevel="1"/>
    <col min="3" max="3" width="7.7109375" style="189" customWidth="1" collapsed="1"/>
    <col min="4" max="4" width="7.7109375" style="189" customWidth="1"/>
    <col min="5" max="5" width="7.7109375" style="91" hidden="1" customWidth="1" outlineLevel="1"/>
    <col min="6" max="6" width="7.7109375" style="91" customWidth="1" collapsed="1"/>
    <col min="7" max="7" width="7.7109375" style="91" customWidth="1"/>
    <col min="8" max="16384" width="8.85546875" style="114"/>
  </cols>
  <sheetData>
    <row r="1" spans="1:7" ht="18.600000000000001" customHeight="1" thickBot="1" x14ac:dyDescent="0.35">
      <c r="A1" s="398" t="s">
        <v>1928</v>
      </c>
      <c r="B1" s="304"/>
      <c r="C1" s="304"/>
      <c r="D1" s="304"/>
      <c r="E1" s="304"/>
      <c r="F1" s="304"/>
      <c r="G1" s="304"/>
    </row>
    <row r="2" spans="1:7" ht="14.45" customHeight="1" thickBot="1" x14ac:dyDescent="0.25">
      <c r="A2" s="207" t="s">
        <v>242</v>
      </c>
      <c r="B2" s="96"/>
      <c r="C2" s="96"/>
      <c r="D2" s="96"/>
      <c r="E2" s="96"/>
      <c r="F2" s="96"/>
      <c r="G2" s="96"/>
    </row>
    <row r="3" spans="1:7" ht="14.45" customHeight="1" thickBot="1" x14ac:dyDescent="0.25">
      <c r="A3" s="248" t="s">
        <v>107</v>
      </c>
      <c r="B3" s="234">
        <f t="shared" ref="B3:G3" si="0">SUBTOTAL(9,B6:B1048576)</f>
        <v>74931</v>
      </c>
      <c r="C3" s="235">
        <f t="shared" si="0"/>
        <v>73897</v>
      </c>
      <c r="D3" s="247">
        <f t="shared" si="0"/>
        <v>66011</v>
      </c>
      <c r="E3" s="202">
        <f t="shared" si="0"/>
        <v>16884730.149999991</v>
      </c>
      <c r="F3" s="200">
        <f t="shared" si="0"/>
        <v>17721385.609999999</v>
      </c>
      <c r="G3" s="236">
        <f t="shared" si="0"/>
        <v>17653132.140000012</v>
      </c>
    </row>
    <row r="4" spans="1:7" ht="14.45" customHeight="1" x14ac:dyDescent="0.2">
      <c r="A4" s="399" t="s">
        <v>115</v>
      </c>
      <c r="B4" s="404" t="s">
        <v>180</v>
      </c>
      <c r="C4" s="402"/>
      <c r="D4" s="405"/>
      <c r="E4" s="404" t="s">
        <v>84</v>
      </c>
      <c r="F4" s="402"/>
      <c r="G4" s="405"/>
    </row>
    <row r="5" spans="1:7" ht="14.45" customHeight="1" thickBot="1" x14ac:dyDescent="0.25">
      <c r="A5" s="517"/>
      <c r="B5" s="518">
        <v>2015</v>
      </c>
      <c r="C5" s="519">
        <v>2018</v>
      </c>
      <c r="D5" s="540">
        <v>2019</v>
      </c>
      <c r="E5" s="518">
        <v>2015</v>
      </c>
      <c r="F5" s="519">
        <v>2018</v>
      </c>
      <c r="G5" s="540">
        <v>2019</v>
      </c>
    </row>
    <row r="6" spans="1:7" ht="14.45" customHeight="1" thickBot="1" x14ac:dyDescent="0.25">
      <c r="A6" s="543" t="s">
        <v>1920</v>
      </c>
      <c r="B6" s="484">
        <v>74931</v>
      </c>
      <c r="C6" s="484">
        <v>73897</v>
      </c>
      <c r="D6" s="484">
        <v>66011</v>
      </c>
      <c r="E6" s="541">
        <v>16884730.149999991</v>
      </c>
      <c r="F6" s="541">
        <v>17721385.609999999</v>
      </c>
      <c r="G6" s="542">
        <v>17653132.140000012</v>
      </c>
    </row>
    <row r="7" spans="1:7" ht="14.45" customHeight="1" x14ac:dyDescent="0.2">
      <c r="A7" s="538" t="s">
        <v>219</v>
      </c>
    </row>
    <row r="8" spans="1:7" ht="14.45" customHeight="1" x14ac:dyDescent="0.2">
      <c r="A8" s="539" t="s">
        <v>1925</v>
      </c>
    </row>
    <row r="9" spans="1:7" ht="14.45" customHeight="1" x14ac:dyDescent="0.2">
      <c r="A9" s="538" t="s">
        <v>1926</v>
      </c>
    </row>
  </sheetData>
  <autoFilter ref="A4:A5" xr:uid="{00000000-0009-0000-0000-000021000000}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 xr:uid="{6B582BA1-4EC1-4788-8DB4-DCC16E9148B1}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List2">
    <tabColor theme="0" tint="-0.249977111117893"/>
    <outlinePr summaryRight="0"/>
    <pageSetUpPr fitToPage="1"/>
  </sheetPr>
  <dimension ref="A1:R344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ColWidth="8.85546875" defaultRowHeight="14.45" customHeight="1" outlineLevelCol="1" x14ac:dyDescent="0.2"/>
  <cols>
    <col min="1" max="1" width="3.28515625" style="114" customWidth="1"/>
    <col min="2" max="2" width="8.7109375" style="114" bestFit="1" customWidth="1"/>
    <col min="3" max="3" width="6.140625" style="114" customWidth="1"/>
    <col min="4" max="4" width="2.140625" style="114" bestFit="1" customWidth="1"/>
    <col min="5" max="5" width="8" style="114" customWidth="1"/>
    <col min="6" max="6" width="50.85546875" style="114" bestFit="1" customWidth="1" collapsed="1"/>
    <col min="7" max="8" width="11.140625" style="189" hidden="1" customWidth="1" outlineLevel="1"/>
    <col min="9" max="10" width="9.28515625" style="114" hidden="1" customWidth="1"/>
    <col min="11" max="12" width="11.140625" style="189" customWidth="1"/>
    <col min="13" max="14" width="9.28515625" style="114" hidden="1" customWidth="1"/>
    <col min="15" max="16" width="11.140625" style="189" customWidth="1"/>
    <col min="17" max="17" width="11.140625" style="192" customWidth="1"/>
    <col min="18" max="18" width="11.140625" style="189" customWidth="1"/>
    <col min="19" max="16384" width="8.85546875" style="114"/>
  </cols>
  <sheetData>
    <row r="1" spans="1:18" ht="18.600000000000001" customHeight="1" thickBot="1" x14ac:dyDescent="0.35">
      <c r="A1" s="304" t="s">
        <v>2200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336"/>
    </row>
    <row r="2" spans="1:18" ht="14.45" customHeight="1" thickBot="1" x14ac:dyDescent="0.25">
      <c r="A2" s="207" t="s">
        <v>242</v>
      </c>
      <c r="B2" s="179"/>
      <c r="C2" s="179"/>
      <c r="D2" s="96"/>
      <c r="E2" s="96"/>
      <c r="F2" s="96"/>
      <c r="G2" s="205"/>
      <c r="H2" s="205"/>
      <c r="I2" s="96"/>
      <c r="J2" s="96"/>
      <c r="K2" s="205"/>
      <c r="L2" s="205"/>
      <c r="M2" s="96"/>
      <c r="N2" s="96"/>
      <c r="O2" s="205"/>
      <c r="P2" s="205"/>
      <c r="Q2" s="204"/>
      <c r="R2" s="205"/>
    </row>
    <row r="3" spans="1:18" ht="14.45" customHeight="1" thickBot="1" x14ac:dyDescent="0.25">
      <c r="F3" s="73" t="s">
        <v>107</v>
      </c>
      <c r="G3" s="88">
        <f t="shared" ref="G3:P3" si="0">SUBTOTAL(9,G6:G1048576)</f>
        <v>77928</v>
      </c>
      <c r="H3" s="89">
        <f t="shared" si="0"/>
        <v>19118571.150000002</v>
      </c>
      <c r="I3" s="66"/>
      <c r="J3" s="66"/>
      <c r="K3" s="89">
        <f t="shared" si="0"/>
        <v>76957</v>
      </c>
      <c r="L3" s="89">
        <f t="shared" si="0"/>
        <v>19841766.609999988</v>
      </c>
      <c r="M3" s="66"/>
      <c r="N3" s="66"/>
      <c r="O3" s="89">
        <f t="shared" si="0"/>
        <v>69095</v>
      </c>
      <c r="P3" s="89">
        <f t="shared" si="0"/>
        <v>19636501.68</v>
      </c>
      <c r="Q3" s="67">
        <f>IF(L3=0,0,P3/L3)</f>
        <v>0.9896549065395952</v>
      </c>
      <c r="R3" s="90">
        <f>IF(O3=0,0,P3/O3)</f>
        <v>284.195696938997</v>
      </c>
    </row>
    <row r="4" spans="1:18" ht="14.45" customHeight="1" x14ac:dyDescent="0.2">
      <c r="A4" s="406" t="s">
        <v>184</v>
      </c>
      <c r="B4" s="406" t="s">
        <v>81</v>
      </c>
      <c r="C4" s="414" t="s">
        <v>0</v>
      </c>
      <c r="D4" s="408" t="s">
        <v>82</v>
      </c>
      <c r="E4" s="413" t="s">
        <v>57</v>
      </c>
      <c r="F4" s="409" t="s">
        <v>56</v>
      </c>
      <c r="G4" s="410">
        <v>2015</v>
      </c>
      <c r="H4" s="411"/>
      <c r="I4" s="87"/>
      <c r="J4" s="87"/>
      <c r="K4" s="410">
        <v>2018</v>
      </c>
      <c r="L4" s="411"/>
      <c r="M4" s="87"/>
      <c r="N4" s="87"/>
      <c r="O4" s="410">
        <v>2019</v>
      </c>
      <c r="P4" s="411"/>
      <c r="Q4" s="412" t="s">
        <v>2</v>
      </c>
      <c r="R4" s="407" t="s">
        <v>83</v>
      </c>
    </row>
    <row r="5" spans="1:18" ht="14.45" customHeight="1" thickBot="1" x14ac:dyDescent="0.25">
      <c r="A5" s="544"/>
      <c r="B5" s="544"/>
      <c r="C5" s="545"/>
      <c r="D5" s="546"/>
      <c r="E5" s="547"/>
      <c r="F5" s="548"/>
      <c r="G5" s="549" t="s">
        <v>58</v>
      </c>
      <c r="H5" s="550" t="s">
        <v>14</v>
      </c>
      <c r="I5" s="551"/>
      <c r="J5" s="551"/>
      <c r="K5" s="549" t="s">
        <v>58</v>
      </c>
      <c r="L5" s="550" t="s">
        <v>14</v>
      </c>
      <c r="M5" s="551"/>
      <c r="N5" s="551"/>
      <c r="O5" s="549" t="s">
        <v>58</v>
      </c>
      <c r="P5" s="550" t="s">
        <v>14</v>
      </c>
      <c r="Q5" s="552"/>
      <c r="R5" s="553"/>
    </row>
    <row r="6" spans="1:18" ht="14.45" customHeight="1" x14ac:dyDescent="0.2">
      <c r="A6" s="456"/>
      <c r="B6" s="457" t="s">
        <v>1929</v>
      </c>
      <c r="C6" s="457" t="s">
        <v>444</v>
      </c>
      <c r="D6" s="457" t="s">
        <v>1930</v>
      </c>
      <c r="E6" s="457" t="s">
        <v>1931</v>
      </c>
      <c r="F6" s="457"/>
      <c r="G6" s="461">
        <v>1</v>
      </c>
      <c r="H6" s="461">
        <v>277</v>
      </c>
      <c r="I6" s="457"/>
      <c r="J6" s="457">
        <v>277</v>
      </c>
      <c r="K6" s="461"/>
      <c r="L6" s="461"/>
      <c r="M6" s="457"/>
      <c r="N6" s="457"/>
      <c r="O6" s="461"/>
      <c r="P6" s="461"/>
      <c r="Q6" s="482"/>
      <c r="R6" s="462"/>
    </row>
    <row r="7" spans="1:18" ht="14.45" customHeight="1" x14ac:dyDescent="0.2">
      <c r="A7" s="463"/>
      <c r="B7" s="464" t="s">
        <v>1929</v>
      </c>
      <c r="C7" s="464" t="s">
        <v>444</v>
      </c>
      <c r="D7" s="464" t="s">
        <v>1930</v>
      </c>
      <c r="E7" s="464" t="s">
        <v>1932</v>
      </c>
      <c r="F7" s="464"/>
      <c r="G7" s="468">
        <v>2</v>
      </c>
      <c r="H7" s="468">
        <v>226</v>
      </c>
      <c r="I7" s="464">
        <v>0.5</v>
      </c>
      <c r="J7" s="464">
        <v>113</v>
      </c>
      <c r="K7" s="468">
        <v>4</v>
      </c>
      <c r="L7" s="468">
        <v>452</v>
      </c>
      <c r="M7" s="464">
        <v>1</v>
      </c>
      <c r="N7" s="464">
        <v>113</v>
      </c>
      <c r="O7" s="468">
        <v>2</v>
      </c>
      <c r="P7" s="468">
        <v>226</v>
      </c>
      <c r="Q7" s="491">
        <v>0.5</v>
      </c>
      <c r="R7" s="469">
        <v>113</v>
      </c>
    </row>
    <row r="8" spans="1:18" ht="14.45" customHeight="1" x14ac:dyDescent="0.2">
      <c r="A8" s="463"/>
      <c r="B8" s="464" t="s">
        <v>1929</v>
      </c>
      <c r="C8" s="464" t="s">
        <v>444</v>
      </c>
      <c r="D8" s="464" t="s">
        <v>1930</v>
      </c>
      <c r="E8" s="464" t="s">
        <v>1933</v>
      </c>
      <c r="F8" s="464"/>
      <c r="G8" s="468">
        <v>1</v>
      </c>
      <c r="H8" s="468">
        <v>333</v>
      </c>
      <c r="I8" s="464">
        <v>0.33333333333333331</v>
      </c>
      <c r="J8" s="464">
        <v>333</v>
      </c>
      <c r="K8" s="468">
        <v>3</v>
      </c>
      <c r="L8" s="468">
        <v>999</v>
      </c>
      <c r="M8" s="464">
        <v>1</v>
      </c>
      <c r="N8" s="464">
        <v>333</v>
      </c>
      <c r="O8" s="468"/>
      <c r="P8" s="468"/>
      <c r="Q8" s="491"/>
      <c r="R8" s="469"/>
    </row>
    <row r="9" spans="1:18" ht="14.45" customHeight="1" x14ac:dyDescent="0.2">
      <c r="A9" s="463"/>
      <c r="B9" s="464" t="s">
        <v>1929</v>
      </c>
      <c r="C9" s="464" t="s">
        <v>444</v>
      </c>
      <c r="D9" s="464" t="s">
        <v>1930</v>
      </c>
      <c r="E9" s="464" t="s">
        <v>1934</v>
      </c>
      <c r="F9" s="464"/>
      <c r="G9" s="468"/>
      <c r="H9" s="468"/>
      <c r="I9" s="464"/>
      <c r="J9" s="464"/>
      <c r="K9" s="468"/>
      <c r="L9" s="468"/>
      <c r="M9" s="464"/>
      <c r="N9" s="464"/>
      <c r="O9" s="468">
        <v>1</v>
      </c>
      <c r="P9" s="468">
        <v>1657</v>
      </c>
      <c r="Q9" s="491"/>
      <c r="R9" s="469">
        <v>1657</v>
      </c>
    </row>
    <row r="10" spans="1:18" ht="14.45" customHeight="1" x14ac:dyDescent="0.2">
      <c r="A10" s="463"/>
      <c r="B10" s="464" t="s">
        <v>1929</v>
      </c>
      <c r="C10" s="464" t="s">
        <v>444</v>
      </c>
      <c r="D10" s="464" t="s">
        <v>1930</v>
      </c>
      <c r="E10" s="464" t="s">
        <v>1935</v>
      </c>
      <c r="F10" s="464"/>
      <c r="G10" s="468"/>
      <c r="H10" s="468"/>
      <c r="I10" s="464"/>
      <c r="J10" s="464"/>
      <c r="K10" s="468">
        <v>1</v>
      </c>
      <c r="L10" s="468">
        <v>1008</v>
      </c>
      <c r="M10" s="464">
        <v>1</v>
      </c>
      <c r="N10" s="464">
        <v>1008</v>
      </c>
      <c r="O10" s="468"/>
      <c r="P10" s="468"/>
      <c r="Q10" s="491"/>
      <c r="R10" s="469"/>
    </row>
    <row r="11" spans="1:18" ht="14.45" customHeight="1" x14ac:dyDescent="0.2">
      <c r="A11" s="463"/>
      <c r="B11" s="464" t="s">
        <v>1929</v>
      </c>
      <c r="C11" s="464" t="s">
        <v>444</v>
      </c>
      <c r="D11" s="464" t="s">
        <v>1930</v>
      </c>
      <c r="E11" s="464" t="s">
        <v>1936</v>
      </c>
      <c r="F11" s="464"/>
      <c r="G11" s="468">
        <v>176</v>
      </c>
      <c r="H11" s="468">
        <v>19888</v>
      </c>
      <c r="I11" s="464">
        <v>1.4426229508196722</v>
      </c>
      <c r="J11" s="464">
        <v>113</v>
      </c>
      <c r="K11" s="468">
        <v>122</v>
      </c>
      <c r="L11" s="468">
        <v>13786</v>
      </c>
      <c r="M11" s="464">
        <v>1</v>
      </c>
      <c r="N11" s="464">
        <v>113</v>
      </c>
      <c r="O11" s="468">
        <v>129</v>
      </c>
      <c r="P11" s="468">
        <v>14577</v>
      </c>
      <c r="Q11" s="491">
        <v>1.0573770491803278</v>
      </c>
      <c r="R11" s="469">
        <v>113</v>
      </c>
    </row>
    <row r="12" spans="1:18" ht="14.45" customHeight="1" x14ac:dyDescent="0.2">
      <c r="A12" s="463"/>
      <c r="B12" s="464" t="s">
        <v>1929</v>
      </c>
      <c r="C12" s="464" t="s">
        <v>444</v>
      </c>
      <c r="D12" s="464" t="s">
        <v>1930</v>
      </c>
      <c r="E12" s="464" t="s">
        <v>1937</v>
      </c>
      <c r="F12" s="464"/>
      <c r="G12" s="468">
        <v>1</v>
      </c>
      <c r="H12" s="468">
        <v>132</v>
      </c>
      <c r="I12" s="464">
        <v>1</v>
      </c>
      <c r="J12" s="464">
        <v>132</v>
      </c>
      <c r="K12" s="468">
        <v>1</v>
      </c>
      <c r="L12" s="468">
        <v>132</v>
      </c>
      <c r="M12" s="464">
        <v>1</v>
      </c>
      <c r="N12" s="464">
        <v>132</v>
      </c>
      <c r="O12" s="468"/>
      <c r="P12" s="468"/>
      <c r="Q12" s="491"/>
      <c r="R12" s="469"/>
    </row>
    <row r="13" spans="1:18" ht="14.45" customHeight="1" x14ac:dyDescent="0.2">
      <c r="A13" s="463"/>
      <c r="B13" s="464" t="s">
        <v>1929</v>
      </c>
      <c r="C13" s="464" t="s">
        <v>444</v>
      </c>
      <c r="D13" s="464" t="s">
        <v>1930</v>
      </c>
      <c r="E13" s="464" t="s">
        <v>1938</v>
      </c>
      <c r="F13" s="464"/>
      <c r="G13" s="468">
        <v>1</v>
      </c>
      <c r="H13" s="468">
        <v>156</v>
      </c>
      <c r="I13" s="464">
        <v>0.25</v>
      </c>
      <c r="J13" s="464">
        <v>156</v>
      </c>
      <c r="K13" s="468">
        <v>4</v>
      </c>
      <c r="L13" s="468">
        <v>624</v>
      </c>
      <c r="M13" s="464">
        <v>1</v>
      </c>
      <c r="N13" s="464">
        <v>156</v>
      </c>
      <c r="O13" s="468"/>
      <c r="P13" s="468"/>
      <c r="Q13" s="491"/>
      <c r="R13" s="469"/>
    </row>
    <row r="14" spans="1:18" ht="14.45" customHeight="1" x14ac:dyDescent="0.2">
      <c r="A14" s="463"/>
      <c r="B14" s="464" t="s">
        <v>1929</v>
      </c>
      <c r="C14" s="464" t="s">
        <v>444</v>
      </c>
      <c r="D14" s="464" t="s">
        <v>1930</v>
      </c>
      <c r="E14" s="464" t="s">
        <v>1939</v>
      </c>
      <c r="F14" s="464"/>
      <c r="G14" s="468">
        <v>13</v>
      </c>
      <c r="H14" s="468">
        <v>2847</v>
      </c>
      <c r="I14" s="464">
        <v>4.333333333333333</v>
      </c>
      <c r="J14" s="464">
        <v>219</v>
      </c>
      <c r="K14" s="468">
        <v>3</v>
      </c>
      <c r="L14" s="468">
        <v>657</v>
      </c>
      <c r="M14" s="464">
        <v>1</v>
      </c>
      <c r="N14" s="464">
        <v>219</v>
      </c>
      <c r="O14" s="468">
        <v>1</v>
      </c>
      <c r="P14" s="468">
        <v>219</v>
      </c>
      <c r="Q14" s="491">
        <v>0.33333333333333331</v>
      </c>
      <c r="R14" s="469">
        <v>219</v>
      </c>
    </row>
    <row r="15" spans="1:18" ht="14.45" customHeight="1" x14ac:dyDescent="0.2">
      <c r="A15" s="463"/>
      <c r="B15" s="464" t="s">
        <v>1929</v>
      </c>
      <c r="C15" s="464" t="s">
        <v>444</v>
      </c>
      <c r="D15" s="464" t="s">
        <v>1930</v>
      </c>
      <c r="E15" s="464" t="s">
        <v>1940</v>
      </c>
      <c r="F15" s="464"/>
      <c r="G15" s="468">
        <v>9</v>
      </c>
      <c r="H15" s="468">
        <v>2124</v>
      </c>
      <c r="I15" s="464">
        <v>4.5</v>
      </c>
      <c r="J15" s="464">
        <v>236</v>
      </c>
      <c r="K15" s="468">
        <v>2</v>
      </c>
      <c r="L15" s="468">
        <v>472</v>
      </c>
      <c r="M15" s="464">
        <v>1</v>
      </c>
      <c r="N15" s="464">
        <v>236</v>
      </c>
      <c r="O15" s="468">
        <v>2</v>
      </c>
      <c r="P15" s="468">
        <v>472</v>
      </c>
      <c r="Q15" s="491">
        <v>1</v>
      </c>
      <c r="R15" s="469">
        <v>236</v>
      </c>
    </row>
    <row r="16" spans="1:18" ht="14.45" customHeight="1" x14ac:dyDescent="0.2">
      <c r="A16" s="463"/>
      <c r="B16" s="464" t="s">
        <v>1929</v>
      </c>
      <c r="C16" s="464" t="s">
        <v>444</v>
      </c>
      <c r="D16" s="464" t="s">
        <v>1930</v>
      </c>
      <c r="E16" s="464" t="s">
        <v>1941</v>
      </c>
      <c r="F16" s="464"/>
      <c r="G16" s="468">
        <v>46</v>
      </c>
      <c r="H16" s="468">
        <v>7176</v>
      </c>
      <c r="I16" s="464">
        <v>1.7037037037037037</v>
      </c>
      <c r="J16" s="464">
        <v>156</v>
      </c>
      <c r="K16" s="468">
        <v>27</v>
      </c>
      <c r="L16" s="468">
        <v>4212</v>
      </c>
      <c r="M16" s="464">
        <v>1</v>
      </c>
      <c r="N16" s="464">
        <v>156</v>
      </c>
      <c r="O16" s="468">
        <v>14</v>
      </c>
      <c r="P16" s="468">
        <v>2184</v>
      </c>
      <c r="Q16" s="491">
        <v>0.51851851851851849</v>
      </c>
      <c r="R16" s="469">
        <v>156</v>
      </c>
    </row>
    <row r="17" spans="1:18" ht="14.45" customHeight="1" x14ac:dyDescent="0.2">
      <c r="A17" s="463"/>
      <c r="B17" s="464" t="s">
        <v>1929</v>
      </c>
      <c r="C17" s="464" t="s">
        <v>444</v>
      </c>
      <c r="D17" s="464" t="s">
        <v>1930</v>
      </c>
      <c r="E17" s="464" t="s">
        <v>1942</v>
      </c>
      <c r="F17" s="464"/>
      <c r="G17" s="468">
        <v>28</v>
      </c>
      <c r="H17" s="468">
        <v>5320</v>
      </c>
      <c r="I17" s="464">
        <v>1.4736842105263157</v>
      </c>
      <c r="J17" s="464">
        <v>190</v>
      </c>
      <c r="K17" s="468">
        <v>19</v>
      </c>
      <c r="L17" s="468">
        <v>3610</v>
      </c>
      <c r="M17" s="464">
        <v>1</v>
      </c>
      <c r="N17" s="464">
        <v>190</v>
      </c>
      <c r="O17" s="468">
        <v>17</v>
      </c>
      <c r="P17" s="468">
        <v>3230</v>
      </c>
      <c r="Q17" s="491">
        <v>0.89473684210526316</v>
      </c>
      <c r="R17" s="469">
        <v>190</v>
      </c>
    </row>
    <row r="18" spans="1:18" ht="14.45" customHeight="1" x14ac:dyDescent="0.2">
      <c r="A18" s="463"/>
      <c r="B18" s="464" t="s">
        <v>1929</v>
      </c>
      <c r="C18" s="464" t="s">
        <v>444</v>
      </c>
      <c r="D18" s="464" t="s">
        <v>1930</v>
      </c>
      <c r="E18" s="464" t="s">
        <v>1943</v>
      </c>
      <c r="F18" s="464"/>
      <c r="G18" s="468">
        <v>5</v>
      </c>
      <c r="H18" s="468">
        <v>420</v>
      </c>
      <c r="I18" s="464">
        <v>0.625</v>
      </c>
      <c r="J18" s="464">
        <v>84</v>
      </c>
      <c r="K18" s="468">
        <v>8</v>
      </c>
      <c r="L18" s="468">
        <v>672</v>
      </c>
      <c r="M18" s="464">
        <v>1</v>
      </c>
      <c r="N18" s="464">
        <v>84</v>
      </c>
      <c r="O18" s="468">
        <v>4</v>
      </c>
      <c r="P18" s="468">
        <v>336</v>
      </c>
      <c r="Q18" s="491">
        <v>0.5</v>
      </c>
      <c r="R18" s="469">
        <v>84</v>
      </c>
    </row>
    <row r="19" spans="1:18" ht="14.45" customHeight="1" x14ac:dyDescent="0.2">
      <c r="A19" s="463"/>
      <c r="B19" s="464" t="s">
        <v>1929</v>
      </c>
      <c r="C19" s="464" t="s">
        <v>444</v>
      </c>
      <c r="D19" s="464" t="s">
        <v>1930</v>
      </c>
      <c r="E19" s="464" t="s">
        <v>1944</v>
      </c>
      <c r="F19" s="464"/>
      <c r="G19" s="468">
        <v>14</v>
      </c>
      <c r="H19" s="468">
        <v>1470</v>
      </c>
      <c r="I19" s="464">
        <v>14</v>
      </c>
      <c r="J19" s="464">
        <v>105</v>
      </c>
      <c r="K19" s="468">
        <v>1</v>
      </c>
      <c r="L19" s="468">
        <v>105</v>
      </c>
      <c r="M19" s="464">
        <v>1</v>
      </c>
      <c r="N19" s="464">
        <v>105</v>
      </c>
      <c r="O19" s="468">
        <v>14</v>
      </c>
      <c r="P19" s="468">
        <v>1470</v>
      </c>
      <c r="Q19" s="491">
        <v>14</v>
      </c>
      <c r="R19" s="469">
        <v>105</v>
      </c>
    </row>
    <row r="20" spans="1:18" ht="14.45" customHeight="1" x14ac:dyDescent="0.2">
      <c r="A20" s="463"/>
      <c r="B20" s="464" t="s">
        <v>1929</v>
      </c>
      <c r="C20" s="464" t="s">
        <v>444</v>
      </c>
      <c r="D20" s="464" t="s">
        <v>1930</v>
      </c>
      <c r="E20" s="464" t="s">
        <v>1945</v>
      </c>
      <c r="F20" s="464"/>
      <c r="G20" s="468">
        <v>13</v>
      </c>
      <c r="H20" s="468">
        <v>7748</v>
      </c>
      <c r="I20" s="464">
        <v>0.8125</v>
      </c>
      <c r="J20" s="464">
        <v>596</v>
      </c>
      <c r="K20" s="468">
        <v>16</v>
      </c>
      <c r="L20" s="468">
        <v>9536</v>
      </c>
      <c r="M20" s="464">
        <v>1</v>
      </c>
      <c r="N20" s="464">
        <v>596</v>
      </c>
      <c r="O20" s="468">
        <v>7</v>
      </c>
      <c r="P20" s="468">
        <v>4172</v>
      </c>
      <c r="Q20" s="491">
        <v>0.4375</v>
      </c>
      <c r="R20" s="469">
        <v>596</v>
      </c>
    </row>
    <row r="21" spans="1:18" ht="14.45" customHeight="1" x14ac:dyDescent="0.2">
      <c r="A21" s="463"/>
      <c r="B21" s="464" t="s">
        <v>1929</v>
      </c>
      <c r="C21" s="464" t="s">
        <v>444</v>
      </c>
      <c r="D21" s="464" t="s">
        <v>1930</v>
      </c>
      <c r="E21" s="464" t="s">
        <v>1946</v>
      </c>
      <c r="F21" s="464"/>
      <c r="G21" s="468">
        <v>4</v>
      </c>
      <c r="H21" s="468">
        <v>2664</v>
      </c>
      <c r="I21" s="464">
        <v>4</v>
      </c>
      <c r="J21" s="464">
        <v>666</v>
      </c>
      <c r="K21" s="468">
        <v>1</v>
      </c>
      <c r="L21" s="468">
        <v>666</v>
      </c>
      <c r="M21" s="464">
        <v>1</v>
      </c>
      <c r="N21" s="464">
        <v>666</v>
      </c>
      <c r="O21" s="468">
        <v>1</v>
      </c>
      <c r="P21" s="468">
        <v>666</v>
      </c>
      <c r="Q21" s="491">
        <v>1</v>
      </c>
      <c r="R21" s="469">
        <v>666</v>
      </c>
    </row>
    <row r="22" spans="1:18" ht="14.45" customHeight="1" x14ac:dyDescent="0.2">
      <c r="A22" s="463"/>
      <c r="B22" s="464" t="s">
        <v>1929</v>
      </c>
      <c r="C22" s="464" t="s">
        <v>444</v>
      </c>
      <c r="D22" s="464" t="s">
        <v>1930</v>
      </c>
      <c r="E22" s="464" t="s">
        <v>1947</v>
      </c>
      <c r="F22" s="464"/>
      <c r="G22" s="468">
        <v>25</v>
      </c>
      <c r="H22" s="468">
        <v>29300</v>
      </c>
      <c r="I22" s="464">
        <v>1.1904761904761905</v>
      </c>
      <c r="J22" s="464">
        <v>1172</v>
      </c>
      <c r="K22" s="468">
        <v>21</v>
      </c>
      <c r="L22" s="468">
        <v>24612</v>
      </c>
      <c r="M22" s="464">
        <v>1</v>
      </c>
      <c r="N22" s="464">
        <v>1172</v>
      </c>
      <c r="O22" s="468">
        <v>21</v>
      </c>
      <c r="P22" s="468">
        <v>24612</v>
      </c>
      <c r="Q22" s="491">
        <v>1</v>
      </c>
      <c r="R22" s="469">
        <v>1172</v>
      </c>
    </row>
    <row r="23" spans="1:18" ht="14.45" customHeight="1" x14ac:dyDescent="0.2">
      <c r="A23" s="463"/>
      <c r="B23" s="464" t="s">
        <v>1929</v>
      </c>
      <c r="C23" s="464" t="s">
        <v>444</v>
      </c>
      <c r="D23" s="464" t="s">
        <v>1930</v>
      </c>
      <c r="E23" s="464" t="s">
        <v>1948</v>
      </c>
      <c r="F23" s="464"/>
      <c r="G23" s="468">
        <v>32</v>
      </c>
      <c r="H23" s="468">
        <v>25600</v>
      </c>
      <c r="I23" s="464">
        <v>1.3333333333333333</v>
      </c>
      <c r="J23" s="464">
        <v>800</v>
      </c>
      <c r="K23" s="468">
        <v>24</v>
      </c>
      <c r="L23" s="468">
        <v>19200</v>
      </c>
      <c r="M23" s="464">
        <v>1</v>
      </c>
      <c r="N23" s="464">
        <v>800</v>
      </c>
      <c r="O23" s="468">
        <v>24</v>
      </c>
      <c r="P23" s="468">
        <v>19200</v>
      </c>
      <c r="Q23" s="491">
        <v>1</v>
      </c>
      <c r="R23" s="469">
        <v>800</v>
      </c>
    </row>
    <row r="24" spans="1:18" ht="14.45" customHeight="1" x14ac:dyDescent="0.2">
      <c r="A24" s="463"/>
      <c r="B24" s="464" t="s">
        <v>1929</v>
      </c>
      <c r="C24" s="464" t="s">
        <v>444</v>
      </c>
      <c r="D24" s="464" t="s">
        <v>1930</v>
      </c>
      <c r="E24" s="464" t="s">
        <v>1949</v>
      </c>
      <c r="F24" s="464"/>
      <c r="G24" s="468">
        <v>11</v>
      </c>
      <c r="H24" s="468">
        <v>8195</v>
      </c>
      <c r="I24" s="464">
        <v>3.6666666666666665</v>
      </c>
      <c r="J24" s="464">
        <v>745</v>
      </c>
      <c r="K24" s="468">
        <v>3</v>
      </c>
      <c r="L24" s="468">
        <v>2235</v>
      </c>
      <c r="M24" s="464">
        <v>1</v>
      </c>
      <c r="N24" s="464">
        <v>745</v>
      </c>
      <c r="O24" s="468">
        <v>14</v>
      </c>
      <c r="P24" s="468">
        <v>10430</v>
      </c>
      <c r="Q24" s="491">
        <v>4.666666666666667</v>
      </c>
      <c r="R24" s="469">
        <v>745</v>
      </c>
    </row>
    <row r="25" spans="1:18" ht="14.45" customHeight="1" x14ac:dyDescent="0.2">
      <c r="A25" s="463"/>
      <c r="B25" s="464" t="s">
        <v>1929</v>
      </c>
      <c r="C25" s="464" t="s">
        <v>444</v>
      </c>
      <c r="D25" s="464" t="s">
        <v>1930</v>
      </c>
      <c r="E25" s="464" t="s">
        <v>1950</v>
      </c>
      <c r="F25" s="464"/>
      <c r="G25" s="468">
        <v>80</v>
      </c>
      <c r="H25" s="468">
        <v>59600</v>
      </c>
      <c r="I25" s="464">
        <v>0.86956521739130432</v>
      </c>
      <c r="J25" s="464">
        <v>745</v>
      </c>
      <c r="K25" s="468">
        <v>92</v>
      </c>
      <c r="L25" s="468">
        <v>68540</v>
      </c>
      <c r="M25" s="464">
        <v>1</v>
      </c>
      <c r="N25" s="464">
        <v>745</v>
      </c>
      <c r="O25" s="468">
        <v>74</v>
      </c>
      <c r="P25" s="468">
        <v>55130</v>
      </c>
      <c r="Q25" s="491">
        <v>0.80434782608695654</v>
      </c>
      <c r="R25" s="469">
        <v>745</v>
      </c>
    </row>
    <row r="26" spans="1:18" ht="14.45" customHeight="1" x14ac:dyDescent="0.2">
      <c r="A26" s="463"/>
      <c r="B26" s="464" t="s">
        <v>1929</v>
      </c>
      <c r="C26" s="464" t="s">
        <v>444</v>
      </c>
      <c r="D26" s="464" t="s">
        <v>1930</v>
      </c>
      <c r="E26" s="464" t="s">
        <v>1951</v>
      </c>
      <c r="F26" s="464"/>
      <c r="G26" s="468">
        <v>7</v>
      </c>
      <c r="H26" s="468">
        <v>4144</v>
      </c>
      <c r="I26" s="464">
        <v>1</v>
      </c>
      <c r="J26" s="464">
        <v>592</v>
      </c>
      <c r="K26" s="468">
        <v>7</v>
      </c>
      <c r="L26" s="468">
        <v>4144</v>
      </c>
      <c r="M26" s="464">
        <v>1</v>
      </c>
      <c r="N26" s="464">
        <v>592</v>
      </c>
      <c r="O26" s="468"/>
      <c r="P26" s="468"/>
      <c r="Q26" s="491"/>
      <c r="R26" s="469"/>
    </row>
    <row r="27" spans="1:18" ht="14.45" customHeight="1" x14ac:dyDescent="0.2">
      <c r="A27" s="463"/>
      <c r="B27" s="464" t="s">
        <v>1929</v>
      </c>
      <c r="C27" s="464" t="s">
        <v>444</v>
      </c>
      <c r="D27" s="464" t="s">
        <v>1930</v>
      </c>
      <c r="E27" s="464" t="s">
        <v>1952</v>
      </c>
      <c r="F27" s="464"/>
      <c r="G27" s="468">
        <v>83</v>
      </c>
      <c r="H27" s="468">
        <v>46563</v>
      </c>
      <c r="I27" s="464">
        <v>1.2575757575757576</v>
      </c>
      <c r="J27" s="464">
        <v>561</v>
      </c>
      <c r="K27" s="468">
        <v>66</v>
      </c>
      <c r="L27" s="468">
        <v>37026</v>
      </c>
      <c r="M27" s="464">
        <v>1</v>
      </c>
      <c r="N27" s="464">
        <v>561</v>
      </c>
      <c r="O27" s="468">
        <v>77</v>
      </c>
      <c r="P27" s="468">
        <v>43197</v>
      </c>
      <c r="Q27" s="491">
        <v>1.1666666666666667</v>
      </c>
      <c r="R27" s="469">
        <v>561</v>
      </c>
    </row>
    <row r="28" spans="1:18" ht="14.45" customHeight="1" x14ac:dyDescent="0.2">
      <c r="A28" s="463"/>
      <c r="B28" s="464" t="s">
        <v>1929</v>
      </c>
      <c r="C28" s="464" t="s">
        <v>444</v>
      </c>
      <c r="D28" s="464" t="s">
        <v>1930</v>
      </c>
      <c r="E28" s="464" t="s">
        <v>1953</v>
      </c>
      <c r="F28" s="464"/>
      <c r="G28" s="468">
        <v>111</v>
      </c>
      <c r="H28" s="468">
        <v>57609</v>
      </c>
      <c r="I28" s="464">
        <v>1.2197802197802199</v>
      </c>
      <c r="J28" s="464">
        <v>519</v>
      </c>
      <c r="K28" s="468">
        <v>91</v>
      </c>
      <c r="L28" s="468">
        <v>47229</v>
      </c>
      <c r="M28" s="464">
        <v>1</v>
      </c>
      <c r="N28" s="464">
        <v>519</v>
      </c>
      <c r="O28" s="468">
        <v>55</v>
      </c>
      <c r="P28" s="468">
        <v>28545</v>
      </c>
      <c r="Q28" s="491">
        <v>0.60439560439560436</v>
      </c>
      <c r="R28" s="469">
        <v>519</v>
      </c>
    </row>
    <row r="29" spans="1:18" ht="14.45" customHeight="1" x14ac:dyDescent="0.2">
      <c r="A29" s="463"/>
      <c r="B29" s="464" t="s">
        <v>1929</v>
      </c>
      <c r="C29" s="464" t="s">
        <v>444</v>
      </c>
      <c r="D29" s="464" t="s">
        <v>1930</v>
      </c>
      <c r="E29" s="464" t="s">
        <v>1954</v>
      </c>
      <c r="F29" s="464"/>
      <c r="G29" s="468">
        <v>5</v>
      </c>
      <c r="H29" s="468">
        <v>1605</v>
      </c>
      <c r="I29" s="464">
        <v>0.83333333333333337</v>
      </c>
      <c r="J29" s="464">
        <v>321</v>
      </c>
      <c r="K29" s="468">
        <v>6</v>
      </c>
      <c r="L29" s="468">
        <v>1926</v>
      </c>
      <c r="M29" s="464">
        <v>1</v>
      </c>
      <c r="N29" s="464">
        <v>321</v>
      </c>
      <c r="O29" s="468">
        <v>2</v>
      </c>
      <c r="P29" s="468">
        <v>642</v>
      </c>
      <c r="Q29" s="491">
        <v>0.33333333333333331</v>
      </c>
      <c r="R29" s="469">
        <v>321</v>
      </c>
    </row>
    <row r="30" spans="1:18" ht="14.45" customHeight="1" x14ac:dyDescent="0.2">
      <c r="A30" s="463"/>
      <c r="B30" s="464" t="s">
        <v>1929</v>
      </c>
      <c r="C30" s="464" t="s">
        <v>444</v>
      </c>
      <c r="D30" s="464" t="s">
        <v>1930</v>
      </c>
      <c r="E30" s="464" t="s">
        <v>1955</v>
      </c>
      <c r="F30" s="464"/>
      <c r="G30" s="468">
        <v>4</v>
      </c>
      <c r="H30" s="468">
        <v>1284</v>
      </c>
      <c r="I30" s="464">
        <v>0.25</v>
      </c>
      <c r="J30" s="464">
        <v>321</v>
      </c>
      <c r="K30" s="468">
        <v>16</v>
      </c>
      <c r="L30" s="468">
        <v>5136</v>
      </c>
      <c r="M30" s="464">
        <v>1</v>
      </c>
      <c r="N30" s="464">
        <v>321</v>
      </c>
      <c r="O30" s="468">
        <v>4</v>
      </c>
      <c r="P30" s="468">
        <v>1284</v>
      </c>
      <c r="Q30" s="491">
        <v>0.25</v>
      </c>
      <c r="R30" s="469">
        <v>321</v>
      </c>
    </row>
    <row r="31" spans="1:18" ht="14.45" customHeight="1" x14ac:dyDescent="0.2">
      <c r="A31" s="463"/>
      <c r="B31" s="464" t="s">
        <v>1929</v>
      </c>
      <c r="C31" s="464" t="s">
        <v>444</v>
      </c>
      <c r="D31" s="464" t="s">
        <v>1930</v>
      </c>
      <c r="E31" s="464" t="s">
        <v>1956</v>
      </c>
      <c r="F31" s="464"/>
      <c r="G31" s="468">
        <v>82</v>
      </c>
      <c r="H31" s="468">
        <v>26322</v>
      </c>
      <c r="I31" s="464">
        <v>1.3225806451612903</v>
      </c>
      <c r="J31" s="464">
        <v>321</v>
      </c>
      <c r="K31" s="468">
        <v>62</v>
      </c>
      <c r="L31" s="468">
        <v>19902</v>
      </c>
      <c r="M31" s="464">
        <v>1</v>
      </c>
      <c r="N31" s="464">
        <v>321</v>
      </c>
      <c r="O31" s="468">
        <v>29</v>
      </c>
      <c r="P31" s="468">
        <v>9309</v>
      </c>
      <c r="Q31" s="491">
        <v>0.46774193548387094</v>
      </c>
      <c r="R31" s="469">
        <v>321</v>
      </c>
    </row>
    <row r="32" spans="1:18" ht="14.45" customHeight="1" x14ac:dyDescent="0.2">
      <c r="A32" s="463"/>
      <c r="B32" s="464" t="s">
        <v>1929</v>
      </c>
      <c r="C32" s="464" t="s">
        <v>444</v>
      </c>
      <c r="D32" s="464" t="s">
        <v>1930</v>
      </c>
      <c r="E32" s="464" t="s">
        <v>1957</v>
      </c>
      <c r="F32" s="464"/>
      <c r="G32" s="468">
        <v>5</v>
      </c>
      <c r="H32" s="468">
        <v>6150</v>
      </c>
      <c r="I32" s="464">
        <v>5</v>
      </c>
      <c r="J32" s="464">
        <v>1230</v>
      </c>
      <c r="K32" s="468">
        <v>1</v>
      </c>
      <c r="L32" s="468">
        <v>1230</v>
      </c>
      <c r="M32" s="464">
        <v>1</v>
      </c>
      <c r="N32" s="464">
        <v>1230</v>
      </c>
      <c r="O32" s="468"/>
      <c r="P32" s="468"/>
      <c r="Q32" s="491"/>
      <c r="R32" s="469"/>
    </row>
    <row r="33" spans="1:18" ht="14.45" customHeight="1" x14ac:dyDescent="0.2">
      <c r="A33" s="463"/>
      <c r="B33" s="464" t="s">
        <v>1929</v>
      </c>
      <c r="C33" s="464" t="s">
        <v>444</v>
      </c>
      <c r="D33" s="464" t="s">
        <v>1930</v>
      </c>
      <c r="E33" s="464" t="s">
        <v>1958</v>
      </c>
      <c r="F33" s="464"/>
      <c r="G33" s="468">
        <v>109</v>
      </c>
      <c r="H33" s="468">
        <v>30738</v>
      </c>
      <c r="I33" s="464">
        <v>1.0380952380952382</v>
      </c>
      <c r="J33" s="464">
        <v>282</v>
      </c>
      <c r="K33" s="468">
        <v>105</v>
      </c>
      <c r="L33" s="468">
        <v>29610</v>
      </c>
      <c r="M33" s="464">
        <v>1</v>
      </c>
      <c r="N33" s="464">
        <v>282</v>
      </c>
      <c r="O33" s="468">
        <v>68</v>
      </c>
      <c r="P33" s="468">
        <v>19176</v>
      </c>
      <c r="Q33" s="491">
        <v>0.64761904761904765</v>
      </c>
      <c r="R33" s="469">
        <v>282</v>
      </c>
    </row>
    <row r="34" spans="1:18" ht="14.45" customHeight="1" x14ac:dyDescent="0.2">
      <c r="A34" s="463"/>
      <c r="B34" s="464" t="s">
        <v>1929</v>
      </c>
      <c r="C34" s="464" t="s">
        <v>444</v>
      </c>
      <c r="D34" s="464" t="s">
        <v>1930</v>
      </c>
      <c r="E34" s="464" t="s">
        <v>1959</v>
      </c>
      <c r="F34" s="464"/>
      <c r="G34" s="468">
        <v>43</v>
      </c>
      <c r="H34" s="468">
        <v>29197</v>
      </c>
      <c r="I34" s="464">
        <v>1.075</v>
      </c>
      <c r="J34" s="464">
        <v>679</v>
      </c>
      <c r="K34" s="468">
        <v>40</v>
      </c>
      <c r="L34" s="468">
        <v>27160</v>
      </c>
      <c r="M34" s="464">
        <v>1</v>
      </c>
      <c r="N34" s="464">
        <v>679</v>
      </c>
      <c r="O34" s="468">
        <v>36</v>
      </c>
      <c r="P34" s="468">
        <v>24444</v>
      </c>
      <c r="Q34" s="491">
        <v>0.9</v>
      </c>
      <c r="R34" s="469">
        <v>679</v>
      </c>
    </row>
    <row r="35" spans="1:18" ht="14.45" customHeight="1" x14ac:dyDescent="0.2">
      <c r="A35" s="463"/>
      <c r="B35" s="464" t="s">
        <v>1929</v>
      </c>
      <c r="C35" s="464" t="s">
        <v>444</v>
      </c>
      <c r="D35" s="464" t="s">
        <v>1930</v>
      </c>
      <c r="E35" s="464" t="s">
        <v>1960</v>
      </c>
      <c r="F35" s="464"/>
      <c r="G35" s="468">
        <v>25</v>
      </c>
      <c r="H35" s="468">
        <v>23225</v>
      </c>
      <c r="I35" s="464">
        <v>1.3888888888888888</v>
      </c>
      <c r="J35" s="464">
        <v>929</v>
      </c>
      <c r="K35" s="468">
        <v>18</v>
      </c>
      <c r="L35" s="468">
        <v>16722</v>
      </c>
      <c r="M35" s="464">
        <v>1</v>
      </c>
      <c r="N35" s="464">
        <v>929</v>
      </c>
      <c r="O35" s="468">
        <v>9</v>
      </c>
      <c r="P35" s="468">
        <v>8361</v>
      </c>
      <c r="Q35" s="491">
        <v>0.5</v>
      </c>
      <c r="R35" s="469">
        <v>929</v>
      </c>
    </row>
    <row r="36" spans="1:18" ht="14.45" customHeight="1" x14ac:dyDescent="0.2">
      <c r="A36" s="463"/>
      <c r="B36" s="464" t="s">
        <v>1929</v>
      </c>
      <c r="C36" s="464" t="s">
        <v>444</v>
      </c>
      <c r="D36" s="464" t="s">
        <v>1930</v>
      </c>
      <c r="E36" s="464" t="s">
        <v>1961</v>
      </c>
      <c r="F36" s="464"/>
      <c r="G36" s="468"/>
      <c r="H36" s="468"/>
      <c r="I36" s="464"/>
      <c r="J36" s="464"/>
      <c r="K36" s="468">
        <v>1</v>
      </c>
      <c r="L36" s="468">
        <v>208</v>
      </c>
      <c r="M36" s="464">
        <v>1</v>
      </c>
      <c r="N36" s="464">
        <v>208</v>
      </c>
      <c r="O36" s="468"/>
      <c r="P36" s="468"/>
      <c r="Q36" s="491"/>
      <c r="R36" s="469"/>
    </row>
    <row r="37" spans="1:18" ht="14.45" customHeight="1" x14ac:dyDescent="0.2">
      <c r="A37" s="463"/>
      <c r="B37" s="464" t="s">
        <v>1929</v>
      </c>
      <c r="C37" s="464" t="s">
        <v>444</v>
      </c>
      <c r="D37" s="464" t="s">
        <v>1930</v>
      </c>
      <c r="E37" s="464" t="s">
        <v>1962</v>
      </c>
      <c r="F37" s="464"/>
      <c r="G37" s="468">
        <v>63</v>
      </c>
      <c r="H37" s="468">
        <v>126000</v>
      </c>
      <c r="I37" s="464">
        <v>1.26</v>
      </c>
      <c r="J37" s="464">
        <v>2000</v>
      </c>
      <c r="K37" s="468">
        <v>50</v>
      </c>
      <c r="L37" s="468">
        <v>100000</v>
      </c>
      <c r="M37" s="464">
        <v>1</v>
      </c>
      <c r="N37" s="464">
        <v>2000</v>
      </c>
      <c r="O37" s="468">
        <v>75</v>
      </c>
      <c r="P37" s="468">
        <v>150000</v>
      </c>
      <c r="Q37" s="491">
        <v>1.5</v>
      </c>
      <c r="R37" s="469">
        <v>2000</v>
      </c>
    </row>
    <row r="38" spans="1:18" ht="14.45" customHeight="1" x14ac:dyDescent="0.2">
      <c r="A38" s="463"/>
      <c r="B38" s="464" t="s">
        <v>1929</v>
      </c>
      <c r="C38" s="464" t="s">
        <v>444</v>
      </c>
      <c r="D38" s="464" t="s">
        <v>1930</v>
      </c>
      <c r="E38" s="464" t="s">
        <v>1963</v>
      </c>
      <c r="F38" s="464"/>
      <c r="G38" s="468">
        <v>20</v>
      </c>
      <c r="H38" s="468">
        <v>40480</v>
      </c>
      <c r="I38" s="464">
        <v>2</v>
      </c>
      <c r="J38" s="464">
        <v>2024</v>
      </c>
      <c r="K38" s="468">
        <v>10</v>
      </c>
      <c r="L38" s="468">
        <v>20240</v>
      </c>
      <c r="M38" s="464">
        <v>1</v>
      </c>
      <c r="N38" s="464">
        <v>2024</v>
      </c>
      <c r="O38" s="468">
        <v>19</v>
      </c>
      <c r="P38" s="468">
        <v>38456</v>
      </c>
      <c r="Q38" s="491">
        <v>1.9</v>
      </c>
      <c r="R38" s="469">
        <v>2024</v>
      </c>
    </row>
    <row r="39" spans="1:18" ht="14.45" customHeight="1" x14ac:dyDescent="0.2">
      <c r="A39" s="463"/>
      <c r="B39" s="464" t="s">
        <v>1929</v>
      </c>
      <c r="C39" s="464" t="s">
        <v>444</v>
      </c>
      <c r="D39" s="464" t="s">
        <v>1930</v>
      </c>
      <c r="E39" s="464" t="s">
        <v>1964</v>
      </c>
      <c r="F39" s="464"/>
      <c r="G39" s="468">
        <v>2</v>
      </c>
      <c r="H39" s="468">
        <v>3810</v>
      </c>
      <c r="I39" s="464">
        <v>0.23694029850746268</v>
      </c>
      <c r="J39" s="464">
        <v>1905</v>
      </c>
      <c r="K39" s="468">
        <v>8</v>
      </c>
      <c r="L39" s="468">
        <v>16080</v>
      </c>
      <c r="M39" s="464">
        <v>1</v>
      </c>
      <c r="N39" s="464">
        <v>2010</v>
      </c>
      <c r="O39" s="468">
        <v>5</v>
      </c>
      <c r="P39" s="468">
        <v>10050</v>
      </c>
      <c r="Q39" s="491">
        <v>0.625</v>
      </c>
      <c r="R39" s="469">
        <v>2010</v>
      </c>
    </row>
    <row r="40" spans="1:18" ht="14.45" customHeight="1" x14ac:dyDescent="0.2">
      <c r="A40" s="463"/>
      <c r="B40" s="464" t="s">
        <v>1929</v>
      </c>
      <c r="C40" s="464" t="s">
        <v>444</v>
      </c>
      <c r="D40" s="464" t="s">
        <v>1930</v>
      </c>
      <c r="E40" s="464" t="s">
        <v>1965</v>
      </c>
      <c r="F40" s="464"/>
      <c r="G40" s="468">
        <v>5</v>
      </c>
      <c r="H40" s="468">
        <v>10730</v>
      </c>
      <c r="I40" s="464">
        <v>5</v>
      </c>
      <c r="J40" s="464">
        <v>2146</v>
      </c>
      <c r="K40" s="468">
        <v>1</v>
      </c>
      <c r="L40" s="468">
        <v>2146</v>
      </c>
      <c r="M40" s="464">
        <v>1</v>
      </c>
      <c r="N40" s="464">
        <v>2146</v>
      </c>
      <c r="O40" s="468">
        <v>4</v>
      </c>
      <c r="P40" s="468">
        <v>8584</v>
      </c>
      <c r="Q40" s="491">
        <v>4</v>
      </c>
      <c r="R40" s="469">
        <v>2146</v>
      </c>
    </row>
    <row r="41" spans="1:18" ht="14.45" customHeight="1" x14ac:dyDescent="0.2">
      <c r="A41" s="463"/>
      <c r="B41" s="464" t="s">
        <v>1929</v>
      </c>
      <c r="C41" s="464" t="s">
        <v>444</v>
      </c>
      <c r="D41" s="464" t="s">
        <v>1930</v>
      </c>
      <c r="E41" s="464" t="s">
        <v>1966</v>
      </c>
      <c r="F41" s="464"/>
      <c r="G41" s="468">
        <v>1</v>
      </c>
      <c r="H41" s="468">
        <v>1246</v>
      </c>
      <c r="I41" s="464">
        <v>0.5</v>
      </c>
      <c r="J41" s="464">
        <v>1246</v>
      </c>
      <c r="K41" s="468">
        <v>2</v>
      </c>
      <c r="L41" s="468">
        <v>2492</v>
      </c>
      <c r="M41" s="464">
        <v>1</v>
      </c>
      <c r="N41" s="464">
        <v>1246</v>
      </c>
      <c r="O41" s="468">
        <v>3</v>
      </c>
      <c r="P41" s="468">
        <v>3738</v>
      </c>
      <c r="Q41" s="491">
        <v>1.5</v>
      </c>
      <c r="R41" s="469">
        <v>1246</v>
      </c>
    </row>
    <row r="42" spans="1:18" ht="14.45" customHeight="1" x14ac:dyDescent="0.2">
      <c r="A42" s="463"/>
      <c r="B42" s="464" t="s">
        <v>1929</v>
      </c>
      <c r="C42" s="464" t="s">
        <v>444</v>
      </c>
      <c r="D42" s="464" t="s">
        <v>1930</v>
      </c>
      <c r="E42" s="464" t="s">
        <v>1967</v>
      </c>
      <c r="F42" s="464"/>
      <c r="G42" s="468">
        <v>1</v>
      </c>
      <c r="H42" s="468">
        <v>1345</v>
      </c>
      <c r="I42" s="464">
        <v>0.33333333333333331</v>
      </c>
      <c r="J42" s="464">
        <v>1345</v>
      </c>
      <c r="K42" s="468">
        <v>3</v>
      </c>
      <c r="L42" s="468">
        <v>4035</v>
      </c>
      <c r="M42" s="464">
        <v>1</v>
      </c>
      <c r="N42" s="464">
        <v>1345</v>
      </c>
      <c r="O42" s="468">
        <v>1</v>
      </c>
      <c r="P42" s="468">
        <v>1345</v>
      </c>
      <c r="Q42" s="491">
        <v>0.33333333333333331</v>
      </c>
      <c r="R42" s="469">
        <v>1345</v>
      </c>
    </row>
    <row r="43" spans="1:18" ht="14.45" customHeight="1" x14ac:dyDescent="0.2">
      <c r="A43" s="463"/>
      <c r="B43" s="464" t="s">
        <v>1929</v>
      </c>
      <c r="C43" s="464" t="s">
        <v>444</v>
      </c>
      <c r="D43" s="464" t="s">
        <v>1930</v>
      </c>
      <c r="E43" s="464" t="s">
        <v>1968</v>
      </c>
      <c r="F43" s="464"/>
      <c r="G43" s="468">
        <v>106</v>
      </c>
      <c r="H43" s="468">
        <v>413400</v>
      </c>
      <c r="I43" s="464">
        <v>1.2926829268292683</v>
      </c>
      <c r="J43" s="464">
        <v>3900</v>
      </c>
      <c r="K43" s="468">
        <v>82</v>
      </c>
      <c r="L43" s="468">
        <v>319800</v>
      </c>
      <c r="M43" s="464">
        <v>1</v>
      </c>
      <c r="N43" s="464">
        <v>3900</v>
      </c>
      <c r="O43" s="468">
        <v>68</v>
      </c>
      <c r="P43" s="468">
        <v>265200</v>
      </c>
      <c r="Q43" s="491">
        <v>0.82926829268292679</v>
      </c>
      <c r="R43" s="469">
        <v>3900</v>
      </c>
    </row>
    <row r="44" spans="1:18" ht="14.45" customHeight="1" x14ac:dyDescent="0.2">
      <c r="A44" s="463"/>
      <c r="B44" s="464" t="s">
        <v>1929</v>
      </c>
      <c r="C44" s="464" t="s">
        <v>444</v>
      </c>
      <c r="D44" s="464" t="s">
        <v>1930</v>
      </c>
      <c r="E44" s="464" t="s">
        <v>1969</v>
      </c>
      <c r="F44" s="464"/>
      <c r="G44" s="468">
        <v>66</v>
      </c>
      <c r="H44" s="468">
        <v>257400</v>
      </c>
      <c r="I44" s="464">
        <v>1.346938775510204</v>
      </c>
      <c r="J44" s="464">
        <v>3900</v>
      </c>
      <c r="K44" s="468">
        <v>49</v>
      </c>
      <c r="L44" s="468">
        <v>191100</v>
      </c>
      <c r="M44" s="464">
        <v>1</v>
      </c>
      <c r="N44" s="464">
        <v>3900</v>
      </c>
      <c r="O44" s="468">
        <v>28</v>
      </c>
      <c r="P44" s="468">
        <v>109200</v>
      </c>
      <c r="Q44" s="491">
        <v>0.5714285714285714</v>
      </c>
      <c r="R44" s="469">
        <v>3900</v>
      </c>
    </row>
    <row r="45" spans="1:18" ht="14.45" customHeight="1" x14ac:dyDescent="0.2">
      <c r="A45" s="463"/>
      <c r="B45" s="464" t="s">
        <v>1929</v>
      </c>
      <c r="C45" s="464" t="s">
        <v>444</v>
      </c>
      <c r="D45" s="464" t="s">
        <v>1930</v>
      </c>
      <c r="E45" s="464" t="s">
        <v>1970</v>
      </c>
      <c r="F45" s="464"/>
      <c r="G45" s="468">
        <v>9</v>
      </c>
      <c r="H45" s="468">
        <v>12159</v>
      </c>
      <c r="I45" s="464">
        <v>1.8</v>
      </c>
      <c r="J45" s="464">
        <v>1351</v>
      </c>
      <c r="K45" s="468">
        <v>5</v>
      </c>
      <c r="L45" s="468">
        <v>6755</v>
      </c>
      <c r="M45" s="464">
        <v>1</v>
      </c>
      <c r="N45" s="464">
        <v>1351</v>
      </c>
      <c r="O45" s="468">
        <v>4</v>
      </c>
      <c r="P45" s="468">
        <v>5404</v>
      </c>
      <c r="Q45" s="491">
        <v>0.8</v>
      </c>
      <c r="R45" s="469">
        <v>1351</v>
      </c>
    </row>
    <row r="46" spans="1:18" ht="14.45" customHeight="1" x14ac:dyDescent="0.2">
      <c r="A46" s="463"/>
      <c r="B46" s="464" t="s">
        <v>1929</v>
      </c>
      <c r="C46" s="464" t="s">
        <v>444</v>
      </c>
      <c r="D46" s="464" t="s">
        <v>1930</v>
      </c>
      <c r="E46" s="464" t="s">
        <v>1971</v>
      </c>
      <c r="F46" s="464"/>
      <c r="G46" s="468">
        <v>16</v>
      </c>
      <c r="H46" s="468">
        <v>2624</v>
      </c>
      <c r="I46" s="464">
        <v>1.2307692307692308</v>
      </c>
      <c r="J46" s="464">
        <v>164</v>
      </c>
      <c r="K46" s="468">
        <v>13</v>
      </c>
      <c r="L46" s="468">
        <v>2132</v>
      </c>
      <c r="M46" s="464">
        <v>1</v>
      </c>
      <c r="N46" s="464">
        <v>164</v>
      </c>
      <c r="O46" s="468">
        <v>22</v>
      </c>
      <c r="P46" s="468">
        <v>3608</v>
      </c>
      <c r="Q46" s="491">
        <v>1.6923076923076923</v>
      </c>
      <c r="R46" s="469">
        <v>164</v>
      </c>
    </row>
    <row r="47" spans="1:18" ht="14.45" customHeight="1" x14ac:dyDescent="0.2">
      <c r="A47" s="463"/>
      <c r="B47" s="464" t="s">
        <v>1929</v>
      </c>
      <c r="C47" s="464" t="s">
        <v>444</v>
      </c>
      <c r="D47" s="464" t="s">
        <v>1930</v>
      </c>
      <c r="E47" s="464" t="s">
        <v>1972</v>
      </c>
      <c r="F47" s="464"/>
      <c r="G47" s="468">
        <v>58</v>
      </c>
      <c r="H47" s="468">
        <v>13050</v>
      </c>
      <c r="I47" s="464">
        <v>1.0943396226415094</v>
      </c>
      <c r="J47" s="464">
        <v>225</v>
      </c>
      <c r="K47" s="468">
        <v>53</v>
      </c>
      <c r="L47" s="468">
        <v>11925</v>
      </c>
      <c r="M47" s="464">
        <v>1</v>
      </c>
      <c r="N47" s="464">
        <v>225</v>
      </c>
      <c r="O47" s="468">
        <v>46</v>
      </c>
      <c r="P47" s="468">
        <v>10350</v>
      </c>
      <c r="Q47" s="491">
        <v>0.86792452830188682</v>
      </c>
      <c r="R47" s="469">
        <v>225</v>
      </c>
    </row>
    <row r="48" spans="1:18" ht="14.45" customHeight="1" x14ac:dyDescent="0.2">
      <c r="A48" s="463"/>
      <c r="B48" s="464" t="s">
        <v>1929</v>
      </c>
      <c r="C48" s="464" t="s">
        <v>444</v>
      </c>
      <c r="D48" s="464" t="s">
        <v>1930</v>
      </c>
      <c r="E48" s="464" t="s">
        <v>1973</v>
      </c>
      <c r="F48" s="464"/>
      <c r="G48" s="468">
        <v>18</v>
      </c>
      <c r="H48" s="468">
        <v>6534</v>
      </c>
      <c r="I48" s="464">
        <v>0.75</v>
      </c>
      <c r="J48" s="464">
        <v>363</v>
      </c>
      <c r="K48" s="468">
        <v>24</v>
      </c>
      <c r="L48" s="468">
        <v>8712</v>
      </c>
      <c r="M48" s="464">
        <v>1</v>
      </c>
      <c r="N48" s="464">
        <v>363</v>
      </c>
      <c r="O48" s="468">
        <v>12</v>
      </c>
      <c r="P48" s="468">
        <v>4356</v>
      </c>
      <c r="Q48" s="491">
        <v>0.5</v>
      </c>
      <c r="R48" s="469">
        <v>363</v>
      </c>
    </row>
    <row r="49" spans="1:18" ht="14.45" customHeight="1" x14ac:dyDescent="0.2">
      <c r="A49" s="463"/>
      <c r="B49" s="464" t="s">
        <v>1929</v>
      </c>
      <c r="C49" s="464" t="s">
        <v>444</v>
      </c>
      <c r="D49" s="464" t="s">
        <v>1930</v>
      </c>
      <c r="E49" s="464" t="s">
        <v>1974</v>
      </c>
      <c r="F49" s="464"/>
      <c r="G49" s="468">
        <v>27</v>
      </c>
      <c r="H49" s="468">
        <v>15849</v>
      </c>
      <c r="I49" s="464">
        <v>0.84375</v>
      </c>
      <c r="J49" s="464">
        <v>587</v>
      </c>
      <c r="K49" s="468">
        <v>32</v>
      </c>
      <c r="L49" s="468">
        <v>18784</v>
      </c>
      <c r="M49" s="464">
        <v>1</v>
      </c>
      <c r="N49" s="464">
        <v>587</v>
      </c>
      <c r="O49" s="468">
        <v>24</v>
      </c>
      <c r="P49" s="468">
        <v>14088</v>
      </c>
      <c r="Q49" s="491">
        <v>0.75</v>
      </c>
      <c r="R49" s="469">
        <v>587</v>
      </c>
    </row>
    <row r="50" spans="1:18" ht="14.45" customHeight="1" x14ac:dyDescent="0.2">
      <c r="A50" s="463"/>
      <c r="B50" s="464" t="s">
        <v>1929</v>
      </c>
      <c r="C50" s="464" t="s">
        <v>444</v>
      </c>
      <c r="D50" s="464" t="s">
        <v>1930</v>
      </c>
      <c r="E50" s="464" t="s">
        <v>1975</v>
      </c>
      <c r="F50" s="464"/>
      <c r="G50" s="468">
        <v>6</v>
      </c>
      <c r="H50" s="468">
        <v>3600</v>
      </c>
      <c r="I50" s="464">
        <v>0.66666666666666663</v>
      </c>
      <c r="J50" s="464">
        <v>600</v>
      </c>
      <c r="K50" s="468">
        <v>9</v>
      </c>
      <c r="L50" s="468">
        <v>5400</v>
      </c>
      <c r="M50" s="464">
        <v>1</v>
      </c>
      <c r="N50" s="464">
        <v>600</v>
      </c>
      <c r="O50" s="468">
        <v>3</v>
      </c>
      <c r="P50" s="468">
        <v>1800</v>
      </c>
      <c r="Q50" s="491">
        <v>0.33333333333333331</v>
      </c>
      <c r="R50" s="469">
        <v>600</v>
      </c>
    </row>
    <row r="51" spans="1:18" ht="14.45" customHeight="1" x14ac:dyDescent="0.2">
      <c r="A51" s="463"/>
      <c r="B51" s="464" t="s">
        <v>1929</v>
      </c>
      <c r="C51" s="464" t="s">
        <v>444</v>
      </c>
      <c r="D51" s="464" t="s">
        <v>1930</v>
      </c>
      <c r="E51" s="464" t="s">
        <v>1976</v>
      </c>
      <c r="F51" s="464"/>
      <c r="G51" s="468">
        <v>2</v>
      </c>
      <c r="H51" s="468">
        <v>8462</v>
      </c>
      <c r="I51" s="464">
        <v>2</v>
      </c>
      <c r="J51" s="464">
        <v>4231</v>
      </c>
      <c r="K51" s="468">
        <v>1</v>
      </c>
      <c r="L51" s="468">
        <v>4231</v>
      </c>
      <c r="M51" s="464">
        <v>1</v>
      </c>
      <c r="N51" s="464">
        <v>4231</v>
      </c>
      <c r="O51" s="468">
        <v>1</v>
      </c>
      <c r="P51" s="468">
        <v>4231</v>
      </c>
      <c r="Q51" s="491">
        <v>1</v>
      </c>
      <c r="R51" s="469">
        <v>4231</v>
      </c>
    </row>
    <row r="52" spans="1:18" ht="14.45" customHeight="1" x14ac:dyDescent="0.2">
      <c r="A52" s="463"/>
      <c r="B52" s="464" t="s">
        <v>1929</v>
      </c>
      <c r="C52" s="464" t="s">
        <v>444</v>
      </c>
      <c r="D52" s="464" t="s">
        <v>1930</v>
      </c>
      <c r="E52" s="464" t="s">
        <v>1977</v>
      </c>
      <c r="F52" s="464"/>
      <c r="G52" s="468">
        <v>2</v>
      </c>
      <c r="H52" s="468">
        <v>8718</v>
      </c>
      <c r="I52" s="464"/>
      <c r="J52" s="464">
        <v>4359</v>
      </c>
      <c r="K52" s="468"/>
      <c r="L52" s="468"/>
      <c r="M52" s="464"/>
      <c r="N52" s="464"/>
      <c r="O52" s="468"/>
      <c r="P52" s="468"/>
      <c r="Q52" s="491"/>
      <c r="R52" s="469"/>
    </row>
    <row r="53" spans="1:18" ht="14.45" customHeight="1" x14ac:dyDescent="0.2">
      <c r="A53" s="463"/>
      <c r="B53" s="464" t="s">
        <v>1929</v>
      </c>
      <c r="C53" s="464" t="s">
        <v>444</v>
      </c>
      <c r="D53" s="464" t="s">
        <v>1930</v>
      </c>
      <c r="E53" s="464" t="s">
        <v>1978</v>
      </c>
      <c r="F53" s="464"/>
      <c r="G53" s="468">
        <v>1</v>
      </c>
      <c r="H53" s="468">
        <v>1008</v>
      </c>
      <c r="I53" s="464">
        <v>1</v>
      </c>
      <c r="J53" s="464">
        <v>1008</v>
      </c>
      <c r="K53" s="468">
        <v>1</v>
      </c>
      <c r="L53" s="468">
        <v>1008</v>
      </c>
      <c r="M53" s="464">
        <v>1</v>
      </c>
      <c r="N53" s="464">
        <v>1008</v>
      </c>
      <c r="O53" s="468">
        <v>10</v>
      </c>
      <c r="P53" s="468">
        <v>10080</v>
      </c>
      <c r="Q53" s="491">
        <v>10</v>
      </c>
      <c r="R53" s="469">
        <v>1008</v>
      </c>
    </row>
    <row r="54" spans="1:18" ht="14.45" customHeight="1" x14ac:dyDescent="0.2">
      <c r="A54" s="463"/>
      <c r="B54" s="464" t="s">
        <v>1929</v>
      </c>
      <c r="C54" s="464" t="s">
        <v>444</v>
      </c>
      <c r="D54" s="464" t="s">
        <v>1930</v>
      </c>
      <c r="E54" s="464" t="s">
        <v>1979</v>
      </c>
      <c r="F54" s="464"/>
      <c r="G54" s="468">
        <v>4</v>
      </c>
      <c r="H54" s="468">
        <v>2980</v>
      </c>
      <c r="I54" s="464">
        <v>1.3333333333333333</v>
      </c>
      <c r="J54" s="464">
        <v>745</v>
      </c>
      <c r="K54" s="468">
        <v>3</v>
      </c>
      <c r="L54" s="468">
        <v>2235</v>
      </c>
      <c r="M54" s="464">
        <v>1</v>
      </c>
      <c r="N54" s="464">
        <v>745</v>
      </c>
      <c r="O54" s="468">
        <v>7</v>
      </c>
      <c r="P54" s="468">
        <v>5215</v>
      </c>
      <c r="Q54" s="491">
        <v>2.3333333333333335</v>
      </c>
      <c r="R54" s="469">
        <v>745</v>
      </c>
    </row>
    <row r="55" spans="1:18" ht="14.45" customHeight="1" x14ac:dyDescent="0.2">
      <c r="A55" s="463"/>
      <c r="B55" s="464" t="s">
        <v>1929</v>
      </c>
      <c r="C55" s="464" t="s">
        <v>444</v>
      </c>
      <c r="D55" s="464" t="s">
        <v>1930</v>
      </c>
      <c r="E55" s="464" t="s">
        <v>1980</v>
      </c>
      <c r="F55" s="464"/>
      <c r="G55" s="468">
        <v>7</v>
      </c>
      <c r="H55" s="468">
        <v>3927</v>
      </c>
      <c r="I55" s="464">
        <v>0.3888888888888889</v>
      </c>
      <c r="J55" s="464">
        <v>561</v>
      </c>
      <c r="K55" s="468">
        <v>18</v>
      </c>
      <c r="L55" s="468">
        <v>10098</v>
      </c>
      <c r="M55" s="464">
        <v>1</v>
      </c>
      <c r="N55" s="464">
        <v>561</v>
      </c>
      <c r="O55" s="468">
        <v>15</v>
      </c>
      <c r="P55" s="468">
        <v>8415</v>
      </c>
      <c r="Q55" s="491">
        <v>0.83333333333333337</v>
      </c>
      <c r="R55" s="469">
        <v>561</v>
      </c>
    </row>
    <row r="56" spans="1:18" ht="14.45" customHeight="1" x14ac:dyDescent="0.2">
      <c r="A56" s="463"/>
      <c r="B56" s="464" t="s">
        <v>1929</v>
      </c>
      <c r="C56" s="464" t="s">
        <v>444</v>
      </c>
      <c r="D56" s="464" t="s">
        <v>1930</v>
      </c>
      <c r="E56" s="464" t="s">
        <v>1981</v>
      </c>
      <c r="F56" s="464"/>
      <c r="G56" s="468">
        <v>1</v>
      </c>
      <c r="H56" s="468">
        <v>1122</v>
      </c>
      <c r="I56" s="464">
        <v>0.33333333333333331</v>
      </c>
      <c r="J56" s="464">
        <v>1122</v>
      </c>
      <c r="K56" s="468">
        <v>3</v>
      </c>
      <c r="L56" s="468">
        <v>3366</v>
      </c>
      <c r="M56" s="464">
        <v>1</v>
      </c>
      <c r="N56" s="464">
        <v>1122</v>
      </c>
      <c r="O56" s="468">
        <v>1</v>
      </c>
      <c r="P56" s="468">
        <v>1122</v>
      </c>
      <c r="Q56" s="491">
        <v>0.33333333333333331</v>
      </c>
      <c r="R56" s="469">
        <v>1122</v>
      </c>
    </row>
    <row r="57" spans="1:18" ht="14.45" customHeight="1" x14ac:dyDescent="0.2">
      <c r="A57" s="463"/>
      <c r="B57" s="464" t="s">
        <v>1929</v>
      </c>
      <c r="C57" s="464" t="s">
        <v>444</v>
      </c>
      <c r="D57" s="464" t="s">
        <v>1930</v>
      </c>
      <c r="E57" s="464" t="s">
        <v>1982</v>
      </c>
      <c r="F57" s="464"/>
      <c r="G57" s="468">
        <v>10</v>
      </c>
      <c r="H57" s="468">
        <v>8670</v>
      </c>
      <c r="I57" s="464">
        <v>1.4285714285714286</v>
      </c>
      <c r="J57" s="464">
        <v>867</v>
      </c>
      <c r="K57" s="468">
        <v>7</v>
      </c>
      <c r="L57" s="468">
        <v>6069</v>
      </c>
      <c r="M57" s="464">
        <v>1</v>
      </c>
      <c r="N57" s="464">
        <v>867</v>
      </c>
      <c r="O57" s="468">
        <v>2</v>
      </c>
      <c r="P57" s="468">
        <v>1734</v>
      </c>
      <c r="Q57" s="491">
        <v>0.2857142857142857</v>
      </c>
      <c r="R57" s="469">
        <v>867</v>
      </c>
    </row>
    <row r="58" spans="1:18" ht="14.45" customHeight="1" x14ac:dyDescent="0.2">
      <c r="A58" s="463"/>
      <c r="B58" s="464" t="s">
        <v>1929</v>
      </c>
      <c r="C58" s="464" t="s">
        <v>444</v>
      </c>
      <c r="D58" s="464" t="s">
        <v>1930</v>
      </c>
      <c r="E58" s="464" t="s">
        <v>1983</v>
      </c>
      <c r="F58" s="464"/>
      <c r="G58" s="468">
        <v>5</v>
      </c>
      <c r="H58" s="468">
        <v>2750</v>
      </c>
      <c r="I58" s="464">
        <v>0.7142857142857143</v>
      </c>
      <c r="J58" s="464">
        <v>550</v>
      </c>
      <c r="K58" s="468">
        <v>7</v>
      </c>
      <c r="L58" s="468">
        <v>3850</v>
      </c>
      <c r="M58" s="464">
        <v>1</v>
      </c>
      <c r="N58" s="464">
        <v>550</v>
      </c>
      <c r="O58" s="468">
        <v>1</v>
      </c>
      <c r="P58" s="468">
        <v>550</v>
      </c>
      <c r="Q58" s="491">
        <v>0.14285714285714285</v>
      </c>
      <c r="R58" s="469">
        <v>550</v>
      </c>
    </row>
    <row r="59" spans="1:18" ht="14.45" customHeight="1" x14ac:dyDescent="0.2">
      <c r="A59" s="463"/>
      <c r="B59" s="464" t="s">
        <v>1929</v>
      </c>
      <c r="C59" s="464" t="s">
        <v>444</v>
      </c>
      <c r="D59" s="464" t="s">
        <v>1930</v>
      </c>
      <c r="E59" s="464" t="s">
        <v>1984</v>
      </c>
      <c r="F59" s="464"/>
      <c r="G59" s="468">
        <v>2</v>
      </c>
      <c r="H59" s="468">
        <v>2790</v>
      </c>
      <c r="I59" s="464">
        <v>2</v>
      </c>
      <c r="J59" s="464">
        <v>1395</v>
      </c>
      <c r="K59" s="468">
        <v>1</v>
      </c>
      <c r="L59" s="468">
        <v>1395</v>
      </c>
      <c r="M59" s="464">
        <v>1</v>
      </c>
      <c r="N59" s="464">
        <v>1395</v>
      </c>
      <c r="O59" s="468"/>
      <c r="P59" s="468"/>
      <c r="Q59" s="491"/>
      <c r="R59" s="469"/>
    </row>
    <row r="60" spans="1:18" ht="14.45" customHeight="1" x14ac:dyDescent="0.2">
      <c r="A60" s="463"/>
      <c r="B60" s="464" t="s">
        <v>1929</v>
      </c>
      <c r="C60" s="464" t="s">
        <v>444</v>
      </c>
      <c r="D60" s="464" t="s">
        <v>1930</v>
      </c>
      <c r="E60" s="464" t="s">
        <v>1985</v>
      </c>
      <c r="F60" s="464"/>
      <c r="G60" s="468">
        <v>6</v>
      </c>
      <c r="H60" s="468">
        <v>3114</v>
      </c>
      <c r="I60" s="464">
        <v>0.8571428571428571</v>
      </c>
      <c r="J60" s="464">
        <v>519</v>
      </c>
      <c r="K60" s="468">
        <v>7</v>
      </c>
      <c r="L60" s="468">
        <v>3633</v>
      </c>
      <c r="M60" s="464">
        <v>1</v>
      </c>
      <c r="N60" s="464">
        <v>519</v>
      </c>
      <c r="O60" s="468">
        <v>6</v>
      </c>
      <c r="P60" s="468">
        <v>3114</v>
      </c>
      <c r="Q60" s="491">
        <v>0.8571428571428571</v>
      </c>
      <c r="R60" s="469">
        <v>519</v>
      </c>
    </row>
    <row r="61" spans="1:18" ht="14.45" customHeight="1" x14ac:dyDescent="0.2">
      <c r="A61" s="463"/>
      <c r="B61" s="464" t="s">
        <v>1929</v>
      </c>
      <c r="C61" s="464" t="s">
        <v>444</v>
      </c>
      <c r="D61" s="464" t="s">
        <v>1930</v>
      </c>
      <c r="E61" s="464" t="s">
        <v>1986</v>
      </c>
      <c r="F61" s="464"/>
      <c r="G61" s="468">
        <v>3</v>
      </c>
      <c r="H61" s="468">
        <v>3978</v>
      </c>
      <c r="I61" s="464"/>
      <c r="J61" s="464">
        <v>1326</v>
      </c>
      <c r="K61" s="468"/>
      <c r="L61" s="468"/>
      <c r="M61" s="464"/>
      <c r="N61" s="464"/>
      <c r="O61" s="468">
        <v>1</v>
      </c>
      <c r="P61" s="468">
        <v>1326</v>
      </c>
      <c r="Q61" s="491"/>
      <c r="R61" s="469">
        <v>1326</v>
      </c>
    </row>
    <row r="62" spans="1:18" ht="14.45" customHeight="1" x14ac:dyDescent="0.2">
      <c r="A62" s="463"/>
      <c r="B62" s="464" t="s">
        <v>1929</v>
      </c>
      <c r="C62" s="464" t="s">
        <v>444</v>
      </c>
      <c r="D62" s="464" t="s">
        <v>1930</v>
      </c>
      <c r="E62" s="464" t="s">
        <v>1987</v>
      </c>
      <c r="F62" s="464"/>
      <c r="G62" s="468">
        <v>2</v>
      </c>
      <c r="H62" s="468">
        <v>810</v>
      </c>
      <c r="I62" s="464">
        <v>0.22222222222222221</v>
      </c>
      <c r="J62" s="464">
        <v>405</v>
      </c>
      <c r="K62" s="468">
        <v>9</v>
      </c>
      <c r="L62" s="468">
        <v>3645</v>
      </c>
      <c r="M62" s="464">
        <v>1</v>
      </c>
      <c r="N62" s="464">
        <v>405</v>
      </c>
      <c r="O62" s="468">
        <v>7</v>
      </c>
      <c r="P62" s="468">
        <v>2835</v>
      </c>
      <c r="Q62" s="491">
        <v>0.77777777777777779</v>
      </c>
      <c r="R62" s="469">
        <v>405</v>
      </c>
    </row>
    <row r="63" spans="1:18" ht="14.45" customHeight="1" x14ac:dyDescent="0.2">
      <c r="A63" s="463"/>
      <c r="B63" s="464" t="s">
        <v>1929</v>
      </c>
      <c r="C63" s="464" t="s">
        <v>444</v>
      </c>
      <c r="D63" s="464" t="s">
        <v>1930</v>
      </c>
      <c r="E63" s="464" t="s">
        <v>1988</v>
      </c>
      <c r="F63" s="464"/>
      <c r="G63" s="468">
        <v>6</v>
      </c>
      <c r="H63" s="468">
        <v>3300</v>
      </c>
      <c r="I63" s="464">
        <v>0.35294117647058826</v>
      </c>
      <c r="J63" s="464">
        <v>550</v>
      </c>
      <c r="K63" s="468">
        <v>17</v>
      </c>
      <c r="L63" s="468">
        <v>9350</v>
      </c>
      <c r="M63" s="464">
        <v>1</v>
      </c>
      <c r="N63" s="464">
        <v>550</v>
      </c>
      <c r="O63" s="468">
        <v>7</v>
      </c>
      <c r="P63" s="468">
        <v>3850</v>
      </c>
      <c r="Q63" s="491">
        <v>0.41176470588235292</v>
      </c>
      <c r="R63" s="469">
        <v>550</v>
      </c>
    </row>
    <row r="64" spans="1:18" ht="14.45" customHeight="1" x14ac:dyDescent="0.2">
      <c r="A64" s="463"/>
      <c r="B64" s="464" t="s">
        <v>1929</v>
      </c>
      <c r="C64" s="464" t="s">
        <v>444</v>
      </c>
      <c r="D64" s="464" t="s">
        <v>1930</v>
      </c>
      <c r="E64" s="464" t="s">
        <v>1989</v>
      </c>
      <c r="F64" s="464"/>
      <c r="G64" s="468">
        <v>6</v>
      </c>
      <c r="H64" s="468">
        <v>0</v>
      </c>
      <c r="I64" s="464"/>
      <c r="J64" s="464">
        <v>0</v>
      </c>
      <c r="K64" s="468">
        <v>2</v>
      </c>
      <c r="L64" s="468">
        <v>0</v>
      </c>
      <c r="M64" s="464"/>
      <c r="N64" s="464">
        <v>0</v>
      </c>
      <c r="O64" s="468">
        <v>9</v>
      </c>
      <c r="P64" s="468">
        <v>0</v>
      </c>
      <c r="Q64" s="491"/>
      <c r="R64" s="469">
        <v>0</v>
      </c>
    </row>
    <row r="65" spans="1:18" ht="14.45" customHeight="1" x14ac:dyDescent="0.2">
      <c r="A65" s="463"/>
      <c r="B65" s="464" t="s">
        <v>1929</v>
      </c>
      <c r="C65" s="464" t="s">
        <v>444</v>
      </c>
      <c r="D65" s="464" t="s">
        <v>1930</v>
      </c>
      <c r="E65" s="464" t="s">
        <v>1990</v>
      </c>
      <c r="F65" s="464"/>
      <c r="G65" s="468">
        <v>1</v>
      </c>
      <c r="H65" s="468">
        <v>1014</v>
      </c>
      <c r="I65" s="464"/>
      <c r="J65" s="464">
        <v>1014</v>
      </c>
      <c r="K65" s="468"/>
      <c r="L65" s="468"/>
      <c r="M65" s="464"/>
      <c r="N65" s="464"/>
      <c r="O65" s="468"/>
      <c r="P65" s="468"/>
      <c r="Q65" s="491"/>
      <c r="R65" s="469"/>
    </row>
    <row r="66" spans="1:18" ht="14.45" customHeight="1" x14ac:dyDescent="0.2">
      <c r="A66" s="463"/>
      <c r="B66" s="464" t="s">
        <v>1929</v>
      </c>
      <c r="C66" s="464" t="s">
        <v>444</v>
      </c>
      <c r="D66" s="464" t="s">
        <v>1930</v>
      </c>
      <c r="E66" s="464" t="s">
        <v>1991</v>
      </c>
      <c r="F66" s="464"/>
      <c r="G66" s="468">
        <v>1</v>
      </c>
      <c r="H66" s="468">
        <v>0</v>
      </c>
      <c r="I66" s="464"/>
      <c r="J66" s="464">
        <v>0</v>
      </c>
      <c r="K66" s="468"/>
      <c r="L66" s="468"/>
      <c r="M66" s="464"/>
      <c r="N66" s="464"/>
      <c r="O66" s="468"/>
      <c r="P66" s="468"/>
      <c r="Q66" s="491"/>
      <c r="R66" s="469"/>
    </row>
    <row r="67" spans="1:18" ht="14.45" customHeight="1" x14ac:dyDescent="0.2">
      <c r="A67" s="463"/>
      <c r="B67" s="464" t="s">
        <v>1929</v>
      </c>
      <c r="C67" s="464" t="s">
        <v>444</v>
      </c>
      <c r="D67" s="464" t="s">
        <v>1930</v>
      </c>
      <c r="E67" s="464" t="s">
        <v>1992</v>
      </c>
      <c r="F67" s="464"/>
      <c r="G67" s="468">
        <v>2</v>
      </c>
      <c r="H67" s="468">
        <v>0</v>
      </c>
      <c r="I67" s="464"/>
      <c r="J67" s="464">
        <v>0</v>
      </c>
      <c r="K67" s="468">
        <v>0</v>
      </c>
      <c r="L67" s="468">
        <v>0</v>
      </c>
      <c r="M67" s="464"/>
      <c r="N67" s="464"/>
      <c r="O67" s="468">
        <v>1</v>
      </c>
      <c r="P67" s="468">
        <v>0</v>
      </c>
      <c r="Q67" s="491"/>
      <c r="R67" s="469">
        <v>0</v>
      </c>
    </row>
    <row r="68" spans="1:18" ht="14.45" customHeight="1" x14ac:dyDescent="0.2">
      <c r="A68" s="463"/>
      <c r="B68" s="464" t="s">
        <v>1929</v>
      </c>
      <c r="C68" s="464" t="s">
        <v>444</v>
      </c>
      <c r="D68" s="464" t="s">
        <v>1930</v>
      </c>
      <c r="E68" s="464" t="s">
        <v>1993</v>
      </c>
      <c r="F68" s="464"/>
      <c r="G68" s="468"/>
      <c r="H68" s="468"/>
      <c r="I68" s="464"/>
      <c r="J68" s="464"/>
      <c r="K68" s="468"/>
      <c r="L68" s="468"/>
      <c r="M68" s="464"/>
      <c r="N68" s="464"/>
      <c r="O68" s="468">
        <v>1</v>
      </c>
      <c r="P68" s="468">
        <v>0</v>
      </c>
      <c r="Q68" s="491"/>
      <c r="R68" s="469">
        <v>0</v>
      </c>
    </row>
    <row r="69" spans="1:18" ht="14.45" customHeight="1" x14ac:dyDescent="0.2">
      <c r="A69" s="463"/>
      <c r="B69" s="464" t="s">
        <v>1929</v>
      </c>
      <c r="C69" s="464" t="s">
        <v>444</v>
      </c>
      <c r="D69" s="464" t="s">
        <v>1930</v>
      </c>
      <c r="E69" s="464" t="s">
        <v>1994</v>
      </c>
      <c r="F69" s="464"/>
      <c r="G69" s="468"/>
      <c r="H69" s="468"/>
      <c r="I69" s="464"/>
      <c r="J69" s="464"/>
      <c r="K69" s="468">
        <v>1</v>
      </c>
      <c r="L69" s="468">
        <v>1065</v>
      </c>
      <c r="M69" s="464">
        <v>1</v>
      </c>
      <c r="N69" s="464">
        <v>1065</v>
      </c>
      <c r="O69" s="468"/>
      <c r="P69" s="468"/>
      <c r="Q69" s="491"/>
      <c r="R69" s="469"/>
    </row>
    <row r="70" spans="1:18" ht="14.45" customHeight="1" x14ac:dyDescent="0.2">
      <c r="A70" s="463"/>
      <c r="B70" s="464" t="s">
        <v>1929</v>
      </c>
      <c r="C70" s="464" t="s">
        <v>444</v>
      </c>
      <c r="D70" s="464" t="s">
        <v>1930</v>
      </c>
      <c r="E70" s="464" t="s">
        <v>1995</v>
      </c>
      <c r="F70" s="464"/>
      <c r="G70" s="468">
        <v>0</v>
      </c>
      <c r="H70" s="468">
        <v>0</v>
      </c>
      <c r="I70" s="464"/>
      <c r="J70" s="464"/>
      <c r="K70" s="468">
        <v>1</v>
      </c>
      <c r="L70" s="468">
        <v>0</v>
      </c>
      <c r="M70" s="464"/>
      <c r="N70" s="464">
        <v>0</v>
      </c>
      <c r="O70" s="468">
        <v>0</v>
      </c>
      <c r="P70" s="468">
        <v>0</v>
      </c>
      <c r="Q70" s="491"/>
      <c r="R70" s="469"/>
    </row>
    <row r="71" spans="1:18" ht="14.45" customHeight="1" x14ac:dyDescent="0.2">
      <c r="A71" s="463"/>
      <c r="B71" s="464" t="s">
        <v>1929</v>
      </c>
      <c r="C71" s="464" t="s">
        <v>444</v>
      </c>
      <c r="D71" s="464" t="s">
        <v>1930</v>
      </c>
      <c r="E71" s="464" t="s">
        <v>1996</v>
      </c>
      <c r="F71" s="464"/>
      <c r="G71" s="468"/>
      <c r="H71" s="468"/>
      <c r="I71" s="464"/>
      <c r="J71" s="464"/>
      <c r="K71" s="468">
        <v>1</v>
      </c>
      <c r="L71" s="468">
        <v>1014</v>
      </c>
      <c r="M71" s="464">
        <v>1</v>
      </c>
      <c r="N71" s="464">
        <v>1014</v>
      </c>
      <c r="O71" s="468"/>
      <c r="P71" s="468"/>
      <c r="Q71" s="491"/>
      <c r="R71" s="469"/>
    </row>
    <row r="72" spans="1:18" ht="14.45" customHeight="1" x14ac:dyDescent="0.2">
      <c r="A72" s="463"/>
      <c r="B72" s="464" t="s">
        <v>1929</v>
      </c>
      <c r="C72" s="464" t="s">
        <v>444</v>
      </c>
      <c r="D72" s="464" t="s">
        <v>1930</v>
      </c>
      <c r="E72" s="464" t="s">
        <v>1997</v>
      </c>
      <c r="F72" s="464"/>
      <c r="G72" s="468"/>
      <c r="H72" s="468"/>
      <c r="I72" s="464"/>
      <c r="J72" s="464"/>
      <c r="K72" s="468">
        <v>4</v>
      </c>
      <c r="L72" s="468">
        <v>0</v>
      </c>
      <c r="M72" s="464"/>
      <c r="N72" s="464">
        <v>0</v>
      </c>
      <c r="O72" s="468"/>
      <c r="P72" s="468"/>
      <c r="Q72" s="491"/>
      <c r="R72" s="469"/>
    </row>
    <row r="73" spans="1:18" ht="14.45" customHeight="1" x14ac:dyDescent="0.2">
      <c r="A73" s="463"/>
      <c r="B73" s="464" t="s">
        <v>1929</v>
      </c>
      <c r="C73" s="464" t="s">
        <v>444</v>
      </c>
      <c r="D73" s="464" t="s">
        <v>1930</v>
      </c>
      <c r="E73" s="464" t="s">
        <v>1998</v>
      </c>
      <c r="F73" s="464"/>
      <c r="G73" s="468"/>
      <c r="H73" s="468"/>
      <c r="I73" s="464"/>
      <c r="J73" s="464"/>
      <c r="K73" s="468">
        <v>1</v>
      </c>
      <c r="L73" s="468">
        <v>321</v>
      </c>
      <c r="M73" s="464">
        <v>1</v>
      </c>
      <c r="N73" s="464">
        <v>321</v>
      </c>
      <c r="O73" s="468"/>
      <c r="P73" s="468"/>
      <c r="Q73" s="491"/>
      <c r="R73" s="469"/>
    </row>
    <row r="74" spans="1:18" ht="14.45" customHeight="1" x14ac:dyDescent="0.2">
      <c r="A74" s="463"/>
      <c r="B74" s="464" t="s">
        <v>1929</v>
      </c>
      <c r="C74" s="464" t="s">
        <v>444</v>
      </c>
      <c r="D74" s="464" t="s">
        <v>1930</v>
      </c>
      <c r="E74" s="464" t="s">
        <v>1999</v>
      </c>
      <c r="F74" s="464"/>
      <c r="G74" s="468"/>
      <c r="H74" s="468"/>
      <c r="I74" s="464"/>
      <c r="J74" s="464"/>
      <c r="K74" s="468"/>
      <c r="L74" s="468"/>
      <c r="M74" s="464"/>
      <c r="N74" s="464"/>
      <c r="O74" s="468">
        <v>1</v>
      </c>
      <c r="P74" s="468">
        <v>0</v>
      </c>
      <c r="Q74" s="491"/>
      <c r="R74" s="469">
        <v>0</v>
      </c>
    </row>
    <row r="75" spans="1:18" ht="14.45" customHeight="1" x14ac:dyDescent="0.2">
      <c r="A75" s="463"/>
      <c r="B75" s="464" t="s">
        <v>1929</v>
      </c>
      <c r="C75" s="464" t="s">
        <v>444</v>
      </c>
      <c r="D75" s="464" t="s">
        <v>1930</v>
      </c>
      <c r="E75" s="464" t="s">
        <v>2000</v>
      </c>
      <c r="F75" s="464"/>
      <c r="G75" s="468"/>
      <c r="H75" s="468"/>
      <c r="I75" s="464"/>
      <c r="J75" s="464"/>
      <c r="K75" s="468"/>
      <c r="L75" s="468"/>
      <c r="M75" s="464"/>
      <c r="N75" s="464"/>
      <c r="O75" s="468">
        <v>1</v>
      </c>
      <c r="P75" s="468">
        <v>0</v>
      </c>
      <c r="Q75" s="491"/>
      <c r="R75" s="469">
        <v>0</v>
      </c>
    </row>
    <row r="76" spans="1:18" ht="14.45" customHeight="1" x14ac:dyDescent="0.2">
      <c r="A76" s="463"/>
      <c r="B76" s="464" t="s">
        <v>1929</v>
      </c>
      <c r="C76" s="464" t="s">
        <v>444</v>
      </c>
      <c r="D76" s="464" t="s">
        <v>1930</v>
      </c>
      <c r="E76" s="464" t="s">
        <v>2001</v>
      </c>
      <c r="F76" s="464"/>
      <c r="G76" s="468"/>
      <c r="H76" s="468"/>
      <c r="I76" s="464"/>
      <c r="J76" s="464"/>
      <c r="K76" s="468"/>
      <c r="L76" s="468"/>
      <c r="M76" s="464"/>
      <c r="N76" s="464"/>
      <c r="O76" s="468">
        <v>1</v>
      </c>
      <c r="P76" s="468">
        <v>550</v>
      </c>
      <c r="Q76" s="491"/>
      <c r="R76" s="469">
        <v>550</v>
      </c>
    </row>
    <row r="77" spans="1:18" ht="14.45" customHeight="1" x14ac:dyDescent="0.2">
      <c r="A77" s="463"/>
      <c r="B77" s="464" t="s">
        <v>1929</v>
      </c>
      <c r="C77" s="464" t="s">
        <v>444</v>
      </c>
      <c r="D77" s="464" t="s">
        <v>1930</v>
      </c>
      <c r="E77" s="464" t="s">
        <v>2002</v>
      </c>
      <c r="F77" s="464"/>
      <c r="G77" s="468"/>
      <c r="H77" s="468"/>
      <c r="I77" s="464"/>
      <c r="J77" s="464"/>
      <c r="K77" s="468">
        <v>2</v>
      </c>
      <c r="L77" s="468">
        <v>1100</v>
      </c>
      <c r="M77" s="464">
        <v>1</v>
      </c>
      <c r="N77" s="464">
        <v>550</v>
      </c>
      <c r="O77" s="468"/>
      <c r="P77" s="468"/>
      <c r="Q77" s="491"/>
      <c r="R77" s="469"/>
    </row>
    <row r="78" spans="1:18" ht="14.45" customHeight="1" x14ac:dyDescent="0.2">
      <c r="A78" s="463"/>
      <c r="B78" s="464" t="s">
        <v>1929</v>
      </c>
      <c r="C78" s="464" t="s">
        <v>444</v>
      </c>
      <c r="D78" s="464" t="s">
        <v>1930</v>
      </c>
      <c r="E78" s="464" t="s">
        <v>2003</v>
      </c>
      <c r="F78" s="464"/>
      <c r="G78" s="468"/>
      <c r="H78" s="468"/>
      <c r="I78" s="464"/>
      <c r="J78" s="464"/>
      <c r="K78" s="468"/>
      <c r="L78" s="468"/>
      <c r="M78" s="464"/>
      <c r="N78" s="464"/>
      <c r="O78" s="468">
        <v>3</v>
      </c>
      <c r="P78" s="468">
        <v>1633</v>
      </c>
      <c r="Q78" s="491"/>
      <c r="R78" s="469">
        <v>544.33333333333337</v>
      </c>
    </row>
    <row r="79" spans="1:18" ht="14.45" customHeight="1" x14ac:dyDescent="0.2">
      <c r="A79" s="463"/>
      <c r="B79" s="464" t="s">
        <v>1929</v>
      </c>
      <c r="C79" s="464" t="s">
        <v>444</v>
      </c>
      <c r="D79" s="464" t="s">
        <v>1930</v>
      </c>
      <c r="E79" s="464" t="s">
        <v>2004</v>
      </c>
      <c r="F79" s="464"/>
      <c r="G79" s="468"/>
      <c r="H79" s="468"/>
      <c r="I79" s="464"/>
      <c r="J79" s="464"/>
      <c r="K79" s="468"/>
      <c r="L79" s="468"/>
      <c r="M79" s="464"/>
      <c r="N79" s="464"/>
      <c r="O79" s="468">
        <v>1</v>
      </c>
      <c r="P79" s="468">
        <v>2490</v>
      </c>
      <c r="Q79" s="491"/>
      <c r="R79" s="469">
        <v>2490</v>
      </c>
    </row>
    <row r="80" spans="1:18" ht="14.45" customHeight="1" x14ac:dyDescent="0.2">
      <c r="A80" s="463"/>
      <c r="B80" s="464" t="s">
        <v>1929</v>
      </c>
      <c r="C80" s="464" t="s">
        <v>444</v>
      </c>
      <c r="D80" s="464" t="s">
        <v>1930</v>
      </c>
      <c r="E80" s="464" t="s">
        <v>2005</v>
      </c>
      <c r="F80" s="464"/>
      <c r="G80" s="468"/>
      <c r="H80" s="468"/>
      <c r="I80" s="464"/>
      <c r="J80" s="464"/>
      <c r="K80" s="468">
        <v>3</v>
      </c>
      <c r="L80" s="468">
        <v>1059</v>
      </c>
      <c r="M80" s="464">
        <v>1</v>
      </c>
      <c r="N80" s="464">
        <v>353</v>
      </c>
      <c r="O80" s="468"/>
      <c r="P80" s="468"/>
      <c r="Q80" s="491"/>
      <c r="R80" s="469"/>
    </row>
    <row r="81" spans="1:18" ht="14.45" customHeight="1" x14ac:dyDescent="0.2">
      <c r="A81" s="463"/>
      <c r="B81" s="464" t="s">
        <v>1929</v>
      </c>
      <c r="C81" s="464" t="s">
        <v>444</v>
      </c>
      <c r="D81" s="464" t="s">
        <v>1930</v>
      </c>
      <c r="E81" s="464" t="s">
        <v>2006</v>
      </c>
      <c r="F81" s="464"/>
      <c r="G81" s="468"/>
      <c r="H81" s="468"/>
      <c r="I81" s="464"/>
      <c r="J81" s="464"/>
      <c r="K81" s="468"/>
      <c r="L81" s="468"/>
      <c r="M81" s="464"/>
      <c r="N81" s="464"/>
      <c r="O81" s="468">
        <v>4</v>
      </c>
      <c r="P81" s="468">
        <v>1400</v>
      </c>
      <c r="Q81" s="491"/>
      <c r="R81" s="469">
        <v>350</v>
      </c>
    </row>
    <row r="82" spans="1:18" ht="14.45" customHeight="1" x14ac:dyDescent="0.2">
      <c r="A82" s="463"/>
      <c r="B82" s="464" t="s">
        <v>1929</v>
      </c>
      <c r="C82" s="464" t="s">
        <v>444</v>
      </c>
      <c r="D82" s="464" t="s">
        <v>1930</v>
      </c>
      <c r="E82" s="464" t="s">
        <v>2007</v>
      </c>
      <c r="F82" s="464"/>
      <c r="G82" s="468"/>
      <c r="H82" s="468"/>
      <c r="I82" s="464"/>
      <c r="J82" s="464"/>
      <c r="K82" s="468">
        <v>1</v>
      </c>
      <c r="L82" s="468">
        <v>0</v>
      </c>
      <c r="M82" s="464"/>
      <c r="N82" s="464">
        <v>0</v>
      </c>
      <c r="O82" s="468"/>
      <c r="P82" s="468"/>
      <c r="Q82" s="491"/>
      <c r="R82" s="469"/>
    </row>
    <row r="83" spans="1:18" ht="14.45" customHeight="1" x14ac:dyDescent="0.2">
      <c r="A83" s="463"/>
      <c r="B83" s="464" t="s">
        <v>1929</v>
      </c>
      <c r="C83" s="464" t="s">
        <v>444</v>
      </c>
      <c r="D83" s="464" t="s">
        <v>1930</v>
      </c>
      <c r="E83" s="464" t="s">
        <v>2008</v>
      </c>
      <c r="F83" s="464"/>
      <c r="G83" s="468">
        <v>1</v>
      </c>
      <c r="H83" s="468">
        <v>1260</v>
      </c>
      <c r="I83" s="464">
        <v>1</v>
      </c>
      <c r="J83" s="464">
        <v>1260</v>
      </c>
      <c r="K83" s="468">
        <v>1</v>
      </c>
      <c r="L83" s="468">
        <v>1260</v>
      </c>
      <c r="M83" s="464">
        <v>1</v>
      </c>
      <c r="N83" s="464">
        <v>1260</v>
      </c>
      <c r="O83" s="468">
        <v>4</v>
      </c>
      <c r="P83" s="468">
        <v>5040</v>
      </c>
      <c r="Q83" s="491">
        <v>4</v>
      </c>
      <c r="R83" s="469">
        <v>1260</v>
      </c>
    </row>
    <row r="84" spans="1:18" ht="14.45" customHeight="1" x14ac:dyDescent="0.2">
      <c r="A84" s="463"/>
      <c r="B84" s="464" t="s">
        <v>1929</v>
      </c>
      <c r="C84" s="464" t="s">
        <v>444</v>
      </c>
      <c r="D84" s="464" t="s">
        <v>1930</v>
      </c>
      <c r="E84" s="464" t="s">
        <v>2009</v>
      </c>
      <c r="F84" s="464"/>
      <c r="G84" s="468"/>
      <c r="H84" s="468"/>
      <c r="I84" s="464"/>
      <c r="J84" s="464"/>
      <c r="K84" s="468"/>
      <c r="L84" s="468"/>
      <c r="M84" s="464"/>
      <c r="N84" s="464"/>
      <c r="O84" s="468">
        <v>1</v>
      </c>
      <c r="P84" s="468">
        <v>0</v>
      </c>
      <c r="Q84" s="491"/>
      <c r="R84" s="469">
        <v>0</v>
      </c>
    </row>
    <row r="85" spans="1:18" ht="14.45" customHeight="1" x14ac:dyDescent="0.2">
      <c r="A85" s="463"/>
      <c r="B85" s="464" t="s">
        <v>1929</v>
      </c>
      <c r="C85" s="464" t="s">
        <v>444</v>
      </c>
      <c r="D85" s="464" t="s">
        <v>1930</v>
      </c>
      <c r="E85" s="464" t="s">
        <v>2010</v>
      </c>
      <c r="F85" s="464"/>
      <c r="G85" s="468"/>
      <c r="H85" s="468"/>
      <c r="I85" s="464"/>
      <c r="J85" s="464"/>
      <c r="K85" s="468">
        <v>1</v>
      </c>
      <c r="L85" s="468">
        <v>940</v>
      </c>
      <c r="M85" s="464">
        <v>1</v>
      </c>
      <c r="N85" s="464">
        <v>940</v>
      </c>
      <c r="O85" s="468"/>
      <c r="P85" s="468"/>
      <c r="Q85" s="491"/>
      <c r="R85" s="469"/>
    </row>
    <row r="86" spans="1:18" ht="14.45" customHeight="1" x14ac:dyDescent="0.2">
      <c r="A86" s="463"/>
      <c r="B86" s="464" t="s">
        <v>1929</v>
      </c>
      <c r="C86" s="464" t="s">
        <v>444</v>
      </c>
      <c r="D86" s="464" t="s">
        <v>1930</v>
      </c>
      <c r="E86" s="464" t="s">
        <v>2011</v>
      </c>
      <c r="F86" s="464"/>
      <c r="G86" s="468"/>
      <c r="H86" s="468"/>
      <c r="I86" s="464"/>
      <c r="J86" s="464"/>
      <c r="K86" s="468">
        <v>1</v>
      </c>
      <c r="L86" s="468">
        <v>1008</v>
      </c>
      <c r="M86" s="464">
        <v>1</v>
      </c>
      <c r="N86" s="464">
        <v>1008</v>
      </c>
      <c r="O86" s="468"/>
      <c r="P86" s="468"/>
      <c r="Q86" s="491"/>
      <c r="R86" s="469"/>
    </row>
    <row r="87" spans="1:18" ht="14.45" customHeight="1" x14ac:dyDescent="0.2">
      <c r="A87" s="463"/>
      <c r="B87" s="464" t="s">
        <v>1929</v>
      </c>
      <c r="C87" s="464" t="s">
        <v>444</v>
      </c>
      <c r="D87" s="464" t="s">
        <v>1930</v>
      </c>
      <c r="E87" s="464" t="s">
        <v>2012</v>
      </c>
      <c r="F87" s="464"/>
      <c r="G87" s="468"/>
      <c r="H87" s="468"/>
      <c r="I87" s="464"/>
      <c r="J87" s="464"/>
      <c r="K87" s="468">
        <v>1</v>
      </c>
      <c r="L87" s="468">
        <v>0</v>
      </c>
      <c r="M87" s="464"/>
      <c r="N87" s="464">
        <v>0</v>
      </c>
      <c r="O87" s="468"/>
      <c r="P87" s="468"/>
      <c r="Q87" s="491"/>
      <c r="R87" s="469"/>
    </row>
    <row r="88" spans="1:18" ht="14.45" customHeight="1" x14ac:dyDescent="0.2">
      <c r="A88" s="463"/>
      <c r="B88" s="464" t="s">
        <v>1929</v>
      </c>
      <c r="C88" s="464" t="s">
        <v>444</v>
      </c>
      <c r="D88" s="464" t="s">
        <v>1930</v>
      </c>
      <c r="E88" s="464" t="s">
        <v>2013</v>
      </c>
      <c r="F88" s="464"/>
      <c r="G88" s="468"/>
      <c r="H88" s="468"/>
      <c r="I88" s="464"/>
      <c r="J88" s="464"/>
      <c r="K88" s="468"/>
      <c r="L88" s="468"/>
      <c r="M88" s="464"/>
      <c r="N88" s="464"/>
      <c r="O88" s="468">
        <v>0</v>
      </c>
      <c r="P88" s="468">
        <v>0</v>
      </c>
      <c r="Q88" s="491"/>
      <c r="R88" s="469"/>
    </row>
    <row r="89" spans="1:18" ht="14.45" customHeight="1" x14ac:dyDescent="0.2">
      <c r="A89" s="463"/>
      <c r="B89" s="464" t="s">
        <v>1929</v>
      </c>
      <c r="C89" s="464" t="s">
        <v>444</v>
      </c>
      <c r="D89" s="464" t="s">
        <v>1930</v>
      </c>
      <c r="E89" s="464" t="s">
        <v>2014</v>
      </c>
      <c r="F89" s="464"/>
      <c r="G89" s="468"/>
      <c r="H89" s="468"/>
      <c r="I89" s="464"/>
      <c r="J89" s="464"/>
      <c r="K89" s="468">
        <v>1</v>
      </c>
      <c r="L89" s="468">
        <v>745</v>
      </c>
      <c r="M89" s="464">
        <v>1</v>
      </c>
      <c r="N89" s="464">
        <v>745</v>
      </c>
      <c r="O89" s="468"/>
      <c r="P89" s="468"/>
      <c r="Q89" s="491"/>
      <c r="R89" s="469"/>
    </row>
    <row r="90" spans="1:18" ht="14.45" customHeight="1" x14ac:dyDescent="0.2">
      <c r="A90" s="463"/>
      <c r="B90" s="464" t="s">
        <v>1929</v>
      </c>
      <c r="C90" s="464" t="s">
        <v>444</v>
      </c>
      <c r="D90" s="464" t="s">
        <v>1930</v>
      </c>
      <c r="E90" s="464" t="s">
        <v>2015</v>
      </c>
      <c r="F90" s="464"/>
      <c r="G90" s="468"/>
      <c r="H90" s="468"/>
      <c r="I90" s="464"/>
      <c r="J90" s="464"/>
      <c r="K90" s="468"/>
      <c r="L90" s="468"/>
      <c r="M90" s="464"/>
      <c r="N90" s="464"/>
      <c r="O90" s="468">
        <v>1</v>
      </c>
      <c r="P90" s="468">
        <v>592</v>
      </c>
      <c r="Q90" s="491"/>
      <c r="R90" s="469">
        <v>592</v>
      </c>
    </row>
    <row r="91" spans="1:18" ht="14.45" customHeight="1" x14ac:dyDescent="0.2">
      <c r="A91" s="463"/>
      <c r="B91" s="464" t="s">
        <v>1929</v>
      </c>
      <c r="C91" s="464" t="s">
        <v>444</v>
      </c>
      <c r="D91" s="464" t="s">
        <v>1930</v>
      </c>
      <c r="E91" s="464" t="s">
        <v>2016</v>
      </c>
      <c r="F91" s="464"/>
      <c r="G91" s="468">
        <v>1</v>
      </c>
      <c r="H91" s="468">
        <v>0</v>
      </c>
      <c r="I91" s="464"/>
      <c r="J91" s="464">
        <v>0</v>
      </c>
      <c r="K91" s="468"/>
      <c r="L91" s="468"/>
      <c r="M91" s="464"/>
      <c r="N91" s="464"/>
      <c r="O91" s="468"/>
      <c r="P91" s="468"/>
      <c r="Q91" s="491"/>
      <c r="R91" s="469"/>
    </row>
    <row r="92" spans="1:18" ht="14.45" customHeight="1" x14ac:dyDescent="0.2">
      <c r="A92" s="463"/>
      <c r="B92" s="464" t="s">
        <v>1929</v>
      </c>
      <c r="C92" s="464" t="s">
        <v>444</v>
      </c>
      <c r="D92" s="464" t="s">
        <v>1930</v>
      </c>
      <c r="E92" s="464" t="s">
        <v>2017</v>
      </c>
      <c r="F92" s="464"/>
      <c r="G92" s="468">
        <v>1</v>
      </c>
      <c r="H92" s="468">
        <v>0</v>
      </c>
      <c r="I92" s="464"/>
      <c r="J92" s="464">
        <v>0</v>
      </c>
      <c r="K92" s="468"/>
      <c r="L92" s="468"/>
      <c r="M92" s="464"/>
      <c r="N92" s="464"/>
      <c r="O92" s="468"/>
      <c r="P92" s="468"/>
      <c r="Q92" s="491"/>
      <c r="R92" s="469"/>
    </row>
    <row r="93" spans="1:18" ht="14.45" customHeight="1" x14ac:dyDescent="0.2">
      <c r="A93" s="463"/>
      <c r="B93" s="464" t="s">
        <v>1929</v>
      </c>
      <c r="C93" s="464" t="s">
        <v>444</v>
      </c>
      <c r="D93" s="464" t="s">
        <v>1930</v>
      </c>
      <c r="E93" s="464" t="s">
        <v>2018</v>
      </c>
      <c r="F93" s="464"/>
      <c r="G93" s="468"/>
      <c r="H93" s="468"/>
      <c r="I93" s="464"/>
      <c r="J93" s="464"/>
      <c r="K93" s="468">
        <v>1</v>
      </c>
      <c r="L93" s="468">
        <v>0</v>
      </c>
      <c r="M93" s="464"/>
      <c r="N93" s="464">
        <v>0</v>
      </c>
      <c r="O93" s="468"/>
      <c r="P93" s="468"/>
      <c r="Q93" s="491"/>
      <c r="R93" s="469"/>
    </row>
    <row r="94" spans="1:18" ht="14.45" customHeight="1" x14ac:dyDescent="0.2">
      <c r="A94" s="463"/>
      <c r="B94" s="464" t="s">
        <v>1929</v>
      </c>
      <c r="C94" s="464" t="s">
        <v>444</v>
      </c>
      <c r="D94" s="464" t="s">
        <v>2019</v>
      </c>
      <c r="E94" s="464" t="s">
        <v>2020</v>
      </c>
      <c r="F94" s="464" t="s">
        <v>2021</v>
      </c>
      <c r="G94" s="468"/>
      <c r="H94" s="468"/>
      <c r="I94" s="464"/>
      <c r="J94" s="464"/>
      <c r="K94" s="468">
        <v>1</v>
      </c>
      <c r="L94" s="468">
        <v>508.89</v>
      </c>
      <c r="M94" s="464">
        <v>1</v>
      </c>
      <c r="N94" s="464">
        <v>508.89</v>
      </c>
      <c r="O94" s="468">
        <v>6</v>
      </c>
      <c r="P94" s="468">
        <v>3053.34</v>
      </c>
      <c r="Q94" s="491">
        <v>6.0000000000000009</v>
      </c>
      <c r="R94" s="469">
        <v>508.89000000000004</v>
      </c>
    </row>
    <row r="95" spans="1:18" ht="14.45" customHeight="1" x14ac:dyDescent="0.2">
      <c r="A95" s="463"/>
      <c r="B95" s="464" t="s">
        <v>1929</v>
      </c>
      <c r="C95" s="464" t="s">
        <v>444</v>
      </c>
      <c r="D95" s="464" t="s">
        <v>2019</v>
      </c>
      <c r="E95" s="464" t="s">
        <v>2022</v>
      </c>
      <c r="F95" s="464" t="s">
        <v>2023</v>
      </c>
      <c r="G95" s="468">
        <v>43</v>
      </c>
      <c r="H95" s="468">
        <v>21500</v>
      </c>
      <c r="I95" s="464">
        <v>43</v>
      </c>
      <c r="J95" s="464">
        <v>500</v>
      </c>
      <c r="K95" s="468">
        <v>1</v>
      </c>
      <c r="L95" s="468">
        <v>500</v>
      </c>
      <c r="M95" s="464">
        <v>1</v>
      </c>
      <c r="N95" s="464">
        <v>500</v>
      </c>
      <c r="O95" s="468"/>
      <c r="P95" s="468"/>
      <c r="Q95" s="491"/>
      <c r="R95" s="469"/>
    </row>
    <row r="96" spans="1:18" ht="14.45" customHeight="1" x14ac:dyDescent="0.2">
      <c r="A96" s="463"/>
      <c r="B96" s="464" t="s">
        <v>1929</v>
      </c>
      <c r="C96" s="464" t="s">
        <v>444</v>
      </c>
      <c r="D96" s="464" t="s">
        <v>2019</v>
      </c>
      <c r="E96" s="464" t="s">
        <v>2024</v>
      </c>
      <c r="F96" s="464" t="s">
        <v>2025</v>
      </c>
      <c r="G96" s="468">
        <v>1382</v>
      </c>
      <c r="H96" s="468">
        <v>107488.9</v>
      </c>
      <c r="I96" s="464">
        <v>1.1996530356755619</v>
      </c>
      <c r="J96" s="464">
        <v>77.77778581765557</v>
      </c>
      <c r="K96" s="468">
        <v>1152</v>
      </c>
      <c r="L96" s="468">
        <v>89599.99</v>
      </c>
      <c r="M96" s="464">
        <v>1</v>
      </c>
      <c r="N96" s="464">
        <v>77.777769097222233</v>
      </c>
      <c r="O96" s="468">
        <v>1241</v>
      </c>
      <c r="P96" s="468">
        <v>96522.23</v>
      </c>
      <c r="Q96" s="491">
        <v>1.0772571514795928</v>
      </c>
      <c r="R96" s="469">
        <v>77.777784045124889</v>
      </c>
    </row>
    <row r="97" spans="1:18" ht="14.45" customHeight="1" x14ac:dyDescent="0.2">
      <c r="A97" s="463"/>
      <c r="B97" s="464" t="s">
        <v>1929</v>
      </c>
      <c r="C97" s="464" t="s">
        <v>444</v>
      </c>
      <c r="D97" s="464" t="s">
        <v>2019</v>
      </c>
      <c r="E97" s="464" t="s">
        <v>2026</v>
      </c>
      <c r="F97" s="464" t="s">
        <v>2027</v>
      </c>
      <c r="G97" s="468">
        <v>28</v>
      </c>
      <c r="H97" s="468">
        <v>7000</v>
      </c>
      <c r="I97" s="464">
        <v>1.75</v>
      </c>
      <c r="J97" s="464">
        <v>250</v>
      </c>
      <c r="K97" s="468">
        <v>16</v>
      </c>
      <c r="L97" s="468">
        <v>4000</v>
      </c>
      <c r="M97" s="464">
        <v>1</v>
      </c>
      <c r="N97" s="464">
        <v>250</v>
      </c>
      <c r="O97" s="468">
        <v>33</v>
      </c>
      <c r="P97" s="468">
        <v>8250</v>
      </c>
      <c r="Q97" s="491">
        <v>2.0625</v>
      </c>
      <c r="R97" s="469">
        <v>250</v>
      </c>
    </row>
    <row r="98" spans="1:18" ht="14.45" customHeight="1" x14ac:dyDescent="0.2">
      <c r="A98" s="463"/>
      <c r="B98" s="464" t="s">
        <v>1929</v>
      </c>
      <c r="C98" s="464" t="s">
        <v>444</v>
      </c>
      <c r="D98" s="464" t="s">
        <v>2019</v>
      </c>
      <c r="E98" s="464" t="s">
        <v>2028</v>
      </c>
      <c r="F98" s="464" t="s">
        <v>2029</v>
      </c>
      <c r="G98" s="468">
        <v>0</v>
      </c>
      <c r="H98" s="468">
        <v>0</v>
      </c>
      <c r="I98" s="464"/>
      <c r="J98" s="464"/>
      <c r="K98" s="468"/>
      <c r="L98" s="468"/>
      <c r="M98" s="464"/>
      <c r="N98" s="464"/>
      <c r="O98" s="468"/>
      <c r="P98" s="468"/>
      <c r="Q98" s="491"/>
      <c r="R98" s="469"/>
    </row>
    <row r="99" spans="1:18" ht="14.45" customHeight="1" x14ac:dyDescent="0.2">
      <c r="A99" s="463"/>
      <c r="B99" s="464" t="s">
        <v>1929</v>
      </c>
      <c r="C99" s="464" t="s">
        <v>444</v>
      </c>
      <c r="D99" s="464" t="s">
        <v>2019</v>
      </c>
      <c r="E99" s="464" t="s">
        <v>2030</v>
      </c>
      <c r="F99" s="464" t="s">
        <v>2031</v>
      </c>
      <c r="G99" s="468">
        <v>352</v>
      </c>
      <c r="H99" s="468">
        <v>41066.67</v>
      </c>
      <c r="I99" s="464">
        <v>1.3968259853149609</v>
      </c>
      <c r="J99" s="464">
        <v>116.66667613636363</v>
      </c>
      <c r="K99" s="468">
        <v>252</v>
      </c>
      <c r="L99" s="468">
        <v>29399.989999999998</v>
      </c>
      <c r="M99" s="464">
        <v>1</v>
      </c>
      <c r="N99" s="464">
        <v>116.66662698412698</v>
      </c>
      <c r="O99" s="468">
        <v>261</v>
      </c>
      <c r="P99" s="468">
        <v>30450.009999999995</v>
      </c>
      <c r="Q99" s="491">
        <v>1.0357149781343462</v>
      </c>
      <c r="R99" s="469">
        <v>116.66670498084289</v>
      </c>
    </row>
    <row r="100" spans="1:18" ht="14.45" customHeight="1" x14ac:dyDescent="0.2">
      <c r="A100" s="463"/>
      <c r="B100" s="464" t="s">
        <v>1929</v>
      </c>
      <c r="C100" s="464" t="s">
        <v>444</v>
      </c>
      <c r="D100" s="464" t="s">
        <v>2019</v>
      </c>
      <c r="E100" s="464" t="s">
        <v>2032</v>
      </c>
      <c r="F100" s="464" t="s">
        <v>2033</v>
      </c>
      <c r="G100" s="468">
        <v>358</v>
      </c>
      <c r="H100" s="468">
        <v>107400</v>
      </c>
      <c r="I100" s="464">
        <v>0.76170212765957446</v>
      </c>
      <c r="J100" s="464">
        <v>300</v>
      </c>
      <c r="K100" s="468">
        <v>470</v>
      </c>
      <c r="L100" s="468">
        <v>141000</v>
      </c>
      <c r="M100" s="464">
        <v>1</v>
      </c>
      <c r="N100" s="464">
        <v>300</v>
      </c>
      <c r="O100" s="468">
        <v>502</v>
      </c>
      <c r="P100" s="468">
        <v>276100</v>
      </c>
      <c r="Q100" s="491">
        <v>1.9581560283687944</v>
      </c>
      <c r="R100" s="469">
        <v>550</v>
      </c>
    </row>
    <row r="101" spans="1:18" ht="14.45" customHeight="1" x14ac:dyDescent="0.2">
      <c r="A101" s="463"/>
      <c r="B101" s="464" t="s">
        <v>1929</v>
      </c>
      <c r="C101" s="464" t="s">
        <v>444</v>
      </c>
      <c r="D101" s="464" t="s">
        <v>2019</v>
      </c>
      <c r="E101" s="464" t="s">
        <v>2034</v>
      </c>
      <c r="F101" s="464" t="s">
        <v>2035</v>
      </c>
      <c r="G101" s="468">
        <v>28</v>
      </c>
      <c r="H101" s="468">
        <v>8244.44</v>
      </c>
      <c r="I101" s="464">
        <v>1.399998981132268</v>
      </c>
      <c r="J101" s="464">
        <v>294.44428571428574</v>
      </c>
      <c r="K101" s="468">
        <v>20</v>
      </c>
      <c r="L101" s="468">
        <v>5888.8899999999994</v>
      </c>
      <c r="M101" s="464">
        <v>1</v>
      </c>
      <c r="N101" s="464">
        <v>294.44449999999995</v>
      </c>
      <c r="O101" s="468">
        <v>1</v>
      </c>
      <c r="P101" s="468">
        <v>294.44</v>
      </c>
      <c r="Q101" s="491">
        <v>4.9999235849200789E-2</v>
      </c>
      <c r="R101" s="469">
        <v>294.44</v>
      </c>
    </row>
    <row r="102" spans="1:18" ht="14.45" customHeight="1" x14ac:dyDescent="0.2">
      <c r="A102" s="463"/>
      <c r="B102" s="464" t="s">
        <v>1929</v>
      </c>
      <c r="C102" s="464" t="s">
        <v>444</v>
      </c>
      <c r="D102" s="464" t="s">
        <v>2019</v>
      </c>
      <c r="E102" s="464" t="s">
        <v>2036</v>
      </c>
      <c r="F102" s="464" t="s">
        <v>2037</v>
      </c>
      <c r="G102" s="468"/>
      <c r="H102" s="468"/>
      <c r="I102" s="464"/>
      <c r="J102" s="464"/>
      <c r="K102" s="468">
        <v>12</v>
      </c>
      <c r="L102" s="468">
        <v>9333.34</v>
      </c>
      <c r="M102" s="464">
        <v>1</v>
      </c>
      <c r="N102" s="464">
        <v>777.77833333333331</v>
      </c>
      <c r="O102" s="468"/>
      <c r="P102" s="468"/>
      <c r="Q102" s="491"/>
      <c r="R102" s="469"/>
    </row>
    <row r="103" spans="1:18" ht="14.45" customHeight="1" x14ac:dyDescent="0.2">
      <c r="A103" s="463"/>
      <c r="B103" s="464" t="s">
        <v>1929</v>
      </c>
      <c r="C103" s="464" t="s">
        <v>444</v>
      </c>
      <c r="D103" s="464" t="s">
        <v>2019</v>
      </c>
      <c r="E103" s="464" t="s">
        <v>2038</v>
      </c>
      <c r="F103" s="464" t="s">
        <v>2039</v>
      </c>
      <c r="G103" s="468"/>
      <c r="H103" s="468"/>
      <c r="I103" s="464"/>
      <c r="J103" s="464"/>
      <c r="K103" s="468">
        <v>5</v>
      </c>
      <c r="L103" s="468">
        <v>466.65999999999997</v>
      </c>
      <c r="M103" s="464">
        <v>1</v>
      </c>
      <c r="N103" s="464">
        <v>93.331999999999994</v>
      </c>
      <c r="O103" s="468"/>
      <c r="P103" s="468"/>
      <c r="Q103" s="491"/>
      <c r="R103" s="469"/>
    </row>
    <row r="104" spans="1:18" ht="14.45" customHeight="1" x14ac:dyDescent="0.2">
      <c r="A104" s="463"/>
      <c r="B104" s="464" t="s">
        <v>1929</v>
      </c>
      <c r="C104" s="464" t="s">
        <v>444</v>
      </c>
      <c r="D104" s="464" t="s">
        <v>2019</v>
      </c>
      <c r="E104" s="464" t="s">
        <v>2040</v>
      </c>
      <c r="F104" s="464" t="s">
        <v>2041</v>
      </c>
      <c r="G104" s="468">
        <v>10</v>
      </c>
      <c r="H104" s="468">
        <v>333.33</v>
      </c>
      <c r="I104" s="464">
        <v>5.0004500450045004</v>
      </c>
      <c r="J104" s="464">
        <v>33.332999999999998</v>
      </c>
      <c r="K104" s="468">
        <v>2</v>
      </c>
      <c r="L104" s="468">
        <v>66.66</v>
      </c>
      <c r="M104" s="464">
        <v>1</v>
      </c>
      <c r="N104" s="464">
        <v>33.33</v>
      </c>
      <c r="O104" s="468">
        <v>2</v>
      </c>
      <c r="P104" s="468">
        <v>66.66</v>
      </c>
      <c r="Q104" s="491">
        <v>1</v>
      </c>
      <c r="R104" s="469">
        <v>33.33</v>
      </c>
    </row>
    <row r="105" spans="1:18" ht="14.45" customHeight="1" x14ac:dyDescent="0.2">
      <c r="A105" s="463"/>
      <c r="B105" s="464" t="s">
        <v>1929</v>
      </c>
      <c r="C105" s="464" t="s">
        <v>444</v>
      </c>
      <c r="D105" s="464" t="s">
        <v>2019</v>
      </c>
      <c r="E105" s="464" t="s">
        <v>2042</v>
      </c>
      <c r="F105" s="464" t="s">
        <v>2023</v>
      </c>
      <c r="G105" s="468">
        <v>234</v>
      </c>
      <c r="H105" s="468">
        <v>97760</v>
      </c>
      <c r="I105" s="464">
        <v>1.0308371734900228</v>
      </c>
      <c r="J105" s="464">
        <v>417.77777777777777</v>
      </c>
      <c r="K105" s="468">
        <v>227</v>
      </c>
      <c r="L105" s="468">
        <v>94835.540000000008</v>
      </c>
      <c r="M105" s="464">
        <v>1</v>
      </c>
      <c r="N105" s="464">
        <v>417.77770925110138</v>
      </c>
      <c r="O105" s="468">
        <v>176</v>
      </c>
      <c r="P105" s="468">
        <v>73528.899999999994</v>
      </c>
      <c r="Q105" s="491">
        <v>0.77533064081250536</v>
      </c>
      <c r="R105" s="469">
        <v>417.77784090909086</v>
      </c>
    </row>
    <row r="106" spans="1:18" ht="14.45" customHeight="1" x14ac:dyDescent="0.2">
      <c r="A106" s="463"/>
      <c r="B106" s="464" t="s">
        <v>1929</v>
      </c>
      <c r="C106" s="464" t="s">
        <v>444</v>
      </c>
      <c r="D106" s="464" t="s">
        <v>2019</v>
      </c>
      <c r="E106" s="464" t="s">
        <v>2043</v>
      </c>
      <c r="F106" s="464" t="s">
        <v>2044</v>
      </c>
      <c r="G106" s="468">
        <v>262</v>
      </c>
      <c r="H106" s="468">
        <v>55311.1</v>
      </c>
      <c r="I106" s="464">
        <v>1.2073730586314106</v>
      </c>
      <c r="J106" s="464">
        <v>211.11106870229008</v>
      </c>
      <c r="K106" s="468">
        <v>217</v>
      </c>
      <c r="L106" s="468">
        <v>45811.11</v>
      </c>
      <c r="M106" s="464">
        <v>1</v>
      </c>
      <c r="N106" s="464">
        <v>211.11110599078341</v>
      </c>
      <c r="O106" s="468">
        <v>183</v>
      </c>
      <c r="P106" s="468">
        <v>40666.67</v>
      </c>
      <c r="Q106" s="491">
        <v>0.88770322308278493</v>
      </c>
      <c r="R106" s="469">
        <v>222.22224043715846</v>
      </c>
    </row>
    <row r="107" spans="1:18" ht="14.45" customHeight="1" x14ac:dyDescent="0.2">
      <c r="A107" s="463"/>
      <c r="B107" s="464" t="s">
        <v>1929</v>
      </c>
      <c r="C107" s="464" t="s">
        <v>444</v>
      </c>
      <c r="D107" s="464" t="s">
        <v>2019</v>
      </c>
      <c r="E107" s="464" t="s">
        <v>2045</v>
      </c>
      <c r="F107" s="464" t="s">
        <v>2046</v>
      </c>
      <c r="G107" s="468">
        <v>80</v>
      </c>
      <c r="H107" s="468">
        <v>46666.66</v>
      </c>
      <c r="I107" s="464">
        <v>2.8571430320700069</v>
      </c>
      <c r="J107" s="464">
        <v>583.33325000000002</v>
      </c>
      <c r="K107" s="468">
        <v>28</v>
      </c>
      <c r="L107" s="468">
        <v>16333.33</v>
      </c>
      <c r="M107" s="464">
        <v>1</v>
      </c>
      <c r="N107" s="464">
        <v>583.33321428571423</v>
      </c>
      <c r="O107" s="468">
        <v>13</v>
      </c>
      <c r="P107" s="468">
        <v>7583.33</v>
      </c>
      <c r="Q107" s="491">
        <v>0.46428560495624593</v>
      </c>
      <c r="R107" s="469">
        <v>583.33307692307687</v>
      </c>
    </row>
    <row r="108" spans="1:18" ht="14.45" customHeight="1" x14ac:dyDescent="0.2">
      <c r="A108" s="463"/>
      <c r="B108" s="464" t="s">
        <v>1929</v>
      </c>
      <c r="C108" s="464" t="s">
        <v>444</v>
      </c>
      <c r="D108" s="464" t="s">
        <v>2019</v>
      </c>
      <c r="E108" s="464" t="s">
        <v>2047</v>
      </c>
      <c r="F108" s="464" t="s">
        <v>2048</v>
      </c>
      <c r="G108" s="468">
        <v>159</v>
      </c>
      <c r="H108" s="468">
        <v>74200</v>
      </c>
      <c r="I108" s="464">
        <v>0.74299070380445287</v>
      </c>
      <c r="J108" s="464">
        <v>466.66666666666669</v>
      </c>
      <c r="K108" s="468">
        <v>214</v>
      </c>
      <c r="L108" s="468">
        <v>99866.66</v>
      </c>
      <c r="M108" s="464">
        <v>1</v>
      </c>
      <c r="N108" s="464">
        <v>466.66663551401871</v>
      </c>
      <c r="O108" s="468">
        <v>175</v>
      </c>
      <c r="P108" s="468">
        <v>81666.66</v>
      </c>
      <c r="Q108" s="491">
        <v>0.81775699718003991</v>
      </c>
      <c r="R108" s="469">
        <v>466.66662857142859</v>
      </c>
    </row>
    <row r="109" spans="1:18" ht="14.45" customHeight="1" x14ac:dyDescent="0.2">
      <c r="A109" s="463"/>
      <c r="B109" s="464" t="s">
        <v>1929</v>
      </c>
      <c r="C109" s="464" t="s">
        <v>444</v>
      </c>
      <c r="D109" s="464" t="s">
        <v>2019</v>
      </c>
      <c r="E109" s="464" t="s">
        <v>2049</v>
      </c>
      <c r="F109" s="464" t="s">
        <v>2050</v>
      </c>
      <c r="G109" s="468">
        <v>85</v>
      </c>
      <c r="H109" s="468">
        <v>4250</v>
      </c>
      <c r="I109" s="464">
        <v>0.61151079136690645</v>
      </c>
      <c r="J109" s="464">
        <v>50</v>
      </c>
      <c r="K109" s="468">
        <v>139</v>
      </c>
      <c r="L109" s="468">
        <v>6950</v>
      </c>
      <c r="M109" s="464">
        <v>1</v>
      </c>
      <c r="N109" s="464">
        <v>50</v>
      </c>
      <c r="O109" s="468">
        <v>184</v>
      </c>
      <c r="P109" s="468">
        <v>11244.44</v>
      </c>
      <c r="Q109" s="491">
        <v>1.617905035971223</v>
      </c>
      <c r="R109" s="469">
        <v>61.111086956521739</v>
      </c>
    </row>
    <row r="110" spans="1:18" ht="14.45" customHeight="1" x14ac:dyDescent="0.2">
      <c r="A110" s="463"/>
      <c r="B110" s="464" t="s">
        <v>1929</v>
      </c>
      <c r="C110" s="464" t="s">
        <v>444</v>
      </c>
      <c r="D110" s="464" t="s">
        <v>2019</v>
      </c>
      <c r="E110" s="464" t="s">
        <v>2051</v>
      </c>
      <c r="F110" s="464" t="s">
        <v>2052</v>
      </c>
      <c r="G110" s="468">
        <v>244</v>
      </c>
      <c r="H110" s="468">
        <v>24671.120000000003</v>
      </c>
      <c r="I110" s="464">
        <v>1.1902442036725593</v>
      </c>
      <c r="J110" s="464">
        <v>101.11114754098362</v>
      </c>
      <c r="K110" s="468">
        <v>205</v>
      </c>
      <c r="L110" s="468">
        <v>20727.78</v>
      </c>
      <c r="M110" s="464">
        <v>1</v>
      </c>
      <c r="N110" s="464">
        <v>101.1111219512195</v>
      </c>
      <c r="O110" s="468">
        <v>242</v>
      </c>
      <c r="P110" s="468">
        <v>30922.210000000003</v>
      </c>
      <c r="Q110" s="491">
        <v>1.4918244983302604</v>
      </c>
      <c r="R110" s="469">
        <v>127.77772727272729</v>
      </c>
    </row>
    <row r="111" spans="1:18" ht="14.45" customHeight="1" x14ac:dyDescent="0.2">
      <c r="A111" s="463"/>
      <c r="B111" s="464" t="s">
        <v>1929</v>
      </c>
      <c r="C111" s="464" t="s">
        <v>444</v>
      </c>
      <c r="D111" s="464" t="s">
        <v>2019</v>
      </c>
      <c r="E111" s="464" t="s">
        <v>2053</v>
      </c>
      <c r="F111" s="464" t="s">
        <v>2054</v>
      </c>
      <c r="G111" s="468">
        <v>104</v>
      </c>
      <c r="H111" s="468">
        <v>7973.33</v>
      </c>
      <c r="I111" s="464">
        <v>1.5522401716290353</v>
      </c>
      <c r="J111" s="464">
        <v>76.666634615384609</v>
      </c>
      <c r="K111" s="468">
        <v>67</v>
      </c>
      <c r="L111" s="468">
        <v>5136.66</v>
      </c>
      <c r="M111" s="464">
        <v>1</v>
      </c>
      <c r="N111" s="464">
        <v>76.666567164179099</v>
      </c>
      <c r="O111" s="468">
        <v>53</v>
      </c>
      <c r="P111" s="468">
        <v>4063.33</v>
      </c>
      <c r="Q111" s="491">
        <v>0.79104515385483953</v>
      </c>
      <c r="R111" s="469">
        <v>76.66660377358491</v>
      </c>
    </row>
    <row r="112" spans="1:18" ht="14.45" customHeight="1" x14ac:dyDescent="0.2">
      <c r="A112" s="463"/>
      <c r="B112" s="464" t="s">
        <v>1929</v>
      </c>
      <c r="C112" s="464" t="s">
        <v>444</v>
      </c>
      <c r="D112" s="464" t="s">
        <v>2019</v>
      </c>
      <c r="E112" s="464" t="s">
        <v>2055</v>
      </c>
      <c r="F112" s="464" t="s">
        <v>2056</v>
      </c>
      <c r="G112" s="468">
        <v>1111</v>
      </c>
      <c r="H112" s="468">
        <v>0</v>
      </c>
      <c r="I112" s="464"/>
      <c r="J112" s="464">
        <v>0</v>
      </c>
      <c r="K112" s="468">
        <v>1030</v>
      </c>
      <c r="L112" s="468">
        <v>0</v>
      </c>
      <c r="M112" s="464"/>
      <c r="N112" s="464">
        <v>0</v>
      </c>
      <c r="O112" s="468">
        <v>909</v>
      </c>
      <c r="P112" s="468">
        <v>0</v>
      </c>
      <c r="Q112" s="491"/>
      <c r="R112" s="469">
        <v>0</v>
      </c>
    </row>
    <row r="113" spans="1:18" ht="14.45" customHeight="1" x14ac:dyDescent="0.2">
      <c r="A113" s="463"/>
      <c r="B113" s="464" t="s">
        <v>1929</v>
      </c>
      <c r="C113" s="464" t="s">
        <v>444</v>
      </c>
      <c r="D113" s="464" t="s">
        <v>2019</v>
      </c>
      <c r="E113" s="464" t="s">
        <v>2057</v>
      </c>
      <c r="F113" s="464" t="s">
        <v>2058</v>
      </c>
      <c r="G113" s="468">
        <v>312</v>
      </c>
      <c r="H113" s="468">
        <v>95333.33</v>
      </c>
      <c r="I113" s="464">
        <v>1.1685393327288798</v>
      </c>
      <c r="J113" s="464">
        <v>305.55554487179489</v>
      </c>
      <c r="K113" s="468">
        <v>267</v>
      </c>
      <c r="L113" s="468">
        <v>81583.33</v>
      </c>
      <c r="M113" s="464">
        <v>1</v>
      </c>
      <c r="N113" s="464">
        <v>305.55554307116108</v>
      </c>
      <c r="O113" s="468">
        <v>256</v>
      </c>
      <c r="P113" s="468">
        <v>78222.23</v>
      </c>
      <c r="Q113" s="491">
        <v>0.95880163263745177</v>
      </c>
      <c r="R113" s="469">
        <v>305.55558593749998</v>
      </c>
    </row>
    <row r="114" spans="1:18" ht="14.45" customHeight="1" x14ac:dyDescent="0.2">
      <c r="A114" s="463"/>
      <c r="B114" s="464" t="s">
        <v>1929</v>
      </c>
      <c r="C114" s="464" t="s">
        <v>444</v>
      </c>
      <c r="D114" s="464" t="s">
        <v>2019</v>
      </c>
      <c r="E114" s="464" t="s">
        <v>2059</v>
      </c>
      <c r="F114" s="464" t="s">
        <v>2060</v>
      </c>
      <c r="G114" s="468">
        <v>291</v>
      </c>
      <c r="H114" s="468">
        <v>9700.01</v>
      </c>
      <c r="I114" s="464">
        <v>1.0981147540055676</v>
      </c>
      <c r="J114" s="464">
        <v>33.333367697594504</v>
      </c>
      <c r="K114" s="468">
        <v>265</v>
      </c>
      <c r="L114" s="468">
        <v>8833.33</v>
      </c>
      <c r="M114" s="464">
        <v>1</v>
      </c>
      <c r="N114" s="464">
        <v>33.333320754716979</v>
      </c>
      <c r="O114" s="468">
        <v>62</v>
      </c>
      <c r="P114" s="468">
        <v>2066.6600000000003</v>
      </c>
      <c r="Q114" s="491">
        <v>0.23396159772135766</v>
      </c>
      <c r="R114" s="469">
        <v>33.333225806451615</v>
      </c>
    </row>
    <row r="115" spans="1:18" ht="14.45" customHeight="1" x14ac:dyDescent="0.2">
      <c r="A115" s="463"/>
      <c r="B115" s="464" t="s">
        <v>1929</v>
      </c>
      <c r="C115" s="464" t="s">
        <v>444</v>
      </c>
      <c r="D115" s="464" t="s">
        <v>2019</v>
      </c>
      <c r="E115" s="464" t="s">
        <v>2061</v>
      </c>
      <c r="F115" s="464" t="s">
        <v>2062</v>
      </c>
      <c r="G115" s="468">
        <v>466</v>
      </c>
      <c r="H115" s="468">
        <v>212288.88999999998</v>
      </c>
      <c r="I115" s="464">
        <v>0.97489538269424647</v>
      </c>
      <c r="J115" s="464">
        <v>455.55555793991414</v>
      </c>
      <c r="K115" s="468">
        <v>478</v>
      </c>
      <c r="L115" s="468">
        <v>217755.56000000003</v>
      </c>
      <c r="M115" s="464">
        <v>1</v>
      </c>
      <c r="N115" s="464">
        <v>455.55556485355652</v>
      </c>
      <c r="O115" s="468">
        <v>568</v>
      </c>
      <c r="P115" s="468">
        <v>258755.57</v>
      </c>
      <c r="Q115" s="491">
        <v>1.188284560908571</v>
      </c>
      <c r="R115" s="469">
        <v>455.55558098591553</v>
      </c>
    </row>
    <row r="116" spans="1:18" ht="14.45" customHeight="1" x14ac:dyDescent="0.2">
      <c r="A116" s="463"/>
      <c r="B116" s="464" t="s">
        <v>1929</v>
      </c>
      <c r="C116" s="464" t="s">
        <v>444</v>
      </c>
      <c r="D116" s="464" t="s">
        <v>2019</v>
      </c>
      <c r="E116" s="464" t="s">
        <v>2063</v>
      </c>
      <c r="F116" s="464" t="s">
        <v>2064</v>
      </c>
      <c r="G116" s="468"/>
      <c r="H116" s="468"/>
      <c r="I116" s="464"/>
      <c r="J116" s="464"/>
      <c r="K116" s="468"/>
      <c r="L116" s="468"/>
      <c r="M116" s="464"/>
      <c r="N116" s="464"/>
      <c r="O116" s="468">
        <v>1</v>
      </c>
      <c r="P116" s="468">
        <v>58.89</v>
      </c>
      <c r="Q116" s="491"/>
      <c r="R116" s="469">
        <v>58.89</v>
      </c>
    </row>
    <row r="117" spans="1:18" ht="14.45" customHeight="1" x14ac:dyDescent="0.2">
      <c r="A117" s="463"/>
      <c r="B117" s="464" t="s">
        <v>1929</v>
      </c>
      <c r="C117" s="464" t="s">
        <v>444</v>
      </c>
      <c r="D117" s="464" t="s">
        <v>2019</v>
      </c>
      <c r="E117" s="464" t="s">
        <v>2065</v>
      </c>
      <c r="F117" s="464" t="s">
        <v>2066</v>
      </c>
      <c r="G117" s="468">
        <v>329</v>
      </c>
      <c r="H117" s="468">
        <v>25588.89</v>
      </c>
      <c r="I117" s="464">
        <v>1.1584506962549952</v>
      </c>
      <c r="J117" s="464">
        <v>77.777781155015191</v>
      </c>
      <c r="K117" s="468">
        <v>284</v>
      </c>
      <c r="L117" s="468">
        <v>22088.89</v>
      </c>
      <c r="M117" s="464">
        <v>1</v>
      </c>
      <c r="N117" s="464">
        <v>77.777781690140841</v>
      </c>
      <c r="O117" s="468">
        <v>266</v>
      </c>
      <c r="P117" s="468">
        <v>20688.89</v>
      </c>
      <c r="Q117" s="491">
        <v>0.93661972149800199</v>
      </c>
      <c r="R117" s="469">
        <v>77.777781954887217</v>
      </c>
    </row>
    <row r="118" spans="1:18" ht="14.45" customHeight="1" x14ac:dyDescent="0.2">
      <c r="A118" s="463"/>
      <c r="B118" s="464" t="s">
        <v>1929</v>
      </c>
      <c r="C118" s="464" t="s">
        <v>444</v>
      </c>
      <c r="D118" s="464" t="s">
        <v>2019</v>
      </c>
      <c r="E118" s="464" t="s">
        <v>2067</v>
      </c>
      <c r="F118" s="464" t="s">
        <v>2068</v>
      </c>
      <c r="G118" s="468"/>
      <c r="H118" s="468"/>
      <c r="I118" s="464"/>
      <c r="J118" s="464"/>
      <c r="K118" s="468">
        <v>1</v>
      </c>
      <c r="L118" s="468">
        <v>0</v>
      </c>
      <c r="M118" s="464"/>
      <c r="N118" s="464">
        <v>0</v>
      </c>
      <c r="O118" s="468">
        <v>0</v>
      </c>
      <c r="P118" s="468">
        <v>0</v>
      </c>
      <c r="Q118" s="491"/>
      <c r="R118" s="469"/>
    </row>
    <row r="119" spans="1:18" ht="14.45" customHeight="1" x14ac:dyDescent="0.2">
      <c r="A119" s="463"/>
      <c r="B119" s="464" t="s">
        <v>1929</v>
      </c>
      <c r="C119" s="464" t="s">
        <v>444</v>
      </c>
      <c r="D119" s="464" t="s">
        <v>2019</v>
      </c>
      <c r="E119" s="464" t="s">
        <v>2069</v>
      </c>
      <c r="F119" s="464" t="s">
        <v>2070</v>
      </c>
      <c r="G119" s="468">
        <v>13</v>
      </c>
      <c r="H119" s="468">
        <v>3510</v>
      </c>
      <c r="I119" s="464">
        <v>0.12380952380952381</v>
      </c>
      <c r="J119" s="464">
        <v>270</v>
      </c>
      <c r="K119" s="468">
        <v>105</v>
      </c>
      <c r="L119" s="468">
        <v>28350</v>
      </c>
      <c r="M119" s="464">
        <v>1</v>
      </c>
      <c r="N119" s="464">
        <v>270</v>
      </c>
      <c r="O119" s="468">
        <v>5</v>
      </c>
      <c r="P119" s="468">
        <v>1350</v>
      </c>
      <c r="Q119" s="491">
        <v>4.7619047619047616E-2</v>
      </c>
      <c r="R119" s="469">
        <v>270</v>
      </c>
    </row>
    <row r="120" spans="1:18" ht="14.45" customHeight="1" x14ac:dyDescent="0.2">
      <c r="A120" s="463"/>
      <c r="B120" s="464" t="s">
        <v>1929</v>
      </c>
      <c r="C120" s="464" t="s">
        <v>444</v>
      </c>
      <c r="D120" s="464" t="s">
        <v>2019</v>
      </c>
      <c r="E120" s="464" t="s">
        <v>2071</v>
      </c>
      <c r="F120" s="464" t="s">
        <v>2072</v>
      </c>
      <c r="G120" s="468">
        <v>747</v>
      </c>
      <c r="H120" s="468">
        <v>70550</v>
      </c>
      <c r="I120" s="464">
        <v>1.1545592324889533</v>
      </c>
      <c r="J120" s="464">
        <v>94.444444444444443</v>
      </c>
      <c r="K120" s="468">
        <v>647</v>
      </c>
      <c r="L120" s="468">
        <v>61105.569999999992</v>
      </c>
      <c r="M120" s="464">
        <v>1</v>
      </c>
      <c r="N120" s="464">
        <v>94.444466769706324</v>
      </c>
      <c r="O120" s="468">
        <v>566</v>
      </c>
      <c r="P120" s="468">
        <v>53455.55</v>
      </c>
      <c r="Q120" s="491">
        <v>0.87480650290963669</v>
      </c>
      <c r="R120" s="469">
        <v>94.444434628975273</v>
      </c>
    </row>
    <row r="121" spans="1:18" ht="14.45" customHeight="1" x14ac:dyDescent="0.2">
      <c r="A121" s="463"/>
      <c r="B121" s="464" t="s">
        <v>1929</v>
      </c>
      <c r="C121" s="464" t="s">
        <v>444</v>
      </c>
      <c r="D121" s="464" t="s">
        <v>2019</v>
      </c>
      <c r="E121" s="464" t="s">
        <v>2073</v>
      </c>
      <c r="F121" s="464" t="s">
        <v>2074</v>
      </c>
      <c r="G121" s="468">
        <v>248</v>
      </c>
      <c r="H121" s="468">
        <v>10746.66</v>
      </c>
      <c r="I121" s="464">
        <v>1.1698101706058888</v>
      </c>
      <c r="J121" s="464">
        <v>43.333306451612906</v>
      </c>
      <c r="K121" s="468">
        <v>212</v>
      </c>
      <c r="L121" s="468">
        <v>9186.67</v>
      </c>
      <c r="M121" s="464">
        <v>1</v>
      </c>
      <c r="N121" s="464">
        <v>43.333349056603772</v>
      </c>
      <c r="O121" s="468">
        <v>235</v>
      </c>
      <c r="P121" s="468">
        <v>10183.33</v>
      </c>
      <c r="Q121" s="491">
        <v>1.1084898009833812</v>
      </c>
      <c r="R121" s="469">
        <v>43.33331914893617</v>
      </c>
    </row>
    <row r="122" spans="1:18" ht="14.45" customHeight="1" x14ac:dyDescent="0.2">
      <c r="A122" s="463"/>
      <c r="B122" s="464" t="s">
        <v>1929</v>
      </c>
      <c r="C122" s="464" t="s">
        <v>444</v>
      </c>
      <c r="D122" s="464" t="s">
        <v>2019</v>
      </c>
      <c r="E122" s="464" t="s">
        <v>2075</v>
      </c>
      <c r="F122" s="464" t="s">
        <v>2076</v>
      </c>
      <c r="G122" s="468">
        <v>5</v>
      </c>
      <c r="H122" s="468">
        <v>483.34000000000003</v>
      </c>
      <c r="I122" s="464">
        <v>2.5000775875446126</v>
      </c>
      <c r="J122" s="464">
        <v>96.668000000000006</v>
      </c>
      <c r="K122" s="468">
        <v>2</v>
      </c>
      <c r="L122" s="468">
        <v>193.33</v>
      </c>
      <c r="M122" s="464">
        <v>1</v>
      </c>
      <c r="N122" s="464">
        <v>96.665000000000006</v>
      </c>
      <c r="O122" s="468"/>
      <c r="P122" s="468"/>
      <c r="Q122" s="491"/>
      <c r="R122" s="469"/>
    </row>
    <row r="123" spans="1:18" ht="14.45" customHeight="1" x14ac:dyDescent="0.2">
      <c r="A123" s="463"/>
      <c r="B123" s="464" t="s">
        <v>1929</v>
      </c>
      <c r="C123" s="464" t="s">
        <v>444</v>
      </c>
      <c r="D123" s="464" t="s">
        <v>2019</v>
      </c>
      <c r="E123" s="464" t="s">
        <v>2077</v>
      </c>
      <c r="F123" s="464" t="s">
        <v>2078</v>
      </c>
      <c r="G123" s="468">
        <v>3</v>
      </c>
      <c r="H123" s="468">
        <v>603.33000000000004</v>
      </c>
      <c r="I123" s="464">
        <v>0.6</v>
      </c>
      <c r="J123" s="464">
        <v>201.11</v>
      </c>
      <c r="K123" s="468">
        <v>5</v>
      </c>
      <c r="L123" s="468">
        <v>1005.5500000000001</v>
      </c>
      <c r="M123" s="464">
        <v>1</v>
      </c>
      <c r="N123" s="464">
        <v>201.11</v>
      </c>
      <c r="O123" s="468">
        <v>1</v>
      </c>
      <c r="P123" s="468">
        <v>201.11</v>
      </c>
      <c r="Q123" s="491">
        <v>0.2</v>
      </c>
      <c r="R123" s="469">
        <v>201.11</v>
      </c>
    </row>
    <row r="124" spans="1:18" ht="14.45" customHeight="1" x14ac:dyDescent="0.2">
      <c r="A124" s="463"/>
      <c r="B124" s="464" t="s">
        <v>1929</v>
      </c>
      <c r="C124" s="464" t="s">
        <v>444</v>
      </c>
      <c r="D124" s="464" t="s">
        <v>2019</v>
      </c>
      <c r="E124" s="464" t="s">
        <v>2079</v>
      </c>
      <c r="F124" s="464" t="s">
        <v>2080</v>
      </c>
      <c r="G124" s="468">
        <v>10</v>
      </c>
      <c r="H124" s="468">
        <v>1955.56</v>
      </c>
      <c r="I124" s="464">
        <v>1.1282033530640267</v>
      </c>
      <c r="J124" s="464">
        <v>195.55599999999998</v>
      </c>
      <c r="K124" s="468">
        <v>4</v>
      </c>
      <c r="L124" s="468">
        <v>1733.34</v>
      </c>
      <c r="M124" s="464">
        <v>1</v>
      </c>
      <c r="N124" s="464">
        <v>433.33499999999998</v>
      </c>
      <c r="O124" s="468">
        <v>4</v>
      </c>
      <c r="P124" s="468">
        <v>1733.34</v>
      </c>
      <c r="Q124" s="491">
        <v>1</v>
      </c>
      <c r="R124" s="469">
        <v>433.33499999999998</v>
      </c>
    </row>
    <row r="125" spans="1:18" ht="14.45" customHeight="1" x14ac:dyDescent="0.2">
      <c r="A125" s="463"/>
      <c r="B125" s="464" t="s">
        <v>1929</v>
      </c>
      <c r="C125" s="464" t="s">
        <v>444</v>
      </c>
      <c r="D125" s="464" t="s">
        <v>2019</v>
      </c>
      <c r="E125" s="464" t="s">
        <v>2081</v>
      </c>
      <c r="F125" s="464" t="s">
        <v>2082</v>
      </c>
      <c r="G125" s="468">
        <v>3</v>
      </c>
      <c r="H125" s="468">
        <v>350.01</v>
      </c>
      <c r="I125" s="464">
        <v>1</v>
      </c>
      <c r="J125" s="464">
        <v>116.67</v>
      </c>
      <c r="K125" s="468">
        <v>3</v>
      </c>
      <c r="L125" s="468">
        <v>350.01</v>
      </c>
      <c r="M125" s="464">
        <v>1</v>
      </c>
      <c r="N125" s="464">
        <v>116.67</v>
      </c>
      <c r="O125" s="468">
        <v>1</v>
      </c>
      <c r="P125" s="468">
        <v>133.33000000000001</v>
      </c>
      <c r="Q125" s="491">
        <v>0.38093197337218943</v>
      </c>
      <c r="R125" s="469">
        <v>133.33000000000001</v>
      </c>
    </row>
    <row r="126" spans="1:18" ht="14.45" customHeight="1" x14ac:dyDescent="0.2">
      <c r="A126" s="463"/>
      <c r="B126" s="464" t="s">
        <v>1929</v>
      </c>
      <c r="C126" s="464" t="s">
        <v>444</v>
      </c>
      <c r="D126" s="464" t="s">
        <v>2019</v>
      </c>
      <c r="E126" s="464" t="s">
        <v>2083</v>
      </c>
      <c r="F126" s="464" t="s">
        <v>2084</v>
      </c>
      <c r="G126" s="468">
        <v>27</v>
      </c>
      <c r="H126" s="468">
        <v>1320.0099999999998</v>
      </c>
      <c r="I126" s="464">
        <v>0.67500703126997497</v>
      </c>
      <c r="J126" s="464">
        <v>48.889259259259248</v>
      </c>
      <c r="K126" s="468">
        <v>40</v>
      </c>
      <c r="L126" s="468">
        <v>1955.5500000000002</v>
      </c>
      <c r="M126" s="464">
        <v>1</v>
      </c>
      <c r="N126" s="464">
        <v>48.888750000000002</v>
      </c>
      <c r="O126" s="468">
        <v>43</v>
      </c>
      <c r="P126" s="468">
        <v>2102.2200000000003</v>
      </c>
      <c r="Q126" s="491">
        <v>1.0750019176190841</v>
      </c>
      <c r="R126" s="469">
        <v>48.888837209302331</v>
      </c>
    </row>
    <row r="127" spans="1:18" ht="14.45" customHeight="1" x14ac:dyDescent="0.2">
      <c r="A127" s="463"/>
      <c r="B127" s="464" t="s">
        <v>1929</v>
      </c>
      <c r="C127" s="464" t="s">
        <v>444</v>
      </c>
      <c r="D127" s="464" t="s">
        <v>2019</v>
      </c>
      <c r="E127" s="464" t="s">
        <v>2085</v>
      </c>
      <c r="F127" s="464" t="s">
        <v>2086</v>
      </c>
      <c r="G127" s="468">
        <v>10</v>
      </c>
      <c r="H127" s="468">
        <v>3444.4399999999996</v>
      </c>
      <c r="I127" s="464">
        <v>10.000116130530715</v>
      </c>
      <c r="J127" s="464">
        <v>344.44399999999996</v>
      </c>
      <c r="K127" s="468">
        <v>1</v>
      </c>
      <c r="L127" s="468">
        <v>344.44</v>
      </c>
      <c r="M127" s="464">
        <v>1</v>
      </c>
      <c r="N127" s="464">
        <v>344.44</v>
      </c>
      <c r="O127" s="468">
        <v>13</v>
      </c>
      <c r="P127" s="468">
        <v>4477.76</v>
      </c>
      <c r="Q127" s="491">
        <v>13.000116130530717</v>
      </c>
      <c r="R127" s="469">
        <v>344.44307692307694</v>
      </c>
    </row>
    <row r="128" spans="1:18" ht="14.45" customHeight="1" x14ac:dyDescent="0.2">
      <c r="A128" s="463"/>
      <c r="B128" s="464" t="s">
        <v>1929</v>
      </c>
      <c r="C128" s="464" t="s">
        <v>444</v>
      </c>
      <c r="D128" s="464" t="s">
        <v>2019</v>
      </c>
      <c r="E128" s="464" t="s">
        <v>2087</v>
      </c>
      <c r="F128" s="464" t="s">
        <v>2088</v>
      </c>
      <c r="G128" s="468">
        <v>30</v>
      </c>
      <c r="H128" s="468">
        <v>8766.66</v>
      </c>
      <c r="I128" s="464">
        <v>1.5789467996585151</v>
      </c>
      <c r="J128" s="464">
        <v>292.22199999999998</v>
      </c>
      <c r="K128" s="468">
        <v>19</v>
      </c>
      <c r="L128" s="468">
        <v>5552.2199999999993</v>
      </c>
      <c r="M128" s="464">
        <v>1</v>
      </c>
      <c r="N128" s="464">
        <v>292.22210526315786</v>
      </c>
      <c r="O128" s="468">
        <v>24</v>
      </c>
      <c r="P128" s="468">
        <v>7013.33</v>
      </c>
      <c r="Q128" s="491">
        <v>1.2631577999430859</v>
      </c>
      <c r="R128" s="469">
        <v>292.22208333333333</v>
      </c>
    </row>
    <row r="129" spans="1:18" ht="14.45" customHeight="1" x14ac:dyDescent="0.2">
      <c r="A129" s="463"/>
      <c r="B129" s="464" t="s">
        <v>1929</v>
      </c>
      <c r="C129" s="464" t="s">
        <v>444</v>
      </c>
      <c r="D129" s="464" t="s">
        <v>2019</v>
      </c>
      <c r="E129" s="464" t="s">
        <v>2089</v>
      </c>
      <c r="F129" s="464" t="s">
        <v>2090</v>
      </c>
      <c r="G129" s="468">
        <v>57</v>
      </c>
      <c r="H129" s="468">
        <v>12666.67</v>
      </c>
      <c r="I129" s="464">
        <v>8.1428883674584558</v>
      </c>
      <c r="J129" s="464">
        <v>222.22228070175439</v>
      </c>
      <c r="K129" s="468">
        <v>7</v>
      </c>
      <c r="L129" s="468">
        <v>1555.55</v>
      </c>
      <c r="M129" s="464">
        <v>1</v>
      </c>
      <c r="N129" s="464">
        <v>222.22142857142856</v>
      </c>
      <c r="O129" s="468">
        <v>19</v>
      </c>
      <c r="P129" s="468">
        <v>4222.21</v>
      </c>
      <c r="Q129" s="491">
        <v>2.7142875510269682</v>
      </c>
      <c r="R129" s="469">
        <v>222.22157894736841</v>
      </c>
    </row>
    <row r="130" spans="1:18" ht="14.45" customHeight="1" x14ac:dyDescent="0.2">
      <c r="A130" s="463"/>
      <c r="B130" s="464" t="s">
        <v>1929</v>
      </c>
      <c r="C130" s="464" t="s">
        <v>444</v>
      </c>
      <c r="D130" s="464" t="s">
        <v>2019</v>
      </c>
      <c r="E130" s="464" t="s">
        <v>2091</v>
      </c>
      <c r="F130" s="464" t="s">
        <v>2092</v>
      </c>
      <c r="G130" s="468">
        <v>1</v>
      </c>
      <c r="H130" s="468">
        <v>116.67</v>
      </c>
      <c r="I130" s="464">
        <v>0.2500053571045921</v>
      </c>
      <c r="J130" s="464">
        <v>116.67</v>
      </c>
      <c r="K130" s="468">
        <v>4</v>
      </c>
      <c r="L130" s="468">
        <v>466.67</v>
      </c>
      <c r="M130" s="464">
        <v>1</v>
      </c>
      <c r="N130" s="464">
        <v>116.6675</v>
      </c>
      <c r="O130" s="468"/>
      <c r="P130" s="468"/>
      <c r="Q130" s="491"/>
      <c r="R130" s="469"/>
    </row>
    <row r="131" spans="1:18" ht="14.45" customHeight="1" x14ac:dyDescent="0.2">
      <c r="A131" s="463"/>
      <c r="B131" s="464" t="s">
        <v>1929</v>
      </c>
      <c r="C131" s="464" t="s">
        <v>444</v>
      </c>
      <c r="D131" s="464" t="s">
        <v>2019</v>
      </c>
      <c r="E131" s="464" t="s">
        <v>2093</v>
      </c>
      <c r="F131" s="464" t="s">
        <v>2094</v>
      </c>
      <c r="G131" s="468">
        <v>2</v>
      </c>
      <c r="H131" s="468">
        <v>717.78</v>
      </c>
      <c r="I131" s="464"/>
      <c r="J131" s="464">
        <v>358.89</v>
      </c>
      <c r="K131" s="468"/>
      <c r="L131" s="468"/>
      <c r="M131" s="464"/>
      <c r="N131" s="464"/>
      <c r="O131" s="468"/>
      <c r="P131" s="468"/>
      <c r="Q131" s="491"/>
      <c r="R131" s="469"/>
    </row>
    <row r="132" spans="1:18" ht="14.45" customHeight="1" x14ac:dyDescent="0.2">
      <c r="A132" s="463"/>
      <c r="B132" s="464" t="s">
        <v>1929</v>
      </c>
      <c r="C132" s="464" t="s">
        <v>444</v>
      </c>
      <c r="D132" s="464" t="s">
        <v>2019</v>
      </c>
      <c r="E132" s="464" t="s">
        <v>2095</v>
      </c>
      <c r="F132" s="464" t="s">
        <v>2096</v>
      </c>
      <c r="G132" s="468"/>
      <c r="H132" s="468"/>
      <c r="I132" s="464"/>
      <c r="J132" s="464"/>
      <c r="K132" s="468"/>
      <c r="L132" s="468"/>
      <c r="M132" s="464"/>
      <c r="N132" s="464"/>
      <c r="O132" s="468">
        <v>1</v>
      </c>
      <c r="P132" s="468">
        <v>550</v>
      </c>
      <c r="Q132" s="491"/>
      <c r="R132" s="469">
        <v>550</v>
      </c>
    </row>
    <row r="133" spans="1:18" ht="14.45" customHeight="1" x14ac:dyDescent="0.2">
      <c r="A133" s="463"/>
      <c r="B133" s="464" t="s">
        <v>1929</v>
      </c>
      <c r="C133" s="464" t="s">
        <v>444</v>
      </c>
      <c r="D133" s="464" t="s">
        <v>2019</v>
      </c>
      <c r="E133" s="464" t="s">
        <v>2097</v>
      </c>
      <c r="F133" s="464" t="s">
        <v>2098</v>
      </c>
      <c r="G133" s="468"/>
      <c r="H133" s="468"/>
      <c r="I133" s="464"/>
      <c r="J133" s="464"/>
      <c r="K133" s="468">
        <v>71</v>
      </c>
      <c r="L133" s="468">
        <v>8283.33</v>
      </c>
      <c r="M133" s="464">
        <v>1</v>
      </c>
      <c r="N133" s="464">
        <v>116.66661971830986</v>
      </c>
      <c r="O133" s="468">
        <v>33</v>
      </c>
      <c r="P133" s="468">
        <v>3850</v>
      </c>
      <c r="Q133" s="491">
        <v>0.46478891943216072</v>
      </c>
      <c r="R133" s="469">
        <v>116.66666666666667</v>
      </c>
    </row>
    <row r="134" spans="1:18" ht="14.45" customHeight="1" x14ac:dyDescent="0.2">
      <c r="A134" s="463"/>
      <c r="B134" s="464" t="s">
        <v>1929</v>
      </c>
      <c r="C134" s="464" t="s">
        <v>1922</v>
      </c>
      <c r="D134" s="464" t="s">
        <v>1930</v>
      </c>
      <c r="E134" s="464" t="s">
        <v>1936</v>
      </c>
      <c r="F134" s="464"/>
      <c r="G134" s="468">
        <v>21</v>
      </c>
      <c r="H134" s="468">
        <v>2373</v>
      </c>
      <c r="I134" s="464"/>
      <c r="J134" s="464">
        <v>113</v>
      </c>
      <c r="K134" s="468"/>
      <c r="L134" s="468"/>
      <c r="M134" s="464"/>
      <c r="N134" s="464"/>
      <c r="O134" s="468"/>
      <c r="P134" s="468"/>
      <c r="Q134" s="491"/>
      <c r="R134" s="469"/>
    </row>
    <row r="135" spans="1:18" ht="14.45" customHeight="1" x14ac:dyDescent="0.2">
      <c r="A135" s="463"/>
      <c r="B135" s="464" t="s">
        <v>1929</v>
      </c>
      <c r="C135" s="464" t="s">
        <v>1922</v>
      </c>
      <c r="D135" s="464" t="s">
        <v>1930</v>
      </c>
      <c r="E135" s="464" t="s">
        <v>1958</v>
      </c>
      <c r="F135" s="464"/>
      <c r="G135" s="468">
        <v>1</v>
      </c>
      <c r="H135" s="468">
        <v>282</v>
      </c>
      <c r="I135" s="464"/>
      <c r="J135" s="464">
        <v>282</v>
      </c>
      <c r="K135" s="468"/>
      <c r="L135" s="468"/>
      <c r="M135" s="464"/>
      <c r="N135" s="464"/>
      <c r="O135" s="468"/>
      <c r="P135" s="468"/>
      <c r="Q135" s="491"/>
      <c r="R135" s="469"/>
    </row>
    <row r="136" spans="1:18" ht="14.45" customHeight="1" x14ac:dyDescent="0.2">
      <c r="A136" s="463"/>
      <c r="B136" s="464" t="s">
        <v>1929</v>
      </c>
      <c r="C136" s="464" t="s">
        <v>1922</v>
      </c>
      <c r="D136" s="464" t="s">
        <v>1930</v>
      </c>
      <c r="E136" s="464" t="s">
        <v>1972</v>
      </c>
      <c r="F136" s="464"/>
      <c r="G136" s="468">
        <v>1</v>
      </c>
      <c r="H136" s="468">
        <v>225</v>
      </c>
      <c r="I136" s="464"/>
      <c r="J136" s="464">
        <v>225</v>
      </c>
      <c r="K136" s="468"/>
      <c r="L136" s="468"/>
      <c r="M136" s="464"/>
      <c r="N136" s="464"/>
      <c r="O136" s="468"/>
      <c r="P136" s="468"/>
      <c r="Q136" s="491"/>
      <c r="R136" s="469"/>
    </row>
    <row r="137" spans="1:18" ht="14.45" customHeight="1" x14ac:dyDescent="0.2">
      <c r="A137" s="463"/>
      <c r="B137" s="464" t="s">
        <v>1929</v>
      </c>
      <c r="C137" s="464" t="s">
        <v>1922</v>
      </c>
      <c r="D137" s="464" t="s">
        <v>1930</v>
      </c>
      <c r="E137" s="464" t="s">
        <v>1974</v>
      </c>
      <c r="F137" s="464"/>
      <c r="G137" s="468">
        <v>1</v>
      </c>
      <c r="H137" s="468">
        <v>587</v>
      </c>
      <c r="I137" s="464"/>
      <c r="J137" s="464">
        <v>587</v>
      </c>
      <c r="K137" s="468"/>
      <c r="L137" s="468"/>
      <c r="M137" s="464"/>
      <c r="N137" s="464"/>
      <c r="O137" s="468"/>
      <c r="P137" s="468"/>
      <c r="Q137" s="491"/>
      <c r="R137" s="469"/>
    </row>
    <row r="138" spans="1:18" ht="14.45" customHeight="1" x14ac:dyDescent="0.2">
      <c r="A138" s="463"/>
      <c r="B138" s="464" t="s">
        <v>1929</v>
      </c>
      <c r="C138" s="464" t="s">
        <v>1922</v>
      </c>
      <c r="D138" s="464" t="s">
        <v>2019</v>
      </c>
      <c r="E138" s="464" t="s">
        <v>2020</v>
      </c>
      <c r="F138" s="464" t="s">
        <v>2021</v>
      </c>
      <c r="G138" s="468">
        <v>30</v>
      </c>
      <c r="H138" s="468">
        <v>15266.670000000002</v>
      </c>
      <c r="I138" s="464">
        <v>0.46875008635541471</v>
      </c>
      <c r="J138" s="464">
        <v>508.88900000000007</v>
      </c>
      <c r="K138" s="468">
        <v>64</v>
      </c>
      <c r="L138" s="468">
        <v>32568.89</v>
      </c>
      <c r="M138" s="464">
        <v>1</v>
      </c>
      <c r="N138" s="464">
        <v>508.88890624999999</v>
      </c>
      <c r="O138" s="468">
        <v>97</v>
      </c>
      <c r="P138" s="468">
        <v>49362.22</v>
      </c>
      <c r="Q138" s="491">
        <v>1.5156248800619241</v>
      </c>
      <c r="R138" s="469">
        <v>508.88886597938148</v>
      </c>
    </row>
    <row r="139" spans="1:18" ht="14.45" customHeight="1" x14ac:dyDescent="0.2">
      <c r="A139" s="463"/>
      <c r="B139" s="464" t="s">
        <v>1929</v>
      </c>
      <c r="C139" s="464" t="s">
        <v>1922</v>
      </c>
      <c r="D139" s="464" t="s">
        <v>2019</v>
      </c>
      <c r="E139" s="464" t="s">
        <v>2022</v>
      </c>
      <c r="F139" s="464" t="s">
        <v>2023</v>
      </c>
      <c r="G139" s="468">
        <v>516</v>
      </c>
      <c r="H139" s="468">
        <v>258000</v>
      </c>
      <c r="I139" s="464">
        <v>0.94160583941605835</v>
      </c>
      <c r="J139" s="464">
        <v>500</v>
      </c>
      <c r="K139" s="468">
        <v>548</v>
      </c>
      <c r="L139" s="468">
        <v>274000</v>
      </c>
      <c r="M139" s="464">
        <v>1</v>
      </c>
      <c r="N139" s="464">
        <v>500</v>
      </c>
      <c r="O139" s="468">
        <v>578</v>
      </c>
      <c r="P139" s="468">
        <v>289000</v>
      </c>
      <c r="Q139" s="491">
        <v>1.0547445255474452</v>
      </c>
      <c r="R139" s="469">
        <v>500</v>
      </c>
    </row>
    <row r="140" spans="1:18" ht="14.45" customHeight="1" x14ac:dyDescent="0.2">
      <c r="A140" s="463"/>
      <c r="B140" s="464" t="s">
        <v>1929</v>
      </c>
      <c r="C140" s="464" t="s">
        <v>1922</v>
      </c>
      <c r="D140" s="464" t="s">
        <v>2019</v>
      </c>
      <c r="E140" s="464" t="s">
        <v>2099</v>
      </c>
      <c r="F140" s="464" t="s">
        <v>2100</v>
      </c>
      <c r="G140" s="468">
        <v>144</v>
      </c>
      <c r="H140" s="468">
        <v>15199.99</v>
      </c>
      <c r="I140" s="464">
        <v>0.65753371917322001</v>
      </c>
      <c r="J140" s="464">
        <v>105.55548611111111</v>
      </c>
      <c r="K140" s="468">
        <v>219</v>
      </c>
      <c r="L140" s="468">
        <v>23116.67</v>
      </c>
      <c r="M140" s="464">
        <v>1</v>
      </c>
      <c r="N140" s="464">
        <v>105.55557077625571</v>
      </c>
      <c r="O140" s="468">
        <v>105</v>
      </c>
      <c r="P140" s="468">
        <v>11083.330000000002</v>
      </c>
      <c r="Q140" s="491">
        <v>0.47945184146332509</v>
      </c>
      <c r="R140" s="469">
        <v>105.55552380952382</v>
      </c>
    </row>
    <row r="141" spans="1:18" ht="14.45" customHeight="1" x14ac:dyDescent="0.2">
      <c r="A141" s="463"/>
      <c r="B141" s="464" t="s">
        <v>1929</v>
      </c>
      <c r="C141" s="464" t="s">
        <v>1922</v>
      </c>
      <c r="D141" s="464" t="s">
        <v>2019</v>
      </c>
      <c r="E141" s="464" t="s">
        <v>2024</v>
      </c>
      <c r="F141" s="464" t="s">
        <v>2025</v>
      </c>
      <c r="G141" s="468">
        <v>5118</v>
      </c>
      <c r="H141" s="468">
        <v>398066.68</v>
      </c>
      <c r="I141" s="464">
        <v>0.93873811905186177</v>
      </c>
      <c r="J141" s="464">
        <v>77.777780382962092</v>
      </c>
      <c r="K141" s="468">
        <v>5452</v>
      </c>
      <c r="L141" s="468">
        <v>424044.43999999994</v>
      </c>
      <c r="M141" s="464">
        <v>1</v>
      </c>
      <c r="N141" s="464">
        <v>77.777776962582521</v>
      </c>
      <c r="O141" s="468">
        <v>5331</v>
      </c>
      <c r="P141" s="468">
        <v>414633.33</v>
      </c>
      <c r="Q141" s="491">
        <v>0.97780631199880863</v>
      </c>
      <c r="R141" s="469">
        <v>77.777777152504228</v>
      </c>
    </row>
    <row r="142" spans="1:18" ht="14.45" customHeight="1" x14ac:dyDescent="0.2">
      <c r="A142" s="463"/>
      <c r="B142" s="464" t="s">
        <v>1929</v>
      </c>
      <c r="C142" s="464" t="s">
        <v>1922</v>
      </c>
      <c r="D142" s="464" t="s">
        <v>2019</v>
      </c>
      <c r="E142" s="464" t="s">
        <v>2026</v>
      </c>
      <c r="F142" s="464" t="s">
        <v>2027</v>
      </c>
      <c r="G142" s="468">
        <v>3</v>
      </c>
      <c r="H142" s="468">
        <v>750</v>
      </c>
      <c r="I142" s="464">
        <v>0.13043478260869565</v>
      </c>
      <c r="J142" s="464">
        <v>250</v>
      </c>
      <c r="K142" s="468">
        <v>23</v>
      </c>
      <c r="L142" s="468">
        <v>5750</v>
      </c>
      <c r="M142" s="464">
        <v>1</v>
      </c>
      <c r="N142" s="464">
        <v>250</v>
      </c>
      <c r="O142" s="468">
        <v>40</v>
      </c>
      <c r="P142" s="468">
        <v>10000</v>
      </c>
      <c r="Q142" s="491">
        <v>1.7391304347826086</v>
      </c>
      <c r="R142" s="469">
        <v>250</v>
      </c>
    </row>
    <row r="143" spans="1:18" ht="14.45" customHeight="1" x14ac:dyDescent="0.2">
      <c r="A143" s="463"/>
      <c r="B143" s="464" t="s">
        <v>1929</v>
      </c>
      <c r="C143" s="464" t="s">
        <v>1922</v>
      </c>
      <c r="D143" s="464" t="s">
        <v>2019</v>
      </c>
      <c r="E143" s="464" t="s">
        <v>2028</v>
      </c>
      <c r="F143" s="464" t="s">
        <v>2029</v>
      </c>
      <c r="G143" s="468">
        <v>2</v>
      </c>
      <c r="H143" s="468">
        <v>600</v>
      </c>
      <c r="I143" s="464">
        <v>0.66666666666666663</v>
      </c>
      <c r="J143" s="464">
        <v>300</v>
      </c>
      <c r="K143" s="468">
        <v>3</v>
      </c>
      <c r="L143" s="468">
        <v>900</v>
      </c>
      <c r="M143" s="464">
        <v>1</v>
      </c>
      <c r="N143" s="464">
        <v>300</v>
      </c>
      <c r="O143" s="468">
        <v>1</v>
      </c>
      <c r="P143" s="468">
        <v>300</v>
      </c>
      <c r="Q143" s="491">
        <v>0.33333333333333331</v>
      </c>
      <c r="R143" s="469">
        <v>300</v>
      </c>
    </row>
    <row r="144" spans="1:18" ht="14.45" customHeight="1" x14ac:dyDescent="0.2">
      <c r="A144" s="463"/>
      <c r="B144" s="464" t="s">
        <v>1929</v>
      </c>
      <c r="C144" s="464" t="s">
        <v>1922</v>
      </c>
      <c r="D144" s="464" t="s">
        <v>2019</v>
      </c>
      <c r="E144" s="464" t="s">
        <v>2030</v>
      </c>
      <c r="F144" s="464" t="s">
        <v>2031</v>
      </c>
      <c r="G144" s="468">
        <v>1401</v>
      </c>
      <c r="H144" s="468">
        <v>163449.99</v>
      </c>
      <c r="I144" s="464">
        <v>1.0760367296881677</v>
      </c>
      <c r="J144" s="464">
        <v>116.66665952890791</v>
      </c>
      <c r="K144" s="468">
        <v>1302</v>
      </c>
      <c r="L144" s="468">
        <v>151900.01</v>
      </c>
      <c r="M144" s="464">
        <v>1</v>
      </c>
      <c r="N144" s="464">
        <v>116.66667434715822</v>
      </c>
      <c r="O144" s="468">
        <v>1085</v>
      </c>
      <c r="P144" s="468">
        <v>126583.34</v>
      </c>
      <c r="Q144" s="491">
        <v>0.83333332236120317</v>
      </c>
      <c r="R144" s="469">
        <v>116.66667281105991</v>
      </c>
    </row>
    <row r="145" spans="1:18" ht="14.45" customHeight="1" x14ac:dyDescent="0.2">
      <c r="A145" s="463"/>
      <c r="B145" s="464" t="s">
        <v>1929</v>
      </c>
      <c r="C145" s="464" t="s">
        <v>1922</v>
      </c>
      <c r="D145" s="464" t="s">
        <v>2019</v>
      </c>
      <c r="E145" s="464" t="s">
        <v>2101</v>
      </c>
      <c r="F145" s="464" t="s">
        <v>2102</v>
      </c>
      <c r="G145" s="468">
        <v>1</v>
      </c>
      <c r="H145" s="468">
        <v>388.89</v>
      </c>
      <c r="I145" s="464">
        <v>0.14285766763891236</v>
      </c>
      <c r="J145" s="464">
        <v>388.89</v>
      </c>
      <c r="K145" s="468">
        <v>7</v>
      </c>
      <c r="L145" s="468">
        <v>2722.22</v>
      </c>
      <c r="M145" s="464">
        <v>1</v>
      </c>
      <c r="N145" s="464">
        <v>388.88857142857142</v>
      </c>
      <c r="O145" s="468">
        <v>4</v>
      </c>
      <c r="P145" s="468">
        <v>2222.2199999999998</v>
      </c>
      <c r="Q145" s="491">
        <v>0.81632638067459651</v>
      </c>
      <c r="R145" s="469">
        <v>555.55499999999995</v>
      </c>
    </row>
    <row r="146" spans="1:18" ht="14.45" customHeight="1" x14ac:dyDescent="0.2">
      <c r="A146" s="463"/>
      <c r="B146" s="464" t="s">
        <v>1929</v>
      </c>
      <c r="C146" s="464" t="s">
        <v>1922</v>
      </c>
      <c r="D146" s="464" t="s">
        <v>2019</v>
      </c>
      <c r="E146" s="464" t="s">
        <v>2032</v>
      </c>
      <c r="F146" s="464" t="s">
        <v>2033</v>
      </c>
      <c r="G146" s="468">
        <v>1392</v>
      </c>
      <c r="H146" s="468">
        <v>417600</v>
      </c>
      <c r="I146" s="464">
        <v>0.79588336192109777</v>
      </c>
      <c r="J146" s="464">
        <v>300</v>
      </c>
      <c r="K146" s="468">
        <v>1749</v>
      </c>
      <c r="L146" s="468">
        <v>524700</v>
      </c>
      <c r="M146" s="464">
        <v>1</v>
      </c>
      <c r="N146" s="464">
        <v>300</v>
      </c>
      <c r="O146" s="468">
        <v>1890</v>
      </c>
      <c r="P146" s="468">
        <v>1039500</v>
      </c>
      <c r="Q146" s="491">
        <v>1.9811320754716981</v>
      </c>
      <c r="R146" s="469">
        <v>550</v>
      </c>
    </row>
    <row r="147" spans="1:18" ht="14.45" customHeight="1" x14ac:dyDescent="0.2">
      <c r="A147" s="463"/>
      <c r="B147" s="464" t="s">
        <v>1929</v>
      </c>
      <c r="C147" s="464" t="s">
        <v>1922</v>
      </c>
      <c r="D147" s="464" t="s">
        <v>2019</v>
      </c>
      <c r="E147" s="464" t="s">
        <v>2034</v>
      </c>
      <c r="F147" s="464" t="s">
        <v>2035</v>
      </c>
      <c r="G147" s="468">
        <v>262</v>
      </c>
      <c r="H147" s="468">
        <v>77144.450000000012</v>
      </c>
      <c r="I147" s="464">
        <v>0.89726041975733972</v>
      </c>
      <c r="J147" s="464">
        <v>294.44446564885499</v>
      </c>
      <c r="K147" s="468">
        <v>292</v>
      </c>
      <c r="L147" s="468">
        <v>85977.77</v>
      </c>
      <c r="M147" s="464">
        <v>1</v>
      </c>
      <c r="N147" s="464">
        <v>294.44441780821921</v>
      </c>
      <c r="O147" s="468">
        <v>224</v>
      </c>
      <c r="P147" s="468">
        <v>65955.55</v>
      </c>
      <c r="Q147" s="491">
        <v>0.76712329245106026</v>
      </c>
      <c r="R147" s="469">
        <v>294.44441964285716</v>
      </c>
    </row>
    <row r="148" spans="1:18" ht="14.45" customHeight="1" x14ac:dyDescent="0.2">
      <c r="A148" s="463"/>
      <c r="B148" s="464" t="s">
        <v>1929</v>
      </c>
      <c r="C148" s="464" t="s">
        <v>1922</v>
      </c>
      <c r="D148" s="464" t="s">
        <v>2019</v>
      </c>
      <c r="E148" s="464" t="s">
        <v>2040</v>
      </c>
      <c r="F148" s="464" t="s">
        <v>2041</v>
      </c>
      <c r="G148" s="468">
        <v>2</v>
      </c>
      <c r="H148" s="468">
        <v>66.66</v>
      </c>
      <c r="I148" s="464">
        <v>0.66659999999999997</v>
      </c>
      <c r="J148" s="464">
        <v>33.33</v>
      </c>
      <c r="K148" s="468">
        <v>3</v>
      </c>
      <c r="L148" s="468">
        <v>100</v>
      </c>
      <c r="M148" s="464">
        <v>1</v>
      </c>
      <c r="N148" s="464">
        <v>33.333333333333336</v>
      </c>
      <c r="O148" s="468">
        <v>3</v>
      </c>
      <c r="P148" s="468">
        <v>100</v>
      </c>
      <c r="Q148" s="491">
        <v>1</v>
      </c>
      <c r="R148" s="469">
        <v>33.333333333333336</v>
      </c>
    </row>
    <row r="149" spans="1:18" ht="14.45" customHeight="1" x14ac:dyDescent="0.2">
      <c r="A149" s="463"/>
      <c r="B149" s="464" t="s">
        <v>1929</v>
      </c>
      <c r="C149" s="464" t="s">
        <v>1922</v>
      </c>
      <c r="D149" s="464" t="s">
        <v>2019</v>
      </c>
      <c r="E149" s="464" t="s">
        <v>2042</v>
      </c>
      <c r="F149" s="464" t="s">
        <v>2023</v>
      </c>
      <c r="G149" s="468">
        <v>897</v>
      </c>
      <c r="H149" s="468">
        <v>374746.66</v>
      </c>
      <c r="I149" s="464">
        <v>1.0089988692649985</v>
      </c>
      <c r="J149" s="464">
        <v>417.77777034559642</v>
      </c>
      <c r="K149" s="468">
        <v>889</v>
      </c>
      <c r="L149" s="468">
        <v>371404.44</v>
      </c>
      <c r="M149" s="464">
        <v>1</v>
      </c>
      <c r="N149" s="464">
        <v>417.77777277840272</v>
      </c>
      <c r="O149" s="468">
        <v>802</v>
      </c>
      <c r="P149" s="468">
        <v>335057.78000000003</v>
      </c>
      <c r="Q149" s="491">
        <v>0.90213724962469488</v>
      </c>
      <c r="R149" s="469">
        <v>417.77778054862847</v>
      </c>
    </row>
    <row r="150" spans="1:18" ht="14.45" customHeight="1" x14ac:dyDescent="0.2">
      <c r="A150" s="463"/>
      <c r="B150" s="464" t="s">
        <v>1929</v>
      </c>
      <c r="C150" s="464" t="s">
        <v>1922</v>
      </c>
      <c r="D150" s="464" t="s">
        <v>2019</v>
      </c>
      <c r="E150" s="464" t="s">
        <v>2043</v>
      </c>
      <c r="F150" s="464" t="s">
        <v>2044</v>
      </c>
      <c r="G150" s="468">
        <v>114</v>
      </c>
      <c r="H150" s="468">
        <v>24066.67</v>
      </c>
      <c r="I150" s="464">
        <v>1.1176473866327221</v>
      </c>
      <c r="J150" s="464">
        <v>211.11114035087718</v>
      </c>
      <c r="K150" s="468">
        <v>102</v>
      </c>
      <c r="L150" s="468">
        <v>21533.33</v>
      </c>
      <c r="M150" s="464">
        <v>1</v>
      </c>
      <c r="N150" s="464">
        <v>211.11107843137256</v>
      </c>
      <c r="O150" s="468">
        <v>64</v>
      </c>
      <c r="P150" s="468">
        <v>14222.21</v>
      </c>
      <c r="Q150" s="491">
        <v>0.66047425084740718</v>
      </c>
      <c r="R150" s="469">
        <v>222.22203124999999</v>
      </c>
    </row>
    <row r="151" spans="1:18" ht="14.45" customHeight="1" x14ac:dyDescent="0.2">
      <c r="A151" s="463"/>
      <c r="B151" s="464" t="s">
        <v>1929</v>
      </c>
      <c r="C151" s="464" t="s">
        <v>1922</v>
      </c>
      <c r="D151" s="464" t="s">
        <v>2019</v>
      </c>
      <c r="E151" s="464" t="s">
        <v>2045</v>
      </c>
      <c r="F151" s="464" t="s">
        <v>2046</v>
      </c>
      <c r="G151" s="468">
        <v>60</v>
      </c>
      <c r="H151" s="468">
        <v>35000</v>
      </c>
      <c r="I151" s="464">
        <v>1.1111107583775373</v>
      </c>
      <c r="J151" s="464">
        <v>583.33333333333337</v>
      </c>
      <c r="K151" s="468">
        <v>54</v>
      </c>
      <c r="L151" s="468">
        <v>31500.009999999995</v>
      </c>
      <c r="M151" s="464">
        <v>1</v>
      </c>
      <c r="N151" s="464">
        <v>583.33351851851842</v>
      </c>
      <c r="O151" s="468">
        <v>47</v>
      </c>
      <c r="P151" s="468">
        <v>27416.66</v>
      </c>
      <c r="Q151" s="491">
        <v>0.87036988242225966</v>
      </c>
      <c r="R151" s="469">
        <v>583.33319148936175</v>
      </c>
    </row>
    <row r="152" spans="1:18" ht="14.45" customHeight="1" x14ac:dyDescent="0.2">
      <c r="A152" s="463"/>
      <c r="B152" s="464" t="s">
        <v>1929</v>
      </c>
      <c r="C152" s="464" t="s">
        <v>1922</v>
      </c>
      <c r="D152" s="464" t="s">
        <v>2019</v>
      </c>
      <c r="E152" s="464" t="s">
        <v>2047</v>
      </c>
      <c r="F152" s="464" t="s">
        <v>2048</v>
      </c>
      <c r="G152" s="468">
        <v>208</v>
      </c>
      <c r="H152" s="468">
        <v>97066.67</v>
      </c>
      <c r="I152" s="464">
        <v>0.94545454722550171</v>
      </c>
      <c r="J152" s="464">
        <v>466.66668269230769</v>
      </c>
      <c r="K152" s="468">
        <v>220</v>
      </c>
      <c r="L152" s="468">
        <v>102666.67</v>
      </c>
      <c r="M152" s="464">
        <v>1</v>
      </c>
      <c r="N152" s="464">
        <v>466.66668181818181</v>
      </c>
      <c r="O152" s="468">
        <v>12</v>
      </c>
      <c r="P152" s="468">
        <v>5600</v>
      </c>
      <c r="Q152" s="491">
        <v>5.4545452774498286E-2</v>
      </c>
      <c r="R152" s="469">
        <v>466.66666666666669</v>
      </c>
    </row>
    <row r="153" spans="1:18" ht="14.45" customHeight="1" x14ac:dyDescent="0.2">
      <c r="A153" s="463"/>
      <c r="B153" s="464" t="s">
        <v>1929</v>
      </c>
      <c r="C153" s="464" t="s">
        <v>1922</v>
      </c>
      <c r="D153" s="464" t="s">
        <v>2019</v>
      </c>
      <c r="E153" s="464" t="s">
        <v>2049</v>
      </c>
      <c r="F153" s="464" t="s">
        <v>2050</v>
      </c>
      <c r="G153" s="468">
        <v>72</v>
      </c>
      <c r="H153" s="468">
        <v>3600</v>
      </c>
      <c r="I153" s="464">
        <v>0.83720930232558144</v>
      </c>
      <c r="J153" s="464">
        <v>50</v>
      </c>
      <c r="K153" s="468">
        <v>86</v>
      </c>
      <c r="L153" s="468">
        <v>4300</v>
      </c>
      <c r="M153" s="464">
        <v>1</v>
      </c>
      <c r="N153" s="464">
        <v>50</v>
      </c>
      <c r="O153" s="468">
        <v>69</v>
      </c>
      <c r="P153" s="468">
        <v>4216.66</v>
      </c>
      <c r="Q153" s="491">
        <v>0.9806186046511628</v>
      </c>
      <c r="R153" s="469">
        <v>61.111014492753618</v>
      </c>
    </row>
    <row r="154" spans="1:18" ht="14.45" customHeight="1" x14ac:dyDescent="0.2">
      <c r="A154" s="463"/>
      <c r="B154" s="464" t="s">
        <v>1929</v>
      </c>
      <c r="C154" s="464" t="s">
        <v>1922</v>
      </c>
      <c r="D154" s="464" t="s">
        <v>2019</v>
      </c>
      <c r="E154" s="464" t="s">
        <v>2051</v>
      </c>
      <c r="F154" s="464" t="s">
        <v>2052</v>
      </c>
      <c r="G154" s="468">
        <v>9</v>
      </c>
      <c r="H154" s="468">
        <v>909.99</v>
      </c>
      <c r="I154" s="464">
        <v>1</v>
      </c>
      <c r="J154" s="464">
        <v>101.11</v>
      </c>
      <c r="K154" s="468">
        <v>9</v>
      </c>
      <c r="L154" s="468">
        <v>909.99</v>
      </c>
      <c r="M154" s="464">
        <v>1</v>
      </c>
      <c r="N154" s="464">
        <v>101.11</v>
      </c>
      <c r="O154" s="468">
        <v>10</v>
      </c>
      <c r="P154" s="468">
        <v>1277.78</v>
      </c>
      <c r="Q154" s="491">
        <v>1.404169276585457</v>
      </c>
      <c r="R154" s="469">
        <v>127.77799999999999</v>
      </c>
    </row>
    <row r="155" spans="1:18" ht="14.45" customHeight="1" x14ac:dyDescent="0.2">
      <c r="A155" s="463"/>
      <c r="B155" s="464" t="s">
        <v>1929</v>
      </c>
      <c r="C155" s="464" t="s">
        <v>1922</v>
      </c>
      <c r="D155" s="464" t="s">
        <v>2019</v>
      </c>
      <c r="E155" s="464" t="s">
        <v>2053</v>
      </c>
      <c r="F155" s="464" t="s">
        <v>2054</v>
      </c>
      <c r="G155" s="468"/>
      <c r="H155" s="468"/>
      <c r="I155" s="464"/>
      <c r="J155" s="464"/>
      <c r="K155" s="468">
        <v>3</v>
      </c>
      <c r="L155" s="468">
        <v>230</v>
      </c>
      <c r="M155" s="464">
        <v>1</v>
      </c>
      <c r="N155" s="464">
        <v>76.666666666666671</v>
      </c>
      <c r="O155" s="468"/>
      <c r="P155" s="468"/>
      <c r="Q155" s="491"/>
      <c r="R155" s="469"/>
    </row>
    <row r="156" spans="1:18" ht="14.45" customHeight="1" x14ac:dyDescent="0.2">
      <c r="A156" s="463"/>
      <c r="B156" s="464" t="s">
        <v>1929</v>
      </c>
      <c r="C156" s="464" t="s">
        <v>1922</v>
      </c>
      <c r="D156" s="464" t="s">
        <v>2019</v>
      </c>
      <c r="E156" s="464" t="s">
        <v>2103</v>
      </c>
      <c r="F156" s="464" t="s">
        <v>2104</v>
      </c>
      <c r="G156" s="468"/>
      <c r="H156" s="468"/>
      <c r="I156" s="464"/>
      <c r="J156" s="464"/>
      <c r="K156" s="468">
        <v>1</v>
      </c>
      <c r="L156" s="468">
        <v>0</v>
      </c>
      <c r="M156" s="464"/>
      <c r="N156" s="464">
        <v>0</v>
      </c>
      <c r="O156" s="468"/>
      <c r="P156" s="468"/>
      <c r="Q156" s="491"/>
      <c r="R156" s="469"/>
    </row>
    <row r="157" spans="1:18" ht="14.45" customHeight="1" x14ac:dyDescent="0.2">
      <c r="A157" s="463"/>
      <c r="B157" s="464" t="s">
        <v>1929</v>
      </c>
      <c r="C157" s="464" t="s">
        <v>1922</v>
      </c>
      <c r="D157" s="464" t="s">
        <v>2019</v>
      </c>
      <c r="E157" s="464" t="s">
        <v>2055</v>
      </c>
      <c r="F157" s="464" t="s">
        <v>2056</v>
      </c>
      <c r="G157" s="468">
        <v>9</v>
      </c>
      <c r="H157" s="468">
        <v>0</v>
      </c>
      <c r="I157" s="464"/>
      <c r="J157" s="464">
        <v>0</v>
      </c>
      <c r="K157" s="468"/>
      <c r="L157" s="468"/>
      <c r="M157" s="464"/>
      <c r="N157" s="464"/>
      <c r="O157" s="468">
        <v>2</v>
      </c>
      <c r="P157" s="468">
        <v>0</v>
      </c>
      <c r="Q157" s="491"/>
      <c r="R157" s="469">
        <v>0</v>
      </c>
    </row>
    <row r="158" spans="1:18" ht="14.45" customHeight="1" x14ac:dyDescent="0.2">
      <c r="A158" s="463"/>
      <c r="B158" s="464" t="s">
        <v>1929</v>
      </c>
      <c r="C158" s="464" t="s">
        <v>1922</v>
      </c>
      <c r="D158" s="464" t="s">
        <v>2019</v>
      </c>
      <c r="E158" s="464" t="s">
        <v>2057</v>
      </c>
      <c r="F158" s="464" t="s">
        <v>2058</v>
      </c>
      <c r="G158" s="468">
        <v>661</v>
      </c>
      <c r="H158" s="468">
        <v>201972.22</v>
      </c>
      <c r="I158" s="464">
        <v>0.97636626931150716</v>
      </c>
      <c r="J158" s="464">
        <v>305.55555219364601</v>
      </c>
      <c r="K158" s="468">
        <v>677</v>
      </c>
      <c r="L158" s="468">
        <v>206861.12</v>
      </c>
      <c r="M158" s="464">
        <v>1</v>
      </c>
      <c r="N158" s="464">
        <v>305.55556868537667</v>
      </c>
      <c r="O158" s="468">
        <v>725</v>
      </c>
      <c r="P158" s="468">
        <v>221527.77</v>
      </c>
      <c r="Q158" s="491">
        <v>1.0709009503574185</v>
      </c>
      <c r="R158" s="469">
        <v>305.55554482758617</v>
      </c>
    </row>
    <row r="159" spans="1:18" ht="14.45" customHeight="1" x14ac:dyDescent="0.2">
      <c r="A159" s="463"/>
      <c r="B159" s="464" t="s">
        <v>1929</v>
      </c>
      <c r="C159" s="464" t="s">
        <v>1922</v>
      </c>
      <c r="D159" s="464" t="s">
        <v>2019</v>
      </c>
      <c r="E159" s="464" t="s">
        <v>2059</v>
      </c>
      <c r="F159" s="464" t="s">
        <v>2060</v>
      </c>
      <c r="G159" s="468">
        <v>939</v>
      </c>
      <c r="H159" s="468">
        <v>31300</v>
      </c>
      <c r="I159" s="464">
        <v>1.0064308681672025</v>
      </c>
      <c r="J159" s="464">
        <v>33.333333333333336</v>
      </c>
      <c r="K159" s="468">
        <v>933</v>
      </c>
      <c r="L159" s="468">
        <v>31100</v>
      </c>
      <c r="M159" s="464">
        <v>1</v>
      </c>
      <c r="N159" s="464">
        <v>33.333333333333336</v>
      </c>
      <c r="O159" s="468">
        <v>627</v>
      </c>
      <c r="P159" s="468">
        <v>20899.989999999998</v>
      </c>
      <c r="Q159" s="491">
        <v>0.67202540192926041</v>
      </c>
      <c r="R159" s="469">
        <v>33.333317384370012</v>
      </c>
    </row>
    <row r="160" spans="1:18" ht="14.45" customHeight="1" x14ac:dyDescent="0.2">
      <c r="A160" s="463"/>
      <c r="B160" s="464" t="s">
        <v>1929</v>
      </c>
      <c r="C160" s="464" t="s">
        <v>1922</v>
      </c>
      <c r="D160" s="464" t="s">
        <v>2019</v>
      </c>
      <c r="E160" s="464" t="s">
        <v>2061</v>
      </c>
      <c r="F160" s="464" t="s">
        <v>2062</v>
      </c>
      <c r="G160" s="468">
        <v>838</v>
      </c>
      <c r="H160" s="468">
        <v>381755.57</v>
      </c>
      <c r="I160" s="464">
        <v>1.1173333974113833</v>
      </c>
      <c r="J160" s="464">
        <v>455.5555727923628</v>
      </c>
      <c r="K160" s="468">
        <v>750</v>
      </c>
      <c r="L160" s="468">
        <v>341666.66000000003</v>
      </c>
      <c r="M160" s="464">
        <v>1</v>
      </c>
      <c r="N160" s="464">
        <v>455.55554666666671</v>
      </c>
      <c r="O160" s="468">
        <v>795</v>
      </c>
      <c r="P160" s="468">
        <v>362166.67</v>
      </c>
      <c r="Q160" s="491">
        <v>1.0600000304390249</v>
      </c>
      <c r="R160" s="469">
        <v>455.55555974842764</v>
      </c>
    </row>
    <row r="161" spans="1:18" ht="14.45" customHeight="1" x14ac:dyDescent="0.2">
      <c r="A161" s="463"/>
      <c r="B161" s="464" t="s">
        <v>1929</v>
      </c>
      <c r="C161" s="464" t="s">
        <v>1922</v>
      </c>
      <c r="D161" s="464" t="s">
        <v>2019</v>
      </c>
      <c r="E161" s="464" t="s">
        <v>2065</v>
      </c>
      <c r="F161" s="464" t="s">
        <v>2066</v>
      </c>
      <c r="G161" s="468">
        <v>673</v>
      </c>
      <c r="H161" s="468">
        <v>52344.439999999995</v>
      </c>
      <c r="I161" s="464">
        <v>0.97677765358124524</v>
      </c>
      <c r="J161" s="464">
        <v>77.777771173848436</v>
      </c>
      <c r="K161" s="468">
        <v>689</v>
      </c>
      <c r="L161" s="468">
        <v>53588.9</v>
      </c>
      <c r="M161" s="464">
        <v>1</v>
      </c>
      <c r="N161" s="464">
        <v>77.777793904209005</v>
      </c>
      <c r="O161" s="468">
        <v>744</v>
      </c>
      <c r="P161" s="468">
        <v>57866.670000000006</v>
      </c>
      <c r="Q161" s="491">
        <v>1.0798256728538933</v>
      </c>
      <c r="R161" s="469">
        <v>77.777782258064519</v>
      </c>
    </row>
    <row r="162" spans="1:18" ht="14.45" customHeight="1" x14ac:dyDescent="0.2">
      <c r="A162" s="463"/>
      <c r="B162" s="464" t="s">
        <v>1929</v>
      </c>
      <c r="C162" s="464" t="s">
        <v>1922</v>
      </c>
      <c r="D162" s="464" t="s">
        <v>2019</v>
      </c>
      <c r="E162" s="464" t="s">
        <v>2069</v>
      </c>
      <c r="F162" s="464" t="s">
        <v>2070</v>
      </c>
      <c r="G162" s="468"/>
      <c r="H162" s="468"/>
      <c r="I162" s="464"/>
      <c r="J162" s="464"/>
      <c r="K162" s="468">
        <v>2</v>
      </c>
      <c r="L162" s="468">
        <v>540</v>
      </c>
      <c r="M162" s="464">
        <v>1</v>
      </c>
      <c r="N162" s="464">
        <v>270</v>
      </c>
      <c r="O162" s="468">
        <v>2</v>
      </c>
      <c r="P162" s="468">
        <v>540</v>
      </c>
      <c r="Q162" s="491">
        <v>1</v>
      </c>
      <c r="R162" s="469">
        <v>270</v>
      </c>
    </row>
    <row r="163" spans="1:18" ht="14.45" customHeight="1" x14ac:dyDescent="0.2">
      <c r="A163" s="463"/>
      <c r="B163" s="464" t="s">
        <v>1929</v>
      </c>
      <c r="C163" s="464" t="s">
        <v>1922</v>
      </c>
      <c r="D163" s="464" t="s">
        <v>2019</v>
      </c>
      <c r="E163" s="464" t="s">
        <v>2071</v>
      </c>
      <c r="F163" s="464" t="s">
        <v>2072</v>
      </c>
      <c r="G163" s="468">
        <v>1044</v>
      </c>
      <c r="H163" s="468">
        <v>98600.01</v>
      </c>
      <c r="I163" s="464">
        <v>0.79573179515541415</v>
      </c>
      <c r="J163" s="464">
        <v>94.444454022988495</v>
      </c>
      <c r="K163" s="468">
        <v>1312</v>
      </c>
      <c r="L163" s="468">
        <v>123911.11</v>
      </c>
      <c r="M163" s="464">
        <v>1</v>
      </c>
      <c r="N163" s="464">
        <v>94.444443597560976</v>
      </c>
      <c r="O163" s="468">
        <v>1296</v>
      </c>
      <c r="P163" s="468">
        <v>122399.99</v>
      </c>
      <c r="Q163" s="491">
        <v>0.98780480620341471</v>
      </c>
      <c r="R163" s="469">
        <v>94.444436728395061</v>
      </c>
    </row>
    <row r="164" spans="1:18" ht="14.45" customHeight="1" x14ac:dyDescent="0.2">
      <c r="A164" s="463"/>
      <c r="B164" s="464" t="s">
        <v>1929</v>
      </c>
      <c r="C164" s="464" t="s">
        <v>1922</v>
      </c>
      <c r="D164" s="464" t="s">
        <v>2019</v>
      </c>
      <c r="E164" s="464" t="s">
        <v>2075</v>
      </c>
      <c r="F164" s="464" t="s">
        <v>2076</v>
      </c>
      <c r="G164" s="468">
        <v>1</v>
      </c>
      <c r="H164" s="468">
        <v>96.67</v>
      </c>
      <c r="I164" s="464">
        <v>0.20000827591914425</v>
      </c>
      <c r="J164" s="464">
        <v>96.67</v>
      </c>
      <c r="K164" s="468">
        <v>5</v>
      </c>
      <c r="L164" s="468">
        <v>483.33000000000004</v>
      </c>
      <c r="M164" s="464">
        <v>1</v>
      </c>
      <c r="N164" s="464">
        <v>96.666000000000011</v>
      </c>
      <c r="O164" s="468">
        <v>11</v>
      </c>
      <c r="P164" s="468">
        <v>1063.3400000000001</v>
      </c>
      <c r="Q164" s="491">
        <v>2.2000289657170051</v>
      </c>
      <c r="R164" s="469">
        <v>96.667272727272746</v>
      </c>
    </row>
    <row r="165" spans="1:18" ht="14.45" customHeight="1" x14ac:dyDescent="0.2">
      <c r="A165" s="463"/>
      <c r="B165" s="464" t="s">
        <v>1929</v>
      </c>
      <c r="C165" s="464" t="s">
        <v>1922</v>
      </c>
      <c r="D165" s="464" t="s">
        <v>2019</v>
      </c>
      <c r="E165" s="464" t="s">
        <v>2077</v>
      </c>
      <c r="F165" s="464" t="s">
        <v>2078</v>
      </c>
      <c r="G165" s="468">
        <v>1</v>
      </c>
      <c r="H165" s="468">
        <v>201.11</v>
      </c>
      <c r="I165" s="464"/>
      <c r="J165" s="464">
        <v>201.11</v>
      </c>
      <c r="K165" s="468"/>
      <c r="L165" s="468"/>
      <c r="M165" s="464"/>
      <c r="N165" s="464"/>
      <c r="O165" s="468"/>
      <c r="P165" s="468"/>
      <c r="Q165" s="491"/>
      <c r="R165" s="469"/>
    </row>
    <row r="166" spans="1:18" ht="14.45" customHeight="1" x14ac:dyDescent="0.2">
      <c r="A166" s="463"/>
      <c r="B166" s="464" t="s">
        <v>1929</v>
      </c>
      <c r="C166" s="464" t="s">
        <v>1922</v>
      </c>
      <c r="D166" s="464" t="s">
        <v>2019</v>
      </c>
      <c r="E166" s="464" t="s">
        <v>2079</v>
      </c>
      <c r="F166" s="464" t="s">
        <v>2080</v>
      </c>
      <c r="G166" s="468">
        <v>5</v>
      </c>
      <c r="H166" s="468">
        <v>977.78</v>
      </c>
      <c r="I166" s="464">
        <v>1.1282033530640267</v>
      </c>
      <c r="J166" s="464">
        <v>195.55599999999998</v>
      </c>
      <c r="K166" s="468">
        <v>2</v>
      </c>
      <c r="L166" s="468">
        <v>866.67</v>
      </c>
      <c r="M166" s="464">
        <v>1</v>
      </c>
      <c r="N166" s="464">
        <v>433.33499999999998</v>
      </c>
      <c r="O166" s="468">
        <v>9</v>
      </c>
      <c r="P166" s="468">
        <v>3900</v>
      </c>
      <c r="Q166" s="491">
        <v>4.4999826923742603</v>
      </c>
      <c r="R166" s="469">
        <v>433.33333333333331</v>
      </c>
    </row>
    <row r="167" spans="1:18" ht="14.45" customHeight="1" x14ac:dyDescent="0.2">
      <c r="A167" s="463"/>
      <c r="B167" s="464" t="s">
        <v>1929</v>
      </c>
      <c r="C167" s="464" t="s">
        <v>1922</v>
      </c>
      <c r="D167" s="464" t="s">
        <v>2019</v>
      </c>
      <c r="E167" s="464" t="s">
        <v>2105</v>
      </c>
      <c r="F167" s="464" t="s">
        <v>2106</v>
      </c>
      <c r="G167" s="468">
        <v>4</v>
      </c>
      <c r="H167" s="468">
        <v>302.23</v>
      </c>
      <c r="I167" s="464">
        <v>0.28572103840117979</v>
      </c>
      <c r="J167" s="464">
        <v>75.557500000000005</v>
      </c>
      <c r="K167" s="468">
        <v>14</v>
      </c>
      <c r="L167" s="468">
        <v>1057.7800000000002</v>
      </c>
      <c r="M167" s="464">
        <v>1</v>
      </c>
      <c r="N167" s="464">
        <v>75.555714285714302</v>
      </c>
      <c r="O167" s="468">
        <v>20</v>
      </c>
      <c r="P167" s="468">
        <v>1511.1</v>
      </c>
      <c r="Q167" s="491">
        <v>1.42855792319764</v>
      </c>
      <c r="R167" s="469">
        <v>75.554999999999993</v>
      </c>
    </row>
    <row r="168" spans="1:18" ht="14.45" customHeight="1" x14ac:dyDescent="0.2">
      <c r="A168" s="463"/>
      <c r="B168" s="464" t="s">
        <v>1929</v>
      </c>
      <c r="C168" s="464" t="s">
        <v>1922</v>
      </c>
      <c r="D168" s="464" t="s">
        <v>2019</v>
      </c>
      <c r="E168" s="464" t="s">
        <v>2081</v>
      </c>
      <c r="F168" s="464" t="s">
        <v>2082</v>
      </c>
      <c r="G168" s="468">
        <v>15</v>
      </c>
      <c r="H168" s="468">
        <v>1750.01</v>
      </c>
      <c r="I168" s="464">
        <v>1.2499982142984694</v>
      </c>
      <c r="J168" s="464">
        <v>116.66733333333333</v>
      </c>
      <c r="K168" s="468">
        <v>12</v>
      </c>
      <c r="L168" s="468">
        <v>1400.01</v>
      </c>
      <c r="M168" s="464">
        <v>1</v>
      </c>
      <c r="N168" s="464">
        <v>116.6675</v>
      </c>
      <c r="O168" s="468">
        <v>14</v>
      </c>
      <c r="P168" s="468">
        <v>1866.67</v>
      </c>
      <c r="Q168" s="491">
        <v>1.3333261905272107</v>
      </c>
      <c r="R168" s="469">
        <v>133.33357142857145</v>
      </c>
    </row>
    <row r="169" spans="1:18" ht="14.45" customHeight="1" x14ac:dyDescent="0.2">
      <c r="A169" s="463"/>
      <c r="B169" s="464" t="s">
        <v>1929</v>
      </c>
      <c r="C169" s="464" t="s">
        <v>1922</v>
      </c>
      <c r="D169" s="464" t="s">
        <v>2019</v>
      </c>
      <c r="E169" s="464" t="s">
        <v>2083</v>
      </c>
      <c r="F169" s="464" t="s">
        <v>2084</v>
      </c>
      <c r="G169" s="468">
        <v>36</v>
      </c>
      <c r="H169" s="468">
        <v>1760</v>
      </c>
      <c r="I169" s="464">
        <v>0.74999573866057589</v>
      </c>
      <c r="J169" s="464">
        <v>48.888888888888886</v>
      </c>
      <c r="K169" s="468">
        <v>48</v>
      </c>
      <c r="L169" s="468">
        <v>2346.6799999999998</v>
      </c>
      <c r="M169" s="464">
        <v>1</v>
      </c>
      <c r="N169" s="464">
        <v>48.889166666666661</v>
      </c>
      <c r="O169" s="468">
        <v>18</v>
      </c>
      <c r="P169" s="468">
        <v>879.99999999999989</v>
      </c>
      <c r="Q169" s="491">
        <v>0.37499786933028789</v>
      </c>
      <c r="R169" s="469">
        <v>48.888888888888886</v>
      </c>
    </row>
    <row r="170" spans="1:18" ht="14.45" customHeight="1" x14ac:dyDescent="0.2">
      <c r="A170" s="463"/>
      <c r="B170" s="464" t="s">
        <v>1929</v>
      </c>
      <c r="C170" s="464" t="s">
        <v>1922</v>
      </c>
      <c r="D170" s="464" t="s">
        <v>2019</v>
      </c>
      <c r="E170" s="464" t="s">
        <v>2085</v>
      </c>
      <c r="F170" s="464" t="s">
        <v>2086</v>
      </c>
      <c r="G170" s="468"/>
      <c r="H170" s="468"/>
      <c r="I170" s="464"/>
      <c r="J170" s="464"/>
      <c r="K170" s="468">
        <v>2</v>
      </c>
      <c r="L170" s="468">
        <v>688.89</v>
      </c>
      <c r="M170" s="464">
        <v>1</v>
      </c>
      <c r="N170" s="464">
        <v>344.44499999999999</v>
      </c>
      <c r="O170" s="468"/>
      <c r="P170" s="468"/>
      <c r="Q170" s="491"/>
      <c r="R170" s="469"/>
    </row>
    <row r="171" spans="1:18" ht="14.45" customHeight="1" x14ac:dyDescent="0.2">
      <c r="A171" s="463"/>
      <c r="B171" s="464" t="s">
        <v>1929</v>
      </c>
      <c r="C171" s="464" t="s">
        <v>1922</v>
      </c>
      <c r="D171" s="464" t="s">
        <v>2019</v>
      </c>
      <c r="E171" s="464" t="s">
        <v>2107</v>
      </c>
      <c r="F171" s="464" t="s">
        <v>2108</v>
      </c>
      <c r="G171" s="468"/>
      <c r="H171" s="468"/>
      <c r="I171" s="464"/>
      <c r="J171" s="464"/>
      <c r="K171" s="468">
        <v>7</v>
      </c>
      <c r="L171" s="468">
        <v>3266.67</v>
      </c>
      <c r="M171" s="464">
        <v>1</v>
      </c>
      <c r="N171" s="464">
        <v>466.66714285714289</v>
      </c>
      <c r="O171" s="468"/>
      <c r="P171" s="468"/>
      <c r="Q171" s="491"/>
      <c r="R171" s="469"/>
    </row>
    <row r="172" spans="1:18" ht="14.45" customHeight="1" x14ac:dyDescent="0.2">
      <c r="A172" s="463"/>
      <c r="B172" s="464" t="s">
        <v>1929</v>
      </c>
      <c r="C172" s="464" t="s">
        <v>1922</v>
      </c>
      <c r="D172" s="464" t="s">
        <v>2019</v>
      </c>
      <c r="E172" s="464" t="s">
        <v>2087</v>
      </c>
      <c r="F172" s="464" t="s">
        <v>2088</v>
      </c>
      <c r="G172" s="468">
        <v>231</v>
      </c>
      <c r="H172" s="468">
        <v>67503.320000000007</v>
      </c>
      <c r="I172" s="464">
        <v>0.96249985563212248</v>
      </c>
      <c r="J172" s="464">
        <v>292.22216450216456</v>
      </c>
      <c r="K172" s="468">
        <v>240</v>
      </c>
      <c r="L172" s="468">
        <v>70133.33</v>
      </c>
      <c r="M172" s="464">
        <v>1</v>
      </c>
      <c r="N172" s="464">
        <v>292.22220833333336</v>
      </c>
      <c r="O172" s="468">
        <v>260</v>
      </c>
      <c r="P172" s="468">
        <v>75977.77</v>
      </c>
      <c r="Q172" s="491">
        <v>1.0833332739226842</v>
      </c>
      <c r="R172" s="469">
        <v>292.2221923076923</v>
      </c>
    </row>
    <row r="173" spans="1:18" ht="14.45" customHeight="1" x14ac:dyDescent="0.2">
      <c r="A173" s="463"/>
      <c r="B173" s="464" t="s">
        <v>1929</v>
      </c>
      <c r="C173" s="464" t="s">
        <v>1922</v>
      </c>
      <c r="D173" s="464" t="s">
        <v>2019</v>
      </c>
      <c r="E173" s="464" t="s">
        <v>2091</v>
      </c>
      <c r="F173" s="464" t="s">
        <v>2092</v>
      </c>
      <c r="G173" s="468"/>
      <c r="H173" s="468"/>
      <c r="I173" s="464"/>
      <c r="J173" s="464"/>
      <c r="K173" s="468">
        <v>1</v>
      </c>
      <c r="L173" s="468">
        <v>116.67</v>
      </c>
      <c r="M173" s="464">
        <v>1</v>
      </c>
      <c r="N173" s="464">
        <v>116.67</v>
      </c>
      <c r="O173" s="468">
        <v>8</v>
      </c>
      <c r="P173" s="468">
        <v>933.33</v>
      </c>
      <c r="Q173" s="491">
        <v>7.999742864489586</v>
      </c>
      <c r="R173" s="469">
        <v>116.66625000000001</v>
      </c>
    </row>
    <row r="174" spans="1:18" ht="14.45" customHeight="1" x14ac:dyDescent="0.2">
      <c r="A174" s="463"/>
      <c r="B174" s="464" t="s">
        <v>1929</v>
      </c>
      <c r="C174" s="464" t="s">
        <v>1922</v>
      </c>
      <c r="D174" s="464" t="s">
        <v>2019</v>
      </c>
      <c r="E174" s="464" t="s">
        <v>2093</v>
      </c>
      <c r="F174" s="464" t="s">
        <v>2094</v>
      </c>
      <c r="G174" s="468">
        <v>150</v>
      </c>
      <c r="H174" s="468">
        <v>53833.33</v>
      </c>
      <c r="I174" s="464">
        <v>0.59288533152773126</v>
      </c>
      <c r="J174" s="464">
        <v>358.88886666666667</v>
      </c>
      <c r="K174" s="468">
        <v>253</v>
      </c>
      <c r="L174" s="468">
        <v>90798.89</v>
      </c>
      <c r="M174" s="464">
        <v>1</v>
      </c>
      <c r="N174" s="464">
        <v>358.88889328063243</v>
      </c>
      <c r="O174" s="468">
        <v>289</v>
      </c>
      <c r="P174" s="468">
        <v>103718.89</v>
      </c>
      <c r="Q174" s="491">
        <v>1.142292488377336</v>
      </c>
      <c r="R174" s="469">
        <v>358.88889273356403</v>
      </c>
    </row>
    <row r="175" spans="1:18" ht="14.45" customHeight="1" x14ac:dyDescent="0.2">
      <c r="A175" s="463"/>
      <c r="B175" s="464" t="s">
        <v>1929</v>
      </c>
      <c r="C175" s="464" t="s">
        <v>1922</v>
      </c>
      <c r="D175" s="464" t="s">
        <v>2019</v>
      </c>
      <c r="E175" s="464" t="s">
        <v>2095</v>
      </c>
      <c r="F175" s="464" t="s">
        <v>2096</v>
      </c>
      <c r="G175" s="468"/>
      <c r="H175" s="468"/>
      <c r="I175" s="464"/>
      <c r="J175" s="464"/>
      <c r="K175" s="468">
        <v>8</v>
      </c>
      <c r="L175" s="468">
        <v>4400</v>
      </c>
      <c r="M175" s="464">
        <v>1</v>
      </c>
      <c r="N175" s="464">
        <v>550</v>
      </c>
      <c r="O175" s="468">
        <v>5</v>
      </c>
      <c r="P175" s="468">
        <v>2750</v>
      </c>
      <c r="Q175" s="491">
        <v>0.625</v>
      </c>
      <c r="R175" s="469">
        <v>550</v>
      </c>
    </row>
    <row r="176" spans="1:18" ht="14.45" customHeight="1" x14ac:dyDescent="0.2">
      <c r="A176" s="463"/>
      <c r="B176" s="464" t="s">
        <v>1929</v>
      </c>
      <c r="C176" s="464" t="s">
        <v>1922</v>
      </c>
      <c r="D176" s="464" t="s">
        <v>2019</v>
      </c>
      <c r="E176" s="464" t="s">
        <v>2097</v>
      </c>
      <c r="F176" s="464" t="s">
        <v>2098</v>
      </c>
      <c r="G176" s="468"/>
      <c r="H176" s="468"/>
      <c r="I176" s="464"/>
      <c r="J176" s="464"/>
      <c r="K176" s="468">
        <v>5</v>
      </c>
      <c r="L176" s="468">
        <v>583.34</v>
      </c>
      <c r="M176" s="464">
        <v>1</v>
      </c>
      <c r="N176" s="464">
        <v>116.66800000000001</v>
      </c>
      <c r="O176" s="468">
        <v>7</v>
      </c>
      <c r="P176" s="468">
        <v>816.67</v>
      </c>
      <c r="Q176" s="491">
        <v>1.3999897144032638</v>
      </c>
      <c r="R176" s="469">
        <v>116.66714285714285</v>
      </c>
    </row>
    <row r="177" spans="1:18" ht="14.45" customHeight="1" x14ac:dyDescent="0.2">
      <c r="A177" s="463"/>
      <c r="B177" s="464" t="s">
        <v>1929</v>
      </c>
      <c r="C177" s="464" t="s">
        <v>1922</v>
      </c>
      <c r="D177" s="464" t="s">
        <v>2019</v>
      </c>
      <c r="E177" s="464" t="s">
        <v>2109</v>
      </c>
      <c r="F177" s="464"/>
      <c r="G177" s="468"/>
      <c r="H177" s="468"/>
      <c r="I177" s="464"/>
      <c r="J177" s="464"/>
      <c r="K177" s="468"/>
      <c r="L177" s="468"/>
      <c r="M177" s="464"/>
      <c r="N177" s="464"/>
      <c r="O177" s="468">
        <v>92</v>
      </c>
      <c r="P177" s="468">
        <v>50906.679999999993</v>
      </c>
      <c r="Q177" s="491"/>
      <c r="R177" s="469">
        <v>553.33347826086947</v>
      </c>
    </row>
    <row r="178" spans="1:18" ht="14.45" customHeight="1" x14ac:dyDescent="0.2">
      <c r="A178" s="463"/>
      <c r="B178" s="464" t="s">
        <v>1929</v>
      </c>
      <c r="C178" s="464" t="s">
        <v>1922</v>
      </c>
      <c r="D178" s="464" t="s">
        <v>2019</v>
      </c>
      <c r="E178" s="464" t="s">
        <v>2109</v>
      </c>
      <c r="F178" s="464" t="s">
        <v>2110</v>
      </c>
      <c r="G178" s="468"/>
      <c r="H178" s="468"/>
      <c r="I178" s="464"/>
      <c r="J178" s="464"/>
      <c r="K178" s="468"/>
      <c r="L178" s="468"/>
      <c r="M178" s="464"/>
      <c r="N178" s="464"/>
      <c r="O178" s="468">
        <v>38</v>
      </c>
      <c r="P178" s="468">
        <v>21026.660000000003</v>
      </c>
      <c r="Q178" s="491"/>
      <c r="R178" s="469">
        <v>553.33315789473693</v>
      </c>
    </row>
    <row r="179" spans="1:18" ht="14.45" customHeight="1" x14ac:dyDescent="0.2">
      <c r="A179" s="463"/>
      <c r="B179" s="464" t="s">
        <v>1929</v>
      </c>
      <c r="C179" s="464" t="s">
        <v>1923</v>
      </c>
      <c r="D179" s="464" t="s">
        <v>1930</v>
      </c>
      <c r="E179" s="464" t="s">
        <v>1934</v>
      </c>
      <c r="F179" s="464"/>
      <c r="G179" s="468">
        <v>1</v>
      </c>
      <c r="H179" s="468">
        <v>1657</v>
      </c>
      <c r="I179" s="464">
        <v>1</v>
      </c>
      <c r="J179" s="464">
        <v>1657</v>
      </c>
      <c r="K179" s="468">
        <v>1</v>
      </c>
      <c r="L179" s="468">
        <v>1657</v>
      </c>
      <c r="M179" s="464">
        <v>1</v>
      </c>
      <c r="N179" s="464">
        <v>1657</v>
      </c>
      <c r="O179" s="468"/>
      <c r="P179" s="468"/>
      <c r="Q179" s="491"/>
      <c r="R179" s="469"/>
    </row>
    <row r="180" spans="1:18" ht="14.45" customHeight="1" x14ac:dyDescent="0.2">
      <c r="A180" s="463"/>
      <c r="B180" s="464" t="s">
        <v>1929</v>
      </c>
      <c r="C180" s="464" t="s">
        <v>1923</v>
      </c>
      <c r="D180" s="464" t="s">
        <v>1930</v>
      </c>
      <c r="E180" s="464" t="s">
        <v>2111</v>
      </c>
      <c r="F180" s="464"/>
      <c r="G180" s="468">
        <v>1</v>
      </c>
      <c r="H180" s="468">
        <v>1179</v>
      </c>
      <c r="I180" s="464">
        <v>0.5</v>
      </c>
      <c r="J180" s="464">
        <v>1179</v>
      </c>
      <c r="K180" s="468">
        <v>2</v>
      </c>
      <c r="L180" s="468">
        <v>2358</v>
      </c>
      <c r="M180" s="464">
        <v>1</v>
      </c>
      <c r="N180" s="464">
        <v>1179</v>
      </c>
      <c r="O180" s="468">
        <v>2</v>
      </c>
      <c r="P180" s="468">
        <v>2358</v>
      </c>
      <c r="Q180" s="491">
        <v>1</v>
      </c>
      <c r="R180" s="469">
        <v>1179</v>
      </c>
    </row>
    <row r="181" spans="1:18" ht="14.45" customHeight="1" x14ac:dyDescent="0.2">
      <c r="A181" s="463"/>
      <c r="B181" s="464" t="s">
        <v>1929</v>
      </c>
      <c r="C181" s="464" t="s">
        <v>1923</v>
      </c>
      <c r="D181" s="464" t="s">
        <v>1930</v>
      </c>
      <c r="E181" s="464" t="s">
        <v>2112</v>
      </c>
      <c r="F181" s="464"/>
      <c r="G181" s="468">
        <v>2</v>
      </c>
      <c r="H181" s="468">
        <v>2562</v>
      </c>
      <c r="I181" s="464">
        <v>0.4</v>
      </c>
      <c r="J181" s="464">
        <v>1281</v>
      </c>
      <c r="K181" s="468">
        <v>5</v>
      </c>
      <c r="L181" s="468">
        <v>6405</v>
      </c>
      <c r="M181" s="464">
        <v>1</v>
      </c>
      <c r="N181" s="464">
        <v>1281</v>
      </c>
      <c r="O181" s="468"/>
      <c r="P181" s="468"/>
      <c r="Q181" s="491"/>
      <c r="R181" s="469"/>
    </row>
    <row r="182" spans="1:18" ht="14.45" customHeight="1" x14ac:dyDescent="0.2">
      <c r="A182" s="463"/>
      <c r="B182" s="464" t="s">
        <v>1929</v>
      </c>
      <c r="C182" s="464" t="s">
        <v>1923</v>
      </c>
      <c r="D182" s="464" t="s">
        <v>1930</v>
      </c>
      <c r="E182" s="464" t="s">
        <v>1935</v>
      </c>
      <c r="F182" s="464"/>
      <c r="G182" s="468">
        <v>1</v>
      </c>
      <c r="H182" s="468">
        <v>1008</v>
      </c>
      <c r="I182" s="464"/>
      <c r="J182" s="464">
        <v>1008</v>
      </c>
      <c r="K182" s="468"/>
      <c r="L182" s="468"/>
      <c r="M182" s="464"/>
      <c r="N182" s="464"/>
      <c r="O182" s="468"/>
      <c r="P182" s="468"/>
      <c r="Q182" s="491"/>
      <c r="R182" s="469"/>
    </row>
    <row r="183" spans="1:18" ht="14.45" customHeight="1" x14ac:dyDescent="0.2">
      <c r="A183" s="463"/>
      <c r="B183" s="464" t="s">
        <v>1929</v>
      </c>
      <c r="C183" s="464" t="s">
        <v>1923</v>
      </c>
      <c r="D183" s="464" t="s">
        <v>1930</v>
      </c>
      <c r="E183" s="464" t="s">
        <v>1939</v>
      </c>
      <c r="F183" s="464"/>
      <c r="G183" s="468">
        <v>1</v>
      </c>
      <c r="H183" s="468">
        <v>219</v>
      </c>
      <c r="I183" s="464"/>
      <c r="J183" s="464">
        <v>219</v>
      </c>
      <c r="K183" s="468"/>
      <c r="L183" s="468"/>
      <c r="M183" s="464"/>
      <c r="N183" s="464"/>
      <c r="O183" s="468"/>
      <c r="P183" s="468"/>
      <c r="Q183" s="491"/>
      <c r="R183" s="469"/>
    </row>
    <row r="184" spans="1:18" ht="14.45" customHeight="1" x14ac:dyDescent="0.2">
      <c r="A184" s="463"/>
      <c r="B184" s="464" t="s">
        <v>1929</v>
      </c>
      <c r="C184" s="464" t="s">
        <v>1923</v>
      </c>
      <c r="D184" s="464" t="s">
        <v>1930</v>
      </c>
      <c r="E184" s="464" t="s">
        <v>1962</v>
      </c>
      <c r="F184" s="464"/>
      <c r="G184" s="468">
        <v>1</v>
      </c>
      <c r="H184" s="468">
        <v>2000</v>
      </c>
      <c r="I184" s="464"/>
      <c r="J184" s="464">
        <v>2000</v>
      </c>
      <c r="K184" s="468"/>
      <c r="L184" s="468"/>
      <c r="M184" s="464"/>
      <c r="N184" s="464"/>
      <c r="O184" s="468"/>
      <c r="P184" s="468"/>
      <c r="Q184" s="491"/>
      <c r="R184" s="469"/>
    </row>
    <row r="185" spans="1:18" ht="14.45" customHeight="1" x14ac:dyDescent="0.2">
      <c r="A185" s="463"/>
      <c r="B185" s="464" t="s">
        <v>1929</v>
      </c>
      <c r="C185" s="464" t="s">
        <v>1923</v>
      </c>
      <c r="D185" s="464" t="s">
        <v>1930</v>
      </c>
      <c r="E185" s="464" t="s">
        <v>2113</v>
      </c>
      <c r="F185" s="464"/>
      <c r="G185" s="468"/>
      <c r="H185" s="468"/>
      <c r="I185" s="464"/>
      <c r="J185" s="464"/>
      <c r="K185" s="468"/>
      <c r="L185" s="468"/>
      <c r="M185" s="464"/>
      <c r="N185" s="464"/>
      <c r="O185" s="468">
        <v>1</v>
      </c>
      <c r="P185" s="468">
        <v>258</v>
      </c>
      <c r="Q185" s="491"/>
      <c r="R185" s="469">
        <v>258</v>
      </c>
    </row>
    <row r="186" spans="1:18" ht="14.45" customHeight="1" x14ac:dyDescent="0.2">
      <c r="A186" s="463"/>
      <c r="B186" s="464" t="s">
        <v>1929</v>
      </c>
      <c r="C186" s="464" t="s">
        <v>1923</v>
      </c>
      <c r="D186" s="464" t="s">
        <v>1930</v>
      </c>
      <c r="E186" s="464" t="s">
        <v>2114</v>
      </c>
      <c r="F186" s="464"/>
      <c r="G186" s="468"/>
      <c r="H186" s="468"/>
      <c r="I186" s="464"/>
      <c r="J186" s="464"/>
      <c r="K186" s="468">
        <v>1</v>
      </c>
      <c r="L186" s="468">
        <v>219</v>
      </c>
      <c r="M186" s="464">
        <v>1</v>
      </c>
      <c r="N186" s="464">
        <v>219</v>
      </c>
      <c r="O186" s="468">
        <v>1</v>
      </c>
      <c r="P186" s="468">
        <v>219</v>
      </c>
      <c r="Q186" s="491">
        <v>1</v>
      </c>
      <c r="R186" s="469">
        <v>219</v>
      </c>
    </row>
    <row r="187" spans="1:18" ht="14.45" customHeight="1" x14ac:dyDescent="0.2">
      <c r="A187" s="463"/>
      <c r="B187" s="464" t="s">
        <v>1929</v>
      </c>
      <c r="C187" s="464" t="s">
        <v>1923</v>
      </c>
      <c r="D187" s="464" t="s">
        <v>1930</v>
      </c>
      <c r="E187" s="464" t="s">
        <v>2115</v>
      </c>
      <c r="F187" s="464"/>
      <c r="G187" s="468"/>
      <c r="H187" s="468"/>
      <c r="I187" s="464"/>
      <c r="J187" s="464"/>
      <c r="K187" s="468"/>
      <c r="L187" s="468"/>
      <c r="M187" s="464"/>
      <c r="N187" s="464"/>
      <c r="O187" s="468">
        <v>4</v>
      </c>
      <c r="P187" s="468">
        <v>2968</v>
      </c>
      <c r="Q187" s="491"/>
      <c r="R187" s="469">
        <v>742</v>
      </c>
    </row>
    <row r="188" spans="1:18" ht="14.45" customHeight="1" x14ac:dyDescent="0.2">
      <c r="A188" s="463"/>
      <c r="B188" s="464" t="s">
        <v>1929</v>
      </c>
      <c r="C188" s="464" t="s">
        <v>1923</v>
      </c>
      <c r="D188" s="464" t="s">
        <v>1930</v>
      </c>
      <c r="E188" s="464" t="s">
        <v>2116</v>
      </c>
      <c r="F188" s="464"/>
      <c r="G188" s="468">
        <v>1</v>
      </c>
      <c r="H188" s="468">
        <v>2931</v>
      </c>
      <c r="I188" s="464"/>
      <c r="J188" s="464">
        <v>2931</v>
      </c>
      <c r="K188" s="468"/>
      <c r="L188" s="468"/>
      <c r="M188" s="464"/>
      <c r="N188" s="464"/>
      <c r="O188" s="468"/>
      <c r="P188" s="468"/>
      <c r="Q188" s="491"/>
      <c r="R188" s="469"/>
    </row>
    <row r="189" spans="1:18" ht="14.45" customHeight="1" x14ac:dyDescent="0.2">
      <c r="A189" s="463"/>
      <c r="B189" s="464" t="s">
        <v>1929</v>
      </c>
      <c r="C189" s="464" t="s">
        <v>1923</v>
      </c>
      <c r="D189" s="464" t="s">
        <v>2019</v>
      </c>
      <c r="E189" s="464" t="s">
        <v>2020</v>
      </c>
      <c r="F189" s="464" t="s">
        <v>2021</v>
      </c>
      <c r="G189" s="468">
        <v>94</v>
      </c>
      <c r="H189" s="468">
        <v>47835.56</v>
      </c>
      <c r="I189" s="464">
        <v>1.3055553205362116</v>
      </c>
      <c r="J189" s="464">
        <v>508.88893617021273</v>
      </c>
      <c r="K189" s="468">
        <v>72</v>
      </c>
      <c r="L189" s="468">
        <v>36640.01</v>
      </c>
      <c r="M189" s="464">
        <v>1</v>
      </c>
      <c r="N189" s="464">
        <v>508.88902777777781</v>
      </c>
      <c r="O189" s="468">
        <v>62</v>
      </c>
      <c r="P189" s="468">
        <v>31551.11</v>
      </c>
      <c r="Q189" s="491">
        <v>0.8611108457666905</v>
      </c>
      <c r="R189" s="469">
        <v>508.88887096774192</v>
      </c>
    </row>
    <row r="190" spans="1:18" ht="14.45" customHeight="1" x14ac:dyDescent="0.2">
      <c r="A190" s="463"/>
      <c r="B190" s="464" t="s">
        <v>1929</v>
      </c>
      <c r="C190" s="464" t="s">
        <v>1923</v>
      </c>
      <c r="D190" s="464" t="s">
        <v>2019</v>
      </c>
      <c r="E190" s="464" t="s">
        <v>2022</v>
      </c>
      <c r="F190" s="464" t="s">
        <v>2023</v>
      </c>
      <c r="G190" s="468">
        <v>147</v>
      </c>
      <c r="H190" s="468">
        <v>73500</v>
      </c>
      <c r="I190" s="464">
        <v>1.0208333333333333</v>
      </c>
      <c r="J190" s="464">
        <v>500</v>
      </c>
      <c r="K190" s="468">
        <v>144</v>
      </c>
      <c r="L190" s="468">
        <v>72000</v>
      </c>
      <c r="M190" s="464">
        <v>1</v>
      </c>
      <c r="N190" s="464">
        <v>500</v>
      </c>
      <c r="O190" s="468">
        <v>150</v>
      </c>
      <c r="P190" s="468">
        <v>75000</v>
      </c>
      <c r="Q190" s="491">
        <v>1.0416666666666667</v>
      </c>
      <c r="R190" s="469">
        <v>500</v>
      </c>
    </row>
    <row r="191" spans="1:18" ht="14.45" customHeight="1" x14ac:dyDescent="0.2">
      <c r="A191" s="463"/>
      <c r="B191" s="464" t="s">
        <v>1929</v>
      </c>
      <c r="C191" s="464" t="s">
        <v>1923</v>
      </c>
      <c r="D191" s="464" t="s">
        <v>2019</v>
      </c>
      <c r="E191" s="464" t="s">
        <v>2099</v>
      </c>
      <c r="F191" s="464" t="s">
        <v>2100</v>
      </c>
      <c r="G191" s="468">
        <v>1158</v>
      </c>
      <c r="H191" s="468">
        <v>122233.32</v>
      </c>
      <c r="I191" s="464">
        <v>1.2012447478294797</v>
      </c>
      <c r="J191" s="464">
        <v>105.55554404145079</v>
      </c>
      <c r="K191" s="468">
        <v>964</v>
      </c>
      <c r="L191" s="468">
        <v>101755.55</v>
      </c>
      <c r="M191" s="464">
        <v>1</v>
      </c>
      <c r="N191" s="464">
        <v>105.55554979253112</v>
      </c>
      <c r="O191" s="468">
        <v>932</v>
      </c>
      <c r="P191" s="468">
        <v>98377.78</v>
      </c>
      <c r="Q191" s="491">
        <v>0.96680505387666815</v>
      </c>
      <c r="R191" s="469">
        <v>105.55555793991417</v>
      </c>
    </row>
    <row r="192" spans="1:18" ht="14.45" customHeight="1" x14ac:dyDescent="0.2">
      <c r="A192" s="463"/>
      <c r="B192" s="464" t="s">
        <v>1929</v>
      </c>
      <c r="C192" s="464" t="s">
        <v>1923</v>
      </c>
      <c r="D192" s="464" t="s">
        <v>2019</v>
      </c>
      <c r="E192" s="464" t="s">
        <v>2024</v>
      </c>
      <c r="F192" s="464" t="s">
        <v>2025</v>
      </c>
      <c r="G192" s="468">
        <v>755</v>
      </c>
      <c r="H192" s="468">
        <v>58722.229999999996</v>
      </c>
      <c r="I192" s="464">
        <v>1.0328319750666382</v>
      </c>
      <c r="J192" s="464">
        <v>77.777788079470199</v>
      </c>
      <c r="K192" s="468">
        <v>731</v>
      </c>
      <c r="L192" s="468">
        <v>56855.55</v>
      </c>
      <c r="M192" s="464">
        <v>1</v>
      </c>
      <c r="N192" s="464">
        <v>77.777770177838576</v>
      </c>
      <c r="O192" s="468">
        <v>784</v>
      </c>
      <c r="P192" s="468">
        <v>60977.78</v>
      </c>
      <c r="Q192" s="491">
        <v>1.0725035638561231</v>
      </c>
      <c r="R192" s="469">
        <v>77.777780612244896</v>
      </c>
    </row>
    <row r="193" spans="1:18" ht="14.45" customHeight="1" x14ac:dyDescent="0.2">
      <c r="A193" s="463"/>
      <c r="B193" s="464" t="s">
        <v>1929</v>
      </c>
      <c r="C193" s="464" t="s">
        <v>1923</v>
      </c>
      <c r="D193" s="464" t="s">
        <v>2019</v>
      </c>
      <c r="E193" s="464" t="s">
        <v>2030</v>
      </c>
      <c r="F193" s="464" t="s">
        <v>2031</v>
      </c>
      <c r="G193" s="468">
        <v>524</v>
      </c>
      <c r="H193" s="468">
        <v>61133.33</v>
      </c>
      <c r="I193" s="464">
        <v>1.0234376726423375</v>
      </c>
      <c r="J193" s="464">
        <v>116.66666030534351</v>
      </c>
      <c r="K193" s="468">
        <v>512</v>
      </c>
      <c r="L193" s="468">
        <v>59733.320000000007</v>
      </c>
      <c r="M193" s="464">
        <v>1</v>
      </c>
      <c r="N193" s="464">
        <v>116.66664062500001</v>
      </c>
      <c r="O193" s="468">
        <v>384</v>
      </c>
      <c r="P193" s="468">
        <v>44800</v>
      </c>
      <c r="Q193" s="491">
        <v>0.75000016741075159</v>
      </c>
      <c r="R193" s="469">
        <v>116.66666666666667</v>
      </c>
    </row>
    <row r="194" spans="1:18" ht="14.45" customHeight="1" x14ac:dyDescent="0.2">
      <c r="A194" s="463"/>
      <c r="B194" s="464" t="s">
        <v>1929</v>
      </c>
      <c r="C194" s="464" t="s">
        <v>1923</v>
      </c>
      <c r="D194" s="464" t="s">
        <v>2019</v>
      </c>
      <c r="E194" s="464" t="s">
        <v>2101</v>
      </c>
      <c r="F194" s="464" t="s">
        <v>2102</v>
      </c>
      <c r="G194" s="468">
        <v>131</v>
      </c>
      <c r="H194" s="468">
        <v>50944.45</v>
      </c>
      <c r="I194" s="464">
        <v>2.2982455190608242</v>
      </c>
      <c r="J194" s="464">
        <v>388.88893129770992</v>
      </c>
      <c r="K194" s="468">
        <v>57</v>
      </c>
      <c r="L194" s="468">
        <v>22166.67</v>
      </c>
      <c r="M194" s="464">
        <v>1</v>
      </c>
      <c r="N194" s="464">
        <v>388.88894736842104</v>
      </c>
      <c r="O194" s="468">
        <v>93</v>
      </c>
      <c r="P194" s="468">
        <v>51666.66</v>
      </c>
      <c r="Q194" s="491">
        <v>2.3308264164170804</v>
      </c>
      <c r="R194" s="469">
        <v>555.55548387096781</v>
      </c>
    </row>
    <row r="195" spans="1:18" ht="14.45" customHeight="1" x14ac:dyDescent="0.2">
      <c r="A195" s="463"/>
      <c r="B195" s="464" t="s">
        <v>1929</v>
      </c>
      <c r="C195" s="464" t="s">
        <v>1923</v>
      </c>
      <c r="D195" s="464" t="s">
        <v>2019</v>
      </c>
      <c r="E195" s="464" t="s">
        <v>2032</v>
      </c>
      <c r="F195" s="464" t="s">
        <v>2033</v>
      </c>
      <c r="G195" s="468">
        <v>1219</v>
      </c>
      <c r="H195" s="468">
        <v>365700</v>
      </c>
      <c r="I195" s="464">
        <v>1.8928571428571428</v>
      </c>
      <c r="J195" s="464">
        <v>300</v>
      </c>
      <c r="K195" s="468">
        <v>644</v>
      </c>
      <c r="L195" s="468">
        <v>193200</v>
      </c>
      <c r="M195" s="464">
        <v>1</v>
      </c>
      <c r="N195" s="464">
        <v>300</v>
      </c>
      <c r="O195" s="468">
        <v>445</v>
      </c>
      <c r="P195" s="468">
        <v>244750</v>
      </c>
      <c r="Q195" s="491">
        <v>1.2668219461697723</v>
      </c>
      <c r="R195" s="469">
        <v>550</v>
      </c>
    </row>
    <row r="196" spans="1:18" ht="14.45" customHeight="1" x14ac:dyDescent="0.2">
      <c r="A196" s="463"/>
      <c r="B196" s="464" t="s">
        <v>1929</v>
      </c>
      <c r="C196" s="464" t="s">
        <v>1923</v>
      </c>
      <c r="D196" s="464" t="s">
        <v>2019</v>
      </c>
      <c r="E196" s="464" t="s">
        <v>2034</v>
      </c>
      <c r="F196" s="464" t="s">
        <v>2035</v>
      </c>
      <c r="G196" s="468">
        <v>16</v>
      </c>
      <c r="H196" s="468">
        <v>4711.1100000000006</v>
      </c>
      <c r="I196" s="464">
        <v>2.2857260686041436</v>
      </c>
      <c r="J196" s="464">
        <v>294.44437500000004</v>
      </c>
      <c r="K196" s="468">
        <v>7</v>
      </c>
      <c r="L196" s="468">
        <v>2061.1</v>
      </c>
      <c r="M196" s="464">
        <v>1</v>
      </c>
      <c r="N196" s="464">
        <v>294.44285714285712</v>
      </c>
      <c r="O196" s="468">
        <v>5</v>
      </c>
      <c r="P196" s="468">
        <v>1472.21</v>
      </c>
      <c r="Q196" s="491">
        <v>0.71428363495221003</v>
      </c>
      <c r="R196" s="469">
        <v>294.44200000000001</v>
      </c>
    </row>
    <row r="197" spans="1:18" ht="14.45" customHeight="1" x14ac:dyDescent="0.2">
      <c r="A197" s="463"/>
      <c r="B197" s="464" t="s">
        <v>1929</v>
      </c>
      <c r="C197" s="464" t="s">
        <v>1923</v>
      </c>
      <c r="D197" s="464" t="s">
        <v>2019</v>
      </c>
      <c r="E197" s="464" t="s">
        <v>2038</v>
      </c>
      <c r="F197" s="464" t="s">
        <v>2039</v>
      </c>
      <c r="G197" s="468">
        <v>1</v>
      </c>
      <c r="H197" s="468">
        <v>93.33</v>
      </c>
      <c r="I197" s="464"/>
      <c r="J197" s="464">
        <v>93.33</v>
      </c>
      <c r="K197" s="468"/>
      <c r="L197" s="468"/>
      <c r="M197" s="464"/>
      <c r="N197" s="464"/>
      <c r="O197" s="468"/>
      <c r="P197" s="468"/>
      <c r="Q197" s="491"/>
      <c r="R197" s="469"/>
    </row>
    <row r="198" spans="1:18" ht="14.45" customHeight="1" x14ac:dyDescent="0.2">
      <c r="A198" s="463"/>
      <c r="B198" s="464" t="s">
        <v>1929</v>
      </c>
      <c r="C198" s="464" t="s">
        <v>1923</v>
      </c>
      <c r="D198" s="464" t="s">
        <v>2019</v>
      </c>
      <c r="E198" s="464" t="s">
        <v>2117</v>
      </c>
      <c r="F198" s="464" t="s">
        <v>2118</v>
      </c>
      <c r="G198" s="468"/>
      <c r="H198" s="468"/>
      <c r="I198" s="464"/>
      <c r="J198" s="464"/>
      <c r="K198" s="468">
        <v>1</v>
      </c>
      <c r="L198" s="468">
        <v>666.67</v>
      </c>
      <c r="M198" s="464">
        <v>1</v>
      </c>
      <c r="N198" s="464">
        <v>666.67</v>
      </c>
      <c r="O198" s="468"/>
      <c r="P198" s="468"/>
      <c r="Q198" s="491"/>
      <c r="R198" s="469"/>
    </row>
    <row r="199" spans="1:18" ht="14.45" customHeight="1" x14ac:dyDescent="0.2">
      <c r="A199" s="463"/>
      <c r="B199" s="464" t="s">
        <v>1929</v>
      </c>
      <c r="C199" s="464" t="s">
        <v>1923</v>
      </c>
      <c r="D199" s="464" t="s">
        <v>2019</v>
      </c>
      <c r="E199" s="464" t="s">
        <v>2119</v>
      </c>
      <c r="F199" s="464" t="s">
        <v>2120</v>
      </c>
      <c r="G199" s="468"/>
      <c r="H199" s="468"/>
      <c r="I199" s="464"/>
      <c r="J199" s="464"/>
      <c r="K199" s="468">
        <v>1</v>
      </c>
      <c r="L199" s="468">
        <v>777.78</v>
      </c>
      <c r="M199" s="464">
        <v>1</v>
      </c>
      <c r="N199" s="464">
        <v>777.78</v>
      </c>
      <c r="O199" s="468"/>
      <c r="P199" s="468"/>
      <c r="Q199" s="491"/>
      <c r="R199" s="469"/>
    </row>
    <row r="200" spans="1:18" ht="14.45" customHeight="1" x14ac:dyDescent="0.2">
      <c r="A200" s="463"/>
      <c r="B200" s="464" t="s">
        <v>1929</v>
      </c>
      <c r="C200" s="464" t="s">
        <v>1923</v>
      </c>
      <c r="D200" s="464" t="s">
        <v>2019</v>
      </c>
      <c r="E200" s="464" t="s">
        <v>2040</v>
      </c>
      <c r="F200" s="464" t="s">
        <v>2041</v>
      </c>
      <c r="G200" s="468">
        <v>17</v>
      </c>
      <c r="H200" s="468">
        <v>566.67999999999995</v>
      </c>
      <c r="I200" s="464">
        <v>0.77274896704075913</v>
      </c>
      <c r="J200" s="464">
        <v>33.334117647058818</v>
      </c>
      <c r="K200" s="468">
        <v>22</v>
      </c>
      <c r="L200" s="468">
        <v>733.33</v>
      </c>
      <c r="M200" s="464">
        <v>1</v>
      </c>
      <c r="N200" s="464">
        <v>33.333181818181821</v>
      </c>
      <c r="O200" s="468"/>
      <c r="P200" s="468"/>
      <c r="Q200" s="491"/>
      <c r="R200" s="469"/>
    </row>
    <row r="201" spans="1:18" ht="14.45" customHeight="1" x14ac:dyDescent="0.2">
      <c r="A201" s="463"/>
      <c r="B201" s="464" t="s">
        <v>1929</v>
      </c>
      <c r="C201" s="464" t="s">
        <v>1923</v>
      </c>
      <c r="D201" s="464" t="s">
        <v>2019</v>
      </c>
      <c r="E201" s="464" t="s">
        <v>2042</v>
      </c>
      <c r="F201" s="464" t="s">
        <v>2023</v>
      </c>
      <c r="G201" s="468">
        <v>1933</v>
      </c>
      <c r="H201" s="468">
        <v>807564.45</v>
      </c>
      <c r="I201" s="464">
        <v>1.0597587884917308</v>
      </c>
      <c r="J201" s="464">
        <v>417.77778065183651</v>
      </c>
      <c r="K201" s="468">
        <v>1824</v>
      </c>
      <c r="L201" s="468">
        <v>762026.65999999992</v>
      </c>
      <c r="M201" s="464">
        <v>1</v>
      </c>
      <c r="N201" s="464">
        <v>417.77777412280699</v>
      </c>
      <c r="O201" s="468">
        <v>1754</v>
      </c>
      <c r="P201" s="468">
        <v>732782.22</v>
      </c>
      <c r="Q201" s="491">
        <v>0.96162281251419746</v>
      </c>
      <c r="R201" s="469">
        <v>417.77777651083238</v>
      </c>
    </row>
    <row r="202" spans="1:18" ht="14.45" customHeight="1" x14ac:dyDescent="0.2">
      <c r="A202" s="463"/>
      <c r="B202" s="464" t="s">
        <v>1929</v>
      </c>
      <c r="C202" s="464" t="s">
        <v>1923</v>
      </c>
      <c r="D202" s="464" t="s">
        <v>2019</v>
      </c>
      <c r="E202" s="464" t="s">
        <v>2043</v>
      </c>
      <c r="F202" s="464" t="s">
        <v>2044</v>
      </c>
      <c r="G202" s="468">
        <v>111</v>
      </c>
      <c r="H202" s="468">
        <v>23433.33</v>
      </c>
      <c r="I202" s="464">
        <v>0.77083297012073348</v>
      </c>
      <c r="J202" s="464">
        <v>211.1110810810811</v>
      </c>
      <c r="K202" s="468">
        <v>144</v>
      </c>
      <c r="L202" s="468">
        <v>30400.010000000002</v>
      </c>
      <c r="M202" s="464">
        <v>1</v>
      </c>
      <c r="N202" s="464">
        <v>211.11118055555556</v>
      </c>
      <c r="O202" s="468">
        <v>200</v>
      </c>
      <c r="P202" s="468">
        <v>44444.44</v>
      </c>
      <c r="Q202" s="491">
        <v>1.4619876769777378</v>
      </c>
      <c r="R202" s="469">
        <v>222.22220000000002</v>
      </c>
    </row>
    <row r="203" spans="1:18" ht="14.45" customHeight="1" x14ac:dyDescent="0.2">
      <c r="A203" s="463"/>
      <c r="B203" s="464" t="s">
        <v>1929</v>
      </c>
      <c r="C203" s="464" t="s">
        <v>1923</v>
      </c>
      <c r="D203" s="464" t="s">
        <v>2019</v>
      </c>
      <c r="E203" s="464" t="s">
        <v>2045</v>
      </c>
      <c r="F203" s="464" t="s">
        <v>2046</v>
      </c>
      <c r="G203" s="468">
        <v>65</v>
      </c>
      <c r="H203" s="468">
        <v>37916.67</v>
      </c>
      <c r="I203" s="464">
        <v>1.0317464031963</v>
      </c>
      <c r="J203" s="464">
        <v>583.3333846153846</v>
      </c>
      <c r="K203" s="468">
        <v>63</v>
      </c>
      <c r="L203" s="468">
        <v>36749.990000000005</v>
      </c>
      <c r="M203" s="464">
        <v>1</v>
      </c>
      <c r="N203" s="464">
        <v>583.33317460317471</v>
      </c>
      <c r="O203" s="468">
        <v>156</v>
      </c>
      <c r="P203" s="468">
        <v>91000</v>
      </c>
      <c r="Q203" s="491">
        <v>2.4761911499839862</v>
      </c>
      <c r="R203" s="469">
        <v>583.33333333333337</v>
      </c>
    </row>
    <row r="204" spans="1:18" ht="14.45" customHeight="1" x14ac:dyDescent="0.2">
      <c r="A204" s="463"/>
      <c r="B204" s="464" t="s">
        <v>1929</v>
      </c>
      <c r="C204" s="464" t="s">
        <v>1923</v>
      </c>
      <c r="D204" s="464" t="s">
        <v>2019</v>
      </c>
      <c r="E204" s="464" t="s">
        <v>2047</v>
      </c>
      <c r="F204" s="464" t="s">
        <v>2048</v>
      </c>
      <c r="G204" s="468">
        <v>32</v>
      </c>
      <c r="H204" s="468">
        <v>14933.33</v>
      </c>
      <c r="I204" s="464">
        <v>0.61538439349115481</v>
      </c>
      <c r="J204" s="464">
        <v>466.6665625</v>
      </c>
      <c r="K204" s="468">
        <v>52</v>
      </c>
      <c r="L204" s="468">
        <v>24266.67</v>
      </c>
      <c r="M204" s="464">
        <v>1</v>
      </c>
      <c r="N204" s="464">
        <v>466.66673076923075</v>
      </c>
      <c r="O204" s="468">
        <v>53</v>
      </c>
      <c r="P204" s="468">
        <v>24733.340000000004</v>
      </c>
      <c r="Q204" s="491">
        <v>1.019230903951799</v>
      </c>
      <c r="R204" s="469">
        <v>466.66679245283024</v>
      </c>
    </row>
    <row r="205" spans="1:18" ht="14.45" customHeight="1" x14ac:dyDescent="0.2">
      <c r="A205" s="463"/>
      <c r="B205" s="464" t="s">
        <v>1929</v>
      </c>
      <c r="C205" s="464" t="s">
        <v>1923</v>
      </c>
      <c r="D205" s="464" t="s">
        <v>2019</v>
      </c>
      <c r="E205" s="464" t="s">
        <v>2121</v>
      </c>
      <c r="F205" s="464" t="s">
        <v>2048</v>
      </c>
      <c r="G205" s="468">
        <v>8</v>
      </c>
      <c r="H205" s="468">
        <v>8000</v>
      </c>
      <c r="I205" s="464">
        <v>0.8</v>
      </c>
      <c r="J205" s="464">
        <v>1000</v>
      </c>
      <c r="K205" s="468">
        <v>10</v>
      </c>
      <c r="L205" s="468">
        <v>10000</v>
      </c>
      <c r="M205" s="464">
        <v>1</v>
      </c>
      <c r="N205" s="464">
        <v>1000</v>
      </c>
      <c r="O205" s="468">
        <v>8</v>
      </c>
      <c r="P205" s="468">
        <v>8000</v>
      </c>
      <c r="Q205" s="491">
        <v>0.8</v>
      </c>
      <c r="R205" s="469">
        <v>1000</v>
      </c>
    </row>
    <row r="206" spans="1:18" ht="14.45" customHeight="1" x14ac:dyDescent="0.2">
      <c r="A206" s="463"/>
      <c r="B206" s="464" t="s">
        <v>1929</v>
      </c>
      <c r="C206" s="464" t="s">
        <v>1923</v>
      </c>
      <c r="D206" s="464" t="s">
        <v>2019</v>
      </c>
      <c r="E206" s="464" t="s">
        <v>2049</v>
      </c>
      <c r="F206" s="464" t="s">
        <v>2050</v>
      </c>
      <c r="G206" s="468">
        <v>313</v>
      </c>
      <c r="H206" s="468">
        <v>15650</v>
      </c>
      <c r="I206" s="464">
        <v>0.85286103542234337</v>
      </c>
      <c r="J206" s="464">
        <v>50</v>
      </c>
      <c r="K206" s="468">
        <v>367</v>
      </c>
      <c r="L206" s="468">
        <v>18350</v>
      </c>
      <c r="M206" s="464">
        <v>1</v>
      </c>
      <c r="N206" s="464">
        <v>50</v>
      </c>
      <c r="O206" s="468">
        <v>321</v>
      </c>
      <c r="P206" s="468">
        <v>19616.66</v>
      </c>
      <c r="Q206" s="491">
        <v>1.0690277929155314</v>
      </c>
      <c r="R206" s="469">
        <v>61.111090342679127</v>
      </c>
    </row>
    <row r="207" spans="1:18" ht="14.45" customHeight="1" x14ac:dyDescent="0.2">
      <c r="A207" s="463"/>
      <c r="B207" s="464" t="s">
        <v>1929</v>
      </c>
      <c r="C207" s="464" t="s">
        <v>1923</v>
      </c>
      <c r="D207" s="464" t="s">
        <v>2019</v>
      </c>
      <c r="E207" s="464" t="s">
        <v>2055</v>
      </c>
      <c r="F207" s="464" t="s">
        <v>2056</v>
      </c>
      <c r="G207" s="468">
        <v>6</v>
      </c>
      <c r="H207" s="468">
        <v>0</v>
      </c>
      <c r="I207" s="464"/>
      <c r="J207" s="464">
        <v>0</v>
      </c>
      <c r="K207" s="468">
        <v>9</v>
      </c>
      <c r="L207" s="468">
        <v>0</v>
      </c>
      <c r="M207" s="464"/>
      <c r="N207" s="464">
        <v>0</v>
      </c>
      <c r="O207" s="468">
        <v>6</v>
      </c>
      <c r="P207" s="468">
        <v>0</v>
      </c>
      <c r="Q207" s="491"/>
      <c r="R207" s="469">
        <v>0</v>
      </c>
    </row>
    <row r="208" spans="1:18" ht="14.45" customHeight="1" x14ac:dyDescent="0.2">
      <c r="A208" s="463"/>
      <c r="B208" s="464" t="s">
        <v>1929</v>
      </c>
      <c r="C208" s="464" t="s">
        <v>1923</v>
      </c>
      <c r="D208" s="464" t="s">
        <v>2019</v>
      </c>
      <c r="E208" s="464" t="s">
        <v>2057</v>
      </c>
      <c r="F208" s="464" t="s">
        <v>2058</v>
      </c>
      <c r="G208" s="468">
        <v>727</v>
      </c>
      <c r="H208" s="468">
        <v>222138.88</v>
      </c>
      <c r="I208" s="464">
        <v>1.4598392670352842</v>
      </c>
      <c r="J208" s="464">
        <v>305.55554332874829</v>
      </c>
      <c r="K208" s="468">
        <v>498</v>
      </c>
      <c r="L208" s="468">
        <v>152166.67000000001</v>
      </c>
      <c r="M208" s="464">
        <v>1</v>
      </c>
      <c r="N208" s="464">
        <v>305.55556224899601</v>
      </c>
      <c r="O208" s="468">
        <v>439</v>
      </c>
      <c r="P208" s="468">
        <v>134138.88</v>
      </c>
      <c r="Q208" s="491">
        <v>0.88152602669165325</v>
      </c>
      <c r="R208" s="469">
        <v>305.55553530751712</v>
      </c>
    </row>
    <row r="209" spans="1:18" ht="14.45" customHeight="1" x14ac:dyDescent="0.2">
      <c r="A209" s="463"/>
      <c r="B209" s="464" t="s">
        <v>1929</v>
      </c>
      <c r="C209" s="464" t="s">
        <v>1923</v>
      </c>
      <c r="D209" s="464" t="s">
        <v>2019</v>
      </c>
      <c r="E209" s="464" t="s">
        <v>2059</v>
      </c>
      <c r="F209" s="464" t="s">
        <v>2060</v>
      </c>
      <c r="G209" s="468">
        <v>174</v>
      </c>
      <c r="H209" s="468">
        <v>5799.99</v>
      </c>
      <c r="I209" s="464">
        <v>0.7598243492682748</v>
      </c>
      <c r="J209" s="464">
        <v>33.333275862068966</v>
      </c>
      <c r="K209" s="468">
        <v>229</v>
      </c>
      <c r="L209" s="468">
        <v>7633.33</v>
      </c>
      <c r="M209" s="464">
        <v>1</v>
      </c>
      <c r="N209" s="464">
        <v>33.333318777292575</v>
      </c>
      <c r="O209" s="468">
        <v>49</v>
      </c>
      <c r="P209" s="468">
        <v>1633.33</v>
      </c>
      <c r="Q209" s="491">
        <v>0.21397345588360517</v>
      </c>
      <c r="R209" s="469">
        <v>33.333265306122449</v>
      </c>
    </row>
    <row r="210" spans="1:18" ht="14.45" customHeight="1" x14ac:dyDescent="0.2">
      <c r="A210" s="463"/>
      <c r="B210" s="464" t="s">
        <v>1929</v>
      </c>
      <c r="C210" s="464" t="s">
        <v>1923</v>
      </c>
      <c r="D210" s="464" t="s">
        <v>2019</v>
      </c>
      <c r="E210" s="464" t="s">
        <v>2061</v>
      </c>
      <c r="F210" s="464" t="s">
        <v>2062</v>
      </c>
      <c r="G210" s="468">
        <v>1785</v>
      </c>
      <c r="H210" s="468">
        <v>813166.67</v>
      </c>
      <c r="I210" s="464">
        <v>1.0481503152468348</v>
      </c>
      <c r="J210" s="464">
        <v>455.55555742296923</v>
      </c>
      <c r="K210" s="468">
        <v>1703</v>
      </c>
      <c r="L210" s="468">
        <v>775811.12</v>
      </c>
      <c r="M210" s="464">
        <v>1</v>
      </c>
      <c r="N210" s="464">
        <v>455.55556077510278</v>
      </c>
      <c r="O210" s="468">
        <v>1543</v>
      </c>
      <c r="P210" s="468">
        <v>702922.22</v>
      </c>
      <c r="Q210" s="491">
        <v>0.90604813707748866</v>
      </c>
      <c r="R210" s="469">
        <v>455.55555411535966</v>
      </c>
    </row>
    <row r="211" spans="1:18" ht="14.45" customHeight="1" x14ac:dyDescent="0.2">
      <c r="A211" s="463"/>
      <c r="B211" s="464" t="s">
        <v>1929</v>
      </c>
      <c r="C211" s="464" t="s">
        <v>1923</v>
      </c>
      <c r="D211" s="464" t="s">
        <v>2019</v>
      </c>
      <c r="E211" s="464" t="s">
        <v>2065</v>
      </c>
      <c r="F211" s="464" t="s">
        <v>2066</v>
      </c>
      <c r="G211" s="468">
        <v>932</v>
      </c>
      <c r="H211" s="468">
        <v>72488.89</v>
      </c>
      <c r="I211" s="464">
        <v>1.3371595485057486</v>
      </c>
      <c r="J211" s="464">
        <v>77.777778969957083</v>
      </c>
      <c r="K211" s="468">
        <v>697</v>
      </c>
      <c r="L211" s="468">
        <v>54211.100000000006</v>
      </c>
      <c r="M211" s="464">
        <v>1</v>
      </c>
      <c r="N211" s="464">
        <v>77.777761836441897</v>
      </c>
      <c r="O211" s="468">
        <v>582</v>
      </c>
      <c r="P211" s="468">
        <v>45266.66</v>
      </c>
      <c r="Q211" s="491">
        <v>0.83500722176823561</v>
      </c>
      <c r="R211" s="469">
        <v>77.777766323024068</v>
      </c>
    </row>
    <row r="212" spans="1:18" ht="14.45" customHeight="1" x14ac:dyDescent="0.2">
      <c r="A212" s="463"/>
      <c r="B212" s="464" t="s">
        <v>1929</v>
      </c>
      <c r="C212" s="464" t="s">
        <v>1923</v>
      </c>
      <c r="D212" s="464" t="s">
        <v>2019</v>
      </c>
      <c r="E212" s="464" t="s">
        <v>2122</v>
      </c>
      <c r="F212" s="464" t="s">
        <v>2123</v>
      </c>
      <c r="G212" s="468">
        <v>73</v>
      </c>
      <c r="H212" s="468">
        <v>51100</v>
      </c>
      <c r="I212" s="464">
        <v>1.1587301587301588</v>
      </c>
      <c r="J212" s="464">
        <v>700</v>
      </c>
      <c r="K212" s="468">
        <v>63</v>
      </c>
      <c r="L212" s="468">
        <v>44100</v>
      </c>
      <c r="M212" s="464">
        <v>1</v>
      </c>
      <c r="N212" s="464">
        <v>700</v>
      </c>
      <c r="O212" s="468">
        <v>55</v>
      </c>
      <c r="P212" s="468">
        <v>38500</v>
      </c>
      <c r="Q212" s="491">
        <v>0.87301587301587302</v>
      </c>
      <c r="R212" s="469">
        <v>700</v>
      </c>
    </row>
    <row r="213" spans="1:18" ht="14.45" customHeight="1" x14ac:dyDescent="0.2">
      <c r="A213" s="463"/>
      <c r="B213" s="464" t="s">
        <v>1929</v>
      </c>
      <c r="C213" s="464" t="s">
        <v>1923</v>
      </c>
      <c r="D213" s="464" t="s">
        <v>2019</v>
      </c>
      <c r="E213" s="464" t="s">
        <v>2069</v>
      </c>
      <c r="F213" s="464" t="s">
        <v>2070</v>
      </c>
      <c r="G213" s="468">
        <v>4</v>
      </c>
      <c r="H213" s="468">
        <v>1080</v>
      </c>
      <c r="I213" s="464">
        <v>0.8</v>
      </c>
      <c r="J213" s="464">
        <v>270</v>
      </c>
      <c r="K213" s="468">
        <v>5</v>
      </c>
      <c r="L213" s="468">
        <v>1350</v>
      </c>
      <c r="M213" s="464">
        <v>1</v>
      </c>
      <c r="N213" s="464">
        <v>270</v>
      </c>
      <c r="O213" s="468">
        <v>2</v>
      </c>
      <c r="P213" s="468">
        <v>540</v>
      </c>
      <c r="Q213" s="491">
        <v>0.4</v>
      </c>
      <c r="R213" s="469">
        <v>270</v>
      </c>
    </row>
    <row r="214" spans="1:18" ht="14.45" customHeight="1" x14ac:dyDescent="0.2">
      <c r="A214" s="463"/>
      <c r="B214" s="464" t="s">
        <v>1929</v>
      </c>
      <c r="C214" s="464" t="s">
        <v>1923</v>
      </c>
      <c r="D214" s="464" t="s">
        <v>2019</v>
      </c>
      <c r="E214" s="464" t="s">
        <v>2071</v>
      </c>
      <c r="F214" s="464" t="s">
        <v>2072</v>
      </c>
      <c r="G214" s="468">
        <v>1202</v>
      </c>
      <c r="H214" s="468">
        <v>113522.23</v>
      </c>
      <c r="I214" s="464">
        <v>1.1749758452606254</v>
      </c>
      <c r="J214" s="464">
        <v>94.444450915141431</v>
      </c>
      <c r="K214" s="468">
        <v>1023</v>
      </c>
      <c r="L214" s="468">
        <v>96616.65</v>
      </c>
      <c r="M214" s="464">
        <v>1</v>
      </c>
      <c r="N214" s="464">
        <v>94.444428152492662</v>
      </c>
      <c r="O214" s="468">
        <v>845</v>
      </c>
      <c r="P214" s="468">
        <v>79805.55</v>
      </c>
      <c r="Q214" s="491">
        <v>0.82600204002105237</v>
      </c>
      <c r="R214" s="469">
        <v>94.444437869822494</v>
      </c>
    </row>
    <row r="215" spans="1:18" ht="14.45" customHeight="1" x14ac:dyDescent="0.2">
      <c r="A215" s="463"/>
      <c r="B215" s="464" t="s">
        <v>1929</v>
      </c>
      <c r="C215" s="464" t="s">
        <v>1923</v>
      </c>
      <c r="D215" s="464" t="s">
        <v>2019</v>
      </c>
      <c r="E215" s="464" t="s">
        <v>2075</v>
      </c>
      <c r="F215" s="464" t="s">
        <v>2076</v>
      </c>
      <c r="G215" s="468">
        <v>1047</v>
      </c>
      <c r="H215" s="468">
        <v>101210</v>
      </c>
      <c r="I215" s="464">
        <v>1.2104044312689763</v>
      </c>
      <c r="J215" s="464">
        <v>96.666666666666671</v>
      </c>
      <c r="K215" s="468">
        <v>865</v>
      </c>
      <c r="L215" s="468">
        <v>83616.680000000008</v>
      </c>
      <c r="M215" s="464">
        <v>1</v>
      </c>
      <c r="N215" s="464">
        <v>96.666682080924858</v>
      </c>
      <c r="O215" s="468">
        <v>665</v>
      </c>
      <c r="P215" s="468">
        <v>64283.33</v>
      </c>
      <c r="Q215" s="491">
        <v>0.76878596471421723</v>
      </c>
      <c r="R215" s="469">
        <v>96.666661654135339</v>
      </c>
    </row>
    <row r="216" spans="1:18" ht="14.45" customHeight="1" x14ac:dyDescent="0.2">
      <c r="A216" s="463"/>
      <c r="B216" s="464" t="s">
        <v>1929</v>
      </c>
      <c r="C216" s="464" t="s">
        <v>1923</v>
      </c>
      <c r="D216" s="464" t="s">
        <v>2019</v>
      </c>
      <c r="E216" s="464" t="s">
        <v>2079</v>
      </c>
      <c r="F216" s="464" t="s">
        <v>2080</v>
      </c>
      <c r="G216" s="468">
        <v>1198</v>
      </c>
      <c r="H216" s="468">
        <v>234275.57</v>
      </c>
      <c r="I216" s="464">
        <v>0.57883931677088929</v>
      </c>
      <c r="J216" s="464">
        <v>195.55556761268781</v>
      </c>
      <c r="K216" s="468">
        <v>934</v>
      </c>
      <c r="L216" s="468">
        <v>404733.33999999997</v>
      </c>
      <c r="M216" s="464">
        <v>1</v>
      </c>
      <c r="N216" s="464">
        <v>433.33334047109201</v>
      </c>
      <c r="O216" s="468">
        <v>895</v>
      </c>
      <c r="P216" s="468">
        <v>387833.33999999997</v>
      </c>
      <c r="Q216" s="491">
        <v>0.95824411203682902</v>
      </c>
      <c r="R216" s="469">
        <v>433.33334078212289</v>
      </c>
    </row>
    <row r="217" spans="1:18" ht="14.45" customHeight="1" x14ac:dyDescent="0.2">
      <c r="A217" s="463"/>
      <c r="B217" s="464" t="s">
        <v>1929</v>
      </c>
      <c r="C217" s="464" t="s">
        <v>1923</v>
      </c>
      <c r="D217" s="464" t="s">
        <v>2019</v>
      </c>
      <c r="E217" s="464" t="s">
        <v>2105</v>
      </c>
      <c r="F217" s="464" t="s">
        <v>2106</v>
      </c>
      <c r="G217" s="468">
        <v>1640</v>
      </c>
      <c r="H217" s="468">
        <v>123911.12</v>
      </c>
      <c r="I217" s="464">
        <v>1.1747852464386295</v>
      </c>
      <c r="J217" s="464">
        <v>75.555560975609751</v>
      </c>
      <c r="K217" s="468">
        <v>1396</v>
      </c>
      <c r="L217" s="468">
        <v>105475.55</v>
      </c>
      <c r="M217" s="464">
        <v>1</v>
      </c>
      <c r="N217" s="464">
        <v>75.555551575931233</v>
      </c>
      <c r="O217" s="468">
        <v>1305</v>
      </c>
      <c r="P217" s="468">
        <v>98599.99</v>
      </c>
      <c r="Q217" s="491">
        <v>0.9348137080110035</v>
      </c>
      <c r="R217" s="469">
        <v>75.555547892720313</v>
      </c>
    </row>
    <row r="218" spans="1:18" ht="14.45" customHeight="1" x14ac:dyDescent="0.2">
      <c r="A218" s="463"/>
      <c r="B218" s="464" t="s">
        <v>1929</v>
      </c>
      <c r="C218" s="464" t="s">
        <v>1923</v>
      </c>
      <c r="D218" s="464" t="s">
        <v>2019</v>
      </c>
      <c r="E218" s="464" t="s">
        <v>2124</v>
      </c>
      <c r="F218" s="464" t="s">
        <v>2125</v>
      </c>
      <c r="G218" s="468">
        <v>130</v>
      </c>
      <c r="H218" s="468">
        <v>166833.33999999997</v>
      </c>
      <c r="I218" s="464">
        <v>0.89655172784409376</v>
      </c>
      <c r="J218" s="464">
        <v>1283.3333846153844</v>
      </c>
      <c r="K218" s="468">
        <v>145</v>
      </c>
      <c r="L218" s="468">
        <v>186083.34</v>
      </c>
      <c r="M218" s="464">
        <v>1</v>
      </c>
      <c r="N218" s="464">
        <v>1283.3333793103448</v>
      </c>
      <c r="O218" s="468">
        <v>138</v>
      </c>
      <c r="P218" s="468">
        <v>177100</v>
      </c>
      <c r="Q218" s="491">
        <v>0.9517241038343357</v>
      </c>
      <c r="R218" s="469">
        <v>1283.3333333333333</v>
      </c>
    </row>
    <row r="219" spans="1:18" ht="14.45" customHeight="1" x14ac:dyDescent="0.2">
      <c r="A219" s="463"/>
      <c r="B219" s="464" t="s">
        <v>1929</v>
      </c>
      <c r="C219" s="464" t="s">
        <v>1923</v>
      </c>
      <c r="D219" s="464" t="s">
        <v>2019</v>
      </c>
      <c r="E219" s="464" t="s">
        <v>2126</v>
      </c>
      <c r="F219" s="464" t="s">
        <v>2127</v>
      </c>
      <c r="G219" s="468">
        <v>5</v>
      </c>
      <c r="H219" s="468">
        <v>2333.33</v>
      </c>
      <c r="I219" s="464">
        <v>0.83333214285714285</v>
      </c>
      <c r="J219" s="464">
        <v>466.666</v>
      </c>
      <c r="K219" s="468">
        <v>6</v>
      </c>
      <c r="L219" s="468">
        <v>2800</v>
      </c>
      <c r="M219" s="464">
        <v>1</v>
      </c>
      <c r="N219" s="464">
        <v>466.66666666666669</v>
      </c>
      <c r="O219" s="468"/>
      <c r="P219" s="468"/>
      <c r="Q219" s="491"/>
      <c r="R219" s="469"/>
    </row>
    <row r="220" spans="1:18" ht="14.45" customHeight="1" x14ac:dyDescent="0.2">
      <c r="A220" s="463"/>
      <c r="B220" s="464" t="s">
        <v>1929</v>
      </c>
      <c r="C220" s="464" t="s">
        <v>1923</v>
      </c>
      <c r="D220" s="464" t="s">
        <v>2019</v>
      </c>
      <c r="E220" s="464" t="s">
        <v>2081</v>
      </c>
      <c r="F220" s="464" t="s">
        <v>2082</v>
      </c>
      <c r="G220" s="468">
        <v>6</v>
      </c>
      <c r="H220" s="468">
        <v>700.01</v>
      </c>
      <c r="I220" s="464">
        <v>1.5000428577551106</v>
      </c>
      <c r="J220" s="464">
        <v>116.66833333333334</v>
      </c>
      <c r="K220" s="468">
        <v>4</v>
      </c>
      <c r="L220" s="468">
        <v>466.66</v>
      </c>
      <c r="M220" s="464">
        <v>1</v>
      </c>
      <c r="N220" s="464">
        <v>116.66500000000001</v>
      </c>
      <c r="O220" s="468">
        <v>2</v>
      </c>
      <c r="P220" s="468">
        <v>266.66000000000003</v>
      </c>
      <c r="Q220" s="491">
        <v>0.57142244889212701</v>
      </c>
      <c r="R220" s="469">
        <v>133.33000000000001</v>
      </c>
    </row>
    <row r="221" spans="1:18" ht="14.45" customHeight="1" x14ac:dyDescent="0.2">
      <c r="A221" s="463"/>
      <c r="B221" s="464" t="s">
        <v>1929</v>
      </c>
      <c r="C221" s="464" t="s">
        <v>1923</v>
      </c>
      <c r="D221" s="464" t="s">
        <v>2019</v>
      </c>
      <c r="E221" s="464" t="s">
        <v>2128</v>
      </c>
      <c r="F221" s="464" t="s">
        <v>2129</v>
      </c>
      <c r="G221" s="468">
        <v>2</v>
      </c>
      <c r="H221" s="468">
        <v>933.34</v>
      </c>
      <c r="I221" s="464"/>
      <c r="J221" s="464">
        <v>466.67</v>
      </c>
      <c r="K221" s="468"/>
      <c r="L221" s="468"/>
      <c r="M221" s="464"/>
      <c r="N221" s="464"/>
      <c r="O221" s="468">
        <v>1</v>
      </c>
      <c r="P221" s="468">
        <v>466.67</v>
      </c>
      <c r="Q221" s="491"/>
      <c r="R221" s="469">
        <v>466.67</v>
      </c>
    </row>
    <row r="222" spans="1:18" ht="14.45" customHeight="1" x14ac:dyDescent="0.2">
      <c r="A222" s="463"/>
      <c r="B222" s="464" t="s">
        <v>1929</v>
      </c>
      <c r="C222" s="464" t="s">
        <v>1923</v>
      </c>
      <c r="D222" s="464" t="s">
        <v>2019</v>
      </c>
      <c r="E222" s="464" t="s">
        <v>2085</v>
      </c>
      <c r="F222" s="464" t="s">
        <v>2086</v>
      </c>
      <c r="G222" s="468">
        <v>4</v>
      </c>
      <c r="H222" s="468">
        <v>1377.78</v>
      </c>
      <c r="I222" s="464">
        <v>1.3333526884217861</v>
      </c>
      <c r="J222" s="464">
        <v>344.44499999999999</v>
      </c>
      <c r="K222" s="468">
        <v>3</v>
      </c>
      <c r="L222" s="468">
        <v>1033.32</v>
      </c>
      <c r="M222" s="464">
        <v>1</v>
      </c>
      <c r="N222" s="464">
        <v>344.44</v>
      </c>
      <c r="O222" s="468">
        <v>12</v>
      </c>
      <c r="P222" s="468">
        <v>4133.32</v>
      </c>
      <c r="Q222" s="491">
        <v>4.0000387101769057</v>
      </c>
      <c r="R222" s="469">
        <v>344.44333333333333</v>
      </c>
    </row>
    <row r="223" spans="1:18" ht="14.45" customHeight="1" x14ac:dyDescent="0.2">
      <c r="A223" s="463"/>
      <c r="B223" s="464" t="s">
        <v>1929</v>
      </c>
      <c r="C223" s="464" t="s">
        <v>1923</v>
      </c>
      <c r="D223" s="464" t="s">
        <v>2019</v>
      </c>
      <c r="E223" s="464" t="s">
        <v>2130</v>
      </c>
      <c r="F223" s="464" t="s">
        <v>2131</v>
      </c>
      <c r="G223" s="468"/>
      <c r="H223" s="468"/>
      <c r="I223" s="464"/>
      <c r="J223" s="464"/>
      <c r="K223" s="468">
        <v>1</v>
      </c>
      <c r="L223" s="468">
        <v>833.33</v>
      </c>
      <c r="M223" s="464">
        <v>1</v>
      </c>
      <c r="N223" s="464">
        <v>833.33</v>
      </c>
      <c r="O223" s="468"/>
      <c r="P223" s="468"/>
      <c r="Q223" s="491"/>
      <c r="R223" s="469"/>
    </row>
    <row r="224" spans="1:18" ht="14.45" customHeight="1" x14ac:dyDescent="0.2">
      <c r="A224" s="463"/>
      <c r="B224" s="464" t="s">
        <v>1929</v>
      </c>
      <c r="C224" s="464" t="s">
        <v>1923</v>
      </c>
      <c r="D224" s="464" t="s">
        <v>2019</v>
      </c>
      <c r="E224" s="464" t="s">
        <v>2087</v>
      </c>
      <c r="F224" s="464" t="s">
        <v>2088</v>
      </c>
      <c r="G224" s="468">
        <v>35</v>
      </c>
      <c r="H224" s="468">
        <v>10227.790000000001</v>
      </c>
      <c r="I224" s="464">
        <v>1.8421115195570774</v>
      </c>
      <c r="J224" s="464">
        <v>292.22257142857143</v>
      </c>
      <c r="K224" s="468">
        <v>19</v>
      </c>
      <c r="L224" s="468">
        <v>5552.21</v>
      </c>
      <c r="M224" s="464">
        <v>1</v>
      </c>
      <c r="N224" s="464">
        <v>292.22157894736841</v>
      </c>
      <c r="O224" s="468">
        <v>28</v>
      </c>
      <c r="P224" s="468">
        <v>8182.2199999999993</v>
      </c>
      <c r="Q224" s="491">
        <v>1.4736870543441258</v>
      </c>
      <c r="R224" s="469">
        <v>292.22214285714284</v>
      </c>
    </row>
    <row r="225" spans="1:18" ht="14.45" customHeight="1" x14ac:dyDescent="0.2">
      <c r="A225" s="463"/>
      <c r="B225" s="464" t="s">
        <v>1929</v>
      </c>
      <c r="C225" s="464" t="s">
        <v>1923</v>
      </c>
      <c r="D225" s="464" t="s">
        <v>2019</v>
      </c>
      <c r="E225" s="464" t="s">
        <v>2091</v>
      </c>
      <c r="F225" s="464" t="s">
        <v>2092</v>
      </c>
      <c r="G225" s="468">
        <v>99</v>
      </c>
      <c r="H225" s="468">
        <v>11550.01</v>
      </c>
      <c r="I225" s="464">
        <v>0.12468525097823861</v>
      </c>
      <c r="J225" s="464">
        <v>116.66676767676768</v>
      </c>
      <c r="K225" s="468">
        <v>794</v>
      </c>
      <c r="L225" s="468">
        <v>92633.33</v>
      </c>
      <c r="M225" s="464">
        <v>1</v>
      </c>
      <c r="N225" s="464">
        <v>116.66666246851386</v>
      </c>
      <c r="O225" s="468">
        <v>741</v>
      </c>
      <c r="P225" s="468">
        <v>86450</v>
      </c>
      <c r="Q225" s="491">
        <v>0.93324940385928046</v>
      </c>
      <c r="R225" s="469">
        <v>116.66666666666667</v>
      </c>
    </row>
    <row r="226" spans="1:18" ht="14.45" customHeight="1" x14ac:dyDescent="0.2">
      <c r="A226" s="463"/>
      <c r="B226" s="464" t="s">
        <v>1929</v>
      </c>
      <c r="C226" s="464" t="s">
        <v>1923</v>
      </c>
      <c r="D226" s="464" t="s">
        <v>2019</v>
      </c>
      <c r="E226" s="464" t="s">
        <v>2093</v>
      </c>
      <c r="F226" s="464" t="s">
        <v>2094</v>
      </c>
      <c r="G226" s="468">
        <v>12</v>
      </c>
      <c r="H226" s="468">
        <v>4306.67</v>
      </c>
      <c r="I226" s="464">
        <v>1.0909093211881109</v>
      </c>
      <c r="J226" s="464">
        <v>358.88916666666665</v>
      </c>
      <c r="K226" s="468">
        <v>11</v>
      </c>
      <c r="L226" s="468">
        <v>3947.7799999999993</v>
      </c>
      <c r="M226" s="464">
        <v>1</v>
      </c>
      <c r="N226" s="464">
        <v>358.88909090909084</v>
      </c>
      <c r="O226" s="468">
        <v>13</v>
      </c>
      <c r="P226" s="468">
        <v>4665.5599999999995</v>
      </c>
      <c r="Q226" s="491">
        <v>1.1818186423762216</v>
      </c>
      <c r="R226" s="469">
        <v>358.88923076923072</v>
      </c>
    </row>
    <row r="227" spans="1:18" ht="14.45" customHeight="1" x14ac:dyDescent="0.2">
      <c r="A227" s="463"/>
      <c r="B227" s="464" t="s">
        <v>1929</v>
      </c>
      <c r="C227" s="464" t="s">
        <v>1923</v>
      </c>
      <c r="D227" s="464" t="s">
        <v>2019</v>
      </c>
      <c r="E227" s="464" t="s">
        <v>2095</v>
      </c>
      <c r="F227" s="464" t="s">
        <v>2096</v>
      </c>
      <c r="G227" s="468"/>
      <c r="H227" s="468"/>
      <c r="I227" s="464"/>
      <c r="J227" s="464"/>
      <c r="K227" s="468">
        <v>290</v>
      </c>
      <c r="L227" s="468">
        <v>159500</v>
      </c>
      <c r="M227" s="464">
        <v>1</v>
      </c>
      <c r="N227" s="464">
        <v>550</v>
      </c>
      <c r="O227" s="468">
        <v>302</v>
      </c>
      <c r="P227" s="468">
        <v>166100</v>
      </c>
      <c r="Q227" s="491">
        <v>1.0413793103448277</v>
      </c>
      <c r="R227" s="469">
        <v>550</v>
      </c>
    </row>
    <row r="228" spans="1:18" ht="14.45" customHeight="1" x14ac:dyDescent="0.2">
      <c r="A228" s="463"/>
      <c r="B228" s="464" t="s">
        <v>1929</v>
      </c>
      <c r="C228" s="464" t="s">
        <v>1923</v>
      </c>
      <c r="D228" s="464" t="s">
        <v>2019</v>
      </c>
      <c r="E228" s="464" t="s">
        <v>2097</v>
      </c>
      <c r="F228" s="464" t="s">
        <v>2098</v>
      </c>
      <c r="G228" s="468"/>
      <c r="H228" s="468"/>
      <c r="I228" s="464"/>
      <c r="J228" s="464"/>
      <c r="K228" s="468">
        <v>3</v>
      </c>
      <c r="L228" s="468">
        <v>350</v>
      </c>
      <c r="M228" s="464">
        <v>1</v>
      </c>
      <c r="N228" s="464">
        <v>116.66666666666667</v>
      </c>
      <c r="O228" s="468">
        <v>6</v>
      </c>
      <c r="P228" s="468">
        <v>700</v>
      </c>
      <c r="Q228" s="491">
        <v>2</v>
      </c>
      <c r="R228" s="469">
        <v>116.66666666666667</v>
      </c>
    </row>
    <row r="229" spans="1:18" ht="14.45" customHeight="1" x14ac:dyDescent="0.2">
      <c r="A229" s="463"/>
      <c r="B229" s="464" t="s">
        <v>1929</v>
      </c>
      <c r="C229" s="464" t="s">
        <v>1923</v>
      </c>
      <c r="D229" s="464" t="s">
        <v>2019</v>
      </c>
      <c r="E229" s="464" t="s">
        <v>2109</v>
      </c>
      <c r="F229" s="464"/>
      <c r="G229" s="468"/>
      <c r="H229" s="468"/>
      <c r="I229" s="464"/>
      <c r="J229" s="464"/>
      <c r="K229" s="468"/>
      <c r="L229" s="468"/>
      <c r="M229" s="464"/>
      <c r="N229" s="464"/>
      <c r="O229" s="468">
        <v>16</v>
      </c>
      <c r="P229" s="468">
        <v>8853.33</v>
      </c>
      <c r="Q229" s="491"/>
      <c r="R229" s="469">
        <v>553.333125</v>
      </c>
    </row>
    <row r="230" spans="1:18" ht="14.45" customHeight="1" x14ac:dyDescent="0.2">
      <c r="A230" s="463"/>
      <c r="B230" s="464" t="s">
        <v>1929</v>
      </c>
      <c r="C230" s="464" t="s">
        <v>1923</v>
      </c>
      <c r="D230" s="464" t="s">
        <v>2019</v>
      </c>
      <c r="E230" s="464" t="s">
        <v>2109</v>
      </c>
      <c r="F230" s="464" t="s">
        <v>2110</v>
      </c>
      <c r="G230" s="468"/>
      <c r="H230" s="468"/>
      <c r="I230" s="464"/>
      <c r="J230" s="464"/>
      <c r="K230" s="468"/>
      <c r="L230" s="468"/>
      <c r="M230" s="464"/>
      <c r="N230" s="464"/>
      <c r="O230" s="468">
        <v>7</v>
      </c>
      <c r="P230" s="468">
        <v>3873.33</v>
      </c>
      <c r="Q230" s="491"/>
      <c r="R230" s="469">
        <v>553.33285714285716</v>
      </c>
    </row>
    <row r="231" spans="1:18" ht="14.45" customHeight="1" x14ac:dyDescent="0.2">
      <c r="A231" s="463"/>
      <c r="B231" s="464" t="s">
        <v>1929</v>
      </c>
      <c r="C231" s="464" t="s">
        <v>1924</v>
      </c>
      <c r="D231" s="464" t="s">
        <v>2019</v>
      </c>
      <c r="E231" s="464" t="s">
        <v>2099</v>
      </c>
      <c r="F231" s="464" t="s">
        <v>2100</v>
      </c>
      <c r="G231" s="468">
        <v>2</v>
      </c>
      <c r="H231" s="468">
        <v>211.11</v>
      </c>
      <c r="I231" s="464">
        <v>1</v>
      </c>
      <c r="J231" s="464">
        <v>105.55500000000001</v>
      </c>
      <c r="K231" s="468">
        <v>2</v>
      </c>
      <c r="L231" s="468">
        <v>211.11</v>
      </c>
      <c r="M231" s="464">
        <v>1</v>
      </c>
      <c r="N231" s="464">
        <v>105.55500000000001</v>
      </c>
      <c r="O231" s="468"/>
      <c r="P231" s="468"/>
      <c r="Q231" s="491"/>
      <c r="R231" s="469"/>
    </row>
    <row r="232" spans="1:18" ht="14.45" customHeight="1" x14ac:dyDescent="0.2">
      <c r="A232" s="463"/>
      <c r="B232" s="464" t="s">
        <v>1929</v>
      </c>
      <c r="C232" s="464" t="s">
        <v>1924</v>
      </c>
      <c r="D232" s="464" t="s">
        <v>2019</v>
      </c>
      <c r="E232" s="464" t="s">
        <v>2024</v>
      </c>
      <c r="F232" s="464" t="s">
        <v>2025</v>
      </c>
      <c r="G232" s="468">
        <v>764</v>
      </c>
      <c r="H232" s="468">
        <v>59422.229999999996</v>
      </c>
      <c r="I232" s="464">
        <v>0.9182693667285261</v>
      </c>
      <c r="J232" s="464">
        <v>77.777787958115184</v>
      </c>
      <c r="K232" s="468">
        <v>832</v>
      </c>
      <c r="L232" s="468">
        <v>64711.11</v>
      </c>
      <c r="M232" s="464">
        <v>1</v>
      </c>
      <c r="N232" s="464">
        <v>77.777776442307697</v>
      </c>
      <c r="O232" s="468">
        <v>911</v>
      </c>
      <c r="P232" s="468">
        <v>70855.56</v>
      </c>
      <c r="Q232" s="491">
        <v>1.0949520105589288</v>
      </c>
      <c r="R232" s="469">
        <v>77.777782656421508</v>
      </c>
    </row>
    <row r="233" spans="1:18" ht="14.45" customHeight="1" x14ac:dyDescent="0.2">
      <c r="A233" s="463"/>
      <c r="B233" s="464" t="s">
        <v>1929</v>
      </c>
      <c r="C233" s="464" t="s">
        <v>1924</v>
      </c>
      <c r="D233" s="464" t="s">
        <v>2019</v>
      </c>
      <c r="E233" s="464" t="s">
        <v>2026</v>
      </c>
      <c r="F233" s="464" t="s">
        <v>2027</v>
      </c>
      <c r="G233" s="468">
        <v>19</v>
      </c>
      <c r="H233" s="468">
        <v>4750</v>
      </c>
      <c r="I233" s="464">
        <v>1.2666666666666666</v>
      </c>
      <c r="J233" s="464">
        <v>250</v>
      </c>
      <c r="K233" s="468">
        <v>15</v>
      </c>
      <c r="L233" s="468">
        <v>3750</v>
      </c>
      <c r="M233" s="464">
        <v>1</v>
      </c>
      <c r="N233" s="464">
        <v>250</v>
      </c>
      <c r="O233" s="468">
        <v>10</v>
      </c>
      <c r="P233" s="468">
        <v>2500</v>
      </c>
      <c r="Q233" s="491">
        <v>0.66666666666666663</v>
      </c>
      <c r="R233" s="469">
        <v>250</v>
      </c>
    </row>
    <row r="234" spans="1:18" ht="14.45" customHeight="1" x14ac:dyDescent="0.2">
      <c r="A234" s="463"/>
      <c r="B234" s="464" t="s">
        <v>1929</v>
      </c>
      <c r="C234" s="464" t="s">
        <v>1924</v>
      </c>
      <c r="D234" s="464" t="s">
        <v>2019</v>
      </c>
      <c r="E234" s="464" t="s">
        <v>2028</v>
      </c>
      <c r="F234" s="464" t="s">
        <v>2029</v>
      </c>
      <c r="G234" s="468"/>
      <c r="H234" s="468"/>
      <c r="I234" s="464"/>
      <c r="J234" s="464"/>
      <c r="K234" s="468">
        <v>1</v>
      </c>
      <c r="L234" s="468">
        <v>300</v>
      </c>
      <c r="M234" s="464">
        <v>1</v>
      </c>
      <c r="N234" s="464">
        <v>300</v>
      </c>
      <c r="O234" s="468">
        <v>1</v>
      </c>
      <c r="P234" s="468">
        <v>300</v>
      </c>
      <c r="Q234" s="491">
        <v>1</v>
      </c>
      <c r="R234" s="469">
        <v>300</v>
      </c>
    </row>
    <row r="235" spans="1:18" ht="14.45" customHeight="1" x14ac:dyDescent="0.2">
      <c r="A235" s="463"/>
      <c r="B235" s="464" t="s">
        <v>1929</v>
      </c>
      <c r="C235" s="464" t="s">
        <v>1924</v>
      </c>
      <c r="D235" s="464" t="s">
        <v>2019</v>
      </c>
      <c r="E235" s="464" t="s">
        <v>2030</v>
      </c>
      <c r="F235" s="464" t="s">
        <v>2031</v>
      </c>
      <c r="G235" s="468">
        <v>598</v>
      </c>
      <c r="H235" s="468">
        <v>69766.66</v>
      </c>
      <c r="I235" s="464">
        <v>1.3259423916303317</v>
      </c>
      <c r="J235" s="464">
        <v>116.66665551839465</v>
      </c>
      <c r="K235" s="468">
        <v>451</v>
      </c>
      <c r="L235" s="468">
        <v>52616.659999999996</v>
      </c>
      <c r="M235" s="464">
        <v>1</v>
      </c>
      <c r="N235" s="464">
        <v>116.66665188470066</v>
      </c>
      <c r="O235" s="468">
        <v>469</v>
      </c>
      <c r="P235" s="468">
        <v>54716.66</v>
      </c>
      <c r="Q235" s="491">
        <v>1.0399113132608571</v>
      </c>
      <c r="R235" s="469">
        <v>116.66665245202559</v>
      </c>
    </row>
    <row r="236" spans="1:18" ht="14.45" customHeight="1" x14ac:dyDescent="0.2">
      <c r="A236" s="463"/>
      <c r="B236" s="464" t="s">
        <v>1929</v>
      </c>
      <c r="C236" s="464" t="s">
        <v>1924</v>
      </c>
      <c r="D236" s="464" t="s">
        <v>2019</v>
      </c>
      <c r="E236" s="464" t="s">
        <v>2032</v>
      </c>
      <c r="F236" s="464" t="s">
        <v>2033</v>
      </c>
      <c r="G236" s="468">
        <v>58</v>
      </c>
      <c r="H236" s="468">
        <v>17400</v>
      </c>
      <c r="I236" s="464">
        <v>3.4117647058823528</v>
      </c>
      <c r="J236" s="464">
        <v>300</v>
      </c>
      <c r="K236" s="468">
        <v>17</v>
      </c>
      <c r="L236" s="468">
        <v>5100</v>
      </c>
      <c r="M236" s="464">
        <v>1</v>
      </c>
      <c r="N236" s="464">
        <v>300</v>
      </c>
      <c r="O236" s="468"/>
      <c r="P236" s="468"/>
      <c r="Q236" s="491"/>
      <c r="R236" s="469"/>
    </row>
    <row r="237" spans="1:18" ht="14.45" customHeight="1" x14ac:dyDescent="0.2">
      <c r="A237" s="463"/>
      <c r="B237" s="464" t="s">
        <v>1929</v>
      </c>
      <c r="C237" s="464" t="s">
        <v>1924</v>
      </c>
      <c r="D237" s="464" t="s">
        <v>2019</v>
      </c>
      <c r="E237" s="464" t="s">
        <v>2034</v>
      </c>
      <c r="F237" s="464" t="s">
        <v>2035</v>
      </c>
      <c r="G237" s="468">
        <v>3</v>
      </c>
      <c r="H237" s="468">
        <v>883.33</v>
      </c>
      <c r="I237" s="464"/>
      <c r="J237" s="464">
        <v>294.44333333333333</v>
      </c>
      <c r="K237" s="468"/>
      <c r="L237" s="468"/>
      <c r="M237" s="464"/>
      <c r="N237" s="464"/>
      <c r="O237" s="468"/>
      <c r="P237" s="468"/>
      <c r="Q237" s="491"/>
      <c r="R237" s="469"/>
    </row>
    <row r="238" spans="1:18" ht="14.45" customHeight="1" x14ac:dyDescent="0.2">
      <c r="A238" s="463"/>
      <c r="B238" s="464" t="s">
        <v>1929</v>
      </c>
      <c r="C238" s="464" t="s">
        <v>1924</v>
      </c>
      <c r="D238" s="464" t="s">
        <v>2019</v>
      </c>
      <c r="E238" s="464" t="s">
        <v>2036</v>
      </c>
      <c r="F238" s="464" t="s">
        <v>2037</v>
      </c>
      <c r="G238" s="468">
        <v>1561</v>
      </c>
      <c r="H238" s="468">
        <v>1214111.1100000001</v>
      </c>
      <c r="I238" s="464">
        <v>1.0575880749128921</v>
      </c>
      <c r="J238" s="464">
        <v>777.7777770659834</v>
      </c>
      <c r="K238" s="468">
        <v>1476</v>
      </c>
      <c r="L238" s="468">
        <v>1148000</v>
      </c>
      <c r="M238" s="464">
        <v>1</v>
      </c>
      <c r="N238" s="464">
        <v>777.77777777777783</v>
      </c>
      <c r="O238" s="468">
        <v>1509</v>
      </c>
      <c r="P238" s="468">
        <v>1173666.6600000001</v>
      </c>
      <c r="Q238" s="491">
        <v>1.0223577177700349</v>
      </c>
      <c r="R238" s="469">
        <v>777.77777335984104</v>
      </c>
    </row>
    <row r="239" spans="1:18" ht="14.45" customHeight="1" x14ac:dyDescent="0.2">
      <c r="A239" s="463"/>
      <c r="B239" s="464" t="s">
        <v>1929</v>
      </c>
      <c r="C239" s="464" t="s">
        <v>1924</v>
      </c>
      <c r="D239" s="464" t="s">
        <v>2019</v>
      </c>
      <c r="E239" s="464" t="s">
        <v>2038</v>
      </c>
      <c r="F239" s="464" t="s">
        <v>2039</v>
      </c>
      <c r="G239" s="468">
        <v>4967</v>
      </c>
      <c r="H239" s="468">
        <v>463586.68000000005</v>
      </c>
      <c r="I239" s="464">
        <v>1.5175679744150856</v>
      </c>
      <c r="J239" s="464">
        <v>93.333336017716945</v>
      </c>
      <c r="K239" s="468">
        <v>3273</v>
      </c>
      <c r="L239" s="468">
        <v>305480.00999999995</v>
      </c>
      <c r="M239" s="464">
        <v>1</v>
      </c>
      <c r="N239" s="464">
        <v>93.333336388634265</v>
      </c>
      <c r="O239" s="468">
        <v>3036</v>
      </c>
      <c r="P239" s="468">
        <v>283360.01</v>
      </c>
      <c r="Q239" s="491">
        <v>0.92758936992309271</v>
      </c>
      <c r="R239" s="469">
        <v>93.33333662714098</v>
      </c>
    </row>
    <row r="240" spans="1:18" ht="14.45" customHeight="1" x14ac:dyDescent="0.2">
      <c r="A240" s="463"/>
      <c r="B240" s="464" t="s">
        <v>1929</v>
      </c>
      <c r="C240" s="464" t="s">
        <v>1924</v>
      </c>
      <c r="D240" s="464" t="s">
        <v>2019</v>
      </c>
      <c r="E240" s="464" t="s">
        <v>2117</v>
      </c>
      <c r="F240" s="464" t="s">
        <v>2118</v>
      </c>
      <c r="G240" s="468">
        <v>114</v>
      </c>
      <c r="H240" s="468">
        <v>76000</v>
      </c>
      <c r="I240" s="464">
        <v>1.3902440719809843</v>
      </c>
      <c r="J240" s="464">
        <v>666.66666666666663</v>
      </c>
      <c r="K240" s="468">
        <v>82</v>
      </c>
      <c r="L240" s="468">
        <v>54666.66</v>
      </c>
      <c r="M240" s="464">
        <v>1</v>
      </c>
      <c r="N240" s="464">
        <v>666.66658536585373</v>
      </c>
      <c r="O240" s="468">
        <v>84</v>
      </c>
      <c r="P240" s="468">
        <v>56000.009999999995</v>
      </c>
      <c r="Q240" s="491">
        <v>1.0243905517549452</v>
      </c>
      <c r="R240" s="469">
        <v>666.66678571428565</v>
      </c>
    </row>
    <row r="241" spans="1:18" ht="14.45" customHeight="1" x14ac:dyDescent="0.2">
      <c r="A241" s="463"/>
      <c r="B241" s="464" t="s">
        <v>1929</v>
      </c>
      <c r="C241" s="464" t="s">
        <v>1924</v>
      </c>
      <c r="D241" s="464" t="s">
        <v>2019</v>
      </c>
      <c r="E241" s="464" t="s">
        <v>2119</v>
      </c>
      <c r="F241" s="464" t="s">
        <v>2120</v>
      </c>
      <c r="G241" s="468">
        <v>286</v>
      </c>
      <c r="H241" s="468">
        <v>222444.44</v>
      </c>
      <c r="I241" s="464">
        <v>1.0553505713624354</v>
      </c>
      <c r="J241" s="464">
        <v>777.7777622377622</v>
      </c>
      <c r="K241" s="468">
        <v>271</v>
      </c>
      <c r="L241" s="468">
        <v>210777.77</v>
      </c>
      <c r="M241" s="464">
        <v>1</v>
      </c>
      <c r="N241" s="464">
        <v>777.77774907749074</v>
      </c>
      <c r="O241" s="468">
        <v>209</v>
      </c>
      <c r="P241" s="468">
        <v>162555.56</v>
      </c>
      <c r="Q241" s="491">
        <v>0.77121776172126688</v>
      </c>
      <c r="R241" s="469">
        <v>777.77779904306215</v>
      </c>
    </row>
    <row r="242" spans="1:18" ht="14.45" customHeight="1" x14ac:dyDescent="0.2">
      <c r="A242" s="463"/>
      <c r="B242" s="464" t="s">
        <v>1929</v>
      </c>
      <c r="C242" s="464" t="s">
        <v>1924</v>
      </c>
      <c r="D242" s="464" t="s">
        <v>2019</v>
      </c>
      <c r="E242" s="464" t="s">
        <v>2132</v>
      </c>
      <c r="F242" s="464" t="s">
        <v>2133</v>
      </c>
      <c r="G242" s="468">
        <v>192</v>
      </c>
      <c r="H242" s="468">
        <v>64000</v>
      </c>
      <c r="I242" s="464">
        <v>0.39425047286956127</v>
      </c>
      <c r="J242" s="464">
        <v>333.33333333333331</v>
      </c>
      <c r="K242" s="468">
        <v>487</v>
      </c>
      <c r="L242" s="468">
        <v>162333.35</v>
      </c>
      <c r="M242" s="464">
        <v>1</v>
      </c>
      <c r="N242" s="464">
        <v>333.3333675564682</v>
      </c>
      <c r="O242" s="468">
        <v>408</v>
      </c>
      <c r="P242" s="468">
        <v>136000.01</v>
      </c>
      <c r="Q242" s="491">
        <v>0.83778231644945422</v>
      </c>
      <c r="R242" s="469">
        <v>333.33335784313726</v>
      </c>
    </row>
    <row r="243" spans="1:18" ht="14.45" customHeight="1" x14ac:dyDescent="0.2">
      <c r="A243" s="463"/>
      <c r="B243" s="464" t="s">
        <v>1929</v>
      </c>
      <c r="C243" s="464" t="s">
        <v>1924</v>
      </c>
      <c r="D243" s="464" t="s">
        <v>2019</v>
      </c>
      <c r="E243" s="464" t="s">
        <v>2042</v>
      </c>
      <c r="F243" s="464" t="s">
        <v>2023</v>
      </c>
      <c r="G243" s="468">
        <v>14</v>
      </c>
      <c r="H243" s="468">
        <v>5848.89</v>
      </c>
      <c r="I243" s="464">
        <v>1.0769215189500512</v>
      </c>
      <c r="J243" s="464">
        <v>417.77785714285716</v>
      </c>
      <c r="K243" s="468">
        <v>13</v>
      </c>
      <c r="L243" s="468">
        <v>5431.119999999999</v>
      </c>
      <c r="M243" s="464">
        <v>1</v>
      </c>
      <c r="N243" s="464">
        <v>417.77846153846144</v>
      </c>
      <c r="O243" s="468"/>
      <c r="P243" s="468"/>
      <c r="Q243" s="491"/>
      <c r="R243" s="469"/>
    </row>
    <row r="244" spans="1:18" ht="14.45" customHeight="1" x14ac:dyDescent="0.2">
      <c r="A244" s="463"/>
      <c r="B244" s="464" t="s">
        <v>1929</v>
      </c>
      <c r="C244" s="464" t="s">
        <v>1924</v>
      </c>
      <c r="D244" s="464" t="s">
        <v>2019</v>
      </c>
      <c r="E244" s="464" t="s">
        <v>2043</v>
      </c>
      <c r="F244" s="464" t="s">
        <v>2044</v>
      </c>
      <c r="G244" s="468">
        <v>146</v>
      </c>
      <c r="H244" s="468">
        <v>30822.22</v>
      </c>
      <c r="I244" s="464">
        <v>1.3035710282962811</v>
      </c>
      <c r="J244" s="464">
        <v>211.11109589041098</v>
      </c>
      <c r="K244" s="468">
        <v>112</v>
      </c>
      <c r="L244" s="468">
        <v>23644.449999999997</v>
      </c>
      <c r="M244" s="464">
        <v>1</v>
      </c>
      <c r="N244" s="464">
        <v>211.11116071428569</v>
      </c>
      <c r="O244" s="468">
        <v>133</v>
      </c>
      <c r="P244" s="468">
        <v>29555.559999999994</v>
      </c>
      <c r="Q244" s="491">
        <v>1.2499998942669421</v>
      </c>
      <c r="R244" s="469">
        <v>222.22225563909771</v>
      </c>
    </row>
    <row r="245" spans="1:18" ht="14.45" customHeight="1" x14ac:dyDescent="0.2">
      <c r="A245" s="463"/>
      <c r="B245" s="464" t="s">
        <v>1929</v>
      </c>
      <c r="C245" s="464" t="s">
        <v>1924</v>
      </c>
      <c r="D245" s="464" t="s">
        <v>2019</v>
      </c>
      <c r="E245" s="464" t="s">
        <v>2045</v>
      </c>
      <c r="F245" s="464" t="s">
        <v>2046</v>
      </c>
      <c r="G245" s="468">
        <v>93</v>
      </c>
      <c r="H245" s="468">
        <v>54250</v>
      </c>
      <c r="I245" s="464">
        <v>1.1071426311953816</v>
      </c>
      <c r="J245" s="464">
        <v>583.33333333333337</v>
      </c>
      <c r="K245" s="468">
        <v>84</v>
      </c>
      <c r="L245" s="468">
        <v>49000.009999999995</v>
      </c>
      <c r="M245" s="464">
        <v>1</v>
      </c>
      <c r="N245" s="464">
        <v>583.33345238095228</v>
      </c>
      <c r="O245" s="468">
        <v>44</v>
      </c>
      <c r="P245" s="468">
        <v>25666.67</v>
      </c>
      <c r="Q245" s="491">
        <v>0.52380948493683988</v>
      </c>
      <c r="R245" s="469">
        <v>583.33340909090907</v>
      </c>
    </row>
    <row r="246" spans="1:18" ht="14.45" customHeight="1" x14ac:dyDescent="0.2">
      <c r="A246" s="463"/>
      <c r="B246" s="464" t="s">
        <v>1929</v>
      </c>
      <c r="C246" s="464" t="s">
        <v>1924</v>
      </c>
      <c r="D246" s="464" t="s">
        <v>2019</v>
      </c>
      <c r="E246" s="464" t="s">
        <v>2047</v>
      </c>
      <c r="F246" s="464" t="s">
        <v>2048</v>
      </c>
      <c r="G246" s="468">
        <v>85</v>
      </c>
      <c r="H246" s="468">
        <v>39666.660000000003</v>
      </c>
      <c r="I246" s="464">
        <v>1.0624996316964945</v>
      </c>
      <c r="J246" s="464">
        <v>466.66658823529417</v>
      </c>
      <c r="K246" s="468">
        <v>80</v>
      </c>
      <c r="L246" s="468">
        <v>37333.339999999997</v>
      </c>
      <c r="M246" s="464">
        <v>1</v>
      </c>
      <c r="N246" s="464">
        <v>466.66674999999998</v>
      </c>
      <c r="O246" s="468">
        <v>40</v>
      </c>
      <c r="P246" s="468">
        <v>18666.669999999998</v>
      </c>
      <c r="Q246" s="491">
        <v>0.5</v>
      </c>
      <c r="R246" s="469">
        <v>466.66674999999998</v>
      </c>
    </row>
    <row r="247" spans="1:18" ht="14.45" customHeight="1" x14ac:dyDescent="0.2">
      <c r="A247" s="463"/>
      <c r="B247" s="464" t="s">
        <v>1929</v>
      </c>
      <c r="C247" s="464" t="s">
        <v>1924</v>
      </c>
      <c r="D247" s="464" t="s">
        <v>2019</v>
      </c>
      <c r="E247" s="464" t="s">
        <v>2121</v>
      </c>
      <c r="F247" s="464" t="s">
        <v>2048</v>
      </c>
      <c r="G247" s="468">
        <v>50</v>
      </c>
      <c r="H247" s="468">
        <v>50000</v>
      </c>
      <c r="I247" s="464">
        <v>1.3888888888888888</v>
      </c>
      <c r="J247" s="464">
        <v>1000</v>
      </c>
      <c r="K247" s="468">
        <v>36</v>
      </c>
      <c r="L247" s="468">
        <v>36000</v>
      </c>
      <c r="M247" s="464">
        <v>1</v>
      </c>
      <c r="N247" s="464">
        <v>1000</v>
      </c>
      <c r="O247" s="468">
        <v>35</v>
      </c>
      <c r="P247" s="468">
        <v>35000</v>
      </c>
      <c r="Q247" s="491">
        <v>0.97222222222222221</v>
      </c>
      <c r="R247" s="469">
        <v>1000</v>
      </c>
    </row>
    <row r="248" spans="1:18" ht="14.45" customHeight="1" x14ac:dyDescent="0.2">
      <c r="A248" s="463"/>
      <c r="B248" s="464" t="s">
        <v>1929</v>
      </c>
      <c r="C248" s="464" t="s">
        <v>1924</v>
      </c>
      <c r="D248" s="464" t="s">
        <v>2019</v>
      </c>
      <c r="E248" s="464" t="s">
        <v>2049</v>
      </c>
      <c r="F248" s="464" t="s">
        <v>2050</v>
      </c>
      <c r="G248" s="468">
        <v>669</v>
      </c>
      <c r="H248" s="468">
        <v>33450</v>
      </c>
      <c r="I248" s="464">
        <v>1.3597560975609757</v>
      </c>
      <c r="J248" s="464">
        <v>50</v>
      </c>
      <c r="K248" s="468">
        <v>492</v>
      </c>
      <c r="L248" s="468">
        <v>24600</v>
      </c>
      <c r="M248" s="464">
        <v>1</v>
      </c>
      <c r="N248" s="464">
        <v>50</v>
      </c>
      <c r="O248" s="468">
        <v>248</v>
      </c>
      <c r="P248" s="468">
        <v>15155.559999999998</v>
      </c>
      <c r="Q248" s="491">
        <v>0.61607967479674786</v>
      </c>
      <c r="R248" s="469">
        <v>61.111129032258056</v>
      </c>
    </row>
    <row r="249" spans="1:18" ht="14.45" customHeight="1" x14ac:dyDescent="0.2">
      <c r="A249" s="463"/>
      <c r="B249" s="464" t="s">
        <v>1929</v>
      </c>
      <c r="C249" s="464" t="s">
        <v>1924</v>
      </c>
      <c r="D249" s="464" t="s">
        <v>2019</v>
      </c>
      <c r="E249" s="464" t="s">
        <v>2051</v>
      </c>
      <c r="F249" s="464" t="s">
        <v>2052</v>
      </c>
      <c r="G249" s="468">
        <v>1</v>
      </c>
      <c r="H249" s="468">
        <v>101.11</v>
      </c>
      <c r="I249" s="464">
        <v>1</v>
      </c>
      <c r="J249" s="464">
        <v>101.11</v>
      </c>
      <c r="K249" s="468">
        <v>1</v>
      </c>
      <c r="L249" s="468">
        <v>101.11</v>
      </c>
      <c r="M249" s="464">
        <v>1</v>
      </c>
      <c r="N249" s="464">
        <v>101.11</v>
      </c>
      <c r="O249" s="468">
        <v>2</v>
      </c>
      <c r="P249" s="468">
        <v>255.56</v>
      </c>
      <c r="Q249" s="491">
        <v>2.5275442587281178</v>
      </c>
      <c r="R249" s="469">
        <v>127.78</v>
      </c>
    </row>
    <row r="250" spans="1:18" ht="14.45" customHeight="1" x14ac:dyDescent="0.2">
      <c r="A250" s="463"/>
      <c r="B250" s="464" t="s">
        <v>1929</v>
      </c>
      <c r="C250" s="464" t="s">
        <v>1924</v>
      </c>
      <c r="D250" s="464" t="s">
        <v>2019</v>
      </c>
      <c r="E250" s="464" t="s">
        <v>2053</v>
      </c>
      <c r="F250" s="464" t="s">
        <v>2054</v>
      </c>
      <c r="G250" s="468">
        <v>1</v>
      </c>
      <c r="H250" s="468">
        <v>76.67</v>
      </c>
      <c r="I250" s="464"/>
      <c r="J250" s="464">
        <v>76.67</v>
      </c>
      <c r="K250" s="468"/>
      <c r="L250" s="468"/>
      <c r="M250" s="464"/>
      <c r="N250" s="464"/>
      <c r="O250" s="468"/>
      <c r="P250" s="468"/>
      <c r="Q250" s="491"/>
      <c r="R250" s="469"/>
    </row>
    <row r="251" spans="1:18" ht="14.45" customHeight="1" x14ac:dyDescent="0.2">
      <c r="A251" s="463"/>
      <c r="B251" s="464" t="s">
        <v>1929</v>
      </c>
      <c r="C251" s="464" t="s">
        <v>1924</v>
      </c>
      <c r="D251" s="464" t="s">
        <v>2019</v>
      </c>
      <c r="E251" s="464" t="s">
        <v>2103</v>
      </c>
      <c r="F251" s="464" t="s">
        <v>2104</v>
      </c>
      <c r="G251" s="468">
        <v>1</v>
      </c>
      <c r="H251" s="468">
        <v>0</v>
      </c>
      <c r="I251" s="464"/>
      <c r="J251" s="464">
        <v>0</v>
      </c>
      <c r="K251" s="468">
        <v>1</v>
      </c>
      <c r="L251" s="468">
        <v>0</v>
      </c>
      <c r="M251" s="464"/>
      <c r="N251" s="464">
        <v>0</v>
      </c>
      <c r="O251" s="468"/>
      <c r="P251" s="468"/>
      <c r="Q251" s="491"/>
      <c r="R251" s="469"/>
    </row>
    <row r="252" spans="1:18" ht="14.45" customHeight="1" x14ac:dyDescent="0.2">
      <c r="A252" s="463"/>
      <c r="B252" s="464" t="s">
        <v>1929</v>
      </c>
      <c r="C252" s="464" t="s">
        <v>1924</v>
      </c>
      <c r="D252" s="464" t="s">
        <v>2019</v>
      </c>
      <c r="E252" s="464" t="s">
        <v>2057</v>
      </c>
      <c r="F252" s="464" t="s">
        <v>2058</v>
      </c>
      <c r="G252" s="468">
        <v>883</v>
      </c>
      <c r="H252" s="468">
        <v>269805.57</v>
      </c>
      <c r="I252" s="464">
        <v>1.1726427910860473</v>
      </c>
      <c r="J252" s="464">
        <v>305.55557191392978</v>
      </c>
      <c r="K252" s="468">
        <v>753</v>
      </c>
      <c r="L252" s="468">
        <v>230083.34000000003</v>
      </c>
      <c r="M252" s="464">
        <v>1</v>
      </c>
      <c r="N252" s="464">
        <v>305.55556440903058</v>
      </c>
      <c r="O252" s="468">
        <v>697</v>
      </c>
      <c r="P252" s="468">
        <v>212972.22999999998</v>
      </c>
      <c r="Q252" s="491">
        <v>0.92563081707697725</v>
      </c>
      <c r="R252" s="469">
        <v>305.55556671449062</v>
      </c>
    </row>
    <row r="253" spans="1:18" ht="14.45" customHeight="1" x14ac:dyDescent="0.2">
      <c r="A253" s="463"/>
      <c r="B253" s="464" t="s">
        <v>1929</v>
      </c>
      <c r="C253" s="464" t="s">
        <v>1924</v>
      </c>
      <c r="D253" s="464" t="s">
        <v>2019</v>
      </c>
      <c r="E253" s="464" t="s">
        <v>2059</v>
      </c>
      <c r="F253" s="464" t="s">
        <v>2060</v>
      </c>
      <c r="G253" s="468">
        <v>5534</v>
      </c>
      <c r="H253" s="468">
        <v>184466.66999999998</v>
      </c>
      <c r="I253" s="464">
        <v>1.0595443423319928</v>
      </c>
      <c r="J253" s="464">
        <v>33.333333935670396</v>
      </c>
      <c r="K253" s="468">
        <v>5223</v>
      </c>
      <c r="L253" s="468">
        <v>174100.00000000003</v>
      </c>
      <c r="M253" s="464">
        <v>1</v>
      </c>
      <c r="N253" s="464">
        <v>33.333333333333336</v>
      </c>
      <c r="O253" s="468">
        <v>2489</v>
      </c>
      <c r="P253" s="468">
        <v>82966.67</v>
      </c>
      <c r="Q253" s="491">
        <v>0.47654606547960932</v>
      </c>
      <c r="R253" s="469">
        <v>33.333334672559261</v>
      </c>
    </row>
    <row r="254" spans="1:18" ht="14.45" customHeight="1" x14ac:dyDescent="0.2">
      <c r="A254" s="463"/>
      <c r="B254" s="464" t="s">
        <v>1929</v>
      </c>
      <c r="C254" s="464" t="s">
        <v>1924</v>
      </c>
      <c r="D254" s="464" t="s">
        <v>2019</v>
      </c>
      <c r="E254" s="464" t="s">
        <v>2061</v>
      </c>
      <c r="F254" s="464" t="s">
        <v>2062</v>
      </c>
      <c r="G254" s="468">
        <v>452</v>
      </c>
      <c r="H254" s="468">
        <v>205911.09</v>
      </c>
      <c r="I254" s="464">
        <v>1.3025935080819075</v>
      </c>
      <c r="J254" s="464">
        <v>455.5555088495575</v>
      </c>
      <c r="K254" s="468">
        <v>347</v>
      </c>
      <c r="L254" s="468">
        <v>158077.78</v>
      </c>
      <c r="M254" s="464">
        <v>1</v>
      </c>
      <c r="N254" s="464">
        <v>455.5555619596542</v>
      </c>
      <c r="O254" s="468">
        <v>160</v>
      </c>
      <c r="P254" s="468">
        <v>72888.88</v>
      </c>
      <c r="Q254" s="491">
        <v>0.46109503815147207</v>
      </c>
      <c r="R254" s="469">
        <v>455.55550000000005</v>
      </c>
    </row>
    <row r="255" spans="1:18" ht="14.45" customHeight="1" x14ac:dyDescent="0.2">
      <c r="A255" s="463"/>
      <c r="B255" s="464" t="s">
        <v>1929</v>
      </c>
      <c r="C255" s="464" t="s">
        <v>1924</v>
      </c>
      <c r="D255" s="464" t="s">
        <v>2019</v>
      </c>
      <c r="E255" s="464" t="s">
        <v>2063</v>
      </c>
      <c r="F255" s="464" t="s">
        <v>2064</v>
      </c>
      <c r="G255" s="468">
        <v>279</v>
      </c>
      <c r="H255" s="468">
        <v>16429.990000000002</v>
      </c>
      <c r="I255" s="464">
        <v>0.92999873207642869</v>
      </c>
      <c r="J255" s="464">
        <v>58.888853046594988</v>
      </c>
      <c r="K255" s="468">
        <v>300</v>
      </c>
      <c r="L255" s="468">
        <v>17666.68</v>
      </c>
      <c r="M255" s="464">
        <v>1</v>
      </c>
      <c r="N255" s="464">
        <v>58.888933333333334</v>
      </c>
      <c r="O255" s="468">
        <v>265</v>
      </c>
      <c r="P255" s="468">
        <v>15605.56</v>
      </c>
      <c r="Q255" s="491">
        <v>0.88333291823930693</v>
      </c>
      <c r="R255" s="469">
        <v>58.888905660377354</v>
      </c>
    </row>
    <row r="256" spans="1:18" ht="14.45" customHeight="1" x14ac:dyDescent="0.2">
      <c r="A256" s="463"/>
      <c r="B256" s="464" t="s">
        <v>1929</v>
      </c>
      <c r="C256" s="464" t="s">
        <v>1924</v>
      </c>
      <c r="D256" s="464" t="s">
        <v>2019</v>
      </c>
      <c r="E256" s="464" t="s">
        <v>2065</v>
      </c>
      <c r="F256" s="464" t="s">
        <v>2066</v>
      </c>
      <c r="G256" s="468">
        <v>903</v>
      </c>
      <c r="H256" s="468">
        <v>70233.34</v>
      </c>
      <c r="I256" s="464">
        <v>1.2186234564923706</v>
      </c>
      <c r="J256" s="464">
        <v>77.77778516057586</v>
      </c>
      <c r="K256" s="468">
        <v>741</v>
      </c>
      <c r="L256" s="468">
        <v>57633.34</v>
      </c>
      <c r="M256" s="464">
        <v>1</v>
      </c>
      <c r="N256" s="464">
        <v>77.777786774628879</v>
      </c>
      <c r="O256" s="468">
        <v>539</v>
      </c>
      <c r="P256" s="468">
        <v>41922.229999999996</v>
      </c>
      <c r="Q256" s="491">
        <v>0.72739546241810726</v>
      </c>
      <c r="R256" s="469">
        <v>77.777792207792203</v>
      </c>
    </row>
    <row r="257" spans="1:18" ht="14.45" customHeight="1" x14ac:dyDescent="0.2">
      <c r="A257" s="463"/>
      <c r="B257" s="464" t="s">
        <v>1929</v>
      </c>
      <c r="C257" s="464" t="s">
        <v>1924</v>
      </c>
      <c r="D257" s="464" t="s">
        <v>2019</v>
      </c>
      <c r="E257" s="464" t="s">
        <v>2122</v>
      </c>
      <c r="F257" s="464" t="s">
        <v>2123</v>
      </c>
      <c r="G257" s="468">
        <v>1</v>
      </c>
      <c r="H257" s="468">
        <v>700</v>
      </c>
      <c r="I257" s="464"/>
      <c r="J257" s="464">
        <v>700</v>
      </c>
      <c r="K257" s="468"/>
      <c r="L257" s="468"/>
      <c r="M257" s="464"/>
      <c r="N257" s="464"/>
      <c r="O257" s="468"/>
      <c r="P257" s="468"/>
      <c r="Q257" s="491"/>
      <c r="R257" s="469"/>
    </row>
    <row r="258" spans="1:18" ht="14.45" customHeight="1" x14ac:dyDescent="0.2">
      <c r="A258" s="463"/>
      <c r="B258" s="464" t="s">
        <v>1929</v>
      </c>
      <c r="C258" s="464" t="s">
        <v>1924</v>
      </c>
      <c r="D258" s="464" t="s">
        <v>2019</v>
      </c>
      <c r="E258" s="464" t="s">
        <v>2134</v>
      </c>
      <c r="F258" s="464" t="s">
        <v>2135</v>
      </c>
      <c r="G258" s="468">
        <v>306</v>
      </c>
      <c r="H258" s="468">
        <v>340000</v>
      </c>
      <c r="I258" s="464">
        <v>1.5148514476521917</v>
      </c>
      <c r="J258" s="464">
        <v>1111.1111111111111</v>
      </c>
      <c r="K258" s="468">
        <v>202</v>
      </c>
      <c r="L258" s="468">
        <v>224444.45</v>
      </c>
      <c r="M258" s="464">
        <v>1</v>
      </c>
      <c r="N258" s="464">
        <v>1111.1111386138614</v>
      </c>
      <c r="O258" s="468">
        <v>142</v>
      </c>
      <c r="P258" s="468">
        <v>157777.77999999997</v>
      </c>
      <c r="Q258" s="491">
        <v>0.70297028953043816</v>
      </c>
      <c r="R258" s="469">
        <v>1111.1111267605631</v>
      </c>
    </row>
    <row r="259" spans="1:18" ht="14.45" customHeight="1" x14ac:dyDescent="0.2">
      <c r="A259" s="463"/>
      <c r="B259" s="464" t="s">
        <v>1929</v>
      </c>
      <c r="C259" s="464" t="s">
        <v>1924</v>
      </c>
      <c r="D259" s="464" t="s">
        <v>2019</v>
      </c>
      <c r="E259" s="464" t="s">
        <v>2069</v>
      </c>
      <c r="F259" s="464" t="s">
        <v>2070</v>
      </c>
      <c r="G259" s="468">
        <v>3171</v>
      </c>
      <c r="H259" s="468">
        <v>856170</v>
      </c>
      <c r="I259" s="464">
        <v>1.0153698366954851</v>
      </c>
      <c r="J259" s="464">
        <v>270</v>
      </c>
      <c r="K259" s="468">
        <v>3123</v>
      </c>
      <c r="L259" s="468">
        <v>843210</v>
      </c>
      <c r="M259" s="464">
        <v>1</v>
      </c>
      <c r="N259" s="464">
        <v>270</v>
      </c>
      <c r="O259" s="468">
        <v>2615</v>
      </c>
      <c r="P259" s="468">
        <v>706050</v>
      </c>
      <c r="Q259" s="491">
        <v>0.8373358949727826</v>
      </c>
      <c r="R259" s="469">
        <v>270</v>
      </c>
    </row>
    <row r="260" spans="1:18" ht="14.45" customHeight="1" x14ac:dyDescent="0.2">
      <c r="A260" s="463"/>
      <c r="B260" s="464" t="s">
        <v>1929</v>
      </c>
      <c r="C260" s="464" t="s">
        <v>1924</v>
      </c>
      <c r="D260" s="464" t="s">
        <v>2019</v>
      </c>
      <c r="E260" s="464" t="s">
        <v>2071</v>
      </c>
      <c r="F260" s="464" t="s">
        <v>2072</v>
      </c>
      <c r="G260" s="468">
        <v>1469</v>
      </c>
      <c r="H260" s="468">
        <v>138738.89000000001</v>
      </c>
      <c r="I260" s="464">
        <v>1.4416094159024488</v>
      </c>
      <c r="J260" s="464">
        <v>94.444445200816887</v>
      </c>
      <c r="K260" s="468">
        <v>1019</v>
      </c>
      <c r="L260" s="468">
        <v>96238.89</v>
      </c>
      <c r="M260" s="464">
        <v>1</v>
      </c>
      <c r="N260" s="464">
        <v>94.444445534838081</v>
      </c>
      <c r="O260" s="468">
        <v>820</v>
      </c>
      <c r="P260" s="468">
        <v>77444.430000000008</v>
      </c>
      <c r="Q260" s="491">
        <v>0.80471034111054285</v>
      </c>
      <c r="R260" s="469">
        <v>94.444426829268295</v>
      </c>
    </row>
    <row r="261" spans="1:18" ht="14.45" customHeight="1" x14ac:dyDescent="0.2">
      <c r="A261" s="463"/>
      <c r="B261" s="464" t="s">
        <v>1929</v>
      </c>
      <c r="C261" s="464" t="s">
        <v>1924</v>
      </c>
      <c r="D261" s="464" t="s">
        <v>2019</v>
      </c>
      <c r="E261" s="464" t="s">
        <v>2075</v>
      </c>
      <c r="F261" s="464" t="s">
        <v>2076</v>
      </c>
      <c r="G261" s="468">
        <v>8</v>
      </c>
      <c r="H261" s="468">
        <v>773.34</v>
      </c>
      <c r="I261" s="464">
        <v>0.66667241379310349</v>
      </c>
      <c r="J261" s="464">
        <v>96.667500000000004</v>
      </c>
      <c r="K261" s="468">
        <v>12</v>
      </c>
      <c r="L261" s="468">
        <v>1160</v>
      </c>
      <c r="M261" s="464">
        <v>1</v>
      </c>
      <c r="N261" s="464">
        <v>96.666666666666671</v>
      </c>
      <c r="O261" s="468">
        <v>1</v>
      </c>
      <c r="P261" s="468">
        <v>96.67</v>
      </c>
      <c r="Q261" s="491">
        <v>8.3336206896551732E-2</v>
      </c>
      <c r="R261" s="469">
        <v>96.67</v>
      </c>
    </row>
    <row r="262" spans="1:18" ht="14.45" customHeight="1" x14ac:dyDescent="0.2">
      <c r="A262" s="463"/>
      <c r="B262" s="464" t="s">
        <v>1929</v>
      </c>
      <c r="C262" s="464" t="s">
        <v>1924</v>
      </c>
      <c r="D262" s="464" t="s">
        <v>2019</v>
      </c>
      <c r="E262" s="464" t="s">
        <v>2136</v>
      </c>
      <c r="F262" s="464" t="s">
        <v>2137</v>
      </c>
      <c r="G262" s="468"/>
      <c r="H262" s="468"/>
      <c r="I262" s="464"/>
      <c r="J262" s="464"/>
      <c r="K262" s="468"/>
      <c r="L262" s="468"/>
      <c r="M262" s="464"/>
      <c r="N262" s="464"/>
      <c r="O262" s="468">
        <v>2</v>
      </c>
      <c r="P262" s="468">
        <v>666.67</v>
      </c>
      <c r="Q262" s="491"/>
      <c r="R262" s="469">
        <v>333.33499999999998</v>
      </c>
    </row>
    <row r="263" spans="1:18" ht="14.45" customHeight="1" x14ac:dyDescent="0.2">
      <c r="A263" s="463"/>
      <c r="B263" s="464" t="s">
        <v>1929</v>
      </c>
      <c r="C263" s="464" t="s">
        <v>1924</v>
      </c>
      <c r="D263" s="464" t="s">
        <v>2019</v>
      </c>
      <c r="E263" s="464" t="s">
        <v>2105</v>
      </c>
      <c r="F263" s="464" t="s">
        <v>2106</v>
      </c>
      <c r="G263" s="468">
        <v>24</v>
      </c>
      <c r="H263" s="468">
        <v>1813.34</v>
      </c>
      <c r="I263" s="464">
        <v>0.82758966916311816</v>
      </c>
      <c r="J263" s="464">
        <v>75.555833333333325</v>
      </c>
      <c r="K263" s="468">
        <v>29</v>
      </c>
      <c r="L263" s="468">
        <v>2191.11</v>
      </c>
      <c r="M263" s="464">
        <v>1</v>
      </c>
      <c r="N263" s="464">
        <v>75.55551724137932</v>
      </c>
      <c r="O263" s="468">
        <v>11</v>
      </c>
      <c r="P263" s="468">
        <v>831.12</v>
      </c>
      <c r="Q263" s="491">
        <v>0.37931459397291784</v>
      </c>
      <c r="R263" s="469">
        <v>75.556363636363642</v>
      </c>
    </row>
    <row r="264" spans="1:18" ht="14.45" customHeight="1" x14ac:dyDescent="0.2">
      <c r="A264" s="463"/>
      <c r="B264" s="464" t="s">
        <v>1929</v>
      </c>
      <c r="C264" s="464" t="s">
        <v>1924</v>
      </c>
      <c r="D264" s="464" t="s">
        <v>2019</v>
      </c>
      <c r="E264" s="464" t="s">
        <v>2124</v>
      </c>
      <c r="F264" s="464" t="s">
        <v>2125</v>
      </c>
      <c r="G264" s="468">
        <v>52</v>
      </c>
      <c r="H264" s="468">
        <v>66733.33</v>
      </c>
      <c r="I264" s="464">
        <v>1.106382862316504</v>
      </c>
      <c r="J264" s="464">
        <v>1283.3332692307692</v>
      </c>
      <c r="K264" s="468">
        <v>47</v>
      </c>
      <c r="L264" s="468">
        <v>60316.67</v>
      </c>
      <c r="M264" s="464">
        <v>1</v>
      </c>
      <c r="N264" s="464">
        <v>1283.333404255319</v>
      </c>
      <c r="O264" s="468">
        <v>29</v>
      </c>
      <c r="P264" s="468">
        <v>37216.67</v>
      </c>
      <c r="Q264" s="491">
        <v>0.61702129776063563</v>
      </c>
      <c r="R264" s="469">
        <v>1283.3334482758621</v>
      </c>
    </row>
    <row r="265" spans="1:18" ht="14.45" customHeight="1" x14ac:dyDescent="0.2">
      <c r="A265" s="463"/>
      <c r="B265" s="464" t="s">
        <v>1929</v>
      </c>
      <c r="C265" s="464" t="s">
        <v>1924</v>
      </c>
      <c r="D265" s="464" t="s">
        <v>2019</v>
      </c>
      <c r="E265" s="464" t="s">
        <v>2081</v>
      </c>
      <c r="F265" s="464" t="s">
        <v>2082</v>
      </c>
      <c r="G265" s="468">
        <v>12</v>
      </c>
      <c r="H265" s="468">
        <v>1400</v>
      </c>
      <c r="I265" s="464">
        <v>4</v>
      </c>
      <c r="J265" s="464">
        <v>116.66666666666667</v>
      </c>
      <c r="K265" s="468">
        <v>3</v>
      </c>
      <c r="L265" s="468">
        <v>350</v>
      </c>
      <c r="M265" s="464">
        <v>1</v>
      </c>
      <c r="N265" s="464">
        <v>116.66666666666667</v>
      </c>
      <c r="O265" s="468"/>
      <c r="P265" s="468"/>
      <c r="Q265" s="491"/>
      <c r="R265" s="469"/>
    </row>
    <row r="266" spans="1:18" ht="14.45" customHeight="1" x14ac:dyDescent="0.2">
      <c r="A266" s="463"/>
      <c r="B266" s="464" t="s">
        <v>1929</v>
      </c>
      <c r="C266" s="464" t="s">
        <v>1924</v>
      </c>
      <c r="D266" s="464" t="s">
        <v>2019</v>
      </c>
      <c r="E266" s="464" t="s">
        <v>2083</v>
      </c>
      <c r="F266" s="464" t="s">
        <v>2084</v>
      </c>
      <c r="G266" s="468">
        <v>55</v>
      </c>
      <c r="H266" s="468">
        <v>2688.8900000000003</v>
      </c>
      <c r="I266" s="464">
        <v>2.1153706967084149</v>
      </c>
      <c r="J266" s="464">
        <v>48.888909090909095</v>
      </c>
      <c r="K266" s="468">
        <v>26</v>
      </c>
      <c r="L266" s="468">
        <v>1271.1199999999999</v>
      </c>
      <c r="M266" s="464">
        <v>1</v>
      </c>
      <c r="N266" s="464">
        <v>48.889230769230764</v>
      </c>
      <c r="O266" s="468">
        <v>61</v>
      </c>
      <c r="P266" s="468">
        <v>2982.21</v>
      </c>
      <c r="Q266" s="491">
        <v>2.3461278242809493</v>
      </c>
      <c r="R266" s="469">
        <v>48.888688524590165</v>
      </c>
    </row>
    <row r="267" spans="1:18" ht="14.45" customHeight="1" x14ac:dyDescent="0.2">
      <c r="A267" s="463"/>
      <c r="B267" s="464" t="s">
        <v>1929</v>
      </c>
      <c r="C267" s="464" t="s">
        <v>1924</v>
      </c>
      <c r="D267" s="464" t="s">
        <v>2019</v>
      </c>
      <c r="E267" s="464" t="s">
        <v>2128</v>
      </c>
      <c r="F267" s="464" t="s">
        <v>2129</v>
      </c>
      <c r="G267" s="468">
        <v>10</v>
      </c>
      <c r="H267" s="468">
        <v>4666.67</v>
      </c>
      <c r="I267" s="464">
        <v>2.4999973214333546</v>
      </c>
      <c r="J267" s="464">
        <v>466.66700000000003</v>
      </c>
      <c r="K267" s="468">
        <v>4</v>
      </c>
      <c r="L267" s="468">
        <v>1866.67</v>
      </c>
      <c r="M267" s="464">
        <v>1</v>
      </c>
      <c r="N267" s="464">
        <v>466.66750000000002</v>
      </c>
      <c r="O267" s="468">
        <v>2</v>
      </c>
      <c r="P267" s="468">
        <v>933.34</v>
      </c>
      <c r="Q267" s="491">
        <v>0.50000267856664538</v>
      </c>
      <c r="R267" s="469">
        <v>466.67</v>
      </c>
    </row>
    <row r="268" spans="1:18" ht="14.45" customHeight="1" x14ac:dyDescent="0.2">
      <c r="A268" s="463"/>
      <c r="B268" s="464" t="s">
        <v>1929</v>
      </c>
      <c r="C268" s="464" t="s">
        <v>1924</v>
      </c>
      <c r="D268" s="464" t="s">
        <v>2019</v>
      </c>
      <c r="E268" s="464" t="s">
        <v>2085</v>
      </c>
      <c r="F268" s="464" t="s">
        <v>2086</v>
      </c>
      <c r="G268" s="468">
        <v>1</v>
      </c>
      <c r="H268" s="468">
        <v>344.44</v>
      </c>
      <c r="I268" s="464">
        <v>0.24999818547362768</v>
      </c>
      <c r="J268" s="464">
        <v>344.44</v>
      </c>
      <c r="K268" s="468">
        <v>4</v>
      </c>
      <c r="L268" s="468">
        <v>1377.77</v>
      </c>
      <c r="M268" s="464">
        <v>1</v>
      </c>
      <c r="N268" s="464">
        <v>344.4425</v>
      </c>
      <c r="O268" s="468">
        <v>1</v>
      </c>
      <c r="P268" s="468">
        <v>344.44</v>
      </c>
      <c r="Q268" s="491">
        <v>0.24999818547362768</v>
      </c>
      <c r="R268" s="469">
        <v>344.44</v>
      </c>
    </row>
    <row r="269" spans="1:18" ht="14.45" customHeight="1" x14ac:dyDescent="0.2">
      <c r="A269" s="463"/>
      <c r="B269" s="464" t="s">
        <v>1929</v>
      </c>
      <c r="C269" s="464" t="s">
        <v>1924</v>
      </c>
      <c r="D269" s="464" t="s">
        <v>2019</v>
      </c>
      <c r="E269" s="464" t="s">
        <v>2107</v>
      </c>
      <c r="F269" s="464" t="s">
        <v>2108</v>
      </c>
      <c r="G269" s="468">
        <v>173</v>
      </c>
      <c r="H269" s="468">
        <v>80733.34</v>
      </c>
      <c r="I269" s="464">
        <v>1.2013888093171414</v>
      </c>
      <c r="J269" s="464">
        <v>466.66670520231213</v>
      </c>
      <c r="K269" s="468">
        <v>144</v>
      </c>
      <c r="L269" s="468">
        <v>67200.009999999995</v>
      </c>
      <c r="M269" s="464">
        <v>1</v>
      </c>
      <c r="N269" s="464">
        <v>466.66673611111105</v>
      </c>
      <c r="O269" s="468">
        <v>63</v>
      </c>
      <c r="P269" s="468">
        <v>29400.009999999995</v>
      </c>
      <c r="Q269" s="491">
        <v>0.43750008370534466</v>
      </c>
      <c r="R269" s="469">
        <v>466.66682539682529</v>
      </c>
    </row>
    <row r="270" spans="1:18" ht="14.45" customHeight="1" x14ac:dyDescent="0.2">
      <c r="A270" s="463"/>
      <c r="B270" s="464" t="s">
        <v>1929</v>
      </c>
      <c r="C270" s="464" t="s">
        <v>1924</v>
      </c>
      <c r="D270" s="464" t="s">
        <v>2019</v>
      </c>
      <c r="E270" s="464" t="s">
        <v>2138</v>
      </c>
      <c r="F270" s="464" t="s">
        <v>2139</v>
      </c>
      <c r="G270" s="468">
        <v>40</v>
      </c>
      <c r="H270" s="468">
        <v>3911.11</v>
      </c>
      <c r="I270" s="464">
        <v>0.86956647405269716</v>
      </c>
      <c r="J270" s="464">
        <v>97.777749999999997</v>
      </c>
      <c r="K270" s="468">
        <v>46</v>
      </c>
      <c r="L270" s="468">
        <v>4497.7700000000004</v>
      </c>
      <c r="M270" s="464">
        <v>1</v>
      </c>
      <c r="N270" s="464">
        <v>97.777608695652177</v>
      </c>
      <c r="O270" s="468">
        <v>33</v>
      </c>
      <c r="P270" s="468">
        <v>3226.6699999999996</v>
      </c>
      <c r="Q270" s="491">
        <v>0.71739328600617625</v>
      </c>
      <c r="R270" s="469">
        <v>97.777878787878777</v>
      </c>
    </row>
    <row r="271" spans="1:18" ht="14.45" customHeight="1" x14ac:dyDescent="0.2">
      <c r="A271" s="463"/>
      <c r="B271" s="464" t="s">
        <v>1929</v>
      </c>
      <c r="C271" s="464" t="s">
        <v>1924</v>
      </c>
      <c r="D271" s="464" t="s">
        <v>2019</v>
      </c>
      <c r="E271" s="464" t="s">
        <v>2087</v>
      </c>
      <c r="F271" s="464" t="s">
        <v>2088</v>
      </c>
      <c r="G271" s="468">
        <v>5</v>
      </c>
      <c r="H271" s="468">
        <v>1461.1000000000001</v>
      </c>
      <c r="I271" s="464"/>
      <c r="J271" s="464">
        <v>292.22000000000003</v>
      </c>
      <c r="K271" s="468"/>
      <c r="L271" s="468"/>
      <c r="M271" s="464"/>
      <c r="N271" s="464"/>
      <c r="O271" s="468"/>
      <c r="P271" s="468"/>
      <c r="Q271" s="491"/>
      <c r="R271" s="469"/>
    </row>
    <row r="272" spans="1:18" ht="14.45" customHeight="1" x14ac:dyDescent="0.2">
      <c r="A272" s="463"/>
      <c r="B272" s="464" t="s">
        <v>1929</v>
      </c>
      <c r="C272" s="464" t="s">
        <v>1924</v>
      </c>
      <c r="D272" s="464" t="s">
        <v>2019</v>
      </c>
      <c r="E272" s="464" t="s">
        <v>2140</v>
      </c>
      <c r="F272" s="464" t="s">
        <v>2141</v>
      </c>
      <c r="G272" s="468"/>
      <c r="H272" s="468"/>
      <c r="I272" s="464"/>
      <c r="J272" s="464"/>
      <c r="K272" s="468">
        <v>1</v>
      </c>
      <c r="L272" s="468">
        <v>645.55999999999995</v>
      </c>
      <c r="M272" s="464">
        <v>1</v>
      </c>
      <c r="N272" s="464">
        <v>645.55999999999995</v>
      </c>
      <c r="O272" s="468">
        <v>1</v>
      </c>
      <c r="P272" s="468">
        <v>645.55999999999995</v>
      </c>
      <c r="Q272" s="491">
        <v>1</v>
      </c>
      <c r="R272" s="469">
        <v>645.55999999999995</v>
      </c>
    </row>
    <row r="273" spans="1:18" ht="14.45" customHeight="1" x14ac:dyDescent="0.2">
      <c r="A273" s="463"/>
      <c r="B273" s="464" t="s">
        <v>1929</v>
      </c>
      <c r="C273" s="464" t="s">
        <v>1924</v>
      </c>
      <c r="D273" s="464" t="s">
        <v>2019</v>
      </c>
      <c r="E273" s="464" t="s">
        <v>2091</v>
      </c>
      <c r="F273" s="464" t="s">
        <v>2092</v>
      </c>
      <c r="G273" s="468">
        <v>1</v>
      </c>
      <c r="H273" s="468">
        <v>116.67</v>
      </c>
      <c r="I273" s="464"/>
      <c r="J273" s="464">
        <v>116.67</v>
      </c>
      <c r="K273" s="468"/>
      <c r="L273" s="468"/>
      <c r="M273" s="464"/>
      <c r="N273" s="464"/>
      <c r="O273" s="468"/>
      <c r="P273" s="468"/>
      <c r="Q273" s="491"/>
      <c r="R273" s="469"/>
    </row>
    <row r="274" spans="1:18" ht="14.45" customHeight="1" x14ac:dyDescent="0.2">
      <c r="A274" s="463"/>
      <c r="B274" s="464" t="s">
        <v>1929</v>
      </c>
      <c r="C274" s="464" t="s">
        <v>1924</v>
      </c>
      <c r="D274" s="464" t="s">
        <v>2019</v>
      </c>
      <c r="E274" s="464" t="s">
        <v>2097</v>
      </c>
      <c r="F274" s="464" t="s">
        <v>2098</v>
      </c>
      <c r="G274" s="468"/>
      <c r="H274" s="468"/>
      <c r="I274" s="464"/>
      <c r="J274" s="464"/>
      <c r="K274" s="468">
        <v>2</v>
      </c>
      <c r="L274" s="468">
        <v>233.34</v>
      </c>
      <c r="M274" s="464">
        <v>1</v>
      </c>
      <c r="N274" s="464">
        <v>116.67</v>
      </c>
      <c r="O274" s="468">
        <v>16</v>
      </c>
      <c r="P274" s="468">
        <v>1866.67</v>
      </c>
      <c r="Q274" s="491">
        <v>7.9997857204079885</v>
      </c>
      <c r="R274" s="469">
        <v>116.666875</v>
      </c>
    </row>
    <row r="275" spans="1:18" ht="14.45" customHeight="1" x14ac:dyDescent="0.2">
      <c r="A275" s="463"/>
      <c r="B275" s="464" t="s">
        <v>1929</v>
      </c>
      <c r="C275" s="464" t="s">
        <v>1924</v>
      </c>
      <c r="D275" s="464" t="s">
        <v>2019</v>
      </c>
      <c r="E275" s="464" t="s">
        <v>2142</v>
      </c>
      <c r="F275" s="464" t="s">
        <v>2143</v>
      </c>
      <c r="G275" s="468"/>
      <c r="H275" s="468"/>
      <c r="I275" s="464"/>
      <c r="J275" s="464"/>
      <c r="K275" s="468"/>
      <c r="L275" s="468"/>
      <c r="M275" s="464"/>
      <c r="N275" s="464"/>
      <c r="O275" s="468">
        <v>15</v>
      </c>
      <c r="P275" s="468">
        <v>7216.6600000000008</v>
      </c>
      <c r="Q275" s="491"/>
      <c r="R275" s="469">
        <v>481.1106666666667</v>
      </c>
    </row>
    <row r="276" spans="1:18" ht="14.45" customHeight="1" x14ac:dyDescent="0.2">
      <c r="A276" s="463"/>
      <c r="B276" s="464" t="s">
        <v>2144</v>
      </c>
      <c r="C276" s="464" t="s">
        <v>444</v>
      </c>
      <c r="D276" s="464" t="s">
        <v>2019</v>
      </c>
      <c r="E276" s="464" t="s">
        <v>2145</v>
      </c>
      <c r="F276" s="464" t="s">
        <v>2146</v>
      </c>
      <c r="G276" s="468"/>
      <c r="H276" s="468"/>
      <c r="I276" s="464"/>
      <c r="J276" s="464"/>
      <c r="K276" s="468"/>
      <c r="L276" s="468"/>
      <c r="M276" s="464"/>
      <c r="N276" s="464"/>
      <c r="O276" s="468">
        <v>1</v>
      </c>
      <c r="P276" s="468">
        <v>244.44</v>
      </c>
      <c r="Q276" s="491"/>
      <c r="R276" s="469">
        <v>244.44</v>
      </c>
    </row>
    <row r="277" spans="1:18" ht="14.45" customHeight="1" x14ac:dyDescent="0.2">
      <c r="A277" s="463"/>
      <c r="B277" s="464" t="s">
        <v>2144</v>
      </c>
      <c r="C277" s="464" t="s">
        <v>1921</v>
      </c>
      <c r="D277" s="464" t="s">
        <v>1930</v>
      </c>
      <c r="E277" s="464" t="s">
        <v>1932</v>
      </c>
      <c r="F277" s="464"/>
      <c r="G277" s="468">
        <v>21</v>
      </c>
      <c r="H277" s="468">
        <v>2373</v>
      </c>
      <c r="I277" s="464">
        <v>0.95454545454545459</v>
      </c>
      <c r="J277" s="464">
        <v>113</v>
      </c>
      <c r="K277" s="468">
        <v>22</v>
      </c>
      <c r="L277" s="468">
        <v>2486</v>
      </c>
      <c r="M277" s="464">
        <v>1</v>
      </c>
      <c r="N277" s="464">
        <v>113</v>
      </c>
      <c r="O277" s="468">
        <v>45</v>
      </c>
      <c r="P277" s="468">
        <v>5085</v>
      </c>
      <c r="Q277" s="491">
        <v>2.0454545454545454</v>
      </c>
      <c r="R277" s="469">
        <v>113</v>
      </c>
    </row>
    <row r="278" spans="1:18" ht="14.45" customHeight="1" x14ac:dyDescent="0.2">
      <c r="A278" s="463"/>
      <c r="B278" s="464" t="s">
        <v>2144</v>
      </c>
      <c r="C278" s="464" t="s">
        <v>1921</v>
      </c>
      <c r="D278" s="464" t="s">
        <v>1930</v>
      </c>
      <c r="E278" s="464" t="s">
        <v>1935</v>
      </c>
      <c r="F278" s="464"/>
      <c r="G278" s="468">
        <v>8</v>
      </c>
      <c r="H278" s="468">
        <v>8064</v>
      </c>
      <c r="I278" s="464">
        <v>1.3333333333333333</v>
      </c>
      <c r="J278" s="464">
        <v>1008</v>
      </c>
      <c r="K278" s="468">
        <v>6</v>
      </c>
      <c r="L278" s="468">
        <v>6048</v>
      </c>
      <c r="M278" s="464">
        <v>1</v>
      </c>
      <c r="N278" s="464">
        <v>1008</v>
      </c>
      <c r="O278" s="468">
        <v>3</v>
      </c>
      <c r="P278" s="468">
        <v>3024</v>
      </c>
      <c r="Q278" s="491">
        <v>0.5</v>
      </c>
      <c r="R278" s="469">
        <v>1008</v>
      </c>
    </row>
    <row r="279" spans="1:18" ht="14.45" customHeight="1" x14ac:dyDescent="0.2">
      <c r="A279" s="463"/>
      <c r="B279" s="464" t="s">
        <v>2144</v>
      </c>
      <c r="C279" s="464" t="s">
        <v>1921</v>
      </c>
      <c r="D279" s="464" t="s">
        <v>1930</v>
      </c>
      <c r="E279" s="464" t="s">
        <v>2147</v>
      </c>
      <c r="F279" s="464"/>
      <c r="G279" s="468">
        <v>509</v>
      </c>
      <c r="H279" s="468">
        <v>110453</v>
      </c>
      <c r="I279" s="464">
        <v>0.95497185741088175</v>
      </c>
      <c r="J279" s="464">
        <v>217</v>
      </c>
      <c r="K279" s="468">
        <v>533</v>
      </c>
      <c r="L279" s="468">
        <v>115661</v>
      </c>
      <c r="M279" s="464">
        <v>1</v>
      </c>
      <c r="N279" s="464">
        <v>217</v>
      </c>
      <c r="O279" s="468">
        <v>543</v>
      </c>
      <c r="P279" s="468">
        <v>117831</v>
      </c>
      <c r="Q279" s="491">
        <v>1.0187617260787993</v>
      </c>
      <c r="R279" s="469">
        <v>217</v>
      </c>
    </row>
    <row r="280" spans="1:18" ht="14.45" customHeight="1" x14ac:dyDescent="0.2">
      <c r="A280" s="463"/>
      <c r="B280" s="464" t="s">
        <v>2144</v>
      </c>
      <c r="C280" s="464" t="s">
        <v>1921</v>
      </c>
      <c r="D280" s="464" t="s">
        <v>1930</v>
      </c>
      <c r="E280" s="464" t="s">
        <v>2148</v>
      </c>
      <c r="F280" s="464"/>
      <c r="G280" s="468">
        <v>4</v>
      </c>
      <c r="H280" s="468">
        <v>5156</v>
      </c>
      <c r="I280" s="464"/>
      <c r="J280" s="464">
        <v>1289</v>
      </c>
      <c r="K280" s="468"/>
      <c r="L280" s="468"/>
      <c r="M280" s="464"/>
      <c r="N280" s="464"/>
      <c r="O280" s="468">
        <v>1</v>
      </c>
      <c r="P280" s="468">
        <v>1289</v>
      </c>
      <c r="Q280" s="491"/>
      <c r="R280" s="469">
        <v>1289</v>
      </c>
    </row>
    <row r="281" spans="1:18" ht="14.45" customHeight="1" x14ac:dyDescent="0.2">
      <c r="A281" s="463"/>
      <c r="B281" s="464" t="s">
        <v>2144</v>
      </c>
      <c r="C281" s="464" t="s">
        <v>1921</v>
      </c>
      <c r="D281" s="464" t="s">
        <v>1930</v>
      </c>
      <c r="E281" s="464" t="s">
        <v>2149</v>
      </c>
      <c r="F281" s="464"/>
      <c r="G281" s="468">
        <v>2</v>
      </c>
      <c r="H281" s="468">
        <v>3540</v>
      </c>
      <c r="I281" s="464">
        <v>1</v>
      </c>
      <c r="J281" s="464">
        <v>1770</v>
      </c>
      <c r="K281" s="468">
        <v>2</v>
      </c>
      <c r="L281" s="468">
        <v>3540</v>
      </c>
      <c r="M281" s="464">
        <v>1</v>
      </c>
      <c r="N281" s="464">
        <v>1770</v>
      </c>
      <c r="O281" s="468">
        <v>1</v>
      </c>
      <c r="P281" s="468">
        <v>1770</v>
      </c>
      <c r="Q281" s="491">
        <v>0.5</v>
      </c>
      <c r="R281" s="469">
        <v>1770</v>
      </c>
    </row>
    <row r="282" spans="1:18" ht="14.45" customHeight="1" x14ac:dyDescent="0.2">
      <c r="A282" s="463"/>
      <c r="B282" s="464" t="s">
        <v>2144</v>
      </c>
      <c r="C282" s="464" t="s">
        <v>1921</v>
      </c>
      <c r="D282" s="464" t="s">
        <v>1930</v>
      </c>
      <c r="E282" s="464" t="s">
        <v>2150</v>
      </c>
      <c r="F282" s="464"/>
      <c r="G282" s="468">
        <v>5</v>
      </c>
      <c r="H282" s="468">
        <v>12250</v>
      </c>
      <c r="I282" s="464">
        <v>0.625</v>
      </c>
      <c r="J282" s="464">
        <v>2450</v>
      </c>
      <c r="K282" s="468">
        <v>8</v>
      </c>
      <c r="L282" s="468">
        <v>19600</v>
      </c>
      <c r="M282" s="464">
        <v>1</v>
      </c>
      <c r="N282" s="464">
        <v>2450</v>
      </c>
      <c r="O282" s="468">
        <v>7</v>
      </c>
      <c r="P282" s="468">
        <v>17150</v>
      </c>
      <c r="Q282" s="491">
        <v>0.875</v>
      </c>
      <c r="R282" s="469">
        <v>2450</v>
      </c>
    </row>
    <row r="283" spans="1:18" ht="14.45" customHeight="1" x14ac:dyDescent="0.2">
      <c r="A283" s="463"/>
      <c r="B283" s="464" t="s">
        <v>2144</v>
      </c>
      <c r="C283" s="464" t="s">
        <v>1921</v>
      </c>
      <c r="D283" s="464" t="s">
        <v>1930</v>
      </c>
      <c r="E283" s="464" t="s">
        <v>2151</v>
      </c>
      <c r="F283" s="464"/>
      <c r="G283" s="468"/>
      <c r="H283" s="468"/>
      <c r="I283" s="464"/>
      <c r="J283" s="464"/>
      <c r="K283" s="468">
        <v>2</v>
      </c>
      <c r="L283" s="468">
        <v>2606</v>
      </c>
      <c r="M283" s="464">
        <v>1</v>
      </c>
      <c r="N283" s="464">
        <v>1303</v>
      </c>
      <c r="O283" s="468"/>
      <c r="P283" s="468"/>
      <c r="Q283" s="491"/>
      <c r="R283" s="469"/>
    </row>
    <row r="284" spans="1:18" ht="14.45" customHeight="1" x14ac:dyDescent="0.2">
      <c r="A284" s="463"/>
      <c r="B284" s="464" t="s">
        <v>2144</v>
      </c>
      <c r="C284" s="464" t="s">
        <v>1921</v>
      </c>
      <c r="D284" s="464" t="s">
        <v>1930</v>
      </c>
      <c r="E284" s="464" t="s">
        <v>2152</v>
      </c>
      <c r="F284" s="464"/>
      <c r="G284" s="468">
        <v>246</v>
      </c>
      <c r="H284" s="468">
        <v>256578</v>
      </c>
      <c r="I284" s="464">
        <v>0.91791044776119401</v>
      </c>
      <c r="J284" s="464">
        <v>1043</v>
      </c>
      <c r="K284" s="468">
        <v>268</v>
      </c>
      <c r="L284" s="468">
        <v>279524</v>
      </c>
      <c r="M284" s="464">
        <v>1</v>
      </c>
      <c r="N284" s="464">
        <v>1043</v>
      </c>
      <c r="O284" s="468">
        <v>281</v>
      </c>
      <c r="P284" s="468">
        <v>293083</v>
      </c>
      <c r="Q284" s="491">
        <v>1.0485074626865671</v>
      </c>
      <c r="R284" s="469">
        <v>1043</v>
      </c>
    </row>
    <row r="285" spans="1:18" ht="14.45" customHeight="1" x14ac:dyDescent="0.2">
      <c r="A285" s="463"/>
      <c r="B285" s="464" t="s">
        <v>2144</v>
      </c>
      <c r="C285" s="464" t="s">
        <v>1921</v>
      </c>
      <c r="D285" s="464" t="s">
        <v>1930</v>
      </c>
      <c r="E285" s="464" t="s">
        <v>2153</v>
      </c>
      <c r="F285" s="464"/>
      <c r="G285" s="468">
        <v>2</v>
      </c>
      <c r="H285" s="468">
        <v>3308</v>
      </c>
      <c r="I285" s="464">
        <v>0.66666666666666663</v>
      </c>
      <c r="J285" s="464">
        <v>1654</v>
      </c>
      <c r="K285" s="468">
        <v>3</v>
      </c>
      <c r="L285" s="468">
        <v>4962</v>
      </c>
      <c r="M285" s="464">
        <v>1</v>
      </c>
      <c r="N285" s="464">
        <v>1654</v>
      </c>
      <c r="O285" s="468">
        <v>2</v>
      </c>
      <c r="P285" s="468">
        <v>3308</v>
      </c>
      <c r="Q285" s="491">
        <v>0.66666666666666663</v>
      </c>
      <c r="R285" s="469">
        <v>1654</v>
      </c>
    </row>
    <row r="286" spans="1:18" ht="14.45" customHeight="1" x14ac:dyDescent="0.2">
      <c r="A286" s="463"/>
      <c r="B286" s="464" t="s">
        <v>2144</v>
      </c>
      <c r="C286" s="464" t="s">
        <v>1921</v>
      </c>
      <c r="D286" s="464" t="s">
        <v>1930</v>
      </c>
      <c r="E286" s="464" t="s">
        <v>2154</v>
      </c>
      <c r="F286" s="464"/>
      <c r="G286" s="468">
        <v>40</v>
      </c>
      <c r="H286" s="468">
        <v>52920</v>
      </c>
      <c r="I286" s="464">
        <v>1.4285714285714286</v>
      </c>
      <c r="J286" s="464">
        <v>1323</v>
      </c>
      <c r="K286" s="468">
        <v>28</v>
      </c>
      <c r="L286" s="468">
        <v>37044</v>
      </c>
      <c r="M286" s="464">
        <v>1</v>
      </c>
      <c r="N286" s="464">
        <v>1323</v>
      </c>
      <c r="O286" s="468">
        <v>29</v>
      </c>
      <c r="P286" s="468">
        <v>38367</v>
      </c>
      <c r="Q286" s="491">
        <v>1.0357142857142858</v>
      </c>
      <c r="R286" s="469">
        <v>1323</v>
      </c>
    </row>
    <row r="287" spans="1:18" ht="14.45" customHeight="1" x14ac:dyDescent="0.2">
      <c r="A287" s="463"/>
      <c r="B287" s="464" t="s">
        <v>2144</v>
      </c>
      <c r="C287" s="464" t="s">
        <v>1921</v>
      </c>
      <c r="D287" s="464" t="s">
        <v>1930</v>
      </c>
      <c r="E287" s="464" t="s">
        <v>2155</v>
      </c>
      <c r="F287" s="464"/>
      <c r="G287" s="468">
        <v>6</v>
      </c>
      <c r="H287" s="468">
        <v>11598</v>
      </c>
      <c r="I287" s="464">
        <v>2</v>
      </c>
      <c r="J287" s="464">
        <v>1933</v>
      </c>
      <c r="K287" s="468">
        <v>3</v>
      </c>
      <c r="L287" s="468">
        <v>5799</v>
      </c>
      <c r="M287" s="464">
        <v>1</v>
      </c>
      <c r="N287" s="464">
        <v>1933</v>
      </c>
      <c r="O287" s="468">
        <v>3</v>
      </c>
      <c r="P287" s="468">
        <v>5799</v>
      </c>
      <c r="Q287" s="491">
        <v>1</v>
      </c>
      <c r="R287" s="469">
        <v>1933</v>
      </c>
    </row>
    <row r="288" spans="1:18" ht="14.45" customHeight="1" x14ac:dyDescent="0.2">
      <c r="A288" s="463"/>
      <c r="B288" s="464" t="s">
        <v>2144</v>
      </c>
      <c r="C288" s="464" t="s">
        <v>1921</v>
      </c>
      <c r="D288" s="464" t="s">
        <v>1930</v>
      </c>
      <c r="E288" s="464" t="s">
        <v>2156</v>
      </c>
      <c r="F288" s="464"/>
      <c r="G288" s="468">
        <v>1</v>
      </c>
      <c r="H288" s="468">
        <v>678</v>
      </c>
      <c r="I288" s="464">
        <v>0.2</v>
      </c>
      <c r="J288" s="464">
        <v>678</v>
      </c>
      <c r="K288" s="468">
        <v>5</v>
      </c>
      <c r="L288" s="468">
        <v>3390</v>
      </c>
      <c r="M288" s="464">
        <v>1</v>
      </c>
      <c r="N288" s="464">
        <v>678</v>
      </c>
      <c r="O288" s="468">
        <v>2</v>
      </c>
      <c r="P288" s="468">
        <v>1356</v>
      </c>
      <c r="Q288" s="491">
        <v>0.4</v>
      </c>
      <c r="R288" s="469">
        <v>678</v>
      </c>
    </row>
    <row r="289" spans="1:18" ht="14.45" customHeight="1" x14ac:dyDescent="0.2">
      <c r="A289" s="463"/>
      <c r="B289" s="464" t="s">
        <v>2144</v>
      </c>
      <c r="C289" s="464" t="s">
        <v>1921</v>
      </c>
      <c r="D289" s="464" t="s">
        <v>1930</v>
      </c>
      <c r="E289" s="464" t="s">
        <v>2157</v>
      </c>
      <c r="F289" s="464"/>
      <c r="G289" s="468">
        <v>89</v>
      </c>
      <c r="H289" s="468">
        <v>48238</v>
      </c>
      <c r="I289" s="464">
        <v>1.0348837209302326</v>
      </c>
      <c r="J289" s="464">
        <v>542</v>
      </c>
      <c r="K289" s="468">
        <v>86</v>
      </c>
      <c r="L289" s="468">
        <v>46612</v>
      </c>
      <c r="M289" s="464">
        <v>1</v>
      </c>
      <c r="N289" s="464">
        <v>542</v>
      </c>
      <c r="O289" s="468">
        <v>101</v>
      </c>
      <c r="P289" s="468">
        <v>54742.54</v>
      </c>
      <c r="Q289" s="491">
        <v>1.1744301896507336</v>
      </c>
      <c r="R289" s="469">
        <v>542.00534653465343</v>
      </c>
    </row>
    <row r="290" spans="1:18" ht="14.45" customHeight="1" x14ac:dyDescent="0.2">
      <c r="A290" s="463"/>
      <c r="B290" s="464" t="s">
        <v>2144</v>
      </c>
      <c r="C290" s="464" t="s">
        <v>1921</v>
      </c>
      <c r="D290" s="464" t="s">
        <v>1930</v>
      </c>
      <c r="E290" s="464" t="s">
        <v>2158</v>
      </c>
      <c r="F290" s="464"/>
      <c r="G290" s="468"/>
      <c r="H290" s="468"/>
      <c r="I290" s="464"/>
      <c r="J290" s="464"/>
      <c r="K290" s="468">
        <v>2</v>
      </c>
      <c r="L290" s="468">
        <v>596</v>
      </c>
      <c r="M290" s="464">
        <v>1</v>
      </c>
      <c r="N290" s="464">
        <v>298</v>
      </c>
      <c r="O290" s="468"/>
      <c r="P290" s="468"/>
      <c r="Q290" s="491"/>
      <c r="R290" s="469"/>
    </row>
    <row r="291" spans="1:18" ht="14.45" customHeight="1" x14ac:dyDescent="0.2">
      <c r="A291" s="463"/>
      <c r="B291" s="464" t="s">
        <v>2144</v>
      </c>
      <c r="C291" s="464" t="s">
        <v>1921</v>
      </c>
      <c r="D291" s="464" t="s">
        <v>1930</v>
      </c>
      <c r="E291" s="464" t="s">
        <v>2159</v>
      </c>
      <c r="F291" s="464"/>
      <c r="G291" s="468">
        <v>77</v>
      </c>
      <c r="H291" s="468">
        <v>44583</v>
      </c>
      <c r="I291" s="464">
        <v>0.8651685393258427</v>
      </c>
      <c r="J291" s="464">
        <v>579</v>
      </c>
      <c r="K291" s="468">
        <v>89</v>
      </c>
      <c r="L291" s="468">
        <v>51531</v>
      </c>
      <c r="M291" s="464">
        <v>1</v>
      </c>
      <c r="N291" s="464">
        <v>579</v>
      </c>
      <c r="O291" s="468">
        <v>78</v>
      </c>
      <c r="P291" s="468">
        <v>45162</v>
      </c>
      <c r="Q291" s="491">
        <v>0.8764044943820225</v>
      </c>
      <c r="R291" s="469">
        <v>579</v>
      </c>
    </row>
    <row r="292" spans="1:18" ht="14.45" customHeight="1" x14ac:dyDescent="0.2">
      <c r="A292" s="463"/>
      <c r="B292" s="464" t="s">
        <v>2144</v>
      </c>
      <c r="C292" s="464" t="s">
        <v>1921</v>
      </c>
      <c r="D292" s="464" t="s">
        <v>1930</v>
      </c>
      <c r="E292" s="464" t="s">
        <v>1936</v>
      </c>
      <c r="F292" s="464"/>
      <c r="G292" s="468">
        <v>28</v>
      </c>
      <c r="H292" s="468">
        <v>3164</v>
      </c>
      <c r="I292" s="464">
        <v>0.35</v>
      </c>
      <c r="J292" s="464">
        <v>113</v>
      </c>
      <c r="K292" s="468">
        <v>80</v>
      </c>
      <c r="L292" s="468">
        <v>9040</v>
      </c>
      <c r="M292" s="464">
        <v>1</v>
      </c>
      <c r="N292" s="464">
        <v>113</v>
      </c>
      <c r="O292" s="468">
        <v>122</v>
      </c>
      <c r="P292" s="468">
        <v>13786</v>
      </c>
      <c r="Q292" s="491">
        <v>1.5249999999999999</v>
      </c>
      <c r="R292" s="469">
        <v>113</v>
      </c>
    </row>
    <row r="293" spans="1:18" ht="14.45" customHeight="1" x14ac:dyDescent="0.2">
      <c r="A293" s="463"/>
      <c r="B293" s="464" t="s">
        <v>2144</v>
      </c>
      <c r="C293" s="464" t="s">
        <v>1921</v>
      </c>
      <c r="D293" s="464" t="s">
        <v>1930</v>
      </c>
      <c r="E293" s="464" t="s">
        <v>1937</v>
      </c>
      <c r="F293" s="464"/>
      <c r="G293" s="468">
        <v>4</v>
      </c>
      <c r="H293" s="468">
        <v>528</v>
      </c>
      <c r="I293" s="464">
        <v>0.30769230769230771</v>
      </c>
      <c r="J293" s="464">
        <v>132</v>
      </c>
      <c r="K293" s="468">
        <v>13</v>
      </c>
      <c r="L293" s="468">
        <v>1716</v>
      </c>
      <c r="M293" s="464">
        <v>1</v>
      </c>
      <c r="N293" s="464">
        <v>132</v>
      </c>
      <c r="O293" s="468">
        <v>21</v>
      </c>
      <c r="P293" s="468">
        <v>2772</v>
      </c>
      <c r="Q293" s="491">
        <v>1.6153846153846154</v>
      </c>
      <c r="R293" s="469">
        <v>132</v>
      </c>
    </row>
    <row r="294" spans="1:18" ht="14.45" customHeight="1" x14ac:dyDescent="0.2">
      <c r="A294" s="463"/>
      <c r="B294" s="464" t="s">
        <v>2144</v>
      </c>
      <c r="C294" s="464" t="s">
        <v>1921</v>
      </c>
      <c r="D294" s="464" t="s">
        <v>1930</v>
      </c>
      <c r="E294" s="464" t="s">
        <v>1938</v>
      </c>
      <c r="F294" s="464"/>
      <c r="G294" s="468">
        <v>4</v>
      </c>
      <c r="H294" s="468">
        <v>624</v>
      </c>
      <c r="I294" s="464">
        <v>6.4516129032258063E-2</v>
      </c>
      <c r="J294" s="464">
        <v>156</v>
      </c>
      <c r="K294" s="468">
        <v>62</v>
      </c>
      <c r="L294" s="468">
        <v>9672</v>
      </c>
      <c r="M294" s="464">
        <v>1</v>
      </c>
      <c r="N294" s="464">
        <v>156</v>
      </c>
      <c r="O294" s="468">
        <v>164</v>
      </c>
      <c r="P294" s="468">
        <v>25584</v>
      </c>
      <c r="Q294" s="491">
        <v>2.6451612903225805</v>
      </c>
      <c r="R294" s="469">
        <v>156</v>
      </c>
    </row>
    <row r="295" spans="1:18" ht="14.45" customHeight="1" x14ac:dyDescent="0.2">
      <c r="A295" s="463"/>
      <c r="B295" s="464" t="s">
        <v>2144</v>
      </c>
      <c r="C295" s="464" t="s">
        <v>1921</v>
      </c>
      <c r="D295" s="464" t="s">
        <v>1930</v>
      </c>
      <c r="E295" s="464" t="s">
        <v>1962</v>
      </c>
      <c r="F295" s="464"/>
      <c r="G295" s="468">
        <v>3</v>
      </c>
      <c r="H295" s="468">
        <v>6000</v>
      </c>
      <c r="I295" s="464">
        <v>1.5</v>
      </c>
      <c r="J295" s="464">
        <v>2000</v>
      </c>
      <c r="K295" s="468">
        <v>2</v>
      </c>
      <c r="L295" s="468">
        <v>4000</v>
      </c>
      <c r="M295" s="464">
        <v>1</v>
      </c>
      <c r="N295" s="464">
        <v>2000</v>
      </c>
      <c r="O295" s="468">
        <v>3</v>
      </c>
      <c r="P295" s="468">
        <v>6000</v>
      </c>
      <c r="Q295" s="491">
        <v>1.5</v>
      </c>
      <c r="R295" s="469">
        <v>2000</v>
      </c>
    </row>
    <row r="296" spans="1:18" ht="14.45" customHeight="1" x14ac:dyDescent="0.2">
      <c r="A296" s="463"/>
      <c r="B296" s="464" t="s">
        <v>2144</v>
      </c>
      <c r="C296" s="464" t="s">
        <v>1921</v>
      </c>
      <c r="D296" s="464" t="s">
        <v>1930</v>
      </c>
      <c r="E296" s="464" t="s">
        <v>1978</v>
      </c>
      <c r="F296" s="464"/>
      <c r="G296" s="468">
        <v>8</v>
      </c>
      <c r="H296" s="468">
        <v>8064</v>
      </c>
      <c r="I296" s="464">
        <v>2</v>
      </c>
      <c r="J296" s="464">
        <v>1008</v>
      </c>
      <c r="K296" s="468">
        <v>4</v>
      </c>
      <c r="L296" s="468">
        <v>4032</v>
      </c>
      <c r="M296" s="464">
        <v>1</v>
      </c>
      <c r="N296" s="464">
        <v>1008</v>
      </c>
      <c r="O296" s="468">
        <v>4</v>
      </c>
      <c r="P296" s="468">
        <v>4032</v>
      </c>
      <c r="Q296" s="491">
        <v>1</v>
      </c>
      <c r="R296" s="469">
        <v>1008</v>
      </c>
    </row>
    <row r="297" spans="1:18" ht="14.45" customHeight="1" x14ac:dyDescent="0.2">
      <c r="A297" s="463"/>
      <c r="B297" s="464" t="s">
        <v>2144</v>
      </c>
      <c r="C297" s="464" t="s">
        <v>1921</v>
      </c>
      <c r="D297" s="464" t="s">
        <v>1930</v>
      </c>
      <c r="E297" s="464" t="s">
        <v>2160</v>
      </c>
      <c r="F297" s="464"/>
      <c r="G297" s="468">
        <v>230</v>
      </c>
      <c r="H297" s="468">
        <v>49910</v>
      </c>
      <c r="I297" s="464">
        <v>0.82733812949640284</v>
      </c>
      <c r="J297" s="464">
        <v>217</v>
      </c>
      <c r="K297" s="468">
        <v>278</v>
      </c>
      <c r="L297" s="468">
        <v>60326</v>
      </c>
      <c r="M297" s="464">
        <v>1</v>
      </c>
      <c r="N297" s="464">
        <v>217</v>
      </c>
      <c r="O297" s="468">
        <v>278</v>
      </c>
      <c r="P297" s="468">
        <v>60118</v>
      </c>
      <c r="Q297" s="491">
        <v>0.99655206710207866</v>
      </c>
      <c r="R297" s="469">
        <v>216.25179856115108</v>
      </c>
    </row>
    <row r="298" spans="1:18" ht="14.45" customHeight="1" x14ac:dyDescent="0.2">
      <c r="A298" s="463"/>
      <c r="B298" s="464" t="s">
        <v>2144</v>
      </c>
      <c r="C298" s="464" t="s">
        <v>1921</v>
      </c>
      <c r="D298" s="464" t="s">
        <v>1930</v>
      </c>
      <c r="E298" s="464" t="s">
        <v>2161</v>
      </c>
      <c r="F298" s="464"/>
      <c r="G298" s="468">
        <v>144</v>
      </c>
      <c r="H298" s="468">
        <v>150192</v>
      </c>
      <c r="I298" s="464">
        <v>0.676056338028169</v>
      </c>
      <c r="J298" s="464">
        <v>1043</v>
      </c>
      <c r="K298" s="468">
        <v>213</v>
      </c>
      <c r="L298" s="468">
        <v>222159</v>
      </c>
      <c r="M298" s="464">
        <v>1</v>
      </c>
      <c r="N298" s="464">
        <v>1043</v>
      </c>
      <c r="O298" s="468">
        <v>207</v>
      </c>
      <c r="P298" s="468">
        <v>215901</v>
      </c>
      <c r="Q298" s="491">
        <v>0.971830985915493</v>
      </c>
      <c r="R298" s="469">
        <v>1043</v>
      </c>
    </row>
    <row r="299" spans="1:18" ht="14.45" customHeight="1" x14ac:dyDescent="0.2">
      <c r="A299" s="463"/>
      <c r="B299" s="464" t="s">
        <v>2144</v>
      </c>
      <c r="C299" s="464" t="s">
        <v>1921</v>
      </c>
      <c r="D299" s="464" t="s">
        <v>1930</v>
      </c>
      <c r="E299" s="464" t="s">
        <v>2162</v>
      </c>
      <c r="F299" s="464"/>
      <c r="G299" s="468">
        <v>2</v>
      </c>
      <c r="H299" s="468">
        <v>2646</v>
      </c>
      <c r="I299" s="464">
        <v>0.2857142857142857</v>
      </c>
      <c r="J299" s="464">
        <v>1323</v>
      </c>
      <c r="K299" s="468">
        <v>7</v>
      </c>
      <c r="L299" s="468">
        <v>9261</v>
      </c>
      <c r="M299" s="464">
        <v>1</v>
      </c>
      <c r="N299" s="464">
        <v>1323</v>
      </c>
      <c r="O299" s="468">
        <v>9</v>
      </c>
      <c r="P299" s="468">
        <v>11907</v>
      </c>
      <c r="Q299" s="491">
        <v>1.2857142857142858</v>
      </c>
      <c r="R299" s="469">
        <v>1323</v>
      </c>
    </row>
    <row r="300" spans="1:18" ht="14.45" customHeight="1" x14ac:dyDescent="0.2">
      <c r="A300" s="463"/>
      <c r="B300" s="464" t="s">
        <v>2144</v>
      </c>
      <c r="C300" s="464" t="s">
        <v>1921</v>
      </c>
      <c r="D300" s="464" t="s">
        <v>1930</v>
      </c>
      <c r="E300" s="464" t="s">
        <v>2163</v>
      </c>
      <c r="F300" s="464"/>
      <c r="G300" s="468">
        <v>27</v>
      </c>
      <c r="H300" s="468">
        <v>14634</v>
      </c>
      <c r="I300" s="464">
        <v>1.6875</v>
      </c>
      <c r="J300" s="464">
        <v>542</v>
      </c>
      <c r="K300" s="468">
        <v>16</v>
      </c>
      <c r="L300" s="468">
        <v>8672</v>
      </c>
      <c r="M300" s="464">
        <v>1</v>
      </c>
      <c r="N300" s="464">
        <v>542</v>
      </c>
      <c r="O300" s="468">
        <v>8</v>
      </c>
      <c r="P300" s="468">
        <v>4336</v>
      </c>
      <c r="Q300" s="491">
        <v>0.5</v>
      </c>
      <c r="R300" s="469">
        <v>542</v>
      </c>
    </row>
    <row r="301" spans="1:18" ht="14.45" customHeight="1" x14ac:dyDescent="0.2">
      <c r="A301" s="463"/>
      <c r="B301" s="464" t="s">
        <v>2144</v>
      </c>
      <c r="C301" s="464" t="s">
        <v>1921</v>
      </c>
      <c r="D301" s="464" t="s">
        <v>1930</v>
      </c>
      <c r="E301" s="464" t="s">
        <v>2164</v>
      </c>
      <c r="F301" s="464"/>
      <c r="G301" s="468">
        <v>1</v>
      </c>
      <c r="H301" s="468">
        <v>298</v>
      </c>
      <c r="I301" s="464"/>
      <c r="J301" s="464">
        <v>298</v>
      </c>
      <c r="K301" s="468"/>
      <c r="L301" s="468"/>
      <c r="M301" s="464"/>
      <c r="N301" s="464"/>
      <c r="O301" s="468"/>
      <c r="P301" s="468"/>
      <c r="Q301" s="491"/>
      <c r="R301" s="469"/>
    </row>
    <row r="302" spans="1:18" ht="14.45" customHeight="1" x14ac:dyDescent="0.2">
      <c r="A302" s="463"/>
      <c r="B302" s="464" t="s">
        <v>2144</v>
      </c>
      <c r="C302" s="464" t="s">
        <v>1921</v>
      </c>
      <c r="D302" s="464" t="s">
        <v>1930</v>
      </c>
      <c r="E302" s="464" t="s">
        <v>2165</v>
      </c>
      <c r="F302" s="464"/>
      <c r="G302" s="468">
        <v>104</v>
      </c>
      <c r="H302" s="468">
        <v>60216</v>
      </c>
      <c r="I302" s="464">
        <v>1.0833333333333333</v>
      </c>
      <c r="J302" s="464">
        <v>579</v>
      </c>
      <c r="K302" s="468">
        <v>96</v>
      </c>
      <c r="L302" s="468">
        <v>55584</v>
      </c>
      <c r="M302" s="464">
        <v>1</v>
      </c>
      <c r="N302" s="464">
        <v>579</v>
      </c>
      <c r="O302" s="468">
        <v>92</v>
      </c>
      <c r="P302" s="468">
        <v>53268</v>
      </c>
      <c r="Q302" s="491">
        <v>0.95833333333333337</v>
      </c>
      <c r="R302" s="469">
        <v>579</v>
      </c>
    </row>
    <row r="303" spans="1:18" ht="14.45" customHeight="1" x14ac:dyDescent="0.2">
      <c r="A303" s="463"/>
      <c r="B303" s="464" t="s">
        <v>2144</v>
      </c>
      <c r="C303" s="464" t="s">
        <v>1921</v>
      </c>
      <c r="D303" s="464" t="s">
        <v>1930</v>
      </c>
      <c r="E303" s="464" t="s">
        <v>2166</v>
      </c>
      <c r="F303" s="464"/>
      <c r="G303" s="468"/>
      <c r="H303" s="468"/>
      <c r="I303" s="464"/>
      <c r="J303" s="464"/>
      <c r="K303" s="468">
        <v>1</v>
      </c>
      <c r="L303" s="468">
        <v>15615</v>
      </c>
      <c r="M303" s="464">
        <v>1</v>
      </c>
      <c r="N303" s="464">
        <v>15615</v>
      </c>
      <c r="O303" s="468"/>
      <c r="P303" s="468"/>
      <c r="Q303" s="491"/>
      <c r="R303" s="469"/>
    </row>
    <row r="304" spans="1:18" ht="14.45" customHeight="1" x14ac:dyDescent="0.2">
      <c r="A304" s="463"/>
      <c r="B304" s="464" t="s">
        <v>2144</v>
      </c>
      <c r="C304" s="464" t="s">
        <v>1921</v>
      </c>
      <c r="D304" s="464" t="s">
        <v>1930</v>
      </c>
      <c r="E304" s="464" t="s">
        <v>2167</v>
      </c>
      <c r="F304" s="464"/>
      <c r="G304" s="468"/>
      <c r="H304" s="468"/>
      <c r="I304" s="464"/>
      <c r="J304" s="464"/>
      <c r="K304" s="468">
        <v>1</v>
      </c>
      <c r="L304" s="468">
        <v>678</v>
      </c>
      <c r="M304" s="464">
        <v>1</v>
      </c>
      <c r="N304" s="464">
        <v>678</v>
      </c>
      <c r="O304" s="468"/>
      <c r="P304" s="468"/>
      <c r="Q304" s="491"/>
      <c r="R304" s="469"/>
    </row>
    <row r="305" spans="1:18" ht="14.45" customHeight="1" x14ac:dyDescent="0.2">
      <c r="A305" s="463"/>
      <c r="B305" s="464" t="s">
        <v>2144</v>
      </c>
      <c r="C305" s="464" t="s">
        <v>1921</v>
      </c>
      <c r="D305" s="464" t="s">
        <v>1930</v>
      </c>
      <c r="E305" s="464" t="s">
        <v>2168</v>
      </c>
      <c r="F305" s="464"/>
      <c r="G305" s="468"/>
      <c r="H305" s="468"/>
      <c r="I305" s="464"/>
      <c r="J305" s="464"/>
      <c r="K305" s="468">
        <v>2</v>
      </c>
      <c r="L305" s="468">
        <v>2606</v>
      </c>
      <c r="M305" s="464">
        <v>1</v>
      </c>
      <c r="N305" s="464">
        <v>1303</v>
      </c>
      <c r="O305" s="468">
        <v>2</v>
      </c>
      <c r="P305" s="468">
        <v>2606</v>
      </c>
      <c r="Q305" s="491">
        <v>1</v>
      </c>
      <c r="R305" s="469">
        <v>1303</v>
      </c>
    </row>
    <row r="306" spans="1:18" ht="14.45" customHeight="1" x14ac:dyDescent="0.2">
      <c r="A306" s="463"/>
      <c r="B306" s="464" t="s">
        <v>2144</v>
      </c>
      <c r="C306" s="464" t="s">
        <v>1921</v>
      </c>
      <c r="D306" s="464" t="s">
        <v>1930</v>
      </c>
      <c r="E306" s="464" t="s">
        <v>2169</v>
      </c>
      <c r="F306" s="464"/>
      <c r="G306" s="468">
        <v>1</v>
      </c>
      <c r="H306" s="468">
        <v>136</v>
      </c>
      <c r="I306" s="464">
        <v>1</v>
      </c>
      <c r="J306" s="464">
        <v>136</v>
      </c>
      <c r="K306" s="468">
        <v>1</v>
      </c>
      <c r="L306" s="468">
        <v>136</v>
      </c>
      <c r="M306" s="464">
        <v>1</v>
      </c>
      <c r="N306" s="464">
        <v>136</v>
      </c>
      <c r="O306" s="468">
        <v>4</v>
      </c>
      <c r="P306" s="468">
        <v>544</v>
      </c>
      <c r="Q306" s="491">
        <v>4</v>
      </c>
      <c r="R306" s="469">
        <v>136</v>
      </c>
    </row>
    <row r="307" spans="1:18" ht="14.45" customHeight="1" x14ac:dyDescent="0.2">
      <c r="A307" s="463"/>
      <c r="B307" s="464" t="s">
        <v>2144</v>
      </c>
      <c r="C307" s="464" t="s">
        <v>1921</v>
      </c>
      <c r="D307" s="464" t="s">
        <v>1930</v>
      </c>
      <c r="E307" s="464" t="s">
        <v>2170</v>
      </c>
      <c r="F307" s="464"/>
      <c r="G307" s="468">
        <v>1</v>
      </c>
      <c r="H307" s="468">
        <v>224</v>
      </c>
      <c r="I307" s="464">
        <v>1</v>
      </c>
      <c r="J307" s="464">
        <v>224</v>
      </c>
      <c r="K307" s="468">
        <v>1</v>
      </c>
      <c r="L307" s="468">
        <v>224</v>
      </c>
      <c r="M307" s="464">
        <v>1</v>
      </c>
      <c r="N307" s="464">
        <v>224</v>
      </c>
      <c r="O307" s="468">
        <v>37</v>
      </c>
      <c r="P307" s="468">
        <v>8288</v>
      </c>
      <c r="Q307" s="491">
        <v>37</v>
      </c>
      <c r="R307" s="469">
        <v>224</v>
      </c>
    </row>
    <row r="308" spans="1:18" ht="14.45" customHeight="1" x14ac:dyDescent="0.2">
      <c r="A308" s="463"/>
      <c r="B308" s="464" t="s">
        <v>2144</v>
      </c>
      <c r="C308" s="464" t="s">
        <v>1921</v>
      </c>
      <c r="D308" s="464" t="s">
        <v>1930</v>
      </c>
      <c r="E308" s="464" t="s">
        <v>2171</v>
      </c>
      <c r="F308" s="464"/>
      <c r="G308" s="468"/>
      <c r="H308" s="468"/>
      <c r="I308" s="464"/>
      <c r="J308" s="464"/>
      <c r="K308" s="468">
        <v>13</v>
      </c>
      <c r="L308" s="468">
        <v>14079</v>
      </c>
      <c r="M308" s="464">
        <v>1</v>
      </c>
      <c r="N308" s="464">
        <v>1083</v>
      </c>
      <c r="O308" s="468">
        <v>19</v>
      </c>
      <c r="P308" s="468">
        <v>20577</v>
      </c>
      <c r="Q308" s="491">
        <v>1.4615384615384615</v>
      </c>
      <c r="R308" s="469">
        <v>1083</v>
      </c>
    </row>
    <row r="309" spans="1:18" ht="14.45" customHeight="1" x14ac:dyDescent="0.2">
      <c r="A309" s="463"/>
      <c r="B309" s="464" t="s">
        <v>2144</v>
      </c>
      <c r="C309" s="464" t="s">
        <v>1921</v>
      </c>
      <c r="D309" s="464" t="s">
        <v>1930</v>
      </c>
      <c r="E309" s="464" t="s">
        <v>2172</v>
      </c>
      <c r="F309" s="464"/>
      <c r="G309" s="468"/>
      <c r="H309" s="468"/>
      <c r="I309" s="464"/>
      <c r="J309" s="464"/>
      <c r="K309" s="468">
        <v>1</v>
      </c>
      <c r="L309" s="468">
        <v>2450</v>
      </c>
      <c r="M309" s="464">
        <v>1</v>
      </c>
      <c r="N309" s="464">
        <v>2450</v>
      </c>
      <c r="O309" s="468"/>
      <c r="P309" s="468"/>
      <c r="Q309" s="491"/>
      <c r="R309" s="469"/>
    </row>
    <row r="310" spans="1:18" ht="14.45" customHeight="1" x14ac:dyDescent="0.2">
      <c r="A310" s="463"/>
      <c r="B310" s="464" t="s">
        <v>2144</v>
      </c>
      <c r="C310" s="464" t="s">
        <v>1921</v>
      </c>
      <c r="D310" s="464" t="s">
        <v>1930</v>
      </c>
      <c r="E310" s="464" t="s">
        <v>2173</v>
      </c>
      <c r="F310" s="464"/>
      <c r="G310" s="468"/>
      <c r="H310" s="468"/>
      <c r="I310" s="464"/>
      <c r="J310" s="464"/>
      <c r="K310" s="468"/>
      <c r="L310" s="468"/>
      <c r="M310" s="464"/>
      <c r="N310" s="464"/>
      <c r="O310" s="468">
        <v>4</v>
      </c>
      <c r="P310" s="468">
        <v>4332</v>
      </c>
      <c r="Q310" s="491"/>
      <c r="R310" s="469">
        <v>1083</v>
      </c>
    </row>
    <row r="311" spans="1:18" ht="14.45" customHeight="1" x14ac:dyDescent="0.2">
      <c r="A311" s="463"/>
      <c r="B311" s="464" t="s">
        <v>2144</v>
      </c>
      <c r="C311" s="464" t="s">
        <v>1921</v>
      </c>
      <c r="D311" s="464" t="s">
        <v>1930</v>
      </c>
      <c r="E311" s="464" t="s">
        <v>2174</v>
      </c>
      <c r="F311" s="464"/>
      <c r="G311" s="468"/>
      <c r="H311" s="468"/>
      <c r="I311" s="464"/>
      <c r="J311" s="464"/>
      <c r="K311" s="468"/>
      <c r="L311" s="468"/>
      <c r="M311" s="464"/>
      <c r="N311" s="464"/>
      <c r="O311" s="468">
        <v>1</v>
      </c>
      <c r="P311" s="468">
        <v>1654</v>
      </c>
      <c r="Q311" s="491"/>
      <c r="R311" s="469">
        <v>1654</v>
      </c>
    </row>
    <row r="312" spans="1:18" ht="14.45" customHeight="1" x14ac:dyDescent="0.2">
      <c r="A312" s="463"/>
      <c r="B312" s="464" t="s">
        <v>2144</v>
      </c>
      <c r="C312" s="464" t="s">
        <v>1921</v>
      </c>
      <c r="D312" s="464" t="s">
        <v>1930</v>
      </c>
      <c r="E312" s="464" t="s">
        <v>2175</v>
      </c>
      <c r="F312" s="464"/>
      <c r="G312" s="468"/>
      <c r="H312" s="468"/>
      <c r="I312" s="464"/>
      <c r="J312" s="464"/>
      <c r="K312" s="468">
        <v>1</v>
      </c>
      <c r="L312" s="468">
        <v>1289</v>
      </c>
      <c r="M312" s="464">
        <v>1</v>
      </c>
      <c r="N312" s="464">
        <v>1289</v>
      </c>
      <c r="O312" s="468"/>
      <c r="P312" s="468"/>
      <c r="Q312" s="491"/>
      <c r="R312" s="469"/>
    </row>
    <row r="313" spans="1:18" ht="14.45" customHeight="1" x14ac:dyDescent="0.2">
      <c r="A313" s="463"/>
      <c r="B313" s="464" t="s">
        <v>2144</v>
      </c>
      <c r="C313" s="464" t="s">
        <v>1921</v>
      </c>
      <c r="D313" s="464" t="s">
        <v>2019</v>
      </c>
      <c r="E313" s="464" t="s">
        <v>2024</v>
      </c>
      <c r="F313" s="464" t="s">
        <v>2025</v>
      </c>
      <c r="G313" s="468">
        <v>26</v>
      </c>
      <c r="H313" s="468">
        <v>2022.2300000000002</v>
      </c>
      <c r="I313" s="464">
        <v>0.59091174734529051</v>
      </c>
      <c r="J313" s="464">
        <v>77.778076923076938</v>
      </c>
      <c r="K313" s="468">
        <v>44</v>
      </c>
      <c r="L313" s="468">
        <v>3422.2200000000003</v>
      </c>
      <c r="M313" s="464">
        <v>1</v>
      </c>
      <c r="N313" s="464">
        <v>77.777727272727276</v>
      </c>
      <c r="O313" s="468">
        <v>73</v>
      </c>
      <c r="P313" s="468">
        <v>5677.78</v>
      </c>
      <c r="Q313" s="491">
        <v>1.6590926357744387</v>
      </c>
      <c r="R313" s="469">
        <v>77.777808219178084</v>
      </c>
    </row>
    <row r="314" spans="1:18" ht="14.45" customHeight="1" x14ac:dyDescent="0.2">
      <c r="A314" s="463"/>
      <c r="B314" s="464" t="s">
        <v>2144</v>
      </c>
      <c r="C314" s="464" t="s">
        <v>1921</v>
      </c>
      <c r="D314" s="464" t="s">
        <v>2019</v>
      </c>
      <c r="E314" s="464" t="s">
        <v>2026</v>
      </c>
      <c r="F314" s="464" t="s">
        <v>2027</v>
      </c>
      <c r="G314" s="468">
        <v>42</v>
      </c>
      <c r="H314" s="468">
        <v>10500</v>
      </c>
      <c r="I314" s="464">
        <v>0.8936170212765957</v>
      </c>
      <c r="J314" s="464">
        <v>250</v>
      </c>
      <c r="K314" s="468">
        <v>47</v>
      </c>
      <c r="L314" s="468">
        <v>11750</v>
      </c>
      <c r="M314" s="464">
        <v>1</v>
      </c>
      <c r="N314" s="464">
        <v>250</v>
      </c>
      <c r="O314" s="468">
        <v>30</v>
      </c>
      <c r="P314" s="468">
        <v>7500</v>
      </c>
      <c r="Q314" s="491">
        <v>0.63829787234042556</v>
      </c>
      <c r="R314" s="469">
        <v>250</v>
      </c>
    </row>
    <row r="315" spans="1:18" ht="14.45" customHeight="1" x14ac:dyDescent="0.2">
      <c r="A315" s="463"/>
      <c r="B315" s="464" t="s">
        <v>2144</v>
      </c>
      <c r="C315" s="464" t="s">
        <v>1921</v>
      </c>
      <c r="D315" s="464" t="s">
        <v>2019</v>
      </c>
      <c r="E315" s="464" t="s">
        <v>2028</v>
      </c>
      <c r="F315" s="464" t="s">
        <v>2029</v>
      </c>
      <c r="G315" s="468">
        <v>682</v>
      </c>
      <c r="H315" s="468">
        <v>204600</v>
      </c>
      <c r="I315" s="464">
        <v>0.88917861799217734</v>
      </c>
      <c r="J315" s="464">
        <v>300</v>
      </c>
      <c r="K315" s="468">
        <v>767</v>
      </c>
      <c r="L315" s="468">
        <v>230100</v>
      </c>
      <c r="M315" s="464">
        <v>1</v>
      </c>
      <c r="N315" s="464">
        <v>300</v>
      </c>
      <c r="O315" s="468">
        <v>764</v>
      </c>
      <c r="P315" s="468">
        <v>229200</v>
      </c>
      <c r="Q315" s="491">
        <v>0.99608865710560623</v>
      </c>
      <c r="R315" s="469">
        <v>300</v>
      </c>
    </row>
    <row r="316" spans="1:18" ht="14.45" customHeight="1" x14ac:dyDescent="0.2">
      <c r="A316" s="463"/>
      <c r="B316" s="464" t="s">
        <v>2144</v>
      </c>
      <c r="C316" s="464" t="s">
        <v>1921</v>
      </c>
      <c r="D316" s="464" t="s">
        <v>2019</v>
      </c>
      <c r="E316" s="464" t="s">
        <v>2030</v>
      </c>
      <c r="F316" s="464" t="s">
        <v>2031</v>
      </c>
      <c r="G316" s="468"/>
      <c r="H316" s="468"/>
      <c r="I316" s="464"/>
      <c r="J316" s="464"/>
      <c r="K316" s="468"/>
      <c r="L316" s="468"/>
      <c r="M316" s="464"/>
      <c r="N316" s="464"/>
      <c r="O316" s="468">
        <v>1</v>
      </c>
      <c r="P316" s="468">
        <v>116.67</v>
      </c>
      <c r="Q316" s="491"/>
      <c r="R316" s="469">
        <v>116.67</v>
      </c>
    </row>
    <row r="317" spans="1:18" ht="14.45" customHeight="1" x14ac:dyDescent="0.2">
      <c r="A317" s="463"/>
      <c r="B317" s="464" t="s">
        <v>2144</v>
      </c>
      <c r="C317" s="464" t="s">
        <v>1921</v>
      </c>
      <c r="D317" s="464" t="s">
        <v>2019</v>
      </c>
      <c r="E317" s="464" t="s">
        <v>2032</v>
      </c>
      <c r="F317" s="464" t="s">
        <v>2033</v>
      </c>
      <c r="G317" s="468"/>
      <c r="H317" s="468"/>
      <c r="I317" s="464"/>
      <c r="J317" s="464"/>
      <c r="K317" s="468"/>
      <c r="L317" s="468"/>
      <c r="M317" s="464"/>
      <c r="N317" s="464"/>
      <c r="O317" s="468">
        <v>1</v>
      </c>
      <c r="P317" s="468">
        <v>550</v>
      </c>
      <c r="Q317" s="491"/>
      <c r="R317" s="469">
        <v>550</v>
      </c>
    </row>
    <row r="318" spans="1:18" ht="14.45" customHeight="1" x14ac:dyDescent="0.2">
      <c r="A318" s="463"/>
      <c r="B318" s="464" t="s">
        <v>2144</v>
      </c>
      <c r="C318" s="464" t="s">
        <v>1921</v>
      </c>
      <c r="D318" s="464" t="s">
        <v>2019</v>
      </c>
      <c r="E318" s="464" t="s">
        <v>2047</v>
      </c>
      <c r="F318" s="464" t="s">
        <v>2048</v>
      </c>
      <c r="G318" s="468"/>
      <c r="H318" s="468"/>
      <c r="I318" s="464"/>
      <c r="J318" s="464"/>
      <c r="K318" s="468"/>
      <c r="L318" s="468"/>
      <c r="M318" s="464"/>
      <c r="N318" s="464"/>
      <c r="O318" s="468">
        <v>3</v>
      </c>
      <c r="P318" s="468">
        <v>1400</v>
      </c>
      <c r="Q318" s="491"/>
      <c r="R318" s="469">
        <v>466.66666666666669</v>
      </c>
    </row>
    <row r="319" spans="1:18" ht="14.45" customHeight="1" x14ac:dyDescent="0.2">
      <c r="A319" s="463"/>
      <c r="B319" s="464" t="s">
        <v>2144</v>
      </c>
      <c r="C319" s="464" t="s">
        <v>1921</v>
      </c>
      <c r="D319" s="464" t="s">
        <v>2019</v>
      </c>
      <c r="E319" s="464" t="s">
        <v>2049</v>
      </c>
      <c r="F319" s="464" t="s">
        <v>2050</v>
      </c>
      <c r="G319" s="468"/>
      <c r="H319" s="468"/>
      <c r="I319" s="464"/>
      <c r="J319" s="464"/>
      <c r="K319" s="468"/>
      <c r="L319" s="468"/>
      <c r="M319" s="464"/>
      <c r="N319" s="464"/>
      <c r="O319" s="468">
        <v>1</v>
      </c>
      <c r="P319" s="468">
        <v>61.11</v>
      </c>
      <c r="Q319" s="491"/>
      <c r="R319" s="469">
        <v>61.11</v>
      </c>
    </row>
    <row r="320" spans="1:18" ht="14.45" customHeight="1" x14ac:dyDescent="0.2">
      <c r="A320" s="463"/>
      <c r="B320" s="464" t="s">
        <v>2144</v>
      </c>
      <c r="C320" s="464" t="s">
        <v>1921</v>
      </c>
      <c r="D320" s="464" t="s">
        <v>2019</v>
      </c>
      <c r="E320" s="464" t="s">
        <v>2176</v>
      </c>
      <c r="F320" s="464" t="s">
        <v>2177</v>
      </c>
      <c r="G320" s="468">
        <v>378</v>
      </c>
      <c r="H320" s="468">
        <v>251999.99999999994</v>
      </c>
      <c r="I320" s="464">
        <v>0.8513513513513512</v>
      </c>
      <c r="J320" s="464">
        <v>666.66666666666652</v>
      </c>
      <c r="K320" s="468">
        <v>444</v>
      </c>
      <c r="L320" s="468">
        <v>296000</v>
      </c>
      <c r="M320" s="464">
        <v>1</v>
      </c>
      <c r="N320" s="464">
        <v>666.66666666666663</v>
      </c>
      <c r="O320" s="468">
        <v>415</v>
      </c>
      <c r="P320" s="468">
        <v>276666.67</v>
      </c>
      <c r="Q320" s="491">
        <v>0.93468469594594594</v>
      </c>
      <c r="R320" s="469">
        <v>666.66667469879519</v>
      </c>
    </row>
    <row r="321" spans="1:18" ht="14.45" customHeight="1" x14ac:dyDescent="0.2">
      <c r="A321" s="463"/>
      <c r="B321" s="464" t="s">
        <v>2144</v>
      </c>
      <c r="C321" s="464" t="s">
        <v>1921</v>
      </c>
      <c r="D321" s="464" t="s">
        <v>2019</v>
      </c>
      <c r="E321" s="464" t="s">
        <v>2178</v>
      </c>
      <c r="F321" s="464" t="s">
        <v>2179</v>
      </c>
      <c r="G321" s="468">
        <v>728</v>
      </c>
      <c r="H321" s="468">
        <v>169866.66999999998</v>
      </c>
      <c r="I321" s="464">
        <v>0.90434785988194955</v>
      </c>
      <c r="J321" s="464">
        <v>233.3333379120879</v>
      </c>
      <c r="K321" s="468">
        <v>805</v>
      </c>
      <c r="L321" s="468">
        <v>187833.33</v>
      </c>
      <c r="M321" s="464">
        <v>1</v>
      </c>
      <c r="N321" s="464">
        <v>233.33332919254656</v>
      </c>
      <c r="O321" s="468">
        <v>960</v>
      </c>
      <c r="P321" s="468">
        <v>224000.01</v>
      </c>
      <c r="Q321" s="491">
        <v>1.1925466582528246</v>
      </c>
      <c r="R321" s="469">
        <v>233.33334375000001</v>
      </c>
    </row>
    <row r="322" spans="1:18" ht="14.45" customHeight="1" x14ac:dyDescent="0.2">
      <c r="A322" s="463"/>
      <c r="B322" s="464" t="s">
        <v>2144</v>
      </c>
      <c r="C322" s="464" t="s">
        <v>1921</v>
      </c>
      <c r="D322" s="464" t="s">
        <v>2019</v>
      </c>
      <c r="E322" s="464" t="s">
        <v>2180</v>
      </c>
      <c r="F322" s="464" t="s">
        <v>2181</v>
      </c>
      <c r="G322" s="468">
        <v>428</v>
      </c>
      <c r="H322" s="468">
        <v>332888.89</v>
      </c>
      <c r="I322" s="464">
        <v>0.8475247289313379</v>
      </c>
      <c r="J322" s="464">
        <v>777.77778037383177</v>
      </c>
      <c r="K322" s="468">
        <v>505</v>
      </c>
      <c r="L322" s="468">
        <v>392777.79000000004</v>
      </c>
      <c r="M322" s="464">
        <v>1</v>
      </c>
      <c r="N322" s="464">
        <v>777.77780198019809</v>
      </c>
      <c r="O322" s="468">
        <v>540</v>
      </c>
      <c r="P322" s="468">
        <v>420000</v>
      </c>
      <c r="Q322" s="491">
        <v>1.0693068974190214</v>
      </c>
      <c r="R322" s="469">
        <v>777.77777777777783</v>
      </c>
    </row>
    <row r="323" spans="1:18" ht="14.45" customHeight="1" x14ac:dyDescent="0.2">
      <c r="A323" s="463"/>
      <c r="B323" s="464" t="s">
        <v>2144</v>
      </c>
      <c r="C323" s="464" t="s">
        <v>1921</v>
      </c>
      <c r="D323" s="464" t="s">
        <v>2019</v>
      </c>
      <c r="E323" s="464" t="s">
        <v>2145</v>
      </c>
      <c r="F323" s="464" t="s">
        <v>2146</v>
      </c>
      <c r="G323" s="468">
        <v>1031</v>
      </c>
      <c r="H323" s="468">
        <v>252022.22999999998</v>
      </c>
      <c r="I323" s="464">
        <v>0.94155249357148241</v>
      </c>
      <c r="J323" s="464">
        <v>244.44445198836078</v>
      </c>
      <c r="K323" s="468">
        <v>1095</v>
      </c>
      <c r="L323" s="468">
        <v>267666.67999999993</v>
      </c>
      <c r="M323" s="464">
        <v>1</v>
      </c>
      <c r="N323" s="464">
        <v>244.44445662100452</v>
      </c>
      <c r="O323" s="468">
        <v>1229</v>
      </c>
      <c r="P323" s="468">
        <v>300422.22000000003</v>
      </c>
      <c r="Q323" s="491">
        <v>1.1223743650124853</v>
      </c>
      <c r="R323" s="469">
        <v>244.44444263628969</v>
      </c>
    </row>
    <row r="324" spans="1:18" ht="14.45" customHeight="1" x14ac:dyDescent="0.2">
      <c r="A324" s="463"/>
      <c r="B324" s="464" t="s">
        <v>2144</v>
      </c>
      <c r="C324" s="464" t="s">
        <v>1921</v>
      </c>
      <c r="D324" s="464" t="s">
        <v>2019</v>
      </c>
      <c r="E324" s="464" t="s">
        <v>2182</v>
      </c>
      <c r="F324" s="464" t="s">
        <v>2183</v>
      </c>
      <c r="G324" s="468">
        <v>19</v>
      </c>
      <c r="H324" s="468">
        <v>9985.5600000000013</v>
      </c>
      <c r="I324" s="464">
        <v>0.59375053886454632</v>
      </c>
      <c r="J324" s="464">
        <v>525.55578947368429</v>
      </c>
      <c r="K324" s="468">
        <v>32</v>
      </c>
      <c r="L324" s="468">
        <v>16817.77</v>
      </c>
      <c r="M324" s="464">
        <v>1</v>
      </c>
      <c r="N324" s="464">
        <v>525.55531250000001</v>
      </c>
      <c r="O324" s="468">
        <v>53</v>
      </c>
      <c r="P324" s="468">
        <v>27854.43</v>
      </c>
      <c r="Q324" s="491">
        <v>1.6562499070923196</v>
      </c>
      <c r="R324" s="469">
        <v>525.55528301886795</v>
      </c>
    </row>
    <row r="325" spans="1:18" ht="14.45" customHeight="1" x14ac:dyDescent="0.2">
      <c r="A325" s="463"/>
      <c r="B325" s="464" t="s">
        <v>2144</v>
      </c>
      <c r="C325" s="464" t="s">
        <v>1921</v>
      </c>
      <c r="D325" s="464" t="s">
        <v>2019</v>
      </c>
      <c r="E325" s="464" t="s">
        <v>2184</v>
      </c>
      <c r="F325" s="464" t="s">
        <v>2185</v>
      </c>
      <c r="G325" s="468">
        <v>11</v>
      </c>
      <c r="H325" s="468">
        <v>11000</v>
      </c>
      <c r="I325" s="464">
        <v>0.6470588235294118</v>
      </c>
      <c r="J325" s="464">
        <v>1000</v>
      </c>
      <c r="K325" s="468">
        <v>17</v>
      </c>
      <c r="L325" s="468">
        <v>17000</v>
      </c>
      <c r="M325" s="464">
        <v>1</v>
      </c>
      <c r="N325" s="464">
        <v>1000</v>
      </c>
      <c r="O325" s="468">
        <v>18</v>
      </c>
      <c r="P325" s="468">
        <v>18000</v>
      </c>
      <c r="Q325" s="491">
        <v>1.0588235294117647</v>
      </c>
      <c r="R325" s="469">
        <v>1000</v>
      </c>
    </row>
    <row r="326" spans="1:18" ht="14.45" customHeight="1" x14ac:dyDescent="0.2">
      <c r="A326" s="463"/>
      <c r="B326" s="464" t="s">
        <v>2144</v>
      </c>
      <c r="C326" s="464" t="s">
        <v>1921</v>
      </c>
      <c r="D326" s="464" t="s">
        <v>2019</v>
      </c>
      <c r="E326" s="464" t="s">
        <v>2103</v>
      </c>
      <c r="F326" s="464" t="s">
        <v>2104</v>
      </c>
      <c r="G326" s="468">
        <v>1</v>
      </c>
      <c r="H326" s="468">
        <v>0</v>
      </c>
      <c r="I326" s="464"/>
      <c r="J326" s="464">
        <v>0</v>
      </c>
      <c r="K326" s="468"/>
      <c r="L326" s="468"/>
      <c r="M326" s="464"/>
      <c r="N326" s="464"/>
      <c r="O326" s="468">
        <v>2</v>
      </c>
      <c r="P326" s="468">
        <v>0</v>
      </c>
      <c r="Q326" s="491"/>
      <c r="R326" s="469">
        <v>0</v>
      </c>
    </row>
    <row r="327" spans="1:18" ht="14.45" customHeight="1" x14ac:dyDescent="0.2">
      <c r="A327" s="463"/>
      <c r="B327" s="464" t="s">
        <v>2144</v>
      </c>
      <c r="C327" s="464" t="s">
        <v>1921</v>
      </c>
      <c r="D327" s="464" t="s">
        <v>2019</v>
      </c>
      <c r="E327" s="464" t="s">
        <v>2055</v>
      </c>
      <c r="F327" s="464" t="s">
        <v>2056</v>
      </c>
      <c r="G327" s="468">
        <v>1179</v>
      </c>
      <c r="H327" s="468">
        <v>0</v>
      </c>
      <c r="I327" s="464"/>
      <c r="J327" s="464">
        <v>0</v>
      </c>
      <c r="K327" s="468">
        <v>1289</v>
      </c>
      <c r="L327" s="468">
        <v>0</v>
      </c>
      <c r="M327" s="464"/>
      <c r="N327" s="464">
        <v>0</v>
      </c>
      <c r="O327" s="468">
        <v>1275</v>
      </c>
      <c r="P327" s="468">
        <v>0</v>
      </c>
      <c r="Q327" s="491"/>
      <c r="R327" s="469">
        <v>0</v>
      </c>
    </row>
    <row r="328" spans="1:18" ht="14.45" customHeight="1" x14ac:dyDescent="0.2">
      <c r="A328" s="463"/>
      <c r="B328" s="464" t="s">
        <v>2144</v>
      </c>
      <c r="C328" s="464" t="s">
        <v>1921</v>
      </c>
      <c r="D328" s="464" t="s">
        <v>2019</v>
      </c>
      <c r="E328" s="464" t="s">
        <v>2057</v>
      </c>
      <c r="F328" s="464" t="s">
        <v>2058</v>
      </c>
      <c r="G328" s="468">
        <v>810</v>
      </c>
      <c r="H328" s="468">
        <v>247500</v>
      </c>
      <c r="I328" s="464">
        <v>0.888157915984639</v>
      </c>
      <c r="J328" s="464">
        <v>305.55555555555554</v>
      </c>
      <c r="K328" s="468">
        <v>912</v>
      </c>
      <c r="L328" s="468">
        <v>278666.66000000003</v>
      </c>
      <c r="M328" s="464">
        <v>1</v>
      </c>
      <c r="N328" s="464">
        <v>305.55554824561409</v>
      </c>
      <c r="O328" s="468">
        <v>992</v>
      </c>
      <c r="P328" s="468">
        <v>303111.12</v>
      </c>
      <c r="Q328" s="491">
        <v>1.0877193561655347</v>
      </c>
      <c r="R328" s="469">
        <v>305.55556451612904</v>
      </c>
    </row>
    <row r="329" spans="1:18" ht="14.45" customHeight="1" x14ac:dyDescent="0.2">
      <c r="A329" s="463"/>
      <c r="B329" s="464" t="s">
        <v>2144</v>
      </c>
      <c r="C329" s="464" t="s">
        <v>1921</v>
      </c>
      <c r="D329" s="464" t="s">
        <v>2019</v>
      </c>
      <c r="E329" s="464" t="s">
        <v>2059</v>
      </c>
      <c r="F329" s="464" t="s">
        <v>2060</v>
      </c>
      <c r="G329" s="468">
        <v>1807</v>
      </c>
      <c r="H329" s="468">
        <v>60233.349999999991</v>
      </c>
      <c r="I329" s="464">
        <v>0.80850123375822358</v>
      </c>
      <c r="J329" s="464">
        <v>33.333342556723849</v>
      </c>
      <c r="K329" s="468">
        <v>2235</v>
      </c>
      <c r="L329" s="468">
        <v>74500.009999999995</v>
      </c>
      <c r="M329" s="464">
        <v>1</v>
      </c>
      <c r="N329" s="464">
        <v>33.333337807606263</v>
      </c>
      <c r="O329" s="468">
        <v>487</v>
      </c>
      <c r="P329" s="468">
        <v>16233.33</v>
      </c>
      <c r="Q329" s="491">
        <v>0.21789701773194395</v>
      </c>
      <c r="R329" s="469">
        <v>33.333326488706362</v>
      </c>
    </row>
    <row r="330" spans="1:18" ht="14.45" customHeight="1" x14ac:dyDescent="0.2">
      <c r="A330" s="463"/>
      <c r="B330" s="464" t="s">
        <v>2144</v>
      </c>
      <c r="C330" s="464" t="s">
        <v>1921</v>
      </c>
      <c r="D330" s="464" t="s">
        <v>2019</v>
      </c>
      <c r="E330" s="464" t="s">
        <v>2061</v>
      </c>
      <c r="F330" s="464" t="s">
        <v>2062</v>
      </c>
      <c r="G330" s="468">
        <v>776</v>
      </c>
      <c r="H330" s="468">
        <v>353511.11999999994</v>
      </c>
      <c r="I330" s="464">
        <v>0.74187380978643258</v>
      </c>
      <c r="J330" s="464">
        <v>455.55556701030918</v>
      </c>
      <c r="K330" s="468">
        <v>1046</v>
      </c>
      <c r="L330" s="468">
        <v>476511.12</v>
      </c>
      <c r="M330" s="464">
        <v>1</v>
      </c>
      <c r="N330" s="464">
        <v>455.5555640535373</v>
      </c>
      <c r="O330" s="468">
        <v>1131</v>
      </c>
      <c r="P330" s="468">
        <v>515233.34</v>
      </c>
      <c r="Q330" s="491">
        <v>1.0812619441074114</v>
      </c>
      <c r="R330" s="469">
        <v>455.55556145004425</v>
      </c>
    </row>
    <row r="331" spans="1:18" ht="14.45" customHeight="1" x14ac:dyDescent="0.2">
      <c r="A331" s="463"/>
      <c r="B331" s="464" t="s">
        <v>2144</v>
      </c>
      <c r="C331" s="464" t="s">
        <v>1921</v>
      </c>
      <c r="D331" s="464" t="s">
        <v>2019</v>
      </c>
      <c r="E331" s="464" t="s">
        <v>2065</v>
      </c>
      <c r="F331" s="464" t="s">
        <v>2066</v>
      </c>
      <c r="G331" s="468">
        <v>907</v>
      </c>
      <c r="H331" s="468">
        <v>70544.44</v>
      </c>
      <c r="I331" s="464">
        <v>0.9051894862968789</v>
      </c>
      <c r="J331" s="464">
        <v>77.777772877618531</v>
      </c>
      <c r="K331" s="468">
        <v>1002</v>
      </c>
      <c r="L331" s="468">
        <v>77933.34</v>
      </c>
      <c r="M331" s="464">
        <v>1</v>
      </c>
      <c r="N331" s="464">
        <v>77.777784431137718</v>
      </c>
      <c r="O331" s="468">
        <v>1122</v>
      </c>
      <c r="P331" s="468">
        <v>87266.68</v>
      </c>
      <c r="Q331" s="491">
        <v>1.1197605543404145</v>
      </c>
      <c r="R331" s="469">
        <v>77.777789661319062</v>
      </c>
    </row>
    <row r="332" spans="1:18" ht="14.45" customHeight="1" x14ac:dyDescent="0.2">
      <c r="A332" s="463"/>
      <c r="B332" s="464" t="s">
        <v>2144</v>
      </c>
      <c r="C332" s="464" t="s">
        <v>1921</v>
      </c>
      <c r="D332" s="464" t="s">
        <v>2019</v>
      </c>
      <c r="E332" s="464" t="s">
        <v>2186</v>
      </c>
      <c r="F332" s="464" t="s">
        <v>2187</v>
      </c>
      <c r="G332" s="468">
        <v>421</v>
      </c>
      <c r="H332" s="468">
        <v>608111.1</v>
      </c>
      <c r="I332" s="464">
        <v>0.74777973051720426</v>
      </c>
      <c r="J332" s="464">
        <v>1444.4444180522564</v>
      </c>
      <c r="K332" s="468">
        <v>563</v>
      </c>
      <c r="L332" s="468">
        <v>813222.2300000001</v>
      </c>
      <c r="M332" s="464">
        <v>1</v>
      </c>
      <c r="N332" s="464">
        <v>1444.4444582593253</v>
      </c>
      <c r="O332" s="468">
        <v>495</v>
      </c>
      <c r="P332" s="468">
        <v>714999.98999999987</v>
      </c>
      <c r="Q332" s="491">
        <v>0.87921845176317892</v>
      </c>
      <c r="R332" s="469">
        <v>1444.444424242424</v>
      </c>
    </row>
    <row r="333" spans="1:18" ht="14.45" customHeight="1" x14ac:dyDescent="0.2">
      <c r="A333" s="463"/>
      <c r="B333" s="464" t="s">
        <v>2144</v>
      </c>
      <c r="C333" s="464" t="s">
        <v>1921</v>
      </c>
      <c r="D333" s="464" t="s">
        <v>2019</v>
      </c>
      <c r="E333" s="464" t="s">
        <v>2067</v>
      </c>
      <c r="F333" s="464" t="s">
        <v>2068</v>
      </c>
      <c r="G333" s="468"/>
      <c r="H333" s="468"/>
      <c r="I333" s="464"/>
      <c r="J333" s="464"/>
      <c r="K333" s="468"/>
      <c r="L333" s="468"/>
      <c r="M333" s="464"/>
      <c r="N333" s="464"/>
      <c r="O333" s="468">
        <v>0</v>
      </c>
      <c r="P333" s="468">
        <v>0</v>
      </c>
      <c r="Q333" s="491"/>
      <c r="R333" s="469"/>
    </row>
    <row r="334" spans="1:18" ht="14.45" customHeight="1" x14ac:dyDescent="0.2">
      <c r="A334" s="463"/>
      <c r="B334" s="464" t="s">
        <v>2144</v>
      </c>
      <c r="C334" s="464" t="s">
        <v>1921</v>
      </c>
      <c r="D334" s="464" t="s">
        <v>2019</v>
      </c>
      <c r="E334" s="464" t="s">
        <v>2071</v>
      </c>
      <c r="F334" s="464" t="s">
        <v>2072</v>
      </c>
      <c r="G334" s="468">
        <v>3</v>
      </c>
      <c r="H334" s="468">
        <v>283.33</v>
      </c>
      <c r="I334" s="464">
        <v>0.29999788234297575</v>
      </c>
      <c r="J334" s="464">
        <v>94.443333333333328</v>
      </c>
      <c r="K334" s="468">
        <v>10</v>
      </c>
      <c r="L334" s="468">
        <v>944.43999999999994</v>
      </c>
      <c r="M334" s="464">
        <v>1</v>
      </c>
      <c r="N334" s="464">
        <v>94.443999999999988</v>
      </c>
      <c r="O334" s="468">
        <v>17</v>
      </c>
      <c r="P334" s="468">
        <v>1605.55</v>
      </c>
      <c r="Q334" s="491">
        <v>1.7000021176570244</v>
      </c>
      <c r="R334" s="469">
        <v>94.444117647058818</v>
      </c>
    </row>
    <row r="335" spans="1:18" ht="14.45" customHeight="1" x14ac:dyDescent="0.2">
      <c r="A335" s="463"/>
      <c r="B335" s="464" t="s">
        <v>2144</v>
      </c>
      <c r="C335" s="464" t="s">
        <v>1921</v>
      </c>
      <c r="D335" s="464" t="s">
        <v>2019</v>
      </c>
      <c r="E335" s="464" t="s">
        <v>2075</v>
      </c>
      <c r="F335" s="464" t="s">
        <v>2076</v>
      </c>
      <c r="G335" s="468">
        <v>6</v>
      </c>
      <c r="H335" s="468">
        <v>580.01</v>
      </c>
      <c r="I335" s="464">
        <v>0.24000480001324143</v>
      </c>
      <c r="J335" s="464">
        <v>96.668333333333337</v>
      </c>
      <c r="K335" s="468">
        <v>25</v>
      </c>
      <c r="L335" s="468">
        <v>2416.66</v>
      </c>
      <c r="M335" s="464">
        <v>1</v>
      </c>
      <c r="N335" s="464">
        <v>96.666399999999996</v>
      </c>
      <c r="O335" s="468">
        <v>14</v>
      </c>
      <c r="P335" s="468">
        <v>1353.34</v>
      </c>
      <c r="Q335" s="491">
        <v>0.56000430346014751</v>
      </c>
      <c r="R335" s="469">
        <v>96.667142857142849</v>
      </c>
    </row>
    <row r="336" spans="1:18" ht="14.45" customHeight="1" x14ac:dyDescent="0.2">
      <c r="A336" s="463"/>
      <c r="B336" s="464" t="s">
        <v>2144</v>
      </c>
      <c r="C336" s="464" t="s">
        <v>1921</v>
      </c>
      <c r="D336" s="464" t="s">
        <v>2019</v>
      </c>
      <c r="E336" s="464" t="s">
        <v>2188</v>
      </c>
      <c r="F336" s="464" t="s">
        <v>2189</v>
      </c>
      <c r="G336" s="468">
        <v>496</v>
      </c>
      <c r="H336" s="468">
        <v>173600</v>
      </c>
      <c r="I336" s="464">
        <v>0.93233082706766912</v>
      </c>
      <c r="J336" s="464">
        <v>350</v>
      </c>
      <c r="K336" s="468">
        <v>532</v>
      </c>
      <c r="L336" s="468">
        <v>186200</v>
      </c>
      <c r="M336" s="464">
        <v>1</v>
      </c>
      <c r="N336" s="464">
        <v>350</v>
      </c>
      <c r="O336" s="468">
        <v>517</v>
      </c>
      <c r="P336" s="468">
        <v>180950</v>
      </c>
      <c r="Q336" s="491">
        <v>0.97180451127819545</v>
      </c>
      <c r="R336" s="469">
        <v>350</v>
      </c>
    </row>
    <row r="337" spans="1:18" ht="14.45" customHeight="1" x14ac:dyDescent="0.2">
      <c r="A337" s="463"/>
      <c r="B337" s="464" t="s">
        <v>2144</v>
      </c>
      <c r="C337" s="464" t="s">
        <v>1921</v>
      </c>
      <c r="D337" s="464" t="s">
        <v>2019</v>
      </c>
      <c r="E337" s="464" t="s">
        <v>2190</v>
      </c>
      <c r="F337" s="464" t="s">
        <v>2191</v>
      </c>
      <c r="G337" s="468">
        <v>39</v>
      </c>
      <c r="H337" s="468">
        <v>2296.67</v>
      </c>
      <c r="I337" s="464">
        <v>0.86666792452830188</v>
      </c>
      <c r="J337" s="464">
        <v>58.888974358974359</v>
      </c>
      <c r="K337" s="468">
        <v>45</v>
      </c>
      <c r="L337" s="468">
        <v>2650</v>
      </c>
      <c r="M337" s="464">
        <v>1</v>
      </c>
      <c r="N337" s="464">
        <v>58.888888888888886</v>
      </c>
      <c r="O337" s="468">
        <v>29</v>
      </c>
      <c r="P337" s="468">
        <v>1707.7700000000002</v>
      </c>
      <c r="Q337" s="491">
        <v>0.64444150943396239</v>
      </c>
      <c r="R337" s="469">
        <v>58.888620689655177</v>
      </c>
    </row>
    <row r="338" spans="1:18" ht="14.45" customHeight="1" x14ac:dyDescent="0.2">
      <c r="A338" s="463"/>
      <c r="B338" s="464" t="s">
        <v>2144</v>
      </c>
      <c r="C338" s="464" t="s">
        <v>1921</v>
      </c>
      <c r="D338" s="464" t="s">
        <v>2019</v>
      </c>
      <c r="E338" s="464" t="s">
        <v>2192</v>
      </c>
      <c r="F338" s="464" t="s">
        <v>2193</v>
      </c>
      <c r="G338" s="468">
        <v>696</v>
      </c>
      <c r="H338" s="468">
        <v>89706.67</v>
      </c>
      <c r="I338" s="464">
        <v>0.90389608688445555</v>
      </c>
      <c r="J338" s="464">
        <v>128.88889367816091</v>
      </c>
      <c r="K338" s="468">
        <v>770</v>
      </c>
      <c r="L338" s="468">
        <v>99244.45</v>
      </c>
      <c r="M338" s="464">
        <v>1</v>
      </c>
      <c r="N338" s="464">
        <v>128.88889610389609</v>
      </c>
      <c r="O338" s="468">
        <v>763</v>
      </c>
      <c r="P338" s="468">
        <v>98342.22</v>
      </c>
      <c r="Q338" s="491">
        <v>0.99090901304808487</v>
      </c>
      <c r="R338" s="469">
        <v>128.88888597640891</v>
      </c>
    </row>
    <row r="339" spans="1:18" ht="14.45" customHeight="1" x14ac:dyDescent="0.2">
      <c r="A339" s="463"/>
      <c r="B339" s="464" t="s">
        <v>2144</v>
      </c>
      <c r="C339" s="464" t="s">
        <v>1921</v>
      </c>
      <c r="D339" s="464" t="s">
        <v>2019</v>
      </c>
      <c r="E339" s="464" t="s">
        <v>2083</v>
      </c>
      <c r="F339" s="464" t="s">
        <v>2084</v>
      </c>
      <c r="G339" s="468">
        <v>1885</v>
      </c>
      <c r="H339" s="468">
        <v>92155.55</v>
      </c>
      <c r="I339" s="464">
        <v>0.77285768198591076</v>
      </c>
      <c r="J339" s="464">
        <v>48.888885941644567</v>
      </c>
      <c r="K339" s="468">
        <v>2439</v>
      </c>
      <c r="L339" s="468">
        <v>119240</v>
      </c>
      <c r="M339" s="464">
        <v>1</v>
      </c>
      <c r="N339" s="464">
        <v>48.888888888888886</v>
      </c>
      <c r="O339" s="468">
        <v>2763</v>
      </c>
      <c r="P339" s="468">
        <v>135080</v>
      </c>
      <c r="Q339" s="491">
        <v>1.1328413284132841</v>
      </c>
      <c r="R339" s="469">
        <v>48.888888888888886</v>
      </c>
    </row>
    <row r="340" spans="1:18" ht="14.45" customHeight="1" x14ac:dyDescent="0.2">
      <c r="A340" s="463"/>
      <c r="B340" s="464" t="s">
        <v>2144</v>
      </c>
      <c r="C340" s="464" t="s">
        <v>1921</v>
      </c>
      <c r="D340" s="464" t="s">
        <v>2019</v>
      </c>
      <c r="E340" s="464" t="s">
        <v>2194</v>
      </c>
      <c r="F340" s="464" t="s">
        <v>2195</v>
      </c>
      <c r="G340" s="468">
        <v>2030</v>
      </c>
      <c r="H340" s="468">
        <v>1804444.44</v>
      </c>
      <c r="I340" s="464">
        <v>0.75018477376688586</v>
      </c>
      <c r="J340" s="464">
        <v>888.88888669950734</v>
      </c>
      <c r="K340" s="468">
        <v>2706</v>
      </c>
      <c r="L340" s="468">
        <v>2405333.3299999996</v>
      </c>
      <c r="M340" s="464">
        <v>1</v>
      </c>
      <c r="N340" s="464">
        <v>888.88888765705826</v>
      </c>
      <c r="O340" s="468">
        <v>2748</v>
      </c>
      <c r="P340" s="468">
        <v>2442666.67</v>
      </c>
      <c r="Q340" s="491">
        <v>1.0155210670946802</v>
      </c>
      <c r="R340" s="469">
        <v>888.88889010189223</v>
      </c>
    </row>
    <row r="341" spans="1:18" ht="14.45" customHeight="1" x14ac:dyDescent="0.2">
      <c r="A341" s="463"/>
      <c r="B341" s="464" t="s">
        <v>2144</v>
      </c>
      <c r="C341" s="464" t="s">
        <v>1921</v>
      </c>
      <c r="D341" s="464" t="s">
        <v>2019</v>
      </c>
      <c r="E341" s="464" t="s">
        <v>2196</v>
      </c>
      <c r="F341" s="464" t="s">
        <v>2197</v>
      </c>
      <c r="G341" s="468">
        <v>47</v>
      </c>
      <c r="H341" s="468">
        <v>15666.67</v>
      </c>
      <c r="I341" s="464">
        <v>1.0930237425636611</v>
      </c>
      <c r="J341" s="464">
        <v>333.33340425531912</v>
      </c>
      <c r="K341" s="468">
        <v>43</v>
      </c>
      <c r="L341" s="468">
        <v>14333.33</v>
      </c>
      <c r="M341" s="464">
        <v>1</v>
      </c>
      <c r="N341" s="464">
        <v>333.33325581395349</v>
      </c>
      <c r="O341" s="468">
        <v>64</v>
      </c>
      <c r="P341" s="468">
        <v>21333.33</v>
      </c>
      <c r="Q341" s="491">
        <v>1.4883722065981877</v>
      </c>
      <c r="R341" s="469">
        <v>333.33328125000003</v>
      </c>
    </row>
    <row r="342" spans="1:18" ht="14.45" customHeight="1" x14ac:dyDescent="0.2">
      <c r="A342" s="463"/>
      <c r="B342" s="464" t="s">
        <v>2144</v>
      </c>
      <c r="C342" s="464" t="s">
        <v>1921</v>
      </c>
      <c r="D342" s="464" t="s">
        <v>2019</v>
      </c>
      <c r="E342" s="464" t="s">
        <v>2140</v>
      </c>
      <c r="F342" s="464" t="s">
        <v>2141</v>
      </c>
      <c r="G342" s="468">
        <v>1</v>
      </c>
      <c r="H342" s="468">
        <v>645.55999999999995</v>
      </c>
      <c r="I342" s="464"/>
      <c r="J342" s="464">
        <v>645.55999999999995</v>
      </c>
      <c r="K342" s="468"/>
      <c r="L342" s="468"/>
      <c r="M342" s="464"/>
      <c r="N342" s="464"/>
      <c r="O342" s="468"/>
      <c r="P342" s="468"/>
      <c r="Q342" s="491"/>
      <c r="R342" s="469"/>
    </row>
    <row r="343" spans="1:18" ht="14.45" customHeight="1" x14ac:dyDescent="0.2">
      <c r="A343" s="463"/>
      <c r="B343" s="464" t="s">
        <v>2144</v>
      </c>
      <c r="C343" s="464" t="s">
        <v>1921</v>
      </c>
      <c r="D343" s="464" t="s">
        <v>2019</v>
      </c>
      <c r="E343" s="464" t="s">
        <v>2089</v>
      </c>
      <c r="F343" s="464" t="s">
        <v>2090</v>
      </c>
      <c r="G343" s="468">
        <v>1</v>
      </c>
      <c r="H343" s="468">
        <v>222.22</v>
      </c>
      <c r="I343" s="464"/>
      <c r="J343" s="464">
        <v>222.22</v>
      </c>
      <c r="K343" s="468"/>
      <c r="L343" s="468"/>
      <c r="M343" s="464"/>
      <c r="N343" s="464"/>
      <c r="O343" s="468"/>
      <c r="P343" s="468"/>
      <c r="Q343" s="491"/>
      <c r="R343" s="469"/>
    </row>
    <row r="344" spans="1:18" ht="14.45" customHeight="1" thickBot="1" x14ac:dyDescent="0.25">
      <c r="A344" s="470"/>
      <c r="B344" s="471" t="s">
        <v>2144</v>
      </c>
      <c r="C344" s="471" t="s">
        <v>1921</v>
      </c>
      <c r="D344" s="471" t="s">
        <v>2019</v>
      </c>
      <c r="E344" s="471" t="s">
        <v>2198</v>
      </c>
      <c r="F344" s="471" t="s">
        <v>2199</v>
      </c>
      <c r="G344" s="475">
        <v>1</v>
      </c>
      <c r="H344" s="475">
        <v>233.33</v>
      </c>
      <c r="I344" s="471"/>
      <c r="J344" s="471">
        <v>233.33</v>
      </c>
      <c r="K344" s="475"/>
      <c r="L344" s="475"/>
      <c r="M344" s="471"/>
      <c r="N344" s="471"/>
      <c r="O344" s="475"/>
      <c r="P344" s="475"/>
      <c r="Q344" s="483"/>
      <c r="R344" s="476"/>
    </row>
  </sheetData>
  <autoFilter ref="A5:R5" xr:uid="{00000000-0009-0000-0000-000022000000}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 xr:uid="{86E11466-1DC0-46D3-8CC5-01DC74354C8E}"/>
  </hyperlinks>
  <pageMargins left="0.25" right="0.25" top="0.75" bottom="0.75" header="0.3" footer="0.3"/>
  <pageSetup paperSize="9" scale="7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List58">
    <tabColor theme="0" tint="-0.249977111117893"/>
    <outlinePr summaryRight="0"/>
    <pageSetUpPr fitToPage="1"/>
  </sheetPr>
  <dimension ref="A1:S344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ColWidth="8.85546875" defaultRowHeight="14.45" customHeight="1" outlineLevelCol="1" x14ac:dyDescent="0.2"/>
  <cols>
    <col min="1" max="1" width="3.28515625" style="114" customWidth="1"/>
    <col min="2" max="2" width="8.7109375" style="114" bestFit="1" customWidth="1"/>
    <col min="3" max="3" width="6.140625" style="114" customWidth="1"/>
    <col min="4" max="4" width="27.7109375" style="114" customWidth="1"/>
    <col min="5" max="5" width="2.140625" style="114" bestFit="1" customWidth="1"/>
    <col min="6" max="6" width="8" style="114" customWidth="1"/>
    <col min="7" max="7" width="50.85546875" style="114" bestFit="1" customWidth="1" collapsed="1"/>
    <col min="8" max="9" width="11.140625" style="189" hidden="1" customWidth="1" outlineLevel="1"/>
    <col min="10" max="11" width="9.28515625" style="114" hidden="1" customWidth="1"/>
    <col min="12" max="13" width="11.140625" style="189" customWidth="1"/>
    <col min="14" max="15" width="9.28515625" style="114" hidden="1" customWidth="1"/>
    <col min="16" max="17" width="11.140625" style="189" customWidth="1"/>
    <col min="18" max="18" width="11.140625" style="192" customWidth="1"/>
    <col min="19" max="19" width="11.140625" style="189" customWidth="1"/>
    <col min="20" max="16384" width="8.85546875" style="114"/>
  </cols>
  <sheetData>
    <row r="1" spans="1:19" ht="18.600000000000001" customHeight="1" thickBot="1" x14ac:dyDescent="0.35">
      <c r="A1" s="304" t="s">
        <v>2201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336"/>
      <c r="S1" s="336"/>
    </row>
    <row r="2" spans="1:19" ht="14.45" customHeight="1" thickBot="1" x14ac:dyDescent="0.25">
      <c r="A2" s="207" t="s">
        <v>242</v>
      </c>
      <c r="B2" s="179"/>
      <c r="C2" s="179"/>
      <c r="D2" s="179"/>
      <c r="E2" s="96"/>
      <c r="F2" s="96"/>
      <c r="G2" s="96"/>
      <c r="H2" s="205"/>
      <c r="I2" s="205"/>
      <c r="J2" s="96"/>
      <c r="K2" s="96"/>
      <c r="L2" s="205"/>
      <c r="M2" s="205"/>
      <c r="N2" s="96"/>
      <c r="O2" s="96"/>
      <c r="P2" s="205"/>
      <c r="Q2" s="205"/>
      <c r="R2" s="204"/>
      <c r="S2" s="205"/>
    </row>
    <row r="3" spans="1:19" ht="14.45" customHeight="1" thickBot="1" x14ac:dyDescent="0.25">
      <c r="G3" s="73" t="s">
        <v>107</v>
      </c>
      <c r="H3" s="88">
        <f t="shared" ref="H3:Q3" si="0">SUBTOTAL(9,H6:H1048576)</f>
        <v>77928</v>
      </c>
      <c r="I3" s="89">
        <f t="shared" si="0"/>
        <v>19118571.150000002</v>
      </c>
      <c r="J3" s="66"/>
      <c r="K3" s="66"/>
      <c r="L3" s="89">
        <f t="shared" si="0"/>
        <v>76957</v>
      </c>
      <c r="M3" s="89">
        <f t="shared" si="0"/>
        <v>19841766.609999988</v>
      </c>
      <c r="N3" s="66"/>
      <c r="O3" s="66"/>
      <c r="P3" s="89">
        <f t="shared" si="0"/>
        <v>69095</v>
      </c>
      <c r="Q3" s="89">
        <f t="shared" si="0"/>
        <v>19636501.68</v>
      </c>
      <c r="R3" s="67">
        <f>IF(M3=0,0,Q3/M3)</f>
        <v>0.9896549065395952</v>
      </c>
      <c r="S3" s="90">
        <f>IF(P3=0,0,Q3/P3)</f>
        <v>284.195696938997</v>
      </c>
    </row>
    <row r="4" spans="1:19" ht="14.45" customHeight="1" x14ac:dyDescent="0.2">
      <c r="A4" s="406" t="s">
        <v>184</v>
      </c>
      <c r="B4" s="406" t="s">
        <v>81</v>
      </c>
      <c r="C4" s="414" t="s">
        <v>0</v>
      </c>
      <c r="D4" s="241" t="s">
        <v>115</v>
      </c>
      <c r="E4" s="408" t="s">
        <v>82</v>
      </c>
      <c r="F4" s="413" t="s">
        <v>57</v>
      </c>
      <c r="G4" s="409" t="s">
        <v>56</v>
      </c>
      <c r="H4" s="410">
        <v>2015</v>
      </c>
      <c r="I4" s="411"/>
      <c r="J4" s="87"/>
      <c r="K4" s="87"/>
      <c r="L4" s="410">
        <v>2018</v>
      </c>
      <c r="M4" s="411"/>
      <c r="N4" s="87"/>
      <c r="O4" s="87"/>
      <c r="P4" s="410">
        <v>2019</v>
      </c>
      <c r="Q4" s="411"/>
      <c r="R4" s="412" t="s">
        <v>2</v>
      </c>
      <c r="S4" s="407" t="s">
        <v>83</v>
      </c>
    </row>
    <row r="5" spans="1:19" ht="14.45" customHeight="1" thickBot="1" x14ac:dyDescent="0.25">
      <c r="A5" s="544"/>
      <c r="B5" s="544"/>
      <c r="C5" s="545"/>
      <c r="D5" s="554"/>
      <c r="E5" s="546"/>
      <c r="F5" s="547"/>
      <c r="G5" s="548"/>
      <c r="H5" s="549" t="s">
        <v>58</v>
      </c>
      <c r="I5" s="550" t="s">
        <v>14</v>
      </c>
      <c r="J5" s="551"/>
      <c r="K5" s="551"/>
      <c r="L5" s="549" t="s">
        <v>58</v>
      </c>
      <c r="M5" s="550" t="s">
        <v>14</v>
      </c>
      <c r="N5" s="551"/>
      <c r="O5" s="551"/>
      <c r="P5" s="549" t="s">
        <v>58</v>
      </c>
      <c r="Q5" s="550" t="s">
        <v>14</v>
      </c>
      <c r="R5" s="552"/>
      <c r="S5" s="553"/>
    </row>
    <row r="6" spans="1:19" ht="14.45" customHeight="1" x14ac:dyDescent="0.2">
      <c r="A6" s="456"/>
      <c r="B6" s="457" t="s">
        <v>1929</v>
      </c>
      <c r="C6" s="457" t="s">
        <v>444</v>
      </c>
      <c r="D6" s="457" t="s">
        <v>1920</v>
      </c>
      <c r="E6" s="457" t="s">
        <v>1930</v>
      </c>
      <c r="F6" s="457" t="s">
        <v>1931</v>
      </c>
      <c r="G6" s="457"/>
      <c r="H6" s="461">
        <v>1</v>
      </c>
      <c r="I6" s="461">
        <v>277</v>
      </c>
      <c r="J6" s="457"/>
      <c r="K6" s="457">
        <v>277</v>
      </c>
      <c r="L6" s="461"/>
      <c r="M6" s="461"/>
      <c r="N6" s="457"/>
      <c r="O6" s="457"/>
      <c r="P6" s="461"/>
      <c r="Q6" s="461"/>
      <c r="R6" s="482"/>
      <c r="S6" s="462"/>
    </row>
    <row r="7" spans="1:19" ht="14.45" customHeight="1" x14ac:dyDescent="0.2">
      <c r="A7" s="463"/>
      <c r="B7" s="464" t="s">
        <v>1929</v>
      </c>
      <c r="C7" s="464" t="s">
        <v>444</v>
      </c>
      <c r="D7" s="464" t="s">
        <v>1920</v>
      </c>
      <c r="E7" s="464" t="s">
        <v>1930</v>
      </c>
      <c r="F7" s="464" t="s">
        <v>1932</v>
      </c>
      <c r="G7" s="464"/>
      <c r="H7" s="468">
        <v>2</v>
      </c>
      <c r="I7" s="468">
        <v>226</v>
      </c>
      <c r="J7" s="464">
        <v>0.5</v>
      </c>
      <c r="K7" s="464">
        <v>113</v>
      </c>
      <c r="L7" s="468">
        <v>4</v>
      </c>
      <c r="M7" s="468">
        <v>452</v>
      </c>
      <c r="N7" s="464">
        <v>1</v>
      </c>
      <c r="O7" s="464">
        <v>113</v>
      </c>
      <c r="P7" s="468">
        <v>2</v>
      </c>
      <c r="Q7" s="468">
        <v>226</v>
      </c>
      <c r="R7" s="491">
        <v>0.5</v>
      </c>
      <c r="S7" s="469">
        <v>113</v>
      </c>
    </row>
    <row r="8" spans="1:19" ht="14.45" customHeight="1" x14ac:dyDescent="0.2">
      <c r="A8" s="463"/>
      <c r="B8" s="464" t="s">
        <v>1929</v>
      </c>
      <c r="C8" s="464" t="s">
        <v>444</v>
      </c>
      <c r="D8" s="464" t="s">
        <v>1920</v>
      </c>
      <c r="E8" s="464" t="s">
        <v>1930</v>
      </c>
      <c r="F8" s="464" t="s">
        <v>1933</v>
      </c>
      <c r="G8" s="464"/>
      <c r="H8" s="468">
        <v>1</v>
      </c>
      <c r="I8" s="468">
        <v>333</v>
      </c>
      <c r="J8" s="464">
        <v>0.33333333333333331</v>
      </c>
      <c r="K8" s="464">
        <v>333</v>
      </c>
      <c r="L8" s="468">
        <v>3</v>
      </c>
      <c r="M8" s="468">
        <v>999</v>
      </c>
      <c r="N8" s="464">
        <v>1</v>
      </c>
      <c r="O8" s="464">
        <v>333</v>
      </c>
      <c r="P8" s="468"/>
      <c r="Q8" s="468"/>
      <c r="R8" s="491"/>
      <c r="S8" s="469"/>
    </row>
    <row r="9" spans="1:19" ht="14.45" customHeight="1" x14ac:dyDescent="0.2">
      <c r="A9" s="463"/>
      <c r="B9" s="464" t="s">
        <v>1929</v>
      </c>
      <c r="C9" s="464" t="s">
        <v>444</v>
      </c>
      <c r="D9" s="464" t="s">
        <v>1920</v>
      </c>
      <c r="E9" s="464" t="s">
        <v>1930</v>
      </c>
      <c r="F9" s="464" t="s">
        <v>1934</v>
      </c>
      <c r="G9" s="464"/>
      <c r="H9" s="468"/>
      <c r="I9" s="468"/>
      <c r="J9" s="464"/>
      <c r="K9" s="464"/>
      <c r="L9" s="468"/>
      <c r="M9" s="468"/>
      <c r="N9" s="464"/>
      <c r="O9" s="464"/>
      <c r="P9" s="468">
        <v>1</v>
      </c>
      <c r="Q9" s="468">
        <v>1657</v>
      </c>
      <c r="R9" s="491"/>
      <c r="S9" s="469">
        <v>1657</v>
      </c>
    </row>
    <row r="10" spans="1:19" ht="14.45" customHeight="1" x14ac:dyDescent="0.2">
      <c r="A10" s="463"/>
      <c r="B10" s="464" t="s">
        <v>1929</v>
      </c>
      <c r="C10" s="464" t="s">
        <v>444</v>
      </c>
      <c r="D10" s="464" t="s">
        <v>1920</v>
      </c>
      <c r="E10" s="464" t="s">
        <v>1930</v>
      </c>
      <c r="F10" s="464" t="s">
        <v>1935</v>
      </c>
      <c r="G10" s="464"/>
      <c r="H10" s="468"/>
      <c r="I10" s="468"/>
      <c r="J10" s="464"/>
      <c r="K10" s="464"/>
      <c r="L10" s="468">
        <v>1</v>
      </c>
      <c r="M10" s="468">
        <v>1008</v>
      </c>
      <c r="N10" s="464">
        <v>1</v>
      </c>
      <c r="O10" s="464">
        <v>1008</v>
      </c>
      <c r="P10" s="468"/>
      <c r="Q10" s="468"/>
      <c r="R10" s="491"/>
      <c r="S10" s="469"/>
    </row>
    <row r="11" spans="1:19" ht="14.45" customHeight="1" x14ac:dyDescent="0.2">
      <c r="A11" s="463"/>
      <c r="B11" s="464" t="s">
        <v>1929</v>
      </c>
      <c r="C11" s="464" t="s">
        <v>444</v>
      </c>
      <c r="D11" s="464" t="s">
        <v>1920</v>
      </c>
      <c r="E11" s="464" t="s">
        <v>1930</v>
      </c>
      <c r="F11" s="464" t="s">
        <v>1936</v>
      </c>
      <c r="G11" s="464"/>
      <c r="H11" s="468">
        <v>176</v>
      </c>
      <c r="I11" s="468">
        <v>19888</v>
      </c>
      <c r="J11" s="464">
        <v>1.4426229508196722</v>
      </c>
      <c r="K11" s="464">
        <v>113</v>
      </c>
      <c r="L11" s="468">
        <v>122</v>
      </c>
      <c r="M11" s="468">
        <v>13786</v>
      </c>
      <c r="N11" s="464">
        <v>1</v>
      </c>
      <c r="O11" s="464">
        <v>113</v>
      </c>
      <c r="P11" s="468">
        <v>129</v>
      </c>
      <c r="Q11" s="468">
        <v>14577</v>
      </c>
      <c r="R11" s="491">
        <v>1.0573770491803278</v>
      </c>
      <c r="S11" s="469">
        <v>113</v>
      </c>
    </row>
    <row r="12" spans="1:19" ht="14.45" customHeight="1" x14ac:dyDescent="0.2">
      <c r="A12" s="463"/>
      <c r="B12" s="464" t="s">
        <v>1929</v>
      </c>
      <c r="C12" s="464" t="s">
        <v>444</v>
      </c>
      <c r="D12" s="464" t="s">
        <v>1920</v>
      </c>
      <c r="E12" s="464" t="s">
        <v>1930</v>
      </c>
      <c r="F12" s="464" t="s">
        <v>1937</v>
      </c>
      <c r="G12" s="464"/>
      <c r="H12" s="468">
        <v>1</v>
      </c>
      <c r="I12" s="468">
        <v>132</v>
      </c>
      <c r="J12" s="464">
        <v>1</v>
      </c>
      <c r="K12" s="464">
        <v>132</v>
      </c>
      <c r="L12" s="468">
        <v>1</v>
      </c>
      <c r="M12" s="468">
        <v>132</v>
      </c>
      <c r="N12" s="464">
        <v>1</v>
      </c>
      <c r="O12" s="464">
        <v>132</v>
      </c>
      <c r="P12" s="468"/>
      <c r="Q12" s="468"/>
      <c r="R12" s="491"/>
      <c r="S12" s="469"/>
    </row>
    <row r="13" spans="1:19" ht="14.45" customHeight="1" x14ac:dyDescent="0.2">
      <c r="A13" s="463"/>
      <c r="B13" s="464" t="s">
        <v>1929</v>
      </c>
      <c r="C13" s="464" t="s">
        <v>444</v>
      </c>
      <c r="D13" s="464" t="s">
        <v>1920</v>
      </c>
      <c r="E13" s="464" t="s">
        <v>1930</v>
      </c>
      <c r="F13" s="464" t="s">
        <v>1938</v>
      </c>
      <c r="G13" s="464"/>
      <c r="H13" s="468">
        <v>1</v>
      </c>
      <c r="I13" s="468">
        <v>156</v>
      </c>
      <c r="J13" s="464">
        <v>0.25</v>
      </c>
      <c r="K13" s="464">
        <v>156</v>
      </c>
      <c r="L13" s="468">
        <v>4</v>
      </c>
      <c r="M13" s="468">
        <v>624</v>
      </c>
      <c r="N13" s="464">
        <v>1</v>
      </c>
      <c r="O13" s="464">
        <v>156</v>
      </c>
      <c r="P13" s="468"/>
      <c r="Q13" s="468"/>
      <c r="R13" s="491"/>
      <c r="S13" s="469"/>
    </row>
    <row r="14" spans="1:19" ht="14.45" customHeight="1" x14ac:dyDescent="0.2">
      <c r="A14" s="463"/>
      <c r="B14" s="464" t="s">
        <v>1929</v>
      </c>
      <c r="C14" s="464" t="s">
        <v>444</v>
      </c>
      <c r="D14" s="464" t="s">
        <v>1920</v>
      </c>
      <c r="E14" s="464" t="s">
        <v>1930</v>
      </c>
      <c r="F14" s="464" t="s">
        <v>1939</v>
      </c>
      <c r="G14" s="464"/>
      <c r="H14" s="468">
        <v>13</v>
      </c>
      <c r="I14" s="468">
        <v>2847</v>
      </c>
      <c r="J14" s="464">
        <v>4.333333333333333</v>
      </c>
      <c r="K14" s="464">
        <v>219</v>
      </c>
      <c r="L14" s="468">
        <v>3</v>
      </c>
      <c r="M14" s="468">
        <v>657</v>
      </c>
      <c r="N14" s="464">
        <v>1</v>
      </c>
      <c r="O14" s="464">
        <v>219</v>
      </c>
      <c r="P14" s="468">
        <v>1</v>
      </c>
      <c r="Q14" s="468">
        <v>219</v>
      </c>
      <c r="R14" s="491">
        <v>0.33333333333333331</v>
      </c>
      <c r="S14" s="469">
        <v>219</v>
      </c>
    </row>
    <row r="15" spans="1:19" ht="14.45" customHeight="1" x14ac:dyDescent="0.2">
      <c r="A15" s="463"/>
      <c r="B15" s="464" t="s">
        <v>1929</v>
      </c>
      <c r="C15" s="464" t="s">
        <v>444</v>
      </c>
      <c r="D15" s="464" t="s">
        <v>1920</v>
      </c>
      <c r="E15" s="464" t="s">
        <v>1930</v>
      </c>
      <c r="F15" s="464" t="s">
        <v>1940</v>
      </c>
      <c r="G15" s="464"/>
      <c r="H15" s="468">
        <v>9</v>
      </c>
      <c r="I15" s="468">
        <v>2124</v>
      </c>
      <c r="J15" s="464">
        <v>4.5</v>
      </c>
      <c r="K15" s="464">
        <v>236</v>
      </c>
      <c r="L15" s="468">
        <v>2</v>
      </c>
      <c r="M15" s="468">
        <v>472</v>
      </c>
      <c r="N15" s="464">
        <v>1</v>
      </c>
      <c r="O15" s="464">
        <v>236</v>
      </c>
      <c r="P15" s="468">
        <v>2</v>
      </c>
      <c r="Q15" s="468">
        <v>472</v>
      </c>
      <c r="R15" s="491">
        <v>1</v>
      </c>
      <c r="S15" s="469">
        <v>236</v>
      </c>
    </row>
    <row r="16" spans="1:19" ht="14.45" customHeight="1" x14ac:dyDescent="0.2">
      <c r="A16" s="463"/>
      <c r="B16" s="464" t="s">
        <v>1929</v>
      </c>
      <c r="C16" s="464" t="s">
        <v>444</v>
      </c>
      <c r="D16" s="464" t="s">
        <v>1920</v>
      </c>
      <c r="E16" s="464" t="s">
        <v>1930</v>
      </c>
      <c r="F16" s="464" t="s">
        <v>1941</v>
      </c>
      <c r="G16" s="464"/>
      <c r="H16" s="468">
        <v>46</v>
      </c>
      <c r="I16" s="468">
        <v>7176</v>
      </c>
      <c r="J16" s="464">
        <v>1.7037037037037037</v>
      </c>
      <c r="K16" s="464">
        <v>156</v>
      </c>
      <c r="L16" s="468">
        <v>27</v>
      </c>
      <c r="M16" s="468">
        <v>4212</v>
      </c>
      <c r="N16" s="464">
        <v>1</v>
      </c>
      <c r="O16" s="464">
        <v>156</v>
      </c>
      <c r="P16" s="468">
        <v>14</v>
      </c>
      <c r="Q16" s="468">
        <v>2184</v>
      </c>
      <c r="R16" s="491">
        <v>0.51851851851851849</v>
      </c>
      <c r="S16" s="469">
        <v>156</v>
      </c>
    </row>
    <row r="17" spans="1:19" ht="14.45" customHeight="1" x14ac:dyDescent="0.2">
      <c r="A17" s="463"/>
      <c r="B17" s="464" t="s">
        <v>1929</v>
      </c>
      <c r="C17" s="464" t="s">
        <v>444</v>
      </c>
      <c r="D17" s="464" t="s">
        <v>1920</v>
      </c>
      <c r="E17" s="464" t="s">
        <v>1930</v>
      </c>
      <c r="F17" s="464" t="s">
        <v>1942</v>
      </c>
      <c r="G17" s="464"/>
      <c r="H17" s="468">
        <v>28</v>
      </c>
      <c r="I17" s="468">
        <v>5320</v>
      </c>
      <c r="J17" s="464">
        <v>1.4736842105263157</v>
      </c>
      <c r="K17" s="464">
        <v>190</v>
      </c>
      <c r="L17" s="468">
        <v>19</v>
      </c>
      <c r="M17" s="468">
        <v>3610</v>
      </c>
      <c r="N17" s="464">
        <v>1</v>
      </c>
      <c r="O17" s="464">
        <v>190</v>
      </c>
      <c r="P17" s="468">
        <v>17</v>
      </c>
      <c r="Q17" s="468">
        <v>3230</v>
      </c>
      <c r="R17" s="491">
        <v>0.89473684210526316</v>
      </c>
      <c r="S17" s="469">
        <v>190</v>
      </c>
    </row>
    <row r="18" spans="1:19" ht="14.45" customHeight="1" x14ac:dyDescent="0.2">
      <c r="A18" s="463"/>
      <c r="B18" s="464" t="s">
        <v>1929</v>
      </c>
      <c r="C18" s="464" t="s">
        <v>444</v>
      </c>
      <c r="D18" s="464" t="s">
        <v>1920</v>
      </c>
      <c r="E18" s="464" t="s">
        <v>1930</v>
      </c>
      <c r="F18" s="464" t="s">
        <v>1943</v>
      </c>
      <c r="G18" s="464"/>
      <c r="H18" s="468">
        <v>5</v>
      </c>
      <c r="I18" s="468">
        <v>420</v>
      </c>
      <c r="J18" s="464">
        <v>0.625</v>
      </c>
      <c r="K18" s="464">
        <v>84</v>
      </c>
      <c r="L18" s="468">
        <v>8</v>
      </c>
      <c r="M18" s="468">
        <v>672</v>
      </c>
      <c r="N18" s="464">
        <v>1</v>
      </c>
      <c r="O18" s="464">
        <v>84</v>
      </c>
      <c r="P18" s="468">
        <v>4</v>
      </c>
      <c r="Q18" s="468">
        <v>336</v>
      </c>
      <c r="R18" s="491">
        <v>0.5</v>
      </c>
      <c r="S18" s="469">
        <v>84</v>
      </c>
    </row>
    <row r="19" spans="1:19" ht="14.45" customHeight="1" x14ac:dyDescent="0.2">
      <c r="A19" s="463"/>
      <c r="B19" s="464" t="s">
        <v>1929</v>
      </c>
      <c r="C19" s="464" t="s">
        <v>444</v>
      </c>
      <c r="D19" s="464" t="s">
        <v>1920</v>
      </c>
      <c r="E19" s="464" t="s">
        <v>1930</v>
      </c>
      <c r="F19" s="464" t="s">
        <v>1944</v>
      </c>
      <c r="G19" s="464"/>
      <c r="H19" s="468">
        <v>14</v>
      </c>
      <c r="I19" s="468">
        <v>1470</v>
      </c>
      <c r="J19" s="464">
        <v>14</v>
      </c>
      <c r="K19" s="464">
        <v>105</v>
      </c>
      <c r="L19" s="468">
        <v>1</v>
      </c>
      <c r="M19" s="468">
        <v>105</v>
      </c>
      <c r="N19" s="464">
        <v>1</v>
      </c>
      <c r="O19" s="464">
        <v>105</v>
      </c>
      <c r="P19" s="468">
        <v>14</v>
      </c>
      <c r="Q19" s="468">
        <v>1470</v>
      </c>
      <c r="R19" s="491">
        <v>14</v>
      </c>
      <c r="S19" s="469">
        <v>105</v>
      </c>
    </row>
    <row r="20" spans="1:19" ht="14.45" customHeight="1" x14ac:dyDescent="0.2">
      <c r="A20" s="463"/>
      <c r="B20" s="464" t="s">
        <v>1929</v>
      </c>
      <c r="C20" s="464" t="s">
        <v>444</v>
      </c>
      <c r="D20" s="464" t="s">
        <v>1920</v>
      </c>
      <c r="E20" s="464" t="s">
        <v>1930</v>
      </c>
      <c r="F20" s="464" t="s">
        <v>1945</v>
      </c>
      <c r="G20" s="464"/>
      <c r="H20" s="468">
        <v>13</v>
      </c>
      <c r="I20" s="468">
        <v>7748</v>
      </c>
      <c r="J20" s="464">
        <v>0.8125</v>
      </c>
      <c r="K20" s="464">
        <v>596</v>
      </c>
      <c r="L20" s="468">
        <v>16</v>
      </c>
      <c r="M20" s="468">
        <v>9536</v>
      </c>
      <c r="N20" s="464">
        <v>1</v>
      </c>
      <c r="O20" s="464">
        <v>596</v>
      </c>
      <c r="P20" s="468">
        <v>7</v>
      </c>
      <c r="Q20" s="468">
        <v>4172</v>
      </c>
      <c r="R20" s="491">
        <v>0.4375</v>
      </c>
      <c r="S20" s="469">
        <v>596</v>
      </c>
    </row>
    <row r="21" spans="1:19" ht="14.45" customHeight="1" x14ac:dyDescent="0.2">
      <c r="A21" s="463"/>
      <c r="B21" s="464" t="s">
        <v>1929</v>
      </c>
      <c r="C21" s="464" t="s">
        <v>444</v>
      </c>
      <c r="D21" s="464" t="s">
        <v>1920</v>
      </c>
      <c r="E21" s="464" t="s">
        <v>1930</v>
      </c>
      <c r="F21" s="464" t="s">
        <v>1946</v>
      </c>
      <c r="G21" s="464"/>
      <c r="H21" s="468">
        <v>4</v>
      </c>
      <c r="I21" s="468">
        <v>2664</v>
      </c>
      <c r="J21" s="464">
        <v>4</v>
      </c>
      <c r="K21" s="464">
        <v>666</v>
      </c>
      <c r="L21" s="468">
        <v>1</v>
      </c>
      <c r="M21" s="468">
        <v>666</v>
      </c>
      <c r="N21" s="464">
        <v>1</v>
      </c>
      <c r="O21" s="464">
        <v>666</v>
      </c>
      <c r="P21" s="468">
        <v>1</v>
      </c>
      <c r="Q21" s="468">
        <v>666</v>
      </c>
      <c r="R21" s="491">
        <v>1</v>
      </c>
      <c r="S21" s="469">
        <v>666</v>
      </c>
    </row>
    <row r="22" spans="1:19" ht="14.45" customHeight="1" x14ac:dyDescent="0.2">
      <c r="A22" s="463"/>
      <c r="B22" s="464" t="s">
        <v>1929</v>
      </c>
      <c r="C22" s="464" t="s">
        <v>444</v>
      </c>
      <c r="D22" s="464" t="s">
        <v>1920</v>
      </c>
      <c r="E22" s="464" t="s">
        <v>1930</v>
      </c>
      <c r="F22" s="464" t="s">
        <v>1947</v>
      </c>
      <c r="G22" s="464"/>
      <c r="H22" s="468">
        <v>25</v>
      </c>
      <c r="I22" s="468">
        <v>29300</v>
      </c>
      <c r="J22" s="464">
        <v>1.1904761904761905</v>
      </c>
      <c r="K22" s="464">
        <v>1172</v>
      </c>
      <c r="L22" s="468">
        <v>21</v>
      </c>
      <c r="M22" s="468">
        <v>24612</v>
      </c>
      <c r="N22" s="464">
        <v>1</v>
      </c>
      <c r="O22" s="464">
        <v>1172</v>
      </c>
      <c r="P22" s="468">
        <v>21</v>
      </c>
      <c r="Q22" s="468">
        <v>24612</v>
      </c>
      <c r="R22" s="491">
        <v>1</v>
      </c>
      <c r="S22" s="469">
        <v>1172</v>
      </c>
    </row>
    <row r="23" spans="1:19" ht="14.45" customHeight="1" x14ac:dyDescent="0.2">
      <c r="A23" s="463"/>
      <c r="B23" s="464" t="s">
        <v>1929</v>
      </c>
      <c r="C23" s="464" t="s">
        <v>444</v>
      </c>
      <c r="D23" s="464" t="s">
        <v>1920</v>
      </c>
      <c r="E23" s="464" t="s">
        <v>1930</v>
      </c>
      <c r="F23" s="464" t="s">
        <v>1948</v>
      </c>
      <c r="G23" s="464"/>
      <c r="H23" s="468">
        <v>32</v>
      </c>
      <c r="I23" s="468">
        <v>25600</v>
      </c>
      <c r="J23" s="464">
        <v>1.3333333333333333</v>
      </c>
      <c r="K23" s="464">
        <v>800</v>
      </c>
      <c r="L23" s="468">
        <v>24</v>
      </c>
      <c r="M23" s="468">
        <v>19200</v>
      </c>
      <c r="N23" s="464">
        <v>1</v>
      </c>
      <c r="O23" s="464">
        <v>800</v>
      </c>
      <c r="P23" s="468">
        <v>24</v>
      </c>
      <c r="Q23" s="468">
        <v>19200</v>
      </c>
      <c r="R23" s="491">
        <v>1</v>
      </c>
      <c r="S23" s="469">
        <v>800</v>
      </c>
    </row>
    <row r="24" spans="1:19" ht="14.45" customHeight="1" x14ac:dyDescent="0.2">
      <c r="A24" s="463"/>
      <c r="B24" s="464" t="s">
        <v>1929</v>
      </c>
      <c r="C24" s="464" t="s">
        <v>444</v>
      </c>
      <c r="D24" s="464" t="s">
        <v>1920</v>
      </c>
      <c r="E24" s="464" t="s">
        <v>1930</v>
      </c>
      <c r="F24" s="464" t="s">
        <v>1949</v>
      </c>
      <c r="G24" s="464"/>
      <c r="H24" s="468">
        <v>11</v>
      </c>
      <c r="I24" s="468">
        <v>8195</v>
      </c>
      <c r="J24" s="464">
        <v>3.6666666666666665</v>
      </c>
      <c r="K24" s="464">
        <v>745</v>
      </c>
      <c r="L24" s="468">
        <v>3</v>
      </c>
      <c r="M24" s="468">
        <v>2235</v>
      </c>
      <c r="N24" s="464">
        <v>1</v>
      </c>
      <c r="O24" s="464">
        <v>745</v>
      </c>
      <c r="P24" s="468">
        <v>14</v>
      </c>
      <c r="Q24" s="468">
        <v>10430</v>
      </c>
      <c r="R24" s="491">
        <v>4.666666666666667</v>
      </c>
      <c r="S24" s="469">
        <v>745</v>
      </c>
    </row>
    <row r="25" spans="1:19" ht="14.45" customHeight="1" x14ac:dyDescent="0.2">
      <c r="A25" s="463"/>
      <c r="B25" s="464" t="s">
        <v>1929</v>
      </c>
      <c r="C25" s="464" t="s">
        <v>444</v>
      </c>
      <c r="D25" s="464" t="s">
        <v>1920</v>
      </c>
      <c r="E25" s="464" t="s">
        <v>1930</v>
      </c>
      <c r="F25" s="464" t="s">
        <v>1950</v>
      </c>
      <c r="G25" s="464"/>
      <c r="H25" s="468">
        <v>80</v>
      </c>
      <c r="I25" s="468">
        <v>59600</v>
      </c>
      <c r="J25" s="464">
        <v>0.86956521739130432</v>
      </c>
      <c r="K25" s="464">
        <v>745</v>
      </c>
      <c r="L25" s="468">
        <v>92</v>
      </c>
      <c r="M25" s="468">
        <v>68540</v>
      </c>
      <c r="N25" s="464">
        <v>1</v>
      </c>
      <c r="O25" s="464">
        <v>745</v>
      </c>
      <c r="P25" s="468">
        <v>74</v>
      </c>
      <c r="Q25" s="468">
        <v>55130</v>
      </c>
      <c r="R25" s="491">
        <v>0.80434782608695654</v>
      </c>
      <c r="S25" s="469">
        <v>745</v>
      </c>
    </row>
    <row r="26" spans="1:19" ht="14.45" customHeight="1" x14ac:dyDescent="0.2">
      <c r="A26" s="463"/>
      <c r="B26" s="464" t="s">
        <v>1929</v>
      </c>
      <c r="C26" s="464" t="s">
        <v>444</v>
      </c>
      <c r="D26" s="464" t="s">
        <v>1920</v>
      </c>
      <c r="E26" s="464" t="s">
        <v>1930</v>
      </c>
      <c r="F26" s="464" t="s">
        <v>1951</v>
      </c>
      <c r="G26" s="464"/>
      <c r="H26" s="468">
        <v>7</v>
      </c>
      <c r="I26" s="468">
        <v>4144</v>
      </c>
      <c r="J26" s="464">
        <v>1</v>
      </c>
      <c r="K26" s="464">
        <v>592</v>
      </c>
      <c r="L26" s="468">
        <v>7</v>
      </c>
      <c r="M26" s="468">
        <v>4144</v>
      </c>
      <c r="N26" s="464">
        <v>1</v>
      </c>
      <c r="O26" s="464">
        <v>592</v>
      </c>
      <c r="P26" s="468"/>
      <c r="Q26" s="468"/>
      <c r="R26" s="491"/>
      <c r="S26" s="469"/>
    </row>
    <row r="27" spans="1:19" ht="14.45" customHeight="1" x14ac:dyDescent="0.2">
      <c r="A27" s="463"/>
      <c r="B27" s="464" t="s">
        <v>1929</v>
      </c>
      <c r="C27" s="464" t="s">
        <v>444</v>
      </c>
      <c r="D27" s="464" t="s">
        <v>1920</v>
      </c>
      <c r="E27" s="464" t="s">
        <v>1930</v>
      </c>
      <c r="F27" s="464" t="s">
        <v>1952</v>
      </c>
      <c r="G27" s="464"/>
      <c r="H27" s="468">
        <v>83</v>
      </c>
      <c r="I27" s="468">
        <v>46563</v>
      </c>
      <c r="J27" s="464">
        <v>1.2575757575757576</v>
      </c>
      <c r="K27" s="464">
        <v>561</v>
      </c>
      <c r="L27" s="468">
        <v>66</v>
      </c>
      <c r="M27" s="468">
        <v>37026</v>
      </c>
      <c r="N27" s="464">
        <v>1</v>
      </c>
      <c r="O27" s="464">
        <v>561</v>
      </c>
      <c r="P27" s="468">
        <v>77</v>
      </c>
      <c r="Q27" s="468">
        <v>43197</v>
      </c>
      <c r="R27" s="491">
        <v>1.1666666666666667</v>
      </c>
      <c r="S27" s="469">
        <v>561</v>
      </c>
    </row>
    <row r="28" spans="1:19" ht="14.45" customHeight="1" x14ac:dyDescent="0.2">
      <c r="A28" s="463"/>
      <c r="B28" s="464" t="s">
        <v>1929</v>
      </c>
      <c r="C28" s="464" t="s">
        <v>444</v>
      </c>
      <c r="D28" s="464" t="s">
        <v>1920</v>
      </c>
      <c r="E28" s="464" t="s">
        <v>1930</v>
      </c>
      <c r="F28" s="464" t="s">
        <v>1953</v>
      </c>
      <c r="G28" s="464"/>
      <c r="H28" s="468">
        <v>111</v>
      </c>
      <c r="I28" s="468">
        <v>57609</v>
      </c>
      <c r="J28" s="464">
        <v>1.2197802197802199</v>
      </c>
      <c r="K28" s="464">
        <v>519</v>
      </c>
      <c r="L28" s="468">
        <v>91</v>
      </c>
      <c r="M28" s="468">
        <v>47229</v>
      </c>
      <c r="N28" s="464">
        <v>1</v>
      </c>
      <c r="O28" s="464">
        <v>519</v>
      </c>
      <c r="P28" s="468">
        <v>55</v>
      </c>
      <c r="Q28" s="468">
        <v>28545</v>
      </c>
      <c r="R28" s="491">
        <v>0.60439560439560436</v>
      </c>
      <c r="S28" s="469">
        <v>519</v>
      </c>
    </row>
    <row r="29" spans="1:19" ht="14.45" customHeight="1" x14ac:dyDescent="0.2">
      <c r="A29" s="463"/>
      <c r="B29" s="464" t="s">
        <v>1929</v>
      </c>
      <c r="C29" s="464" t="s">
        <v>444</v>
      </c>
      <c r="D29" s="464" t="s">
        <v>1920</v>
      </c>
      <c r="E29" s="464" t="s">
        <v>1930</v>
      </c>
      <c r="F29" s="464" t="s">
        <v>1954</v>
      </c>
      <c r="G29" s="464"/>
      <c r="H29" s="468">
        <v>5</v>
      </c>
      <c r="I29" s="468">
        <v>1605</v>
      </c>
      <c r="J29" s="464">
        <v>0.83333333333333337</v>
      </c>
      <c r="K29" s="464">
        <v>321</v>
      </c>
      <c r="L29" s="468">
        <v>6</v>
      </c>
      <c r="M29" s="468">
        <v>1926</v>
      </c>
      <c r="N29" s="464">
        <v>1</v>
      </c>
      <c r="O29" s="464">
        <v>321</v>
      </c>
      <c r="P29" s="468">
        <v>2</v>
      </c>
      <c r="Q29" s="468">
        <v>642</v>
      </c>
      <c r="R29" s="491">
        <v>0.33333333333333331</v>
      </c>
      <c r="S29" s="469">
        <v>321</v>
      </c>
    </row>
    <row r="30" spans="1:19" ht="14.45" customHeight="1" x14ac:dyDescent="0.2">
      <c r="A30" s="463"/>
      <c r="B30" s="464" t="s">
        <v>1929</v>
      </c>
      <c r="C30" s="464" t="s">
        <v>444</v>
      </c>
      <c r="D30" s="464" t="s">
        <v>1920</v>
      </c>
      <c r="E30" s="464" t="s">
        <v>1930</v>
      </c>
      <c r="F30" s="464" t="s">
        <v>1955</v>
      </c>
      <c r="G30" s="464"/>
      <c r="H30" s="468">
        <v>4</v>
      </c>
      <c r="I30" s="468">
        <v>1284</v>
      </c>
      <c r="J30" s="464">
        <v>0.25</v>
      </c>
      <c r="K30" s="464">
        <v>321</v>
      </c>
      <c r="L30" s="468">
        <v>16</v>
      </c>
      <c r="M30" s="468">
        <v>5136</v>
      </c>
      <c r="N30" s="464">
        <v>1</v>
      </c>
      <c r="O30" s="464">
        <v>321</v>
      </c>
      <c r="P30" s="468">
        <v>4</v>
      </c>
      <c r="Q30" s="468">
        <v>1284</v>
      </c>
      <c r="R30" s="491">
        <v>0.25</v>
      </c>
      <c r="S30" s="469">
        <v>321</v>
      </c>
    </row>
    <row r="31" spans="1:19" ht="14.45" customHeight="1" x14ac:dyDescent="0.2">
      <c r="A31" s="463"/>
      <c r="B31" s="464" t="s">
        <v>1929</v>
      </c>
      <c r="C31" s="464" t="s">
        <v>444</v>
      </c>
      <c r="D31" s="464" t="s">
        <v>1920</v>
      </c>
      <c r="E31" s="464" t="s">
        <v>1930</v>
      </c>
      <c r="F31" s="464" t="s">
        <v>1956</v>
      </c>
      <c r="G31" s="464"/>
      <c r="H31" s="468">
        <v>82</v>
      </c>
      <c r="I31" s="468">
        <v>26322</v>
      </c>
      <c r="J31" s="464">
        <v>1.3225806451612903</v>
      </c>
      <c r="K31" s="464">
        <v>321</v>
      </c>
      <c r="L31" s="468">
        <v>62</v>
      </c>
      <c r="M31" s="468">
        <v>19902</v>
      </c>
      <c r="N31" s="464">
        <v>1</v>
      </c>
      <c r="O31" s="464">
        <v>321</v>
      </c>
      <c r="P31" s="468">
        <v>29</v>
      </c>
      <c r="Q31" s="468">
        <v>9309</v>
      </c>
      <c r="R31" s="491">
        <v>0.46774193548387094</v>
      </c>
      <c r="S31" s="469">
        <v>321</v>
      </c>
    </row>
    <row r="32" spans="1:19" ht="14.45" customHeight="1" x14ac:dyDescent="0.2">
      <c r="A32" s="463"/>
      <c r="B32" s="464" t="s">
        <v>1929</v>
      </c>
      <c r="C32" s="464" t="s">
        <v>444</v>
      </c>
      <c r="D32" s="464" t="s">
        <v>1920</v>
      </c>
      <c r="E32" s="464" t="s">
        <v>1930</v>
      </c>
      <c r="F32" s="464" t="s">
        <v>1957</v>
      </c>
      <c r="G32" s="464"/>
      <c r="H32" s="468">
        <v>5</v>
      </c>
      <c r="I32" s="468">
        <v>6150</v>
      </c>
      <c r="J32" s="464">
        <v>5</v>
      </c>
      <c r="K32" s="464">
        <v>1230</v>
      </c>
      <c r="L32" s="468">
        <v>1</v>
      </c>
      <c r="M32" s="468">
        <v>1230</v>
      </c>
      <c r="N32" s="464">
        <v>1</v>
      </c>
      <c r="O32" s="464">
        <v>1230</v>
      </c>
      <c r="P32" s="468"/>
      <c r="Q32" s="468"/>
      <c r="R32" s="491"/>
      <c r="S32" s="469"/>
    </row>
    <row r="33" spans="1:19" ht="14.45" customHeight="1" x14ac:dyDescent="0.2">
      <c r="A33" s="463"/>
      <c r="B33" s="464" t="s">
        <v>1929</v>
      </c>
      <c r="C33" s="464" t="s">
        <v>444</v>
      </c>
      <c r="D33" s="464" t="s">
        <v>1920</v>
      </c>
      <c r="E33" s="464" t="s">
        <v>1930</v>
      </c>
      <c r="F33" s="464" t="s">
        <v>1958</v>
      </c>
      <c r="G33" s="464"/>
      <c r="H33" s="468">
        <v>109</v>
      </c>
      <c r="I33" s="468">
        <v>30738</v>
      </c>
      <c r="J33" s="464">
        <v>1.0380952380952382</v>
      </c>
      <c r="K33" s="464">
        <v>282</v>
      </c>
      <c r="L33" s="468">
        <v>105</v>
      </c>
      <c r="M33" s="468">
        <v>29610</v>
      </c>
      <c r="N33" s="464">
        <v>1</v>
      </c>
      <c r="O33" s="464">
        <v>282</v>
      </c>
      <c r="P33" s="468">
        <v>68</v>
      </c>
      <c r="Q33" s="468">
        <v>19176</v>
      </c>
      <c r="R33" s="491">
        <v>0.64761904761904765</v>
      </c>
      <c r="S33" s="469">
        <v>282</v>
      </c>
    </row>
    <row r="34" spans="1:19" ht="14.45" customHeight="1" x14ac:dyDescent="0.2">
      <c r="A34" s="463"/>
      <c r="B34" s="464" t="s">
        <v>1929</v>
      </c>
      <c r="C34" s="464" t="s">
        <v>444</v>
      </c>
      <c r="D34" s="464" t="s">
        <v>1920</v>
      </c>
      <c r="E34" s="464" t="s">
        <v>1930</v>
      </c>
      <c r="F34" s="464" t="s">
        <v>1959</v>
      </c>
      <c r="G34" s="464"/>
      <c r="H34" s="468">
        <v>43</v>
      </c>
      <c r="I34" s="468">
        <v>29197</v>
      </c>
      <c r="J34" s="464">
        <v>1.075</v>
      </c>
      <c r="K34" s="464">
        <v>679</v>
      </c>
      <c r="L34" s="468">
        <v>40</v>
      </c>
      <c r="M34" s="468">
        <v>27160</v>
      </c>
      <c r="N34" s="464">
        <v>1</v>
      </c>
      <c r="O34" s="464">
        <v>679</v>
      </c>
      <c r="P34" s="468">
        <v>36</v>
      </c>
      <c r="Q34" s="468">
        <v>24444</v>
      </c>
      <c r="R34" s="491">
        <v>0.9</v>
      </c>
      <c r="S34" s="469">
        <v>679</v>
      </c>
    </row>
    <row r="35" spans="1:19" ht="14.45" customHeight="1" x14ac:dyDescent="0.2">
      <c r="A35" s="463"/>
      <c r="B35" s="464" t="s">
        <v>1929</v>
      </c>
      <c r="C35" s="464" t="s">
        <v>444</v>
      </c>
      <c r="D35" s="464" t="s">
        <v>1920</v>
      </c>
      <c r="E35" s="464" t="s">
        <v>1930</v>
      </c>
      <c r="F35" s="464" t="s">
        <v>1960</v>
      </c>
      <c r="G35" s="464"/>
      <c r="H35" s="468">
        <v>25</v>
      </c>
      <c r="I35" s="468">
        <v>23225</v>
      </c>
      <c r="J35" s="464">
        <v>1.3888888888888888</v>
      </c>
      <c r="K35" s="464">
        <v>929</v>
      </c>
      <c r="L35" s="468">
        <v>18</v>
      </c>
      <c r="M35" s="468">
        <v>16722</v>
      </c>
      <c r="N35" s="464">
        <v>1</v>
      </c>
      <c r="O35" s="464">
        <v>929</v>
      </c>
      <c r="P35" s="468">
        <v>9</v>
      </c>
      <c r="Q35" s="468">
        <v>8361</v>
      </c>
      <c r="R35" s="491">
        <v>0.5</v>
      </c>
      <c r="S35" s="469">
        <v>929</v>
      </c>
    </row>
    <row r="36" spans="1:19" ht="14.45" customHeight="1" x14ac:dyDescent="0.2">
      <c r="A36" s="463"/>
      <c r="B36" s="464" t="s">
        <v>1929</v>
      </c>
      <c r="C36" s="464" t="s">
        <v>444</v>
      </c>
      <c r="D36" s="464" t="s">
        <v>1920</v>
      </c>
      <c r="E36" s="464" t="s">
        <v>1930</v>
      </c>
      <c r="F36" s="464" t="s">
        <v>1961</v>
      </c>
      <c r="G36" s="464"/>
      <c r="H36" s="468"/>
      <c r="I36" s="468"/>
      <c r="J36" s="464"/>
      <c r="K36" s="464"/>
      <c r="L36" s="468">
        <v>1</v>
      </c>
      <c r="M36" s="468">
        <v>208</v>
      </c>
      <c r="N36" s="464">
        <v>1</v>
      </c>
      <c r="O36" s="464">
        <v>208</v>
      </c>
      <c r="P36" s="468"/>
      <c r="Q36" s="468"/>
      <c r="R36" s="491"/>
      <c r="S36" s="469"/>
    </row>
    <row r="37" spans="1:19" ht="14.45" customHeight="1" x14ac:dyDescent="0.2">
      <c r="A37" s="463"/>
      <c r="B37" s="464" t="s">
        <v>1929</v>
      </c>
      <c r="C37" s="464" t="s">
        <v>444</v>
      </c>
      <c r="D37" s="464" t="s">
        <v>1920</v>
      </c>
      <c r="E37" s="464" t="s">
        <v>1930</v>
      </c>
      <c r="F37" s="464" t="s">
        <v>1962</v>
      </c>
      <c r="G37" s="464"/>
      <c r="H37" s="468">
        <v>63</v>
      </c>
      <c r="I37" s="468">
        <v>126000</v>
      </c>
      <c r="J37" s="464">
        <v>1.26</v>
      </c>
      <c r="K37" s="464">
        <v>2000</v>
      </c>
      <c r="L37" s="468">
        <v>50</v>
      </c>
      <c r="M37" s="468">
        <v>100000</v>
      </c>
      <c r="N37" s="464">
        <v>1</v>
      </c>
      <c r="O37" s="464">
        <v>2000</v>
      </c>
      <c r="P37" s="468">
        <v>75</v>
      </c>
      <c r="Q37" s="468">
        <v>150000</v>
      </c>
      <c r="R37" s="491">
        <v>1.5</v>
      </c>
      <c r="S37" s="469">
        <v>2000</v>
      </c>
    </row>
    <row r="38" spans="1:19" ht="14.45" customHeight="1" x14ac:dyDescent="0.2">
      <c r="A38" s="463"/>
      <c r="B38" s="464" t="s">
        <v>1929</v>
      </c>
      <c r="C38" s="464" t="s">
        <v>444</v>
      </c>
      <c r="D38" s="464" t="s">
        <v>1920</v>
      </c>
      <c r="E38" s="464" t="s">
        <v>1930</v>
      </c>
      <c r="F38" s="464" t="s">
        <v>1963</v>
      </c>
      <c r="G38" s="464"/>
      <c r="H38" s="468">
        <v>20</v>
      </c>
      <c r="I38" s="468">
        <v>40480</v>
      </c>
      <c r="J38" s="464">
        <v>2</v>
      </c>
      <c r="K38" s="464">
        <v>2024</v>
      </c>
      <c r="L38" s="468">
        <v>10</v>
      </c>
      <c r="M38" s="468">
        <v>20240</v>
      </c>
      <c r="N38" s="464">
        <v>1</v>
      </c>
      <c r="O38" s="464">
        <v>2024</v>
      </c>
      <c r="P38" s="468">
        <v>19</v>
      </c>
      <c r="Q38" s="468">
        <v>38456</v>
      </c>
      <c r="R38" s="491">
        <v>1.9</v>
      </c>
      <c r="S38" s="469">
        <v>2024</v>
      </c>
    </row>
    <row r="39" spans="1:19" ht="14.45" customHeight="1" x14ac:dyDescent="0.2">
      <c r="A39" s="463"/>
      <c r="B39" s="464" t="s">
        <v>1929</v>
      </c>
      <c r="C39" s="464" t="s">
        <v>444</v>
      </c>
      <c r="D39" s="464" t="s">
        <v>1920</v>
      </c>
      <c r="E39" s="464" t="s">
        <v>1930</v>
      </c>
      <c r="F39" s="464" t="s">
        <v>1964</v>
      </c>
      <c r="G39" s="464"/>
      <c r="H39" s="468">
        <v>2</v>
      </c>
      <c r="I39" s="468">
        <v>3810</v>
      </c>
      <c r="J39" s="464">
        <v>0.23694029850746268</v>
      </c>
      <c r="K39" s="464">
        <v>1905</v>
      </c>
      <c r="L39" s="468">
        <v>8</v>
      </c>
      <c r="M39" s="468">
        <v>16080</v>
      </c>
      <c r="N39" s="464">
        <v>1</v>
      </c>
      <c r="O39" s="464">
        <v>2010</v>
      </c>
      <c r="P39" s="468">
        <v>5</v>
      </c>
      <c r="Q39" s="468">
        <v>10050</v>
      </c>
      <c r="R39" s="491">
        <v>0.625</v>
      </c>
      <c r="S39" s="469">
        <v>2010</v>
      </c>
    </row>
    <row r="40" spans="1:19" ht="14.45" customHeight="1" x14ac:dyDescent="0.2">
      <c r="A40" s="463"/>
      <c r="B40" s="464" t="s">
        <v>1929</v>
      </c>
      <c r="C40" s="464" t="s">
        <v>444</v>
      </c>
      <c r="D40" s="464" t="s">
        <v>1920</v>
      </c>
      <c r="E40" s="464" t="s">
        <v>1930</v>
      </c>
      <c r="F40" s="464" t="s">
        <v>1965</v>
      </c>
      <c r="G40" s="464"/>
      <c r="H40" s="468">
        <v>5</v>
      </c>
      <c r="I40" s="468">
        <v>10730</v>
      </c>
      <c r="J40" s="464">
        <v>5</v>
      </c>
      <c r="K40" s="464">
        <v>2146</v>
      </c>
      <c r="L40" s="468">
        <v>1</v>
      </c>
      <c r="M40" s="468">
        <v>2146</v>
      </c>
      <c r="N40" s="464">
        <v>1</v>
      </c>
      <c r="O40" s="464">
        <v>2146</v>
      </c>
      <c r="P40" s="468">
        <v>4</v>
      </c>
      <c r="Q40" s="468">
        <v>8584</v>
      </c>
      <c r="R40" s="491">
        <v>4</v>
      </c>
      <c r="S40" s="469">
        <v>2146</v>
      </c>
    </row>
    <row r="41" spans="1:19" ht="14.45" customHeight="1" x14ac:dyDescent="0.2">
      <c r="A41" s="463"/>
      <c r="B41" s="464" t="s">
        <v>1929</v>
      </c>
      <c r="C41" s="464" t="s">
        <v>444</v>
      </c>
      <c r="D41" s="464" t="s">
        <v>1920</v>
      </c>
      <c r="E41" s="464" t="s">
        <v>1930</v>
      </c>
      <c r="F41" s="464" t="s">
        <v>1966</v>
      </c>
      <c r="G41" s="464"/>
      <c r="H41" s="468">
        <v>1</v>
      </c>
      <c r="I41" s="468">
        <v>1246</v>
      </c>
      <c r="J41" s="464">
        <v>0.5</v>
      </c>
      <c r="K41" s="464">
        <v>1246</v>
      </c>
      <c r="L41" s="468">
        <v>2</v>
      </c>
      <c r="M41" s="468">
        <v>2492</v>
      </c>
      <c r="N41" s="464">
        <v>1</v>
      </c>
      <c r="O41" s="464">
        <v>1246</v>
      </c>
      <c r="P41" s="468">
        <v>3</v>
      </c>
      <c r="Q41" s="468">
        <v>3738</v>
      </c>
      <c r="R41" s="491">
        <v>1.5</v>
      </c>
      <c r="S41" s="469">
        <v>1246</v>
      </c>
    </row>
    <row r="42" spans="1:19" ht="14.45" customHeight="1" x14ac:dyDescent="0.2">
      <c r="A42" s="463"/>
      <c r="B42" s="464" t="s">
        <v>1929</v>
      </c>
      <c r="C42" s="464" t="s">
        <v>444</v>
      </c>
      <c r="D42" s="464" t="s">
        <v>1920</v>
      </c>
      <c r="E42" s="464" t="s">
        <v>1930</v>
      </c>
      <c r="F42" s="464" t="s">
        <v>1967</v>
      </c>
      <c r="G42" s="464"/>
      <c r="H42" s="468">
        <v>1</v>
      </c>
      <c r="I42" s="468">
        <v>1345</v>
      </c>
      <c r="J42" s="464">
        <v>0.33333333333333331</v>
      </c>
      <c r="K42" s="464">
        <v>1345</v>
      </c>
      <c r="L42" s="468">
        <v>3</v>
      </c>
      <c r="M42" s="468">
        <v>4035</v>
      </c>
      <c r="N42" s="464">
        <v>1</v>
      </c>
      <c r="O42" s="464">
        <v>1345</v>
      </c>
      <c r="P42" s="468">
        <v>1</v>
      </c>
      <c r="Q42" s="468">
        <v>1345</v>
      </c>
      <c r="R42" s="491">
        <v>0.33333333333333331</v>
      </c>
      <c r="S42" s="469">
        <v>1345</v>
      </c>
    </row>
    <row r="43" spans="1:19" ht="14.45" customHeight="1" x14ac:dyDescent="0.2">
      <c r="A43" s="463"/>
      <c r="B43" s="464" t="s">
        <v>1929</v>
      </c>
      <c r="C43" s="464" t="s">
        <v>444</v>
      </c>
      <c r="D43" s="464" t="s">
        <v>1920</v>
      </c>
      <c r="E43" s="464" t="s">
        <v>1930</v>
      </c>
      <c r="F43" s="464" t="s">
        <v>1968</v>
      </c>
      <c r="G43" s="464"/>
      <c r="H43" s="468">
        <v>106</v>
      </c>
      <c r="I43" s="468">
        <v>413400</v>
      </c>
      <c r="J43" s="464">
        <v>1.2926829268292683</v>
      </c>
      <c r="K43" s="464">
        <v>3900</v>
      </c>
      <c r="L43" s="468">
        <v>82</v>
      </c>
      <c r="M43" s="468">
        <v>319800</v>
      </c>
      <c r="N43" s="464">
        <v>1</v>
      </c>
      <c r="O43" s="464">
        <v>3900</v>
      </c>
      <c r="P43" s="468">
        <v>68</v>
      </c>
      <c r="Q43" s="468">
        <v>265200</v>
      </c>
      <c r="R43" s="491">
        <v>0.82926829268292679</v>
      </c>
      <c r="S43" s="469">
        <v>3900</v>
      </c>
    </row>
    <row r="44" spans="1:19" ht="14.45" customHeight="1" x14ac:dyDescent="0.2">
      <c r="A44" s="463"/>
      <c r="B44" s="464" t="s">
        <v>1929</v>
      </c>
      <c r="C44" s="464" t="s">
        <v>444</v>
      </c>
      <c r="D44" s="464" t="s">
        <v>1920</v>
      </c>
      <c r="E44" s="464" t="s">
        <v>1930</v>
      </c>
      <c r="F44" s="464" t="s">
        <v>1969</v>
      </c>
      <c r="G44" s="464"/>
      <c r="H44" s="468">
        <v>66</v>
      </c>
      <c r="I44" s="468">
        <v>257400</v>
      </c>
      <c r="J44" s="464">
        <v>1.346938775510204</v>
      </c>
      <c r="K44" s="464">
        <v>3900</v>
      </c>
      <c r="L44" s="468">
        <v>49</v>
      </c>
      <c r="M44" s="468">
        <v>191100</v>
      </c>
      <c r="N44" s="464">
        <v>1</v>
      </c>
      <c r="O44" s="464">
        <v>3900</v>
      </c>
      <c r="P44" s="468">
        <v>28</v>
      </c>
      <c r="Q44" s="468">
        <v>109200</v>
      </c>
      <c r="R44" s="491">
        <v>0.5714285714285714</v>
      </c>
      <c r="S44" s="469">
        <v>3900</v>
      </c>
    </row>
    <row r="45" spans="1:19" ht="14.45" customHeight="1" x14ac:dyDescent="0.2">
      <c r="A45" s="463"/>
      <c r="B45" s="464" t="s">
        <v>1929</v>
      </c>
      <c r="C45" s="464" t="s">
        <v>444</v>
      </c>
      <c r="D45" s="464" t="s">
        <v>1920</v>
      </c>
      <c r="E45" s="464" t="s">
        <v>1930</v>
      </c>
      <c r="F45" s="464" t="s">
        <v>1970</v>
      </c>
      <c r="G45" s="464"/>
      <c r="H45" s="468">
        <v>9</v>
      </c>
      <c r="I45" s="468">
        <v>12159</v>
      </c>
      <c r="J45" s="464">
        <v>1.8</v>
      </c>
      <c r="K45" s="464">
        <v>1351</v>
      </c>
      <c r="L45" s="468">
        <v>5</v>
      </c>
      <c r="M45" s="468">
        <v>6755</v>
      </c>
      <c r="N45" s="464">
        <v>1</v>
      </c>
      <c r="O45" s="464">
        <v>1351</v>
      </c>
      <c r="P45" s="468">
        <v>4</v>
      </c>
      <c r="Q45" s="468">
        <v>5404</v>
      </c>
      <c r="R45" s="491">
        <v>0.8</v>
      </c>
      <c r="S45" s="469">
        <v>1351</v>
      </c>
    </row>
    <row r="46" spans="1:19" ht="14.45" customHeight="1" x14ac:dyDescent="0.2">
      <c r="A46" s="463"/>
      <c r="B46" s="464" t="s">
        <v>1929</v>
      </c>
      <c r="C46" s="464" t="s">
        <v>444</v>
      </c>
      <c r="D46" s="464" t="s">
        <v>1920</v>
      </c>
      <c r="E46" s="464" t="s">
        <v>1930</v>
      </c>
      <c r="F46" s="464" t="s">
        <v>1971</v>
      </c>
      <c r="G46" s="464"/>
      <c r="H46" s="468">
        <v>16</v>
      </c>
      <c r="I46" s="468">
        <v>2624</v>
      </c>
      <c r="J46" s="464">
        <v>1.2307692307692308</v>
      </c>
      <c r="K46" s="464">
        <v>164</v>
      </c>
      <c r="L46" s="468">
        <v>13</v>
      </c>
      <c r="M46" s="468">
        <v>2132</v>
      </c>
      <c r="N46" s="464">
        <v>1</v>
      </c>
      <c r="O46" s="464">
        <v>164</v>
      </c>
      <c r="P46" s="468">
        <v>22</v>
      </c>
      <c r="Q46" s="468">
        <v>3608</v>
      </c>
      <c r="R46" s="491">
        <v>1.6923076923076923</v>
      </c>
      <c r="S46" s="469">
        <v>164</v>
      </c>
    </row>
    <row r="47" spans="1:19" ht="14.45" customHeight="1" x14ac:dyDescent="0.2">
      <c r="A47" s="463"/>
      <c r="B47" s="464" t="s">
        <v>1929</v>
      </c>
      <c r="C47" s="464" t="s">
        <v>444</v>
      </c>
      <c r="D47" s="464" t="s">
        <v>1920</v>
      </c>
      <c r="E47" s="464" t="s">
        <v>1930</v>
      </c>
      <c r="F47" s="464" t="s">
        <v>1972</v>
      </c>
      <c r="G47" s="464"/>
      <c r="H47" s="468">
        <v>58</v>
      </c>
      <c r="I47" s="468">
        <v>13050</v>
      </c>
      <c r="J47" s="464">
        <v>1.0943396226415094</v>
      </c>
      <c r="K47" s="464">
        <v>225</v>
      </c>
      <c r="L47" s="468">
        <v>53</v>
      </c>
      <c r="M47" s="468">
        <v>11925</v>
      </c>
      <c r="N47" s="464">
        <v>1</v>
      </c>
      <c r="O47" s="464">
        <v>225</v>
      </c>
      <c r="P47" s="468">
        <v>46</v>
      </c>
      <c r="Q47" s="468">
        <v>10350</v>
      </c>
      <c r="R47" s="491">
        <v>0.86792452830188682</v>
      </c>
      <c r="S47" s="469">
        <v>225</v>
      </c>
    </row>
    <row r="48" spans="1:19" ht="14.45" customHeight="1" x14ac:dyDescent="0.2">
      <c r="A48" s="463"/>
      <c r="B48" s="464" t="s">
        <v>1929</v>
      </c>
      <c r="C48" s="464" t="s">
        <v>444</v>
      </c>
      <c r="D48" s="464" t="s">
        <v>1920</v>
      </c>
      <c r="E48" s="464" t="s">
        <v>1930</v>
      </c>
      <c r="F48" s="464" t="s">
        <v>1973</v>
      </c>
      <c r="G48" s="464"/>
      <c r="H48" s="468">
        <v>18</v>
      </c>
      <c r="I48" s="468">
        <v>6534</v>
      </c>
      <c r="J48" s="464">
        <v>0.75</v>
      </c>
      <c r="K48" s="464">
        <v>363</v>
      </c>
      <c r="L48" s="468">
        <v>24</v>
      </c>
      <c r="M48" s="468">
        <v>8712</v>
      </c>
      <c r="N48" s="464">
        <v>1</v>
      </c>
      <c r="O48" s="464">
        <v>363</v>
      </c>
      <c r="P48" s="468">
        <v>12</v>
      </c>
      <c r="Q48" s="468">
        <v>4356</v>
      </c>
      <c r="R48" s="491">
        <v>0.5</v>
      </c>
      <c r="S48" s="469">
        <v>363</v>
      </c>
    </row>
    <row r="49" spans="1:19" ht="14.45" customHeight="1" x14ac:dyDescent="0.2">
      <c r="A49" s="463"/>
      <c r="B49" s="464" t="s">
        <v>1929</v>
      </c>
      <c r="C49" s="464" t="s">
        <v>444</v>
      </c>
      <c r="D49" s="464" t="s">
        <v>1920</v>
      </c>
      <c r="E49" s="464" t="s">
        <v>1930</v>
      </c>
      <c r="F49" s="464" t="s">
        <v>1974</v>
      </c>
      <c r="G49" s="464"/>
      <c r="H49" s="468">
        <v>27</v>
      </c>
      <c r="I49" s="468">
        <v>15849</v>
      </c>
      <c r="J49" s="464">
        <v>0.84375</v>
      </c>
      <c r="K49" s="464">
        <v>587</v>
      </c>
      <c r="L49" s="468">
        <v>32</v>
      </c>
      <c r="M49" s="468">
        <v>18784</v>
      </c>
      <c r="N49" s="464">
        <v>1</v>
      </c>
      <c r="O49" s="464">
        <v>587</v>
      </c>
      <c r="P49" s="468">
        <v>24</v>
      </c>
      <c r="Q49" s="468">
        <v>14088</v>
      </c>
      <c r="R49" s="491">
        <v>0.75</v>
      </c>
      <c r="S49" s="469">
        <v>587</v>
      </c>
    </row>
    <row r="50" spans="1:19" ht="14.45" customHeight="1" x14ac:dyDescent="0.2">
      <c r="A50" s="463"/>
      <c r="B50" s="464" t="s">
        <v>1929</v>
      </c>
      <c r="C50" s="464" t="s">
        <v>444</v>
      </c>
      <c r="D50" s="464" t="s">
        <v>1920</v>
      </c>
      <c r="E50" s="464" t="s">
        <v>1930</v>
      </c>
      <c r="F50" s="464" t="s">
        <v>1975</v>
      </c>
      <c r="G50" s="464"/>
      <c r="H50" s="468">
        <v>6</v>
      </c>
      <c r="I50" s="468">
        <v>3600</v>
      </c>
      <c r="J50" s="464">
        <v>0.66666666666666663</v>
      </c>
      <c r="K50" s="464">
        <v>600</v>
      </c>
      <c r="L50" s="468">
        <v>9</v>
      </c>
      <c r="M50" s="468">
        <v>5400</v>
      </c>
      <c r="N50" s="464">
        <v>1</v>
      </c>
      <c r="O50" s="464">
        <v>600</v>
      </c>
      <c r="P50" s="468">
        <v>3</v>
      </c>
      <c r="Q50" s="468">
        <v>1800</v>
      </c>
      <c r="R50" s="491">
        <v>0.33333333333333331</v>
      </c>
      <c r="S50" s="469">
        <v>600</v>
      </c>
    </row>
    <row r="51" spans="1:19" ht="14.45" customHeight="1" x14ac:dyDescent="0.2">
      <c r="A51" s="463"/>
      <c r="B51" s="464" t="s">
        <v>1929</v>
      </c>
      <c r="C51" s="464" t="s">
        <v>444</v>
      </c>
      <c r="D51" s="464" t="s">
        <v>1920</v>
      </c>
      <c r="E51" s="464" t="s">
        <v>1930</v>
      </c>
      <c r="F51" s="464" t="s">
        <v>1976</v>
      </c>
      <c r="G51" s="464"/>
      <c r="H51" s="468">
        <v>2</v>
      </c>
      <c r="I51" s="468">
        <v>8462</v>
      </c>
      <c r="J51" s="464">
        <v>2</v>
      </c>
      <c r="K51" s="464">
        <v>4231</v>
      </c>
      <c r="L51" s="468">
        <v>1</v>
      </c>
      <c r="M51" s="468">
        <v>4231</v>
      </c>
      <c r="N51" s="464">
        <v>1</v>
      </c>
      <c r="O51" s="464">
        <v>4231</v>
      </c>
      <c r="P51" s="468">
        <v>1</v>
      </c>
      <c r="Q51" s="468">
        <v>4231</v>
      </c>
      <c r="R51" s="491">
        <v>1</v>
      </c>
      <c r="S51" s="469">
        <v>4231</v>
      </c>
    </row>
    <row r="52" spans="1:19" ht="14.45" customHeight="1" x14ac:dyDescent="0.2">
      <c r="A52" s="463"/>
      <c r="B52" s="464" t="s">
        <v>1929</v>
      </c>
      <c r="C52" s="464" t="s">
        <v>444</v>
      </c>
      <c r="D52" s="464" t="s">
        <v>1920</v>
      </c>
      <c r="E52" s="464" t="s">
        <v>1930</v>
      </c>
      <c r="F52" s="464" t="s">
        <v>1977</v>
      </c>
      <c r="G52" s="464"/>
      <c r="H52" s="468">
        <v>2</v>
      </c>
      <c r="I52" s="468">
        <v>8718</v>
      </c>
      <c r="J52" s="464"/>
      <c r="K52" s="464">
        <v>4359</v>
      </c>
      <c r="L52" s="468"/>
      <c r="M52" s="468"/>
      <c r="N52" s="464"/>
      <c r="O52" s="464"/>
      <c r="P52" s="468"/>
      <c r="Q52" s="468"/>
      <c r="R52" s="491"/>
      <c r="S52" s="469"/>
    </row>
    <row r="53" spans="1:19" ht="14.45" customHeight="1" x14ac:dyDescent="0.2">
      <c r="A53" s="463"/>
      <c r="B53" s="464" t="s">
        <v>1929</v>
      </c>
      <c r="C53" s="464" t="s">
        <v>444</v>
      </c>
      <c r="D53" s="464" t="s">
        <v>1920</v>
      </c>
      <c r="E53" s="464" t="s">
        <v>1930</v>
      </c>
      <c r="F53" s="464" t="s">
        <v>1978</v>
      </c>
      <c r="G53" s="464"/>
      <c r="H53" s="468">
        <v>1</v>
      </c>
      <c r="I53" s="468">
        <v>1008</v>
      </c>
      <c r="J53" s="464">
        <v>1</v>
      </c>
      <c r="K53" s="464">
        <v>1008</v>
      </c>
      <c r="L53" s="468">
        <v>1</v>
      </c>
      <c r="M53" s="468">
        <v>1008</v>
      </c>
      <c r="N53" s="464">
        <v>1</v>
      </c>
      <c r="O53" s="464">
        <v>1008</v>
      </c>
      <c r="P53" s="468">
        <v>10</v>
      </c>
      <c r="Q53" s="468">
        <v>10080</v>
      </c>
      <c r="R53" s="491">
        <v>10</v>
      </c>
      <c r="S53" s="469">
        <v>1008</v>
      </c>
    </row>
    <row r="54" spans="1:19" ht="14.45" customHeight="1" x14ac:dyDescent="0.2">
      <c r="A54" s="463"/>
      <c r="B54" s="464" t="s">
        <v>1929</v>
      </c>
      <c r="C54" s="464" t="s">
        <v>444</v>
      </c>
      <c r="D54" s="464" t="s">
        <v>1920</v>
      </c>
      <c r="E54" s="464" t="s">
        <v>1930</v>
      </c>
      <c r="F54" s="464" t="s">
        <v>1979</v>
      </c>
      <c r="G54" s="464"/>
      <c r="H54" s="468">
        <v>4</v>
      </c>
      <c r="I54" s="468">
        <v>2980</v>
      </c>
      <c r="J54" s="464">
        <v>1.3333333333333333</v>
      </c>
      <c r="K54" s="464">
        <v>745</v>
      </c>
      <c r="L54" s="468">
        <v>3</v>
      </c>
      <c r="M54" s="468">
        <v>2235</v>
      </c>
      <c r="N54" s="464">
        <v>1</v>
      </c>
      <c r="O54" s="464">
        <v>745</v>
      </c>
      <c r="P54" s="468">
        <v>7</v>
      </c>
      <c r="Q54" s="468">
        <v>5215</v>
      </c>
      <c r="R54" s="491">
        <v>2.3333333333333335</v>
      </c>
      <c r="S54" s="469">
        <v>745</v>
      </c>
    </row>
    <row r="55" spans="1:19" ht="14.45" customHeight="1" x14ac:dyDescent="0.2">
      <c r="A55" s="463"/>
      <c r="B55" s="464" t="s">
        <v>1929</v>
      </c>
      <c r="C55" s="464" t="s">
        <v>444</v>
      </c>
      <c r="D55" s="464" t="s">
        <v>1920</v>
      </c>
      <c r="E55" s="464" t="s">
        <v>1930</v>
      </c>
      <c r="F55" s="464" t="s">
        <v>1980</v>
      </c>
      <c r="G55" s="464"/>
      <c r="H55" s="468">
        <v>7</v>
      </c>
      <c r="I55" s="468">
        <v>3927</v>
      </c>
      <c r="J55" s="464">
        <v>0.3888888888888889</v>
      </c>
      <c r="K55" s="464">
        <v>561</v>
      </c>
      <c r="L55" s="468">
        <v>18</v>
      </c>
      <c r="M55" s="468">
        <v>10098</v>
      </c>
      <c r="N55" s="464">
        <v>1</v>
      </c>
      <c r="O55" s="464">
        <v>561</v>
      </c>
      <c r="P55" s="468">
        <v>15</v>
      </c>
      <c r="Q55" s="468">
        <v>8415</v>
      </c>
      <c r="R55" s="491">
        <v>0.83333333333333337</v>
      </c>
      <c r="S55" s="469">
        <v>561</v>
      </c>
    </row>
    <row r="56" spans="1:19" ht="14.45" customHeight="1" x14ac:dyDescent="0.2">
      <c r="A56" s="463"/>
      <c r="B56" s="464" t="s">
        <v>1929</v>
      </c>
      <c r="C56" s="464" t="s">
        <v>444</v>
      </c>
      <c r="D56" s="464" t="s">
        <v>1920</v>
      </c>
      <c r="E56" s="464" t="s">
        <v>1930</v>
      </c>
      <c r="F56" s="464" t="s">
        <v>1981</v>
      </c>
      <c r="G56" s="464"/>
      <c r="H56" s="468">
        <v>1</v>
      </c>
      <c r="I56" s="468">
        <v>1122</v>
      </c>
      <c r="J56" s="464">
        <v>0.33333333333333331</v>
      </c>
      <c r="K56" s="464">
        <v>1122</v>
      </c>
      <c r="L56" s="468">
        <v>3</v>
      </c>
      <c r="M56" s="468">
        <v>3366</v>
      </c>
      <c r="N56" s="464">
        <v>1</v>
      </c>
      <c r="O56" s="464">
        <v>1122</v>
      </c>
      <c r="P56" s="468">
        <v>1</v>
      </c>
      <c r="Q56" s="468">
        <v>1122</v>
      </c>
      <c r="R56" s="491">
        <v>0.33333333333333331</v>
      </c>
      <c r="S56" s="469">
        <v>1122</v>
      </c>
    </row>
    <row r="57" spans="1:19" ht="14.45" customHeight="1" x14ac:dyDescent="0.2">
      <c r="A57" s="463"/>
      <c r="B57" s="464" t="s">
        <v>1929</v>
      </c>
      <c r="C57" s="464" t="s">
        <v>444</v>
      </c>
      <c r="D57" s="464" t="s">
        <v>1920</v>
      </c>
      <c r="E57" s="464" t="s">
        <v>1930</v>
      </c>
      <c r="F57" s="464" t="s">
        <v>1982</v>
      </c>
      <c r="G57" s="464"/>
      <c r="H57" s="468">
        <v>10</v>
      </c>
      <c r="I57" s="468">
        <v>8670</v>
      </c>
      <c r="J57" s="464">
        <v>1.4285714285714286</v>
      </c>
      <c r="K57" s="464">
        <v>867</v>
      </c>
      <c r="L57" s="468">
        <v>7</v>
      </c>
      <c r="M57" s="468">
        <v>6069</v>
      </c>
      <c r="N57" s="464">
        <v>1</v>
      </c>
      <c r="O57" s="464">
        <v>867</v>
      </c>
      <c r="P57" s="468">
        <v>2</v>
      </c>
      <c r="Q57" s="468">
        <v>1734</v>
      </c>
      <c r="R57" s="491">
        <v>0.2857142857142857</v>
      </c>
      <c r="S57" s="469">
        <v>867</v>
      </c>
    </row>
    <row r="58" spans="1:19" ht="14.45" customHeight="1" x14ac:dyDescent="0.2">
      <c r="A58" s="463"/>
      <c r="B58" s="464" t="s">
        <v>1929</v>
      </c>
      <c r="C58" s="464" t="s">
        <v>444</v>
      </c>
      <c r="D58" s="464" t="s">
        <v>1920</v>
      </c>
      <c r="E58" s="464" t="s">
        <v>1930</v>
      </c>
      <c r="F58" s="464" t="s">
        <v>1983</v>
      </c>
      <c r="G58" s="464"/>
      <c r="H58" s="468">
        <v>5</v>
      </c>
      <c r="I58" s="468">
        <v>2750</v>
      </c>
      <c r="J58" s="464">
        <v>0.7142857142857143</v>
      </c>
      <c r="K58" s="464">
        <v>550</v>
      </c>
      <c r="L58" s="468">
        <v>7</v>
      </c>
      <c r="M58" s="468">
        <v>3850</v>
      </c>
      <c r="N58" s="464">
        <v>1</v>
      </c>
      <c r="O58" s="464">
        <v>550</v>
      </c>
      <c r="P58" s="468">
        <v>1</v>
      </c>
      <c r="Q58" s="468">
        <v>550</v>
      </c>
      <c r="R58" s="491">
        <v>0.14285714285714285</v>
      </c>
      <c r="S58" s="469">
        <v>550</v>
      </c>
    </row>
    <row r="59" spans="1:19" ht="14.45" customHeight="1" x14ac:dyDescent="0.2">
      <c r="A59" s="463"/>
      <c r="B59" s="464" t="s">
        <v>1929</v>
      </c>
      <c r="C59" s="464" t="s">
        <v>444</v>
      </c>
      <c r="D59" s="464" t="s">
        <v>1920</v>
      </c>
      <c r="E59" s="464" t="s">
        <v>1930</v>
      </c>
      <c r="F59" s="464" t="s">
        <v>1984</v>
      </c>
      <c r="G59" s="464"/>
      <c r="H59" s="468">
        <v>2</v>
      </c>
      <c r="I59" s="468">
        <v>2790</v>
      </c>
      <c r="J59" s="464">
        <v>2</v>
      </c>
      <c r="K59" s="464">
        <v>1395</v>
      </c>
      <c r="L59" s="468">
        <v>1</v>
      </c>
      <c r="M59" s="468">
        <v>1395</v>
      </c>
      <c r="N59" s="464">
        <v>1</v>
      </c>
      <c r="O59" s="464">
        <v>1395</v>
      </c>
      <c r="P59" s="468"/>
      <c r="Q59" s="468"/>
      <c r="R59" s="491"/>
      <c r="S59" s="469"/>
    </row>
    <row r="60" spans="1:19" ht="14.45" customHeight="1" x14ac:dyDescent="0.2">
      <c r="A60" s="463"/>
      <c r="B60" s="464" t="s">
        <v>1929</v>
      </c>
      <c r="C60" s="464" t="s">
        <v>444</v>
      </c>
      <c r="D60" s="464" t="s">
        <v>1920</v>
      </c>
      <c r="E60" s="464" t="s">
        <v>1930</v>
      </c>
      <c r="F60" s="464" t="s">
        <v>1985</v>
      </c>
      <c r="G60" s="464"/>
      <c r="H60" s="468">
        <v>6</v>
      </c>
      <c r="I60" s="468">
        <v>3114</v>
      </c>
      <c r="J60" s="464">
        <v>0.8571428571428571</v>
      </c>
      <c r="K60" s="464">
        <v>519</v>
      </c>
      <c r="L60" s="468">
        <v>7</v>
      </c>
      <c r="M60" s="468">
        <v>3633</v>
      </c>
      <c r="N60" s="464">
        <v>1</v>
      </c>
      <c r="O60" s="464">
        <v>519</v>
      </c>
      <c r="P60" s="468">
        <v>6</v>
      </c>
      <c r="Q60" s="468">
        <v>3114</v>
      </c>
      <c r="R60" s="491">
        <v>0.8571428571428571</v>
      </c>
      <c r="S60" s="469">
        <v>519</v>
      </c>
    </row>
    <row r="61" spans="1:19" ht="14.45" customHeight="1" x14ac:dyDescent="0.2">
      <c r="A61" s="463"/>
      <c r="B61" s="464" t="s">
        <v>1929</v>
      </c>
      <c r="C61" s="464" t="s">
        <v>444</v>
      </c>
      <c r="D61" s="464" t="s">
        <v>1920</v>
      </c>
      <c r="E61" s="464" t="s">
        <v>1930</v>
      </c>
      <c r="F61" s="464" t="s">
        <v>1986</v>
      </c>
      <c r="G61" s="464"/>
      <c r="H61" s="468">
        <v>3</v>
      </c>
      <c r="I61" s="468">
        <v>3978</v>
      </c>
      <c r="J61" s="464"/>
      <c r="K61" s="464">
        <v>1326</v>
      </c>
      <c r="L61" s="468"/>
      <c r="M61" s="468"/>
      <c r="N61" s="464"/>
      <c r="O61" s="464"/>
      <c r="P61" s="468">
        <v>1</v>
      </c>
      <c r="Q61" s="468">
        <v>1326</v>
      </c>
      <c r="R61" s="491"/>
      <c r="S61" s="469">
        <v>1326</v>
      </c>
    </row>
    <row r="62" spans="1:19" ht="14.45" customHeight="1" x14ac:dyDescent="0.2">
      <c r="A62" s="463"/>
      <c r="B62" s="464" t="s">
        <v>1929</v>
      </c>
      <c r="C62" s="464" t="s">
        <v>444</v>
      </c>
      <c r="D62" s="464" t="s">
        <v>1920</v>
      </c>
      <c r="E62" s="464" t="s">
        <v>1930</v>
      </c>
      <c r="F62" s="464" t="s">
        <v>1987</v>
      </c>
      <c r="G62" s="464"/>
      <c r="H62" s="468">
        <v>2</v>
      </c>
      <c r="I62" s="468">
        <v>810</v>
      </c>
      <c r="J62" s="464">
        <v>0.22222222222222221</v>
      </c>
      <c r="K62" s="464">
        <v>405</v>
      </c>
      <c r="L62" s="468">
        <v>9</v>
      </c>
      <c r="M62" s="468">
        <v>3645</v>
      </c>
      <c r="N62" s="464">
        <v>1</v>
      </c>
      <c r="O62" s="464">
        <v>405</v>
      </c>
      <c r="P62" s="468">
        <v>7</v>
      </c>
      <c r="Q62" s="468">
        <v>2835</v>
      </c>
      <c r="R62" s="491">
        <v>0.77777777777777779</v>
      </c>
      <c r="S62" s="469">
        <v>405</v>
      </c>
    </row>
    <row r="63" spans="1:19" ht="14.45" customHeight="1" x14ac:dyDescent="0.2">
      <c r="A63" s="463"/>
      <c r="B63" s="464" t="s">
        <v>1929</v>
      </c>
      <c r="C63" s="464" t="s">
        <v>444</v>
      </c>
      <c r="D63" s="464" t="s">
        <v>1920</v>
      </c>
      <c r="E63" s="464" t="s">
        <v>1930</v>
      </c>
      <c r="F63" s="464" t="s">
        <v>1988</v>
      </c>
      <c r="G63" s="464"/>
      <c r="H63" s="468">
        <v>6</v>
      </c>
      <c r="I63" s="468">
        <v>3300</v>
      </c>
      <c r="J63" s="464">
        <v>0.35294117647058826</v>
      </c>
      <c r="K63" s="464">
        <v>550</v>
      </c>
      <c r="L63" s="468">
        <v>17</v>
      </c>
      <c r="M63" s="468">
        <v>9350</v>
      </c>
      <c r="N63" s="464">
        <v>1</v>
      </c>
      <c r="O63" s="464">
        <v>550</v>
      </c>
      <c r="P63" s="468">
        <v>7</v>
      </c>
      <c r="Q63" s="468">
        <v>3850</v>
      </c>
      <c r="R63" s="491">
        <v>0.41176470588235292</v>
      </c>
      <c r="S63" s="469">
        <v>550</v>
      </c>
    </row>
    <row r="64" spans="1:19" ht="14.45" customHeight="1" x14ac:dyDescent="0.2">
      <c r="A64" s="463"/>
      <c r="B64" s="464" t="s">
        <v>1929</v>
      </c>
      <c r="C64" s="464" t="s">
        <v>444</v>
      </c>
      <c r="D64" s="464" t="s">
        <v>1920</v>
      </c>
      <c r="E64" s="464" t="s">
        <v>1930</v>
      </c>
      <c r="F64" s="464" t="s">
        <v>1989</v>
      </c>
      <c r="G64" s="464"/>
      <c r="H64" s="468">
        <v>6</v>
      </c>
      <c r="I64" s="468">
        <v>0</v>
      </c>
      <c r="J64" s="464"/>
      <c r="K64" s="464">
        <v>0</v>
      </c>
      <c r="L64" s="468">
        <v>2</v>
      </c>
      <c r="M64" s="468">
        <v>0</v>
      </c>
      <c r="N64" s="464"/>
      <c r="O64" s="464">
        <v>0</v>
      </c>
      <c r="P64" s="468">
        <v>9</v>
      </c>
      <c r="Q64" s="468">
        <v>0</v>
      </c>
      <c r="R64" s="491"/>
      <c r="S64" s="469">
        <v>0</v>
      </c>
    </row>
    <row r="65" spans="1:19" ht="14.45" customHeight="1" x14ac:dyDescent="0.2">
      <c r="A65" s="463"/>
      <c r="B65" s="464" t="s">
        <v>1929</v>
      </c>
      <c r="C65" s="464" t="s">
        <v>444</v>
      </c>
      <c r="D65" s="464" t="s">
        <v>1920</v>
      </c>
      <c r="E65" s="464" t="s">
        <v>1930</v>
      </c>
      <c r="F65" s="464" t="s">
        <v>1990</v>
      </c>
      <c r="G65" s="464"/>
      <c r="H65" s="468">
        <v>1</v>
      </c>
      <c r="I65" s="468">
        <v>1014</v>
      </c>
      <c r="J65" s="464"/>
      <c r="K65" s="464">
        <v>1014</v>
      </c>
      <c r="L65" s="468"/>
      <c r="M65" s="468"/>
      <c r="N65" s="464"/>
      <c r="O65" s="464"/>
      <c r="P65" s="468"/>
      <c r="Q65" s="468"/>
      <c r="R65" s="491"/>
      <c r="S65" s="469"/>
    </row>
    <row r="66" spans="1:19" ht="14.45" customHeight="1" x14ac:dyDescent="0.2">
      <c r="A66" s="463"/>
      <c r="B66" s="464" t="s">
        <v>1929</v>
      </c>
      <c r="C66" s="464" t="s">
        <v>444</v>
      </c>
      <c r="D66" s="464" t="s">
        <v>1920</v>
      </c>
      <c r="E66" s="464" t="s">
        <v>1930</v>
      </c>
      <c r="F66" s="464" t="s">
        <v>1991</v>
      </c>
      <c r="G66" s="464"/>
      <c r="H66" s="468">
        <v>1</v>
      </c>
      <c r="I66" s="468">
        <v>0</v>
      </c>
      <c r="J66" s="464"/>
      <c r="K66" s="464">
        <v>0</v>
      </c>
      <c r="L66" s="468"/>
      <c r="M66" s="468"/>
      <c r="N66" s="464"/>
      <c r="O66" s="464"/>
      <c r="P66" s="468"/>
      <c r="Q66" s="468"/>
      <c r="R66" s="491"/>
      <c r="S66" s="469"/>
    </row>
    <row r="67" spans="1:19" ht="14.45" customHeight="1" x14ac:dyDescent="0.2">
      <c r="A67" s="463"/>
      <c r="B67" s="464" t="s">
        <v>1929</v>
      </c>
      <c r="C67" s="464" t="s">
        <v>444</v>
      </c>
      <c r="D67" s="464" t="s">
        <v>1920</v>
      </c>
      <c r="E67" s="464" t="s">
        <v>1930</v>
      </c>
      <c r="F67" s="464" t="s">
        <v>1992</v>
      </c>
      <c r="G67" s="464"/>
      <c r="H67" s="468">
        <v>2</v>
      </c>
      <c r="I67" s="468">
        <v>0</v>
      </c>
      <c r="J67" s="464"/>
      <c r="K67" s="464">
        <v>0</v>
      </c>
      <c r="L67" s="468">
        <v>0</v>
      </c>
      <c r="M67" s="468">
        <v>0</v>
      </c>
      <c r="N67" s="464"/>
      <c r="O67" s="464"/>
      <c r="P67" s="468">
        <v>1</v>
      </c>
      <c r="Q67" s="468">
        <v>0</v>
      </c>
      <c r="R67" s="491"/>
      <c r="S67" s="469">
        <v>0</v>
      </c>
    </row>
    <row r="68" spans="1:19" ht="14.45" customHeight="1" x14ac:dyDescent="0.2">
      <c r="A68" s="463"/>
      <c r="B68" s="464" t="s">
        <v>1929</v>
      </c>
      <c r="C68" s="464" t="s">
        <v>444</v>
      </c>
      <c r="D68" s="464" t="s">
        <v>1920</v>
      </c>
      <c r="E68" s="464" t="s">
        <v>1930</v>
      </c>
      <c r="F68" s="464" t="s">
        <v>1993</v>
      </c>
      <c r="G68" s="464"/>
      <c r="H68" s="468"/>
      <c r="I68" s="468"/>
      <c r="J68" s="464"/>
      <c r="K68" s="464"/>
      <c r="L68" s="468"/>
      <c r="M68" s="468"/>
      <c r="N68" s="464"/>
      <c r="O68" s="464"/>
      <c r="P68" s="468">
        <v>1</v>
      </c>
      <c r="Q68" s="468">
        <v>0</v>
      </c>
      <c r="R68" s="491"/>
      <c r="S68" s="469">
        <v>0</v>
      </c>
    </row>
    <row r="69" spans="1:19" ht="14.45" customHeight="1" x14ac:dyDescent="0.2">
      <c r="A69" s="463"/>
      <c r="B69" s="464" t="s">
        <v>1929</v>
      </c>
      <c r="C69" s="464" t="s">
        <v>444</v>
      </c>
      <c r="D69" s="464" t="s">
        <v>1920</v>
      </c>
      <c r="E69" s="464" t="s">
        <v>1930</v>
      </c>
      <c r="F69" s="464" t="s">
        <v>1994</v>
      </c>
      <c r="G69" s="464"/>
      <c r="H69" s="468"/>
      <c r="I69" s="468"/>
      <c r="J69" s="464"/>
      <c r="K69" s="464"/>
      <c r="L69" s="468">
        <v>1</v>
      </c>
      <c r="M69" s="468">
        <v>1065</v>
      </c>
      <c r="N69" s="464">
        <v>1</v>
      </c>
      <c r="O69" s="464">
        <v>1065</v>
      </c>
      <c r="P69" s="468"/>
      <c r="Q69" s="468"/>
      <c r="R69" s="491"/>
      <c r="S69" s="469"/>
    </row>
    <row r="70" spans="1:19" ht="14.45" customHeight="1" x14ac:dyDescent="0.2">
      <c r="A70" s="463"/>
      <c r="B70" s="464" t="s">
        <v>1929</v>
      </c>
      <c r="C70" s="464" t="s">
        <v>444</v>
      </c>
      <c r="D70" s="464" t="s">
        <v>1920</v>
      </c>
      <c r="E70" s="464" t="s">
        <v>1930</v>
      </c>
      <c r="F70" s="464" t="s">
        <v>1995</v>
      </c>
      <c r="G70" s="464"/>
      <c r="H70" s="468">
        <v>0</v>
      </c>
      <c r="I70" s="468">
        <v>0</v>
      </c>
      <c r="J70" s="464"/>
      <c r="K70" s="464"/>
      <c r="L70" s="468">
        <v>1</v>
      </c>
      <c r="M70" s="468">
        <v>0</v>
      </c>
      <c r="N70" s="464"/>
      <c r="O70" s="464">
        <v>0</v>
      </c>
      <c r="P70" s="468">
        <v>0</v>
      </c>
      <c r="Q70" s="468">
        <v>0</v>
      </c>
      <c r="R70" s="491"/>
      <c r="S70" s="469"/>
    </row>
    <row r="71" spans="1:19" ht="14.45" customHeight="1" x14ac:dyDescent="0.2">
      <c r="A71" s="463"/>
      <c r="B71" s="464" t="s">
        <v>1929</v>
      </c>
      <c r="C71" s="464" t="s">
        <v>444</v>
      </c>
      <c r="D71" s="464" t="s">
        <v>1920</v>
      </c>
      <c r="E71" s="464" t="s">
        <v>1930</v>
      </c>
      <c r="F71" s="464" t="s">
        <v>1996</v>
      </c>
      <c r="G71" s="464"/>
      <c r="H71" s="468"/>
      <c r="I71" s="468"/>
      <c r="J71" s="464"/>
      <c r="K71" s="464"/>
      <c r="L71" s="468">
        <v>1</v>
      </c>
      <c r="M71" s="468">
        <v>1014</v>
      </c>
      <c r="N71" s="464">
        <v>1</v>
      </c>
      <c r="O71" s="464">
        <v>1014</v>
      </c>
      <c r="P71" s="468"/>
      <c r="Q71" s="468"/>
      <c r="R71" s="491"/>
      <c r="S71" s="469"/>
    </row>
    <row r="72" spans="1:19" ht="14.45" customHeight="1" x14ac:dyDescent="0.2">
      <c r="A72" s="463"/>
      <c r="B72" s="464" t="s">
        <v>1929</v>
      </c>
      <c r="C72" s="464" t="s">
        <v>444</v>
      </c>
      <c r="D72" s="464" t="s">
        <v>1920</v>
      </c>
      <c r="E72" s="464" t="s">
        <v>1930</v>
      </c>
      <c r="F72" s="464" t="s">
        <v>1997</v>
      </c>
      <c r="G72" s="464"/>
      <c r="H72" s="468"/>
      <c r="I72" s="468"/>
      <c r="J72" s="464"/>
      <c r="K72" s="464"/>
      <c r="L72" s="468">
        <v>4</v>
      </c>
      <c r="M72" s="468">
        <v>0</v>
      </c>
      <c r="N72" s="464"/>
      <c r="O72" s="464">
        <v>0</v>
      </c>
      <c r="P72" s="468"/>
      <c r="Q72" s="468"/>
      <c r="R72" s="491"/>
      <c r="S72" s="469"/>
    </row>
    <row r="73" spans="1:19" ht="14.45" customHeight="1" x14ac:dyDescent="0.2">
      <c r="A73" s="463"/>
      <c r="B73" s="464" t="s">
        <v>1929</v>
      </c>
      <c r="C73" s="464" t="s">
        <v>444</v>
      </c>
      <c r="D73" s="464" t="s">
        <v>1920</v>
      </c>
      <c r="E73" s="464" t="s">
        <v>1930</v>
      </c>
      <c r="F73" s="464" t="s">
        <v>1998</v>
      </c>
      <c r="G73" s="464"/>
      <c r="H73" s="468"/>
      <c r="I73" s="468"/>
      <c r="J73" s="464"/>
      <c r="K73" s="464"/>
      <c r="L73" s="468">
        <v>1</v>
      </c>
      <c r="M73" s="468">
        <v>321</v>
      </c>
      <c r="N73" s="464">
        <v>1</v>
      </c>
      <c r="O73" s="464">
        <v>321</v>
      </c>
      <c r="P73" s="468"/>
      <c r="Q73" s="468"/>
      <c r="R73" s="491"/>
      <c r="S73" s="469"/>
    </row>
    <row r="74" spans="1:19" ht="14.45" customHeight="1" x14ac:dyDescent="0.2">
      <c r="A74" s="463"/>
      <c r="B74" s="464" t="s">
        <v>1929</v>
      </c>
      <c r="C74" s="464" t="s">
        <v>444</v>
      </c>
      <c r="D74" s="464" t="s">
        <v>1920</v>
      </c>
      <c r="E74" s="464" t="s">
        <v>1930</v>
      </c>
      <c r="F74" s="464" t="s">
        <v>1999</v>
      </c>
      <c r="G74" s="464"/>
      <c r="H74" s="468"/>
      <c r="I74" s="468"/>
      <c r="J74" s="464"/>
      <c r="K74" s="464"/>
      <c r="L74" s="468"/>
      <c r="M74" s="468"/>
      <c r="N74" s="464"/>
      <c r="O74" s="464"/>
      <c r="P74" s="468">
        <v>1</v>
      </c>
      <c r="Q74" s="468">
        <v>0</v>
      </c>
      <c r="R74" s="491"/>
      <c r="S74" s="469">
        <v>0</v>
      </c>
    </row>
    <row r="75" spans="1:19" ht="14.45" customHeight="1" x14ac:dyDescent="0.2">
      <c r="A75" s="463"/>
      <c r="B75" s="464" t="s">
        <v>1929</v>
      </c>
      <c r="C75" s="464" t="s">
        <v>444</v>
      </c>
      <c r="D75" s="464" t="s">
        <v>1920</v>
      </c>
      <c r="E75" s="464" t="s">
        <v>1930</v>
      </c>
      <c r="F75" s="464" t="s">
        <v>2000</v>
      </c>
      <c r="G75" s="464"/>
      <c r="H75" s="468"/>
      <c r="I75" s="468"/>
      <c r="J75" s="464"/>
      <c r="K75" s="464"/>
      <c r="L75" s="468"/>
      <c r="M75" s="468"/>
      <c r="N75" s="464"/>
      <c r="O75" s="464"/>
      <c r="P75" s="468">
        <v>1</v>
      </c>
      <c r="Q75" s="468">
        <v>0</v>
      </c>
      <c r="R75" s="491"/>
      <c r="S75" s="469">
        <v>0</v>
      </c>
    </row>
    <row r="76" spans="1:19" ht="14.45" customHeight="1" x14ac:dyDescent="0.2">
      <c r="A76" s="463"/>
      <c r="B76" s="464" t="s">
        <v>1929</v>
      </c>
      <c r="C76" s="464" t="s">
        <v>444</v>
      </c>
      <c r="D76" s="464" t="s">
        <v>1920</v>
      </c>
      <c r="E76" s="464" t="s">
        <v>1930</v>
      </c>
      <c r="F76" s="464" t="s">
        <v>2001</v>
      </c>
      <c r="G76" s="464"/>
      <c r="H76" s="468"/>
      <c r="I76" s="468"/>
      <c r="J76" s="464"/>
      <c r="K76" s="464"/>
      <c r="L76" s="468"/>
      <c r="M76" s="468"/>
      <c r="N76" s="464"/>
      <c r="O76" s="464"/>
      <c r="P76" s="468">
        <v>1</v>
      </c>
      <c r="Q76" s="468">
        <v>550</v>
      </c>
      <c r="R76" s="491"/>
      <c r="S76" s="469">
        <v>550</v>
      </c>
    </row>
    <row r="77" spans="1:19" ht="14.45" customHeight="1" x14ac:dyDescent="0.2">
      <c r="A77" s="463"/>
      <c r="B77" s="464" t="s">
        <v>1929</v>
      </c>
      <c r="C77" s="464" t="s">
        <v>444</v>
      </c>
      <c r="D77" s="464" t="s">
        <v>1920</v>
      </c>
      <c r="E77" s="464" t="s">
        <v>1930</v>
      </c>
      <c r="F77" s="464" t="s">
        <v>2002</v>
      </c>
      <c r="G77" s="464"/>
      <c r="H77" s="468"/>
      <c r="I77" s="468"/>
      <c r="J77" s="464"/>
      <c r="K77" s="464"/>
      <c r="L77" s="468">
        <v>2</v>
      </c>
      <c r="M77" s="468">
        <v>1100</v>
      </c>
      <c r="N77" s="464">
        <v>1</v>
      </c>
      <c r="O77" s="464">
        <v>550</v>
      </c>
      <c r="P77" s="468"/>
      <c r="Q77" s="468"/>
      <c r="R77" s="491"/>
      <c r="S77" s="469"/>
    </row>
    <row r="78" spans="1:19" ht="14.45" customHeight="1" x14ac:dyDescent="0.2">
      <c r="A78" s="463"/>
      <c r="B78" s="464" t="s">
        <v>1929</v>
      </c>
      <c r="C78" s="464" t="s">
        <v>444</v>
      </c>
      <c r="D78" s="464" t="s">
        <v>1920</v>
      </c>
      <c r="E78" s="464" t="s">
        <v>1930</v>
      </c>
      <c r="F78" s="464" t="s">
        <v>2003</v>
      </c>
      <c r="G78" s="464"/>
      <c r="H78" s="468"/>
      <c r="I78" s="468"/>
      <c r="J78" s="464"/>
      <c r="K78" s="464"/>
      <c r="L78" s="468"/>
      <c r="M78" s="468"/>
      <c r="N78" s="464"/>
      <c r="O78" s="464"/>
      <c r="P78" s="468">
        <v>3</v>
      </c>
      <c r="Q78" s="468">
        <v>1633</v>
      </c>
      <c r="R78" s="491"/>
      <c r="S78" s="469">
        <v>544.33333333333337</v>
      </c>
    </row>
    <row r="79" spans="1:19" ht="14.45" customHeight="1" x14ac:dyDescent="0.2">
      <c r="A79" s="463"/>
      <c r="B79" s="464" t="s">
        <v>1929</v>
      </c>
      <c r="C79" s="464" t="s">
        <v>444</v>
      </c>
      <c r="D79" s="464" t="s">
        <v>1920</v>
      </c>
      <c r="E79" s="464" t="s">
        <v>1930</v>
      </c>
      <c r="F79" s="464" t="s">
        <v>2004</v>
      </c>
      <c r="G79" s="464"/>
      <c r="H79" s="468"/>
      <c r="I79" s="468"/>
      <c r="J79" s="464"/>
      <c r="K79" s="464"/>
      <c r="L79" s="468"/>
      <c r="M79" s="468"/>
      <c r="N79" s="464"/>
      <c r="O79" s="464"/>
      <c r="P79" s="468">
        <v>1</v>
      </c>
      <c r="Q79" s="468">
        <v>2490</v>
      </c>
      <c r="R79" s="491"/>
      <c r="S79" s="469">
        <v>2490</v>
      </c>
    </row>
    <row r="80" spans="1:19" ht="14.45" customHeight="1" x14ac:dyDescent="0.2">
      <c r="A80" s="463"/>
      <c r="B80" s="464" t="s">
        <v>1929</v>
      </c>
      <c r="C80" s="464" t="s">
        <v>444</v>
      </c>
      <c r="D80" s="464" t="s">
        <v>1920</v>
      </c>
      <c r="E80" s="464" t="s">
        <v>1930</v>
      </c>
      <c r="F80" s="464" t="s">
        <v>2005</v>
      </c>
      <c r="G80" s="464"/>
      <c r="H80" s="468"/>
      <c r="I80" s="468"/>
      <c r="J80" s="464"/>
      <c r="K80" s="464"/>
      <c r="L80" s="468">
        <v>3</v>
      </c>
      <c r="M80" s="468">
        <v>1059</v>
      </c>
      <c r="N80" s="464">
        <v>1</v>
      </c>
      <c r="O80" s="464">
        <v>353</v>
      </c>
      <c r="P80" s="468"/>
      <c r="Q80" s="468"/>
      <c r="R80" s="491"/>
      <c r="S80" s="469"/>
    </row>
    <row r="81" spans="1:19" ht="14.45" customHeight="1" x14ac:dyDescent="0.2">
      <c r="A81" s="463"/>
      <c r="B81" s="464" t="s">
        <v>1929</v>
      </c>
      <c r="C81" s="464" t="s">
        <v>444</v>
      </c>
      <c r="D81" s="464" t="s">
        <v>1920</v>
      </c>
      <c r="E81" s="464" t="s">
        <v>1930</v>
      </c>
      <c r="F81" s="464" t="s">
        <v>2006</v>
      </c>
      <c r="G81" s="464"/>
      <c r="H81" s="468"/>
      <c r="I81" s="468"/>
      <c r="J81" s="464"/>
      <c r="K81" s="464"/>
      <c r="L81" s="468"/>
      <c r="M81" s="468"/>
      <c r="N81" s="464"/>
      <c r="O81" s="464"/>
      <c r="P81" s="468">
        <v>4</v>
      </c>
      <c r="Q81" s="468">
        <v>1400</v>
      </c>
      <c r="R81" s="491"/>
      <c r="S81" s="469">
        <v>350</v>
      </c>
    </row>
    <row r="82" spans="1:19" ht="14.45" customHeight="1" x14ac:dyDescent="0.2">
      <c r="A82" s="463"/>
      <c r="B82" s="464" t="s">
        <v>1929</v>
      </c>
      <c r="C82" s="464" t="s">
        <v>444</v>
      </c>
      <c r="D82" s="464" t="s">
        <v>1920</v>
      </c>
      <c r="E82" s="464" t="s">
        <v>1930</v>
      </c>
      <c r="F82" s="464" t="s">
        <v>2007</v>
      </c>
      <c r="G82" s="464"/>
      <c r="H82" s="468"/>
      <c r="I82" s="468"/>
      <c r="J82" s="464"/>
      <c r="K82" s="464"/>
      <c r="L82" s="468">
        <v>1</v>
      </c>
      <c r="M82" s="468">
        <v>0</v>
      </c>
      <c r="N82" s="464"/>
      <c r="O82" s="464">
        <v>0</v>
      </c>
      <c r="P82" s="468"/>
      <c r="Q82" s="468"/>
      <c r="R82" s="491"/>
      <c r="S82" s="469"/>
    </row>
    <row r="83" spans="1:19" ht="14.45" customHeight="1" x14ac:dyDescent="0.2">
      <c r="A83" s="463"/>
      <c r="B83" s="464" t="s">
        <v>1929</v>
      </c>
      <c r="C83" s="464" t="s">
        <v>444</v>
      </c>
      <c r="D83" s="464" t="s">
        <v>1920</v>
      </c>
      <c r="E83" s="464" t="s">
        <v>1930</v>
      </c>
      <c r="F83" s="464" t="s">
        <v>2008</v>
      </c>
      <c r="G83" s="464"/>
      <c r="H83" s="468">
        <v>1</v>
      </c>
      <c r="I83" s="468">
        <v>1260</v>
      </c>
      <c r="J83" s="464">
        <v>1</v>
      </c>
      <c r="K83" s="464">
        <v>1260</v>
      </c>
      <c r="L83" s="468">
        <v>1</v>
      </c>
      <c r="M83" s="468">
        <v>1260</v>
      </c>
      <c r="N83" s="464">
        <v>1</v>
      </c>
      <c r="O83" s="464">
        <v>1260</v>
      </c>
      <c r="P83" s="468">
        <v>4</v>
      </c>
      <c r="Q83" s="468">
        <v>5040</v>
      </c>
      <c r="R83" s="491">
        <v>4</v>
      </c>
      <c r="S83" s="469">
        <v>1260</v>
      </c>
    </row>
    <row r="84" spans="1:19" ht="14.45" customHeight="1" x14ac:dyDescent="0.2">
      <c r="A84" s="463"/>
      <c r="B84" s="464" t="s">
        <v>1929</v>
      </c>
      <c r="C84" s="464" t="s">
        <v>444</v>
      </c>
      <c r="D84" s="464" t="s">
        <v>1920</v>
      </c>
      <c r="E84" s="464" t="s">
        <v>1930</v>
      </c>
      <c r="F84" s="464" t="s">
        <v>2009</v>
      </c>
      <c r="G84" s="464"/>
      <c r="H84" s="468"/>
      <c r="I84" s="468"/>
      <c r="J84" s="464"/>
      <c r="K84" s="464"/>
      <c r="L84" s="468"/>
      <c r="M84" s="468"/>
      <c r="N84" s="464"/>
      <c r="O84" s="464"/>
      <c r="P84" s="468">
        <v>1</v>
      </c>
      <c r="Q84" s="468">
        <v>0</v>
      </c>
      <c r="R84" s="491"/>
      <c r="S84" s="469">
        <v>0</v>
      </c>
    </row>
    <row r="85" spans="1:19" ht="14.45" customHeight="1" x14ac:dyDescent="0.2">
      <c r="A85" s="463"/>
      <c r="B85" s="464" t="s">
        <v>1929</v>
      </c>
      <c r="C85" s="464" t="s">
        <v>444</v>
      </c>
      <c r="D85" s="464" t="s">
        <v>1920</v>
      </c>
      <c r="E85" s="464" t="s">
        <v>1930</v>
      </c>
      <c r="F85" s="464" t="s">
        <v>2010</v>
      </c>
      <c r="G85" s="464"/>
      <c r="H85" s="468"/>
      <c r="I85" s="468"/>
      <c r="J85" s="464"/>
      <c r="K85" s="464"/>
      <c r="L85" s="468">
        <v>1</v>
      </c>
      <c r="M85" s="468">
        <v>940</v>
      </c>
      <c r="N85" s="464">
        <v>1</v>
      </c>
      <c r="O85" s="464">
        <v>940</v>
      </c>
      <c r="P85" s="468"/>
      <c r="Q85" s="468"/>
      <c r="R85" s="491"/>
      <c r="S85" s="469"/>
    </row>
    <row r="86" spans="1:19" ht="14.45" customHeight="1" x14ac:dyDescent="0.2">
      <c r="A86" s="463"/>
      <c r="B86" s="464" t="s">
        <v>1929</v>
      </c>
      <c r="C86" s="464" t="s">
        <v>444</v>
      </c>
      <c r="D86" s="464" t="s">
        <v>1920</v>
      </c>
      <c r="E86" s="464" t="s">
        <v>1930</v>
      </c>
      <c r="F86" s="464" t="s">
        <v>2011</v>
      </c>
      <c r="G86" s="464"/>
      <c r="H86" s="468"/>
      <c r="I86" s="468"/>
      <c r="J86" s="464"/>
      <c r="K86" s="464"/>
      <c r="L86" s="468">
        <v>1</v>
      </c>
      <c r="M86" s="468">
        <v>1008</v>
      </c>
      <c r="N86" s="464">
        <v>1</v>
      </c>
      <c r="O86" s="464">
        <v>1008</v>
      </c>
      <c r="P86" s="468"/>
      <c r="Q86" s="468"/>
      <c r="R86" s="491"/>
      <c r="S86" s="469"/>
    </row>
    <row r="87" spans="1:19" ht="14.45" customHeight="1" x14ac:dyDescent="0.2">
      <c r="A87" s="463"/>
      <c r="B87" s="464" t="s">
        <v>1929</v>
      </c>
      <c r="C87" s="464" t="s">
        <v>444</v>
      </c>
      <c r="D87" s="464" t="s">
        <v>1920</v>
      </c>
      <c r="E87" s="464" t="s">
        <v>1930</v>
      </c>
      <c r="F87" s="464" t="s">
        <v>2012</v>
      </c>
      <c r="G87" s="464"/>
      <c r="H87" s="468"/>
      <c r="I87" s="468"/>
      <c r="J87" s="464"/>
      <c r="K87" s="464"/>
      <c r="L87" s="468">
        <v>1</v>
      </c>
      <c r="M87" s="468">
        <v>0</v>
      </c>
      <c r="N87" s="464"/>
      <c r="O87" s="464">
        <v>0</v>
      </c>
      <c r="P87" s="468"/>
      <c r="Q87" s="468"/>
      <c r="R87" s="491"/>
      <c r="S87" s="469"/>
    </row>
    <row r="88" spans="1:19" ht="14.45" customHeight="1" x14ac:dyDescent="0.2">
      <c r="A88" s="463"/>
      <c r="B88" s="464" t="s">
        <v>1929</v>
      </c>
      <c r="C88" s="464" t="s">
        <v>444</v>
      </c>
      <c r="D88" s="464" t="s">
        <v>1920</v>
      </c>
      <c r="E88" s="464" t="s">
        <v>1930</v>
      </c>
      <c r="F88" s="464" t="s">
        <v>2013</v>
      </c>
      <c r="G88" s="464"/>
      <c r="H88" s="468"/>
      <c r="I88" s="468"/>
      <c r="J88" s="464"/>
      <c r="K88" s="464"/>
      <c r="L88" s="468"/>
      <c r="M88" s="468"/>
      <c r="N88" s="464"/>
      <c r="O88" s="464"/>
      <c r="P88" s="468">
        <v>0</v>
      </c>
      <c r="Q88" s="468">
        <v>0</v>
      </c>
      <c r="R88" s="491"/>
      <c r="S88" s="469"/>
    </row>
    <row r="89" spans="1:19" ht="14.45" customHeight="1" x14ac:dyDescent="0.2">
      <c r="A89" s="463"/>
      <c r="B89" s="464" t="s">
        <v>1929</v>
      </c>
      <c r="C89" s="464" t="s">
        <v>444</v>
      </c>
      <c r="D89" s="464" t="s">
        <v>1920</v>
      </c>
      <c r="E89" s="464" t="s">
        <v>1930</v>
      </c>
      <c r="F89" s="464" t="s">
        <v>2014</v>
      </c>
      <c r="G89" s="464"/>
      <c r="H89" s="468"/>
      <c r="I89" s="468"/>
      <c r="J89" s="464"/>
      <c r="K89" s="464"/>
      <c r="L89" s="468">
        <v>1</v>
      </c>
      <c r="M89" s="468">
        <v>745</v>
      </c>
      <c r="N89" s="464">
        <v>1</v>
      </c>
      <c r="O89" s="464">
        <v>745</v>
      </c>
      <c r="P89" s="468"/>
      <c r="Q89" s="468"/>
      <c r="R89" s="491"/>
      <c r="S89" s="469"/>
    </row>
    <row r="90" spans="1:19" ht="14.45" customHeight="1" x14ac:dyDescent="0.2">
      <c r="A90" s="463"/>
      <c r="B90" s="464" t="s">
        <v>1929</v>
      </c>
      <c r="C90" s="464" t="s">
        <v>444</v>
      </c>
      <c r="D90" s="464" t="s">
        <v>1920</v>
      </c>
      <c r="E90" s="464" t="s">
        <v>1930</v>
      </c>
      <c r="F90" s="464" t="s">
        <v>2015</v>
      </c>
      <c r="G90" s="464"/>
      <c r="H90" s="468"/>
      <c r="I90" s="468"/>
      <c r="J90" s="464"/>
      <c r="K90" s="464"/>
      <c r="L90" s="468"/>
      <c r="M90" s="468"/>
      <c r="N90" s="464"/>
      <c r="O90" s="464"/>
      <c r="P90" s="468">
        <v>1</v>
      </c>
      <c r="Q90" s="468">
        <v>592</v>
      </c>
      <c r="R90" s="491"/>
      <c r="S90" s="469">
        <v>592</v>
      </c>
    </row>
    <row r="91" spans="1:19" ht="14.45" customHeight="1" x14ac:dyDescent="0.2">
      <c r="A91" s="463"/>
      <c r="B91" s="464" t="s">
        <v>1929</v>
      </c>
      <c r="C91" s="464" t="s">
        <v>444</v>
      </c>
      <c r="D91" s="464" t="s">
        <v>1920</v>
      </c>
      <c r="E91" s="464" t="s">
        <v>1930</v>
      </c>
      <c r="F91" s="464" t="s">
        <v>2016</v>
      </c>
      <c r="G91" s="464"/>
      <c r="H91" s="468">
        <v>1</v>
      </c>
      <c r="I91" s="468">
        <v>0</v>
      </c>
      <c r="J91" s="464"/>
      <c r="K91" s="464">
        <v>0</v>
      </c>
      <c r="L91" s="468"/>
      <c r="M91" s="468"/>
      <c r="N91" s="464"/>
      <c r="O91" s="464"/>
      <c r="P91" s="468"/>
      <c r="Q91" s="468"/>
      <c r="R91" s="491"/>
      <c r="S91" s="469"/>
    </row>
    <row r="92" spans="1:19" ht="14.45" customHeight="1" x14ac:dyDescent="0.2">
      <c r="A92" s="463"/>
      <c r="B92" s="464" t="s">
        <v>1929</v>
      </c>
      <c r="C92" s="464" t="s">
        <v>444</v>
      </c>
      <c r="D92" s="464" t="s">
        <v>1920</v>
      </c>
      <c r="E92" s="464" t="s">
        <v>1930</v>
      </c>
      <c r="F92" s="464" t="s">
        <v>2017</v>
      </c>
      <c r="G92" s="464"/>
      <c r="H92" s="468">
        <v>1</v>
      </c>
      <c r="I92" s="468">
        <v>0</v>
      </c>
      <c r="J92" s="464"/>
      <c r="K92" s="464">
        <v>0</v>
      </c>
      <c r="L92" s="468"/>
      <c r="M92" s="468"/>
      <c r="N92" s="464"/>
      <c r="O92" s="464"/>
      <c r="P92" s="468"/>
      <c r="Q92" s="468"/>
      <c r="R92" s="491"/>
      <c r="S92" s="469"/>
    </row>
    <row r="93" spans="1:19" ht="14.45" customHeight="1" x14ac:dyDescent="0.2">
      <c r="A93" s="463"/>
      <c r="B93" s="464" t="s">
        <v>1929</v>
      </c>
      <c r="C93" s="464" t="s">
        <v>444</v>
      </c>
      <c r="D93" s="464" t="s">
        <v>1920</v>
      </c>
      <c r="E93" s="464" t="s">
        <v>1930</v>
      </c>
      <c r="F93" s="464" t="s">
        <v>2018</v>
      </c>
      <c r="G93" s="464"/>
      <c r="H93" s="468"/>
      <c r="I93" s="468"/>
      <c r="J93" s="464"/>
      <c r="K93" s="464"/>
      <c r="L93" s="468">
        <v>1</v>
      </c>
      <c r="M93" s="468">
        <v>0</v>
      </c>
      <c r="N93" s="464"/>
      <c r="O93" s="464">
        <v>0</v>
      </c>
      <c r="P93" s="468"/>
      <c r="Q93" s="468"/>
      <c r="R93" s="491"/>
      <c r="S93" s="469"/>
    </row>
    <row r="94" spans="1:19" ht="14.45" customHeight="1" x14ac:dyDescent="0.2">
      <c r="A94" s="463"/>
      <c r="B94" s="464" t="s">
        <v>1929</v>
      </c>
      <c r="C94" s="464" t="s">
        <v>444</v>
      </c>
      <c r="D94" s="464" t="s">
        <v>1920</v>
      </c>
      <c r="E94" s="464" t="s">
        <v>2019</v>
      </c>
      <c r="F94" s="464" t="s">
        <v>2020</v>
      </c>
      <c r="G94" s="464" t="s">
        <v>2021</v>
      </c>
      <c r="H94" s="468"/>
      <c r="I94" s="468"/>
      <c r="J94" s="464"/>
      <c r="K94" s="464"/>
      <c r="L94" s="468">
        <v>1</v>
      </c>
      <c r="M94" s="468">
        <v>508.89</v>
      </c>
      <c r="N94" s="464">
        <v>1</v>
      </c>
      <c r="O94" s="464">
        <v>508.89</v>
      </c>
      <c r="P94" s="468">
        <v>6</v>
      </c>
      <c r="Q94" s="468">
        <v>3053.34</v>
      </c>
      <c r="R94" s="491">
        <v>6.0000000000000009</v>
      </c>
      <c r="S94" s="469">
        <v>508.89000000000004</v>
      </c>
    </row>
    <row r="95" spans="1:19" ht="14.45" customHeight="1" x14ac:dyDescent="0.2">
      <c r="A95" s="463"/>
      <c r="B95" s="464" t="s">
        <v>1929</v>
      </c>
      <c r="C95" s="464" t="s">
        <v>444</v>
      </c>
      <c r="D95" s="464" t="s">
        <v>1920</v>
      </c>
      <c r="E95" s="464" t="s">
        <v>2019</v>
      </c>
      <c r="F95" s="464" t="s">
        <v>2022</v>
      </c>
      <c r="G95" s="464" t="s">
        <v>2023</v>
      </c>
      <c r="H95" s="468">
        <v>43</v>
      </c>
      <c r="I95" s="468">
        <v>21500</v>
      </c>
      <c r="J95" s="464">
        <v>43</v>
      </c>
      <c r="K95" s="464">
        <v>500</v>
      </c>
      <c r="L95" s="468">
        <v>1</v>
      </c>
      <c r="M95" s="468">
        <v>500</v>
      </c>
      <c r="N95" s="464">
        <v>1</v>
      </c>
      <c r="O95" s="464">
        <v>500</v>
      </c>
      <c r="P95" s="468"/>
      <c r="Q95" s="468"/>
      <c r="R95" s="491"/>
      <c r="S95" s="469"/>
    </row>
    <row r="96" spans="1:19" ht="14.45" customHeight="1" x14ac:dyDescent="0.2">
      <c r="A96" s="463"/>
      <c r="B96" s="464" t="s">
        <v>1929</v>
      </c>
      <c r="C96" s="464" t="s">
        <v>444</v>
      </c>
      <c r="D96" s="464" t="s">
        <v>1920</v>
      </c>
      <c r="E96" s="464" t="s">
        <v>2019</v>
      </c>
      <c r="F96" s="464" t="s">
        <v>2024</v>
      </c>
      <c r="G96" s="464" t="s">
        <v>2025</v>
      </c>
      <c r="H96" s="468">
        <v>1382</v>
      </c>
      <c r="I96" s="468">
        <v>107488.9</v>
      </c>
      <c r="J96" s="464">
        <v>1.1996530356755619</v>
      </c>
      <c r="K96" s="464">
        <v>77.77778581765557</v>
      </c>
      <c r="L96" s="468">
        <v>1152</v>
      </c>
      <c r="M96" s="468">
        <v>89599.99</v>
      </c>
      <c r="N96" s="464">
        <v>1</v>
      </c>
      <c r="O96" s="464">
        <v>77.777769097222233</v>
      </c>
      <c r="P96" s="468">
        <v>1241</v>
      </c>
      <c r="Q96" s="468">
        <v>96522.23</v>
      </c>
      <c r="R96" s="491">
        <v>1.0772571514795928</v>
      </c>
      <c r="S96" s="469">
        <v>77.777784045124889</v>
      </c>
    </row>
    <row r="97" spans="1:19" ht="14.45" customHeight="1" x14ac:dyDescent="0.2">
      <c r="A97" s="463"/>
      <c r="B97" s="464" t="s">
        <v>1929</v>
      </c>
      <c r="C97" s="464" t="s">
        <v>444</v>
      </c>
      <c r="D97" s="464" t="s">
        <v>1920</v>
      </c>
      <c r="E97" s="464" t="s">
        <v>2019</v>
      </c>
      <c r="F97" s="464" t="s">
        <v>2026</v>
      </c>
      <c r="G97" s="464" t="s">
        <v>2027</v>
      </c>
      <c r="H97" s="468">
        <v>28</v>
      </c>
      <c r="I97" s="468">
        <v>7000</v>
      </c>
      <c r="J97" s="464">
        <v>1.75</v>
      </c>
      <c r="K97" s="464">
        <v>250</v>
      </c>
      <c r="L97" s="468">
        <v>16</v>
      </c>
      <c r="M97" s="468">
        <v>4000</v>
      </c>
      <c r="N97" s="464">
        <v>1</v>
      </c>
      <c r="O97" s="464">
        <v>250</v>
      </c>
      <c r="P97" s="468">
        <v>33</v>
      </c>
      <c r="Q97" s="468">
        <v>8250</v>
      </c>
      <c r="R97" s="491">
        <v>2.0625</v>
      </c>
      <c r="S97" s="469">
        <v>250</v>
      </c>
    </row>
    <row r="98" spans="1:19" ht="14.45" customHeight="1" x14ac:dyDescent="0.2">
      <c r="A98" s="463"/>
      <c r="B98" s="464" t="s">
        <v>1929</v>
      </c>
      <c r="C98" s="464" t="s">
        <v>444</v>
      </c>
      <c r="D98" s="464" t="s">
        <v>1920</v>
      </c>
      <c r="E98" s="464" t="s">
        <v>2019</v>
      </c>
      <c r="F98" s="464" t="s">
        <v>2028</v>
      </c>
      <c r="G98" s="464" t="s">
        <v>2029</v>
      </c>
      <c r="H98" s="468">
        <v>0</v>
      </c>
      <c r="I98" s="468">
        <v>0</v>
      </c>
      <c r="J98" s="464"/>
      <c r="K98" s="464"/>
      <c r="L98" s="468"/>
      <c r="M98" s="468"/>
      <c r="N98" s="464"/>
      <c r="O98" s="464"/>
      <c r="P98" s="468"/>
      <c r="Q98" s="468"/>
      <c r="R98" s="491"/>
      <c r="S98" s="469"/>
    </row>
    <row r="99" spans="1:19" ht="14.45" customHeight="1" x14ac:dyDescent="0.2">
      <c r="A99" s="463"/>
      <c r="B99" s="464" t="s">
        <v>1929</v>
      </c>
      <c r="C99" s="464" t="s">
        <v>444</v>
      </c>
      <c r="D99" s="464" t="s">
        <v>1920</v>
      </c>
      <c r="E99" s="464" t="s">
        <v>2019</v>
      </c>
      <c r="F99" s="464" t="s">
        <v>2030</v>
      </c>
      <c r="G99" s="464" t="s">
        <v>2031</v>
      </c>
      <c r="H99" s="468">
        <v>352</v>
      </c>
      <c r="I99" s="468">
        <v>41066.67</v>
      </c>
      <c r="J99" s="464">
        <v>1.3968259853149609</v>
      </c>
      <c r="K99" s="464">
        <v>116.66667613636363</v>
      </c>
      <c r="L99" s="468">
        <v>252</v>
      </c>
      <c r="M99" s="468">
        <v>29399.989999999998</v>
      </c>
      <c r="N99" s="464">
        <v>1</v>
      </c>
      <c r="O99" s="464">
        <v>116.66662698412698</v>
      </c>
      <c r="P99" s="468">
        <v>261</v>
      </c>
      <c r="Q99" s="468">
        <v>30450.009999999995</v>
      </c>
      <c r="R99" s="491">
        <v>1.0357149781343462</v>
      </c>
      <c r="S99" s="469">
        <v>116.66670498084289</v>
      </c>
    </row>
    <row r="100" spans="1:19" ht="14.45" customHeight="1" x14ac:dyDescent="0.2">
      <c r="A100" s="463"/>
      <c r="B100" s="464" t="s">
        <v>1929</v>
      </c>
      <c r="C100" s="464" t="s">
        <v>444</v>
      </c>
      <c r="D100" s="464" t="s">
        <v>1920</v>
      </c>
      <c r="E100" s="464" t="s">
        <v>2019</v>
      </c>
      <c r="F100" s="464" t="s">
        <v>2032</v>
      </c>
      <c r="G100" s="464" t="s">
        <v>2033</v>
      </c>
      <c r="H100" s="468">
        <v>358</v>
      </c>
      <c r="I100" s="468">
        <v>107400</v>
      </c>
      <c r="J100" s="464">
        <v>0.76170212765957446</v>
      </c>
      <c r="K100" s="464">
        <v>300</v>
      </c>
      <c r="L100" s="468">
        <v>470</v>
      </c>
      <c r="M100" s="468">
        <v>141000</v>
      </c>
      <c r="N100" s="464">
        <v>1</v>
      </c>
      <c r="O100" s="464">
        <v>300</v>
      </c>
      <c r="P100" s="468">
        <v>502</v>
      </c>
      <c r="Q100" s="468">
        <v>276100</v>
      </c>
      <c r="R100" s="491">
        <v>1.9581560283687944</v>
      </c>
      <c r="S100" s="469">
        <v>550</v>
      </c>
    </row>
    <row r="101" spans="1:19" ht="14.45" customHeight="1" x14ac:dyDescent="0.2">
      <c r="A101" s="463"/>
      <c r="B101" s="464" t="s">
        <v>1929</v>
      </c>
      <c r="C101" s="464" t="s">
        <v>444</v>
      </c>
      <c r="D101" s="464" t="s">
        <v>1920</v>
      </c>
      <c r="E101" s="464" t="s">
        <v>2019</v>
      </c>
      <c r="F101" s="464" t="s">
        <v>2034</v>
      </c>
      <c r="G101" s="464" t="s">
        <v>2035</v>
      </c>
      <c r="H101" s="468">
        <v>28</v>
      </c>
      <c r="I101" s="468">
        <v>8244.44</v>
      </c>
      <c r="J101" s="464">
        <v>1.399998981132268</v>
      </c>
      <c r="K101" s="464">
        <v>294.44428571428574</v>
      </c>
      <c r="L101" s="468">
        <v>20</v>
      </c>
      <c r="M101" s="468">
        <v>5888.8899999999994</v>
      </c>
      <c r="N101" s="464">
        <v>1</v>
      </c>
      <c r="O101" s="464">
        <v>294.44449999999995</v>
      </c>
      <c r="P101" s="468">
        <v>1</v>
      </c>
      <c r="Q101" s="468">
        <v>294.44</v>
      </c>
      <c r="R101" s="491">
        <v>4.9999235849200789E-2</v>
      </c>
      <c r="S101" s="469">
        <v>294.44</v>
      </c>
    </row>
    <row r="102" spans="1:19" ht="14.45" customHeight="1" x14ac:dyDescent="0.2">
      <c r="A102" s="463"/>
      <c r="B102" s="464" t="s">
        <v>1929</v>
      </c>
      <c r="C102" s="464" t="s">
        <v>444</v>
      </c>
      <c r="D102" s="464" t="s">
        <v>1920</v>
      </c>
      <c r="E102" s="464" t="s">
        <v>2019</v>
      </c>
      <c r="F102" s="464" t="s">
        <v>2036</v>
      </c>
      <c r="G102" s="464" t="s">
        <v>2037</v>
      </c>
      <c r="H102" s="468"/>
      <c r="I102" s="468"/>
      <c r="J102" s="464"/>
      <c r="K102" s="464"/>
      <c r="L102" s="468">
        <v>12</v>
      </c>
      <c r="M102" s="468">
        <v>9333.34</v>
      </c>
      <c r="N102" s="464">
        <v>1</v>
      </c>
      <c r="O102" s="464">
        <v>777.77833333333331</v>
      </c>
      <c r="P102" s="468"/>
      <c r="Q102" s="468"/>
      <c r="R102" s="491"/>
      <c r="S102" s="469"/>
    </row>
    <row r="103" spans="1:19" ht="14.45" customHeight="1" x14ac:dyDescent="0.2">
      <c r="A103" s="463"/>
      <c r="B103" s="464" t="s">
        <v>1929</v>
      </c>
      <c r="C103" s="464" t="s">
        <v>444</v>
      </c>
      <c r="D103" s="464" t="s">
        <v>1920</v>
      </c>
      <c r="E103" s="464" t="s">
        <v>2019</v>
      </c>
      <c r="F103" s="464" t="s">
        <v>2038</v>
      </c>
      <c r="G103" s="464" t="s">
        <v>2039</v>
      </c>
      <c r="H103" s="468"/>
      <c r="I103" s="468"/>
      <c r="J103" s="464"/>
      <c r="K103" s="464"/>
      <c r="L103" s="468">
        <v>5</v>
      </c>
      <c r="M103" s="468">
        <v>466.65999999999997</v>
      </c>
      <c r="N103" s="464">
        <v>1</v>
      </c>
      <c r="O103" s="464">
        <v>93.331999999999994</v>
      </c>
      <c r="P103" s="468"/>
      <c r="Q103" s="468"/>
      <c r="R103" s="491"/>
      <c r="S103" s="469"/>
    </row>
    <row r="104" spans="1:19" ht="14.45" customHeight="1" x14ac:dyDescent="0.2">
      <c r="A104" s="463"/>
      <c r="B104" s="464" t="s">
        <v>1929</v>
      </c>
      <c r="C104" s="464" t="s">
        <v>444</v>
      </c>
      <c r="D104" s="464" t="s">
        <v>1920</v>
      </c>
      <c r="E104" s="464" t="s">
        <v>2019</v>
      </c>
      <c r="F104" s="464" t="s">
        <v>2040</v>
      </c>
      <c r="G104" s="464" t="s">
        <v>2041</v>
      </c>
      <c r="H104" s="468">
        <v>10</v>
      </c>
      <c r="I104" s="468">
        <v>333.33</v>
      </c>
      <c r="J104" s="464">
        <v>5.0004500450045004</v>
      </c>
      <c r="K104" s="464">
        <v>33.332999999999998</v>
      </c>
      <c r="L104" s="468">
        <v>2</v>
      </c>
      <c r="M104" s="468">
        <v>66.66</v>
      </c>
      <c r="N104" s="464">
        <v>1</v>
      </c>
      <c r="O104" s="464">
        <v>33.33</v>
      </c>
      <c r="P104" s="468">
        <v>2</v>
      </c>
      <c r="Q104" s="468">
        <v>66.66</v>
      </c>
      <c r="R104" s="491">
        <v>1</v>
      </c>
      <c r="S104" s="469">
        <v>33.33</v>
      </c>
    </row>
    <row r="105" spans="1:19" ht="14.45" customHeight="1" x14ac:dyDescent="0.2">
      <c r="A105" s="463"/>
      <c r="B105" s="464" t="s">
        <v>1929</v>
      </c>
      <c r="C105" s="464" t="s">
        <v>444</v>
      </c>
      <c r="D105" s="464" t="s">
        <v>1920</v>
      </c>
      <c r="E105" s="464" t="s">
        <v>2019</v>
      </c>
      <c r="F105" s="464" t="s">
        <v>2042</v>
      </c>
      <c r="G105" s="464" t="s">
        <v>2023</v>
      </c>
      <c r="H105" s="468">
        <v>234</v>
      </c>
      <c r="I105" s="468">
        <v>97760</v>
      </c>
      <c r="J105" s="464">
        <v>1.0308371734900228</v>
      </c>
      <c r="K105" s="464">
        <v>417.77777777777777</v>
      </c>
      <c r="L105" s="468">
        <v>227</v>
      </c>
      <c r="M105" s="468">
        <v>94835.540000000008</v>
      </c>
      <c r="N105" s="464">
        <v>1</v>
      </c>
      <c r="O105" s="464">
        <v>417.77770925110138</v>
      </c>
      <c r="P105" s="468">
        <v>176</v>
      </c>
      <c r="Q105" s="468">
        <v>73528.899999999994</v>
      </c>
      <c r="R105" s="491">
        <v>0.77533064081250536</v>
      </c>
      <c r="S105" s="469">
        <v>417.77784090909086</v>
      </c>
    </row>
    <row r="106" spans="1:19" ht="14.45" customHeight="1" x14ac:dyDescent="0.2">
      <c r="A106" s="463"/>
      <c r="B106" s="464" t="s">
        <v>1929</v>
      </c>
      <c r="C106" s="464" t="s">
        <v>444</v>
      </c>
      <c r="D106" s="464" t="s">
        <v>1920</v>
      </c>
      <c r="E106" s="464" t="s">
        <v>2019</v>
      </c>
      <c r="F106" s="464" t="s">
        <v>2043</v>
      </c>
      <c r="G106" s="464" t="s">
        <v>2044</v>
      </c>
      <c r="H106" s="468">
        <v>262</v>
      </c>
      <c r="I106" s="468">
        <v>55311.1</v>
      </c>
      <c r="J106" s="464">
        <v>1.2073730586314106</v>
      </c>
      <c r="K106" s="464">
        <v>211.11106870229008</v>
      </c>
      <c r="L106" s="468">
        <v>217</v>
      </c>
      <c r="M106" s="468">
        <v>45811.11</v>
      </c>
      <c r="N106" s="464">
        <v>1</v>
      </c>
      <c r="O106" s="464">
        <v>211.11110599078341</v>
      </c>
      <c r="P106" s="468">
        <v>183</v>
      </c>
      <c r="Q106" s="468">
        <v>40666.67</v>
      </c>
      <c r="R106" s="491">
        <v>0.88770322308278493</v>
      </c>
      <c r="S106" s="469">
        <v>222.22224043715846</v>
      </c>
    </row>
    <row r="107" spans="1:19" ht="14.45" customHeight="1" x14ac:dyDescent="0.2">
      <c r="A107" s="463"/>
      <c r="B107" s="464" t="s">
        <v>1929</v>
      </c>
      <c r="C107" s="464" t="s">
        <v>444</v>
      </c>
      <c r="D107" s="464" t="s">
        <v>1920</v>
      </c>
      <c r="E107" s="464" t="s">
        <v>2019</v>
      </c>
      <c r="F107" s="464" t="s">
        <v>2045</v>
      </c>
      <c r="G107" s="464" t="s">
        <v>2046</v>
      </c>
      <c r="H107" s="468">
        <v>80</v>
      </c>
      <c r="I107" s="468">
        <v>46666.66</v>
      </c>
      <c r="J107" s="464">
        <v>2.8571430320700069</v>
      </c>
      <c r="K107" s="464">
        <v>583.33325000000002</v>
      </c>
      <c r="L107" s="468">
        <v>28</v>
      </c>
      <c r="M107" s="468">
        <v>16333.33</v>
      </c>
      <c r="N107" s="464">
        <v>1</v>
      </c>
      <c r="O107" s="464">
        <v>583.33321428571423</v>
      </c>
      <c r="P107" s="468">
        <v>13</v>
      </c>
      <c r="Q107" s="468">
        <v>7583.33</v>
      </c>
      <c r="R107" s="491">
        <v>0.46428560495624593</v>
      </c>
      <c r="S107" s="469">
        <v>583.33307692307687</v>
      </c>
    </row>
    <row r="108" spans="1:19" ht="14.45" customHeight="1" x14ac:dyDescent="0.2">
      <c r="A108" s="463"/>
      <c r="B108" s="464" t="s">
        <v>1929</v>
      </c>
      <c r="C108" s="464" t="s">
        <v>444</v>
      </c>
      <c r="D108" s="464" t="s">
        <v>1920</v>
      </c>
      <c r="E108" s="464" t="s">
        <v>2019</v>
      </c>
      <c r="F108" s="464" t="s">
        <v>2047</v>
      </c>
      <c r="G108" s="464" t="s">
        <v>2048</v>
      </c>
      <c r="H108" s="468">
        <v>159</v>
      </c>
      <c r="I108" s="468">
        <v>74200</v>
      </c>
      <c r="J108" s="464">
        <v>0.74299070380445287</v>
      </c>
      <c r="K108" s="464">
        <v>466.66666666666669</v>
      </c>
      <c r="L108" s="468">
        <v>214</v>
      </c>
      <c r="M108" s="468">
        <v>99866.66</v>
      </c>
      <c r="N108" s="464">
        <v>1</v>
      </c>
      <c r="O108" s="464">
        <v>466.66663551401871</v>
      </c>
      <c r="P108" s="468">
        <v>175</v>
      </c>
      <c r="Q108" s="468">
        <v>81666.66</v>
      </c>
      <c r="R108" s="491">
        <v>0.81775699718003991</v>
      </c>
      <c r="S108" s="469">
        <v>466.66662857142859</v>
      </c>
    </row>
    <row r="109" spans="1:19" ht="14.45" customHeight="1" x14ac:dyDescent="0.2">
      <c r="A109" s="463"/>
      <c r="B109" s="464" t="s">
        <v>1929</v>
      </c>
      <c r="C109" s="464" t="s">
        <v>444</v>
      </c>
      <c r="D109" s="464" t="s">
        <v>1920</v>
      </c>
      <c r="E109" s="464" t="s">
        <v>2019</v>
      </c>
      <c r="F109" s="464" t="s">
        <v>2049</v>
      </c>
      <c r="G109" s="464" t="s">
        <v>2050</v>
      </c>
      <c r="H109" s="468">
        <v>85</v>
      </c>
      <c r="I109" s="468">
        <v>4250</v>
      </c>
      <c r="J109" s="464">
        <v>0.61151079136690645</v>
      </c>
      <c r="K109" s="464">
        <v>50</v>
      </c>
      <c r="L109" s="468">
        <v>139</v>
      </c>
      <c r="M109" s="468">
        <v>6950</v>
      </c>
      <c r="N109" s="464">
        <v>1</v>
      </c>
      <c r="O109" s="464">
        <v>50</v>
      </c>
      <c r="P109" s="468">
        <v>184</v>
      </c>
      <c r="Q109" s="468">
        <v>11244.44</v>
      </c>
      <c r="R109" s="491">
        <v>1.617905035971223</v>
      </c>
      <c r="S109" s="469">
        <v>61.111086956521739</v>
      </c>
    </row>
    <row r="110" spans="1:19" ht="14.45" customHeight="1" x14ac:dyDescent="0.2">
      <c r="A110" s="463"/>
      <c r="B110" s="464" t="s">
        <v>1929</v>
      </c>
      <c r="C110" s="464" t="s">
        <v>444</v>
      </c>
      <c r="D110" s="464" t="s">
        <v>1920</v>
      </c>
      <c r="E110" s="464" t="s">
        <v>2019</v>
      </c>
      <c r="F110" s="464" t="s">
        <v>2051</v>
      </c>
      <c r="G110" s="464" t="s">
        <v>2052</v>
      </c>
      <c r="H110" s="468">
        <v>244</v>
      </c>
      <c r="I110" s="468">
        <v>24671.120000000003</v>
      </c>
      <c r="J110" s="464">
        <v>1.1902442036725593</v>
      </c>
      <c r="K110" s="464">
        <v>101.11114754098362</v>
      </c>
      <c r="L110" s="468">
        <v>205</v>
      </c>
      <c r="M110" s="468">
        <v>20727.78</v>
      </c>
      <c r="N110" s="464">
        <v>1</v>
      </c>
      <c r="O110" s="464">
        <v>101.1111219512195</v>
      </c>
      <c r="P110" s="468">
        <v>242</v>
      </c>
      <c r="Q110" s="468">
        <v>30922.210000000003</v>
      </c>
      <c r="R110" s="491">
        <v>1.4918244983302604</v>
      </c>
      <c r="S110" s="469">
        <v>127.77772727272729</v>
      </c>
    </row>
    <row r="111" spans="1:19" ht="14.45" customHeight="1" x14ac:dyDescent="0.2">
      <c r="A111" s="463"/>
      <c r="B111" s="464" t="s">
        <v>1929</v>
      </c>
      <c r="C111" s="464" t="s">
        <v>444</v>
      </c>
      <c r="D111" s="464" t="s">
        <v>1920</v>
      </c>
      <c r="E111" s="464" t="s">
        <v>2019</v>
      </c>
      <c r="F111" s="464" t="s">
        <v>2053</v>
      </c>
      <c r="G111" s="464" t="s">
        <v>2054</v>
      </c>
      <c r="H111" s="468">
        <v>104</v>
      </c>
      <c r="I111" s="468">
        <v>7973.33</v>
      </c>
      <c r="J111" s="464">
        <v>1.5522401716290353</v>
      </c>
      <c r="K111" s="464">
        <v>76.666634615384609</v>
      </c>
      <c r="L111" s="468">
        <v>67</v>
      </c>
      <c r="M111" s="468">
        <v>5136.66</v>
      </c>
      <c r="N111" s="464">
        <v>1</v>
      </c>
      <c r="O111" s="464">
        <v>76.666567164179099</v>
      </c>
      <c r="P111" s="468">
        <v>53</v>
      </c>
      <c r="Q111" s="468">
        <v>4063.33</v>
      </c>
      <c r="R111" s="491">
        <v>0.79104515385483953</v>
      </c>
      <c r="S111" s="469">
        <v>76.66660377358491</v>
      </c>
    </row>
    <row r="112" spans="1:19" ht="14.45" customHeight="1" x14ac:dyDescent="0.2">
      <c r="A112" s="463"/>
      <c r="B112" s="464" t="s">
        <v>1929</v>
      </c>
      <c r="C112" s="464" t="s">
        <v>444</v>
      </c>
      <c r="D112" s="464" t="s">
        <v>1920</v>
      </c>
      <c r="E112" s="464" t="s">
        <v>2019</v>
      </c>
      <c r="F112" s="464" t="s">
        <v>2055</v>
      </c>
      <c r="G112" s="464" t="s">
        <v>2056</v>
      </c>
      <c r="H112" s="468">
        <v>1111</v>
      </c>
      <c r="I112" s="468">
        <v>0</v>
      </c>
      <c r="J112" s="464"/>
      <c r="K112" s="464">
        <v>0</v>
      </c>
      <c r="L112" s="468">
        <v>1030</v>
      </c>
      <c r="M112" s="468">
        <v>0</v>
      </c>
      <c r="N112" s="464"/>
      <c r="O112" s="464">
        <v>0</v>
      </c>
      <c r="P112" s="468">
        <v>909</v>
      </c>
      <c r="Q112" s="468">
        <v>0</v>
      </c>
      <c r="R112" s="491"/>
      <c r="S112" s="469">
        <v>0</v>
      </c>
    </row>
    <row r="113" spans="1:19" ht="14.45" customHeight="1" x14ac:dyDescent="0.2">
      <c r="A113" s="463"/>
      <c r="B113" s="464" t="s">
        <v>1929</v>
      </c>
      <c r="C113" s="464" t="s">
        <v>444</v>
      </c>
      <c r="D113" s="464" t="s">
        <v>1920</v>
      </c>
      <c r="E113" s="464" t="s">
        <v>2019</v>
      </c>
      <c r="F113" s="464" t="s">
        <v>2057</v>
      </c>
      <c r="G113" s="464" t="s">
        <v>2058</v>
      </c>
      <c r="H113" s="468">
        <v>312</v>
      </c>
      <c r="I113" s="468">
        <v>95333.33</v>
      </c>
      <c r="J113" s="464">
        <v>1.1685393327288798</v>
      </c>
      <c r="K113" s="464">
        <v>305.55554487179489</v>
      </c>
      <c r="L113" s="468">
        <v>267</v>
      </c>
      <c r="M113" s="468">
        <v>81583.33</v>
      </c>
      <c r="N113" s="464">
        <v>1</v>
      </c>
      <c r="O113" s="464">
        <v>305.55554307116108</v>
      </c>
      <c r="P113" s="468">
        <v>256</v>
      </c>
      <c r="Q113" s="468">
        <v>78222.23</v>
      </c>
      <c r="R113" s="491">
        <v>0.95880163263745177</v>
      </c>
      <c r="S113" s="469">
        <v>305.55558593749998</v>
      </c>
    </row>
    <row r="114" spans="1:19" ht="14.45" customHeight="1" x14ac:dyDescent="0.2">
      <c r="A114" s="463"/>
      <c r="B114" s="464" t="s">
        <v>1929</v>
      </c>
      <c r="C114" s="464" t="s">
        <v>444</v>
      </c>
      <c r="D114" s="464" t="s">
        <v>1920</v>
      </c>
      <c r="E114" s="464" t="s">
        <v>2019</v>
      </c>
      <c r="F114" s="464" t="s">
        <v>2059</v>
      </c>
      <c r="G114" s="464" t="s">
        <v>2060</v>
      </c>
      <c r="H114" s="468">
        <v>291</v>
      </c>
      <c r="I114" s="468">
        <v>9700.01</v>
      </c>
      <c r="J114" s="464">
        <v>1.0981147540055676</v>
      </c>
      <c r="K114" s="464">
        <v>33.333367697594504</v>
      </c>
      <c r="L114" s="468">
        <v>265</v>
      </c>
      <c r="M114" s="468">
        <v>8833.33</v>
      </c>
      <c r="N114" s="464">
        <v>1</v>
      </c>
      <c r="O114" s="464">
        <v>33.333320754716979</v>
      </c>
      <c r="P114" s="468">
        <v>62</v>
      </c>
      <c r="Q114" s="468">
        <v>2066.6600000000003</v>
      </c>
      <c r="R114" s="491">
        <v>0.23396159772135766</v>
      </c>
      <c r="S114" s="469">
        <v>33.333225806451615</v>
      </c>
    </row>
    <row r="115" spans="1:19" ht="14.45" customHeight="1" x14ac:dyDescent="0.2">
      <c r="A115" s="463"/>
      <c r="B115" s="464" t="s">
        <v>1929</v>
      </c>
      <c r="C115" s="464" t="s">
        <v>444</v>
      </c>
      <c r="D115" s="464" t="s">
        <v>1920</v>
      </c>
      <c r="E115" s="464" t="s">
        <v>2019</v>
      </c>
      <c r="F115" s="464" t="s">
        <v>2061</v>
      </c>
      <c r="G115" s="464" t="s">
        <v>2062</v>
      </c>
      <c r="H115" s="468">
        <v>466</v>
      </c>
      <c r="I115" s="468">
        <v>212288.88999999998</v>
      </c>
      <c r="J115" s="464">
        <v>0.97489538269424647</v>
      </c>
      <c r="K115" s="464">
        <v>455.55555793991414</v>
      </c>
      <c r="L115" s="468">
        <v>478</v>
      </c>
      <c r="M115" s="468">
        <v>217755.56000000003</v>
      </c>
      <c r="N115" s="464">
        <v>1</v>
      </c>
      <c r="O115" s="464">
        <v>455.55556485355652</v>
      </c>
      <c r="P115" s="468">
        <v>568</v>
      </c>
      <c r="Q115" s="468">
        <v>258755.57</v>
      </c>
      <c r="R115" s="491">
        <v>1.188284560908571</v>
      </c>
      <c r="S115" s="469">
        <v>455.55558098591553</v>
      </c>
    </row>
    <row r="116" spans="1:19" ht="14.45" customHeight="1" x14ac:dyDescent="0.2">
      <c r="A116" s="463"/>
      <c r="B116" s="464" t="s">
        <v>1929</v>
      </c>
      <c r="C116" s="464" t="s">
        <v>444</v>
      </c>
      <c r="D116" s="464" t="s">
        <v>1920</v>
      </c>
      <c r="E116" s="464" t="s">
        <v>2019</v>
      </c>
      <c r="F116" s="464" t="s">
        <v>2063</v>
      </c>
      <c r="G116" s="464" t="s">
        <v>2064</v>
      </c>
      <c r="H116" s="468"/>
      <c r="I116" s="468"/>
      <c r="J116" s="464"/>
      <c r="K116" s="464"/>
      <c r="L116" s="468"/>
      <c r="M116" s="468"/>
      <c r="N116" s="464"/>
      <c r="O116" s="464"/>
      <c r="P116" s="468">
        <v>1</v>
      </c>
      <c r="Q116" s="468">
        <v>58.89</v>
      </c>
      <c r="R116" s="491"/>
      <c r="S116" s="469">
        <v>58.89</v>
      </c>
    </row>
    <row r="117" spans="1:19" ht="14.45" customHeight="1" x14ac:dyDescent="0.2">
      <c r="A117" s="463"/>
      <c r="B117" s="464" t="s">
        <v>1929</v>
      </c>
      <c r="C117" s="464" t="s">
        <v>444</v>
      </c>
      <c r="D117" s="464" t="s">
        <v>1920</v>
      </c>
      <c r="E117" s="464" t="s">
        <v>2019</v>
      </c>
      <c r="F117" s="464" t="s">
        <v>2065</v>
      </c>
      <c r="G117" s="464" t="s">
        <v>2066</v>
      </c>
      <c r="H117" s="468">
        <v>329</v>
      </c>
      <c r="I117" s="468">
        <v>25588.89</v>
      </c>
      <c r="J117" s="464">
        <v>1.1584506962549952</v>
      </c>
      <c r="K117" s="464">
        <v>77.777781155015191</v>
      </c>
      <c r="L117" s="468">
        <v>284</v>
      </c>
      <c r="M117" s="468">
        <v>22088.89</v>
      </c>
      <c r="N117" s="464">
        <v>1</v>
      </c>
      <c r="O117" s="464">
        <v>77.777781690140841</v>
      </c>
      <c r="P117" s="468">
        <v>266</v>
      </c>
      <c r="Q117" s="468">
        <v>20688.89</v>
      </c>
      <c r="R117" s="491">
        <v>0.93661972149800199</v>
      </c>
      <c r="S117" s="469">
        <v>77.777781954887217</v>
      </c>
    </row>
    <row r="118" spans="1:19" ht="14.45" customHeight="1" x14ac:dyDescent="0.2">
      <c r="A118" s="463"/>
      <c r="B118" s="464" t="s">
        <v>1929</v>
      </c>
      <c r="C118" s="464" t="s">
        <v>444</v>
      </c>
      <c r="D118" s="464" t="s">
        <v>1920</v>
      </c>
      <c r="E118" s="464" t="s">
        <v>2019</v>
      </c>
      <c r="F118" s="464" t="s">
        <v>2067</v>
      </c>
      <c r="G118" s="464" t="s">
        <v>2068</v>
      </c>
      <c r="H118" s="468"/>
      <c r="I118" s="468"/>
      <c r="J118" s="464"/>
      <c r="K118" s="464"/>
      <c r="L118" s="468">
        <v>1</v>
      </c>
      <c r="M118" s="468">
        <v>0</v>
      </c>
      <c r="N118" s="464"/>
      <c r="O118" s="464">
        <v>0</v>
      </c>
      <c r="P118" s="468">
        <v>0</v>
      </c>
      <c r="Q118" s="468">
        <v>0</v>
      </c>
      <c r="R118" s="491"/>
      <c r="S118" s="469"/>
    </row>
    <row r="119" spans="1:19" ht="14.45" customHeight="1" x14ac:dyDescent="0.2">
      <c r="A119" s="463"/>
      <c r="B119" s="464" t="s">
        <v>1929</v>
      </c>
      <c r="C119" s="464" t="s">
        <v>444</v>
      </c>
      <c r="D119" s="464" t="s">
        <v>1920</v>
      </c>
      <c r="E119" s="464" t="s">
        <v>2019</v>
      </c>
      <c r="F119" s="464" t="s">
        <v>2069</v>
      </c>
      <c r="G119" s="464" t="s">
        <v>2070</v>
      </c>
      <c r="H119" s="468">
        <v>13</v>
      </c>
      <c r="I119" s="468">
        <v>3510</v>
      </c>
      <c r="J119" s="464">
        <v>0.12380952380952381</v>
      </c>
      <c r="K119" s="464">
        <v>270</v>
      </c>
      <c r="L119" s="468">
        <v>105</v>
      </c>
      <c r="M119" s="468">
        <v>28350</v>
      </c>
      <c r="N119" s="464">
        <v>1</v>
      </c>
      <c r="O119" s="464">
        <v>270</v>
      </c>
      <c r="P119" s="468">
        <v>5</v>
      </c>
      <c r="Q119" s="468">
        <v>1350</v>
      </c>
      <c r="R119" s="491">
        <v>4.7619047619047616E-2</v>
      </c>
      <c r="S119" s="469">
        <v>270</v>
      </c>
    </row>
    <row r="120" spans="1:19" ht="14.45" customHeight="1" x14ac:dyDescent="0.2">
      <c r="A120" s="463"/>
      <c r="B120" s="464" t="s">
        <v>1929</v>
      </c>
      <c r="C120" s="464" t="s">
        <v>444</v>
      </c>
      <c r="D120" s="464" t="s">
        <v>1920</v>
      </c>
      <c r="E120" s="464" t="s">
        <v>2019</v>
      </c>
      <c r="F120" s="464" t="s">
        <v>2071</v>
      </c>
      <c r="G120" s="464" t="s">
        <v>2072</v>
      </c>
      <c r="H120" s="468">
        <v>747</v>
      </c>
      <c r="I120" s="468">
        <v>70550</v>
      </c>
      <c r="J120" s="464">
        <v>1.1545592324889533</v>
      </c>
      <c r="K120" s="464">
        <v>94.444444444444443</v>
      </c>
      <c r="L120" s="468">
        <v>647</v>
      </c>
      <c r="M120" s="468">
        <v>61105.569999999992</v>
      </c>
      <c r="N120" s="464">
        <v>1</v>
      </c>
      <c r="O120" s="464">
        <v>94.444466769706324</v>
      </c>
      <c r="P120" s="468">
        <v>566</v>
      </c>
      <c r="Q120" s="468">
        <v>53455.55</v>
      </c>
      <c r="R120" s="491">
        <v>0.87480650290963669</v>
      </c>
      <c r="S120" s="469">
        <v>94.444434628975273</v>
      </c>
    </row>
    <row r="121" spans="1:19" ht="14.45" customHeight="1" x14ac:dyDescent="0.2">
      <c r="A121" s="463"/>
      <c r="B121" s="464" t="s">
        <v>1929</v>
      </c>
      <c r="C121" s="464" t="s">
        <v>444</v>
      </c>
      <c r="D121" s="464" t="s">
        <v>1920</v>
      </c>
      <c r="E121" s="464" t="s">
        <v>2019</v>
      </c>
      <c r="F121" s="464" t="s">
        <v>2073</v>
      </c>
      <c r="G121" s="464" t="s">
        <v>2074</v>
      </c>
      <c r="H121" s="468">
        <v>248</v>
      </c>
      <c r="I121" s="468">
        <v>10746.66</v>
      </c>
      <c r="J121" s="464">
        <v>1.1698101706058888</v>
      </c>
      <c r="K121" s="464">
        <v>43.333306451612906</v>
      </c>
      <c r="L121" s="468">
        <v>212</v>
      </c>
      <c r="M121" s="468">
        <v>9186.67</v>
      </c>
      <c r="N121" s="464">
        <v>1</v>
      </c>
      <c r="O121" s="464">
        <v>43.333349056603772</v>
      </c>
      <c r="P121" s="468">
        <v>235</v>
      </c>
      <c r="Q121" s="468">
        <v>10183.33</v>
      </c>
      <c r="R121" s="491">
        <v>1.1084898009833812</v>
      </c>
      <c r="S121" s="469">
        <v>43.33331914893617</v>
      </c>
    </row>
    <row r="122" spans="1:19" ht="14.45" customHeight="1" x14ac:dyDescent="0.2">
      <c r="A122" s="463"/>
      <c r="B122" s="464" t="s">
        <v>1929</v>
      </c>
      <c r="C122" s="464" t="s">
        <v>444</v>
      </c>
      <c r="D122" s="464" t="s">
        <v>1920</v>
      </c>
      <c r="E122" s="464" t="s">
        <v>2019</v>
      </c>
      <c r="F122" s="464" t="s">
        <v>2075</v>
      </c>
      <c r="G122" s="464" t="s">
        <v>2076</v>
      </c>
      <c r="H122" s="468">
        <v>5</v>
      </c>
      <c r="I122" s="468">
        <v>483.34000000000003</v>
      </c>
      <c r="J122" s="464">
        <v>2.5000775875446126</v>
      </c>
      <c r="K122" s="464">
        <v>96.668000000000006</v>
      </c>
      <c r="L122" s="468">
        <v>2</v>
      </c>
      <c r="M122" s="468">
        <v>193.33</v>
      </c>
      <c r="N122" s="464">
        <v>1</v>
      </c>
      <c r="O122" s="464">
        <v>96.665000000000006</v>
      </c>
      <c r="P122" s="468"/>
      <c r="Q122" s="468"/>
      <c r="R122" s="491"/>
      <c r="S122" s="469"/>
    </row>
    <row r="123" spans="1:19" ht="14.45" customHeight="1" x14ac:dyDescent="0.2">
      <c r="A123" s="463"/>
      <c r="B123" s="464" t="s">
        <v>1929</v>
      </c>
      <c r="C123" s="464" t="s">
        <v>444</v>
      </c>
      <c r="D123" s="464" t="s">
        <v>1920</v>
      </c>
      <c r="E123" s="464" t="s">
        <v>2019</v>
      </c>
      <c r="F123" s="464" t="s">
        <v>2077</v>
      </c>
      <c r="G123" s="464" t="s">
        <v>2078</v>
      </c>
      <c r="H123" s="468">
        <v>3</v>
      </c>
      <c r="I123" s="468">
        <v>603.33000000000004</v>
      </c>
      <c r="J123" s="464">
        <v>0.6</v>
      </c>
      <c r="K123" s="464">
        <v>201.11</v>
      </c>
      <c r="L123" s="468">
        <v>5</v>
      </c>
      <c r="M123" s="468">
        <v>1005.5500000000001</v>
      </c>
      <c r="N123" s="464">
        <v>1</v>
      </c>
      <c r="O123" s="464">
        <v>201.11</v>
      </c>
      <c r="P123" s="468">
        <v>1</v>
      </c>
      <c r="Q123" s="468">
        <v>201.11</v>
      </c>
      <c r="R123" s="491">
        <v>0.2</v>
      </c>
      <c r="S123" s="469">
        <v>201.11</v>
      </c>
    </row>
    <row r="124" spans="1:19" ht="14.45" customHeight="1" x14ac:dyDescent="0.2">
      <c r="A124" s="463"/>
      <c r="B124" s="464" t="s">
        <v>1929</v>
      </c>
      <c r="C124" s="464" t="s">
        <v>444</v>
      </c>
      <c r="D124" s="464" t="s">
        <v>1920</v>
      </c>
      <c r="E124" s="464" t="s">
        <v>2019</v>
      </c>
      <c r="F124" s="464" t="s">
        <v>2079</v>
      </c>
      <c r="G124" s="464" t="s">
        <v>2080</v>
      </c>
      <c r="H124" s="468">
        <v>10</v>
      </c>
      <c r="I124" s="468">
        <v>1955.56</v>
      </c>
      <c r="J124" s="464">
        <v>1.1282033530640267</v>
      </c>
      <c r="K124" s="464">
        <v>195.55599999999998</v>
      </c>
      <c r="L124" s="468">
        <v>4</v>
      </c>
      <c r="M124" s="468">
        <v>1733.34</v>
      </c>
      <c r="N124" s="464">
        <v>1</v>
      </c>
      <c r="O124" s="464">
        <v>433.33499999999998</v>
      </c>
      <c r="P124" s="468">
        <v>4</v>
      </c>
      <c r="Q124" s="468">
        <v>1733.34</v>
      </c>
      <c r="R124" s="491">
        <v>1</v>
      </c>
      <c r="S124" s="469">
        <v>433.33499999999998</v>
      </c>
    </row>
    <row r="125" spans="1:19" ht="14.45" customHeight="1" x14ac:dyDescent="0.2">
      <c r="A125" s="463"/>
      <c r="B125" s="464" t="s">
        <v>1929</v>
      </c>
      <c r="C125" s="464" t="s">
        <v>444</v>
      </c>
      <c r="D125" s="464" t="s">
        <v>1920</v>
      </c>
      <c r="E125" s="464" t="s">
        <v>2019</v>
      </c>
      <c r="F125" s="464" t="s">
        <v>2081</v>
      </c>
      <c r="G125" s="464" t="s">
        <v>2082</v>
      </c>
      <c r="H125" s="468">
        <v>3</v>
      </c>
      <c r="I125" s="468">
        <v>350.01</v>
      </c>
      <c r="J125" s="464">
        <v>1</v>
      </c>
      <c r="K125" s="464">
        <v>116.67</v>
      </c>
      <c r="L125" s="468">
        <v>3</v>
      </c>
      <c r="M125" s="468">
        <v>350.01</v>
      </c>
      <c r="N125" s="464">
        <v>1</v>
      </c>
      <c r="O125" s="464">
        <v>116.67</v>
      </c>
      <c r="P125" s="468">
        <v>1</v>
      </c>
      <c r="Q125" s="468">
        <v>133.33000000000001</v>
      </c>
      <c r="R125" s="491">
        <v>0.38093197337218943</v>
      </c>
      <c r="S125" s="469">
        <v>133.33000000000001</v>
      </c>
    </row>
    <row r="126" spans="1:19" ht="14.45" customHeight="1" x14ac:dyDescent="0.2">
      <c r="A126" s="463"/>
      <c r="B126" s="464" t="s">
        <v>1929</v>
      </c>
      <c r="C126" s="464" t="s">
        <v>444</v>
      </c>
      <c r="D126" s="464" t="s">
        <v>1920</v>
      </c>
      <c r="E126" s="464" t="s">
        <v>2019</v>
      </c>
      <c r="F126" s="464" t="s">
        <v>2083</v>
      </c>
      <c r="G126" s="464" t="s">
        <v>2084</v>
      </c>
      <c r="H126" s="468">
        <v>27</v>
      </c>
      <c r="I126" s="468">
        <v>1320.0099999999998</v>
      </c>
      <c r="J126" s="464">
        <v>0.67500703126997497</v>
      </c>
      <c r="K126" s="464">
        <v>48.889259259259248</v>
      </c>
      <c r="L126" s="468">
        <v>40</v>
      </c>
      <c r="M126" s="468">
        <v>1955.5500000000002</v>
      </c>
      <c r="N126" s="464">
        <v>1</v>
      </c>
      <c r="O126" s="464">
        <v>48.888750000000002</v>
      </c>
      <c r="P126" s="468">
        <v>43</v>
      </c>
      <c r="Q126" s="468">
        <v>2102.2200000000003</v>
      </c>
      <c r="R126" s="491">
        <v>1.0750019176190841</v>
      </c>
      <c r="S126" s="469">
        <v>48.888837209302331</v>
      </c>
    </row>
    <row r="127" spans="1:19" ht="14.45" customHeight="1" x14ac:dyDescent="0.2">
      <c r="A127" s="463"/>
      <c r="B127" s="464" t="s">
        <v>1929</v>
      </c>
      <c r="C127" s="464" t="s">
        <v>444</v>
      </c>
      <c r="D127" s="464" t="s">
        <v>1920</v>
      </c>
      <c r="E127" s="464" t="s">
        <v>2019</v>
      </c>
      <c r="F127" s="464" t="s">
        <v>2085</v>
      </c>
      <c r="G127" s="464" t="s">
        <v>2086</v>
      </c>
      <c r="H127" s="468">
        <v>10</v>
      </c>
      <c r="I127" s="468">
        <v>3444.4399999999996</v>
      </c>
      <c r="J127" s="464">
        <v>10.000116130530715</v>
      </c>
      <c r="K127" s="464">
        <v>344.44399999999996</v>
      </c>
      <c r="L127" s="468">
        <v>1</v>
      </c>
      <c r="M127" s="468">
        <v>344.44</v>
      </c>
      <c r="N127" s="464">
        <v>1</v>
      </c>
      <c r="O127" s="464">
        <v>344.44</v>
      </c>
      <c r="P127" s="468">
        <v>13</v>
      </c>
      <c r="Q127" s="468">
        <v>4477.76</v>
      </c>
      <c r="R127" s="491">
        <v>13.000116130530717</v>
      </c>
      <c r="S127" s="469">
        <v>344.44307692307694</v>
      </c>
    </row>
    <row r="128" spans="1:19" ht="14.45" customHeight="1" x14ac:dyDescent="0.2">
      <c r="A128" s="463"/>
      <c r="B128" s="464" t="s">
        <v>1929</v>
      </c>
      <c r="C128" s="464" t="s">
        <v>444</v>
      </c>
      <c r="D128" s="464" t="s">
        <v>1920</v>
      </c>
      <c r="E128" s="464" t="s">
        <v>2019</v>
      </c>
      <c r="F128" s="464" t="s">
        <v>2087</v>
      </c>
      <c r="G128" s="464" t="s">
        <v>2088</v>
      </c>
      <c r="H128" s="468">
        <v>30</v>
      </c>
      <c r="I128" s="468">
        <v>8766.66</v>
      </c>
      <c r="J128" s="464">
        <v>1.5789467996585151</v>
      </c>
      <c r="K128" s="464">
        <v>292.22199999999998</v>
      </c>
      <c r="L128" s="468">
        <v>19</v>
      </c>
      <c r="M128" s="468">
        <v>5552.2199999999993</v>
      </c>
      <c r="N128" s="464">
        <v>1</v>
      </c>
      <c r="O128" s="464">
        <v>292.22210526315786</v>
      </c>
      <c r="P128" s="468">
        <v>24</v>
      </c>
      <c r="Q128" s="468">
        <v>7013.33</v>
      </c>
      <c r="R128" s="491">
        <v>1.2631577999430859</v>
      </c>
      <c r="S128" s="469">
        <v>292.22208333333333</v>
      </c>
    </row>
    <row r="129" spans="1:19" ht="14.45" customHeight="1" x14ac:dyDescent="0.2">
      <c r="A129" s="463"/>
      <c r="B129" s="464" t="s">
        <v>1929</v>
      </c>
      <c r="C129" s="464" t="s">
        <v>444</v>
      </c>
      <c r="D129" s="464" t="s">
        <v>1920</v>
      </c>
      <c r="E129" s="464" t="s">
        <v>2019</v>
      </c>
      <c r="F129" s="464" t="s">
        <v>2089</v>
      </c>
      <c r="G129" s="464" t="s">
        <v>2090</v>
      </c>
      <c r="H129" s="468">
        <v>57</v>
      </c>
      <c r="I129" s="468">
        <v>12666.67</v>
      </c>
      <c r="J129" s="464">
        <v>8.1428883674584558</v>
      </c>
      <c r="K129" s="464">
        <v>222.22228070175439</v>
      </c>
      <c r="L129" s="468">
        <v>7</v>
      </c>
      <c r="M129" s="468">
        <v>1555.55</v>
      </c>
      <c r="N129" s="464">
        <v>1</v>
      </c>
      <c r="O129" s="464">
        <v>222.22142857142856</v>
      </c>
      <c r="P129" s="468">
        <v>19</v>
      </c>
      <c r="Q129" s="468">
        <v>4222.21</v>
      </c>
      <c r="R129" s="491">
        <v>2.7142875510269682</v>
      </c>
      <c r="S129" s="469">
        <v>222.22157894736841</v>
      </c>
    </row>
    <row r="130" spans="1:19" ht="14.45" customHeight="1" x14ac:dyDescent="0.2">
      <c r="A130" s="463"/>
      <c r="B130" s="464" t="s">
        <v>1929</v>
      </c>
      <c r="C130" s="464" t="s">
        <v>444</v>
      </c>
      <c r="D130" s="464" t="s">
        <v>1920</v>
      </c>
      <c r="E130" s="464" t="s">
        <v>2019</v>
      </c>
      <c r="F130" s="464" t="s">
        <v>2091</v>
      </c>
      <c r="G130" s="464" t="s">
        <v>2092</v>
      </c>
      <c r="H130" s="468">
        <v>1</v>
      </c>
      <c r="I130" s="468">
        <v>116.67</v>
      </c>
      <c r="J130" s="464">
        <v>0.2500053571045921</v>
      </c>
      <c r="K130" s="464">
        <v>116.67</v>
      </c>
      <c r="L130" s="468">
        <v>4</v>
      </c>
      <c r="M130" s="468">
        <v>466.67</v>
      </c>
      <c r="N130" s="464">
        <v>1</v>
      </c>
      <c r="O130" s="464">
        <v>116.6675</v>
      </c>
      <c r="P130" s="468"/>
      <c r="Q130" s="468"/>
      <c r="R130" s="491"/>
      <c r="S130" s="469"/>
    </row>
    <row r="131" spans="1:19" ht="14.45" customHeight="1" x14ac:dyDescent="0.2">
      <c r="A131" s="463"/>
      <c r="B131" s="464" t="s">
        <v>1929</v>
      </c>
      <c r="C131" s="464" t="s">
        <v>444</v>
      </c>
      <c r="D131" s="464" t="s">
        <v>1920</v>
      </c>
      <c r="E131" s="464" t="s">
        <v>2019</v>
      </c>
      <c r="F131" s="464" t="s">
        <v>2093</v>
      </c>
      <c r="G131" s="464" t="s">
        <v>2094</v>
      </c>
      <c r="H131" s="468">
        <v>2</v>
      </c>
      <c r="I131" s="468">
        <v>717.78</v>
      </c>
      <c r="J131" s="464"/>
      <c r="K131" s="464">
        <v>358.89</v>
      </c>
      <c r="L131" s="468"/>
      <c r="M131" s="468"/>
      <c r="N131" s="464"/>
      <c r="O131" s="464"/>
      <c r="P131" s="468"/>
      <c r="Q131" s="468"/>
      <c r="R131" s="491"/>
      <c r="S131" s="469"/>
    </row>
    <row r="132" spans="1:19" ht="14.45" customHeight="1" x14ac:dyDescent="0.2">
      <c r="A132" s="463"/>
      <c r="B132" s="464" t="s">
        <v>1929</v>
      </c>
      <c r="C132" s="464" t="s">
        <v>444</v>
      </c>
      <c r="D132" s="464" t="s">
        <v>1920</v>
      </c>
      <c r="E132" s="464" t="s">
        <v>2019</v>
      </c>
      <c r="F132" s="464" t="s">
        <v>2095</v>
      </c>
      <c r="G132" s="464" t="s">
        <v>2096</v>
      </c>
      <c r="H132" s="468"/>
      <c r="I132" s="468"/>
      <c r="J132" s="464"/>
      <c r="K132" s="464"/>
      <c r="L132" s="468"/>
      <c r="M132" s="468"/>
      <c r="N132" s="464"/>
      <c r="O132" s="464"/>
      <c r="P132" s="468">
        <v>1</v>
      </c>
      <c r="Q132" s="468">
        <v>550</v>
      </c>
      <c r="R132" s="491"/>
      <c r="S132" s="469">
        <v>550</v>
      </c>
    </row>
    <row r="133" spans="1:19" ht="14.45" customHeight="1" x14ac:dyDescent="0.2">
      <c r="A133" s="463"/>
      <c r="B133" s="464" t="s">
        <v>1929</v>
      </c>
      <c r="C133" s="464" t="s">
        <v>444</v>
      </c>
      <c r="D133" s="464" t="s">
        <v>1920</v>
      </c>
      <c r="E133" s="464" t="s">
        <v>2019</v>
      </c>
      <c r="F133" s="464" t="s">
        <v>2097</v>
      </c>
      <c r="G133" s="464" t="s">
        <v>2098</v>
      </c>
      <c r="H133" s="468"/>
      <c r="I133" s="468"/>
      <c r="J133" s="464"/>
      <c r="K133" s="464"/>
      <c r="L133" s="468">
        <v>71</v>
      </c>
      <c r="M133" s="468">
        <v>8283.33</v>
      </c>
      <c r="N133" s="464">
        <v>1</v>
      </c>
      <c r="O133" s="464">
        <v>116.66661971830986</v>
      </c>
      <c r="P133" s="468">
        <v>33</v>
      </c>
      <c r="Q133" s="468">
        <v>3850</v>
      </c>
      <c r="R133" s="491">
        <v>0.46478891943216072</v>
      </c>
      <c r="S133" s="469">
        <v>116.66666666666667</v>
      </c>
    </row>
    <row r="134" spans="1:19" ht="14.45" customHeight="1" x14ac:dyDescent="0.2">
      <c r="A134" s="463"/>
      <c r="B134" s="464" t="s">
        <v>1929</v>
      </c>
      <c r="C134" s="464" t="s">
        <v>1922</v>
      </c>
      <c r="D134" s="464" t="s">
        <v>1920</v>
      </c>
      <c r="E134" s="464" t="s">
        <v>1930</v>
      </c>
      <c r="F134" s="464" t="s">
        <v>1936</v>
      </c>
      <c r="G134" s="464"/>
      <c r="H134" s="468">
        <v>21</v>
      </c>
      <c r="I134" s="468">
        <v>2373</v>
      </c>
      <c r="J134" s="464"/>
      <c r="K134" s="464">
        <v>113</v>
      </c>
      <c r="L134" s="468"/>
      <c r="M134" s="468"/>
      <c r="N134" s="464"/>
      <c r="O134" s="464"/>
      <c r="P134" s="468"/>
      <c r="Q134" s="468"/>
      <c r="R134" s="491"/>
      <c r="S134" s="469"/>
    </row>
    <row r="135" spans="1:19" ht="14.45" customHeight="1" x14ac:dyDescent="0.2">
      <c r="A135" s="463"/>
      <c r="B135" s="464" t="s">
        <v>1929</v>
      </c>
      <c r="C135" s="464" t="s">
        <v>1922</v>
      </c>
      <c r="D135" s="464" t="s">
        <v>1920</v>
      </c>
      <c r="E135" s="464" t="s">
        <v>1930</v>
      </c>
      <c r="F135" s="464" t="s">
        <v>1958</v>
      </c>
      <c r="G135" s="464"/>
      <c r="H135" s="468">
        <v>1</v>
      </c>
      <c r="I135" s="468">
        <v>282</v>
      </c>
      <c r="J135" s="464"/>
      <c r="K135" s="464">
        <v>282</v>
      </c>
      <c r="L135" s="468"/>
      <c r="M135" s="468"/>
      <c r="N135" s="464"/>
      <c r="O135" s="464"/>
      <c r="P135" s="468"/>
      <c r="Q135" s="468"/>
      <c r="R135" s="491"/>
      <c r="S135" s="469"/>
    </row>
    <row r="136" spans="1:19" ht="14.45" customHeight="1" x14ac:dyDescent="0.2">
      <c r="A136" s="463"/>
      <c r="B136" s="464" t="s">
        <v>1929</v>
      </c>
      <c r="C136" s="464" t="s">
        <v>1922</v>
      </c>
      <c r="D136" s="464" t="s">
        <v>1920</v>
      </c>
      <c r="E136" s="464" t="s">
        <v>1930</v>
      </c>
      <c r="F136" s="464" t="s">
        <v>1972</v>
      </c>
      <c r="G136" s="464"/>
      <c r="H136" s="468">
        <v>1</v>
      </c>
      <c r="I136" s="468">
        <v>225</v>
      </c>
      <c r="J136" s="464"/>
      <c r="K136" s="464">
        <v>225</v>
      </c>
      <c r="L136" s="468"/>
      <c r="M136" s="468"/>
      <c r="N136" s="464"/>
      <c r="O136" s="464"/>
      <c r="P136" s="468"/>
      <c r="Q136" s="468"/>
      <c r="R136" s="491"/>
      <c r="S136" s="469"/>
    </row>
    <row r="137" spans="1:19" ht="14.45" customHeight="1" x14ac:dyDescent="0.2">
      <c r="A137" s="463"/>
      <c r="B137" s="464" t="s">
        <v>1929</v>
      </c>
      <c r="C137" s="464" t="s">
        <v>1922</v>
      </c>
      <c r="D137" s="464" t="s">
        <v>1920</v>
      </c>
      <c r="E137" s="464" t="s">
        <v>1930</v>
      </c>
      <c r="F137" s="464" t="s">
        <v>1974</v>
      </c>
      <c r="G137" s="464"/>
      <c r="H137" s="468">
        <v>1</v>
      </c>
      <c r="I137" s="468">
        <v>587</v>
      </c>
      <c r="J137" s="464"/>
      <c r="K137" s="464">
        <v>587</v>
      </c>
      <c r="L137" s="468"/>
      <c r="M137" s="468"/>
      <c r="N137" s="464"/>
      <c r="O137" s="464"/>
      <c r="P137" s="468"/>
      <c r="Q137" s="468"/>
      <c r="R137" s="491"/>
      <c r="S137" s="469"/>
    </row>
    <row r="138" spans="1:19" ht="14.45" customHeight="1" x14ac:dyDescent="0.2">
      <c r="A138" s="463"/>
      <c r="B138" s="464" t="s">
        <v>1929</v>
      </c>
      <c r="C138" s="464" t="s">
        <v>1922</v>
      </c>
      <c r="D138" s="464" t="s">
        <v>1920</v>
      </c>
      <c r="E138" s="464" t="s">
        <v>2019</v>
      </c>
      <c r="F138" s="464" t="s">
        <v>2020</v>
      </c>
      <c r="G138" s="464" t="s">
        <v>2021</v>
      </c>
      <c r="H138" s="468">
        <v>30</v>
      </c>
      <c r="I138" s="468">
        <v>15266.670000000002</v>
      </c>
      <c r="J138" s="464">
        <v>0.46875008635541471</v>
      </c>
      <c r="K138" s="464">
        <v>508.88900000000007</v>
      </c>
      <c r="L138" s="468">
        <v>64</v>
      </c>
      <c r="M138" s="468">
        <v>32568.89</v>
      </c>
      <c r="N138" s="464">
        <v>1</v>
      </c>
      <c r="O138" s="464">
        <v>508.88890624999999</v>
      </c>
      <c r="P138" s="468">
        <v>97</v>
      </c>
      <c r="Q138" s="468">
        <v>49362.22</v>
      </c>
      <c r="R138" s="491">
        <v>1.5156248800619241</v>
      </c>
      <c r="S138" s="469">
        <v>508.88886597938148</v>
      </c>
    </row>
    <row r="139" spans="1:19" ht="14.45" customHeight="1" x14ac:dyDescent="0.2">
      <c r="A139" s="463"/>
      <c r="B139" s="464" t="s">
        <v>1929</v>
      </c>
      <c r="C139" s="464" t="s">
        <v>1922</v>
      </c>
      <c r="D139" s="464" t="s">
        <v>1920</v>
      </c>
      <c r="E139" s="464" t="s">
        <v>2019</v>
      </c>
      <c r="F139" s="464" t="s">
        <v>2022</v>
      </c>
      <c r="G139" s="464" t="s">
        <v>2023</v>
      </c>
      <c r="H139" s="468">
        <v>516</v>
      </c>
      <c r="I139" s="468">
        <v>258000</v>
      </c>
      <c r="J139" s="464">
        <v>0.94160583941605835</v>
      </c>
      <c r="K139" s="464">
        <v>500</v>
      </c>
      <c r="L139" s="468">
        <v>548</v>
      </c>
      <c r="M139" s="468">
        <v>274000</v>
      </c>
      <c r="N139" s="464">
        <v>1</v>
      </c>
      <c r="O139" s="464">
        <v>500</v>
      </c>
      <c r="P139" s="468">
        <v>578</v>
      </c>
      <c r="Q139" s="468">
        <v>289000</v>
      </c>
      <c r="R139" s="491">
        <v>1.0547445255474452</v>
      </c>
      <c r="S139" s="469">
        <v>500</v>
      </c>
    </row>
    <row r="140" spans="1:19" ht="14.45" customHeight="1" x14ac:dyDescent="0.2">
      <c r="A140" s="463"/>
      <c r="B140" s="464" t="s">
        <v>1929</v>
      </c>
      <c r="C140" s="464" t="s">
        <v>1922</v>
      </c>
      <c r="D140" s="464" t="s">
        <v>1920</v>
      </c>
      <c r="E140" s="464" t="s">
        <v>2019</v>
      </c>
      <c r="F140" s="464" t="s">
        <v>2099</v>
      </c>
      <c r="G140" s="464" t="s">
        <v>2100</v>
      </c>
      <c r="H140" s="468">
        <v>144</v>
      </c>
      <c r="I140" s="468">
        <v>15199.99</v>
      </c>
      <c r="J140" s="464">
        <v>0.65753371917322001</v>
      </c>
      <c r="K140" s="464">
        <v>105.55548611111111</v>
      </c>
      <c r="L140" s="468">
        <v>219</v>
      </c>
      <c r="M140" s="468">
        <v>23116.67</v>
      </c>
      <c r="N140" s="464">
        <v>1</v>
      </c>
      <c r="O140" s="464">
        <v>105.55557077625571</v>
      </c>
      <c r="P140" s="468">
        <v>105</v>
      </c>
      <c r="Q140" s="468">
        <v>11083.330000000002</v>
      </c>
      <c r="R140" s="491">
        <v>0.47945184146332509</v>
      </c>
      <c r="S140" s="469">
        <v>105.55552380952382</v>
      </c>
    </row>
    <row r="141" spans="1:19" ht="14.45" customHeight="1" x14ac:dyDescent="0.2">
      <c r="A141" s="463"/>
      <c r="B141" s="464" t="s">
        <v>1929</v>
      </c>
      <c r="C141" s="464" t="s">
        <v>1922</v>
      </c>
      <c r="D141" s="464" t="s">
        <v>1920</v>
      </c>
      <c r="E141" s="464" t="s">
        <v>2019</v>
      </c>
      <c r="F141" s="464" t="s">
        <v>2024</v>
      </c>
      <c r="G141" s="464" t="s">
        <v>2025</v>
      </c>
      <c r="H141" s="468">
        <v>5118</v>
      </c>
      <c r="I141" s="468">
        <v>398066.68</v>
      </c>
      <c r="J141" s="464">
        <v>0.93873811905186177</v>
      </c>
      <c r="K141" s="464">
        <v>77.777780382962092</v>
      </c>
      <c r="L141" s="468">
        <v>5452</v>
      </c>
      <c r="M141" s="468">
        <v>424044.43999999994</v>
      </c>
      <c r="N141" s="464">
        <v>1</v>
      </c>
      <c r="O141" s="464">
        <v>77.777776962582521</v>
      </c>
      <c r="P141" s="468">
        <v>5331</v>
      </c>
      <c r="Q141" s="468">
        <v>414633.33</v>
      </c>
      <c r="R141" s="491">
        <v>0.97780631199880863</v>
      </c>
      <c r="S141" s="469">
        <v>77.777777152504228</v>
      </c>
    </row>
    <row r="142" spans="1:19" ht="14.45" customHeight="1" x14ac:dyDescent="0.2">
      <c r="A142" s="463"/>
      <c r="B142" s="464" t="s">
        <v>1929</v>
      </c>
      <c r="C142" s="464" t="s">
        <v>1922</v>
      </c>
      <c r="D142" s="464" t="s">
        <v>1920</v>
      </c>
      <c r="E142" s="464" t="s">
        <v>2019</v>
      </c>
      <c r="F142" s="464" t="s">
        <v>2026</v>
      </c>
      <c r="G142" s="464" t="s">
        <v>2027</v>
      </c>
      <c r="H142" s="468">
        <v>3</v>
      </c>
      <c r="I142" s="468">
        <v>750</v>
      </c>
      <c r="J142" s="464">
        <v>0.13043478260869565</v>
      </c>
      <c r="K142" s="464">
        <v>250</v>
      </c>
      <c r="L142" s="468">
        <v>23</v>
      </c>
      <c r="M142" s="468">
        <v>5750</v>
      </c>
      <c r="N142" s="464">
        <v>1</v>
      </c>
      <c r="O142" s="464">
        <v>250</v>
      </c>
      <c r="P142" s="468">
        <v>40</v>
      </c>
      <c r="Q142" s="468">
        <v>10000</v>
      </c>
      <c r="R142" s="491">
        <v>1.7391304347826086</v>
      </c>
      <c r="S142" s="469">
        <v>250</v>
      </c>
    </row>
    <row r="143" spans="1:19" ht="14.45" customHeight="1" x14ac:dyDescent="0.2">
      <c r="A143" s="463"/>
      <c r="B143" s="464" t="s">
        <v>1929</v>
      </c>
      <c r="C143" s="464" t="s">
        <v>1922</v>
      </c>
      <c r="D143" s="464" t="s">
        <v>1920</v>
      </c>
      <c r="E143" s="464" t="s">
        <v>2019</v>
      </c>
      <c r="F143" s="464" t="s">
        <v>2028</v>
      </c>
      <c r="G143" s="464" t="s">
        <v>2029</v>
      </c>
      <c r="H143" s="468">
        <v>2</v>
      </c>
      <c r="I143" s="468">
        <v>600</v>
      </c>
      <c r="J143" s="464">
        <v>0.66666666666666663</v>
      </c>
      <c r="K143" s="464">
        <v>300</v>
      </c>
      <c r="L143" s="468">
        <v>3</v>
      </c>
      <c r="M143" s="468">
        <v>900</v>
      </c>
      <c r="N143" s="464">
        <v>1</v>
      </c>
      <c r="O143" s="464">
        <v>300</v>
      </c>
      <c r="P143" s="468">
        <v>1</v>
      </c>
      <c r="Q143" s="468">
        <v>300</v>
      </c>
      <c r="R143" s="491">
        <v>0.33333333333333331</v>
      </c>
      <c r="S143" s="469">
        <v>300</v>
      </c>
    </row>
    <row r="144" spans="1:19" ht="14.45" customHeight="1" x14ac:dyDescent="0.2">
      <c r="A144" s="463"/>
      <c r="B144" s="464" t="s">
        <v>1929</v>
      </c>
      <c r="C144" s="464" t="s">
        <v>1922</v>
      </c>
      <c r="D144" s="464" t="s">
        <v>1920</v>
      </c>
      <c r="E144" s="464" t="s">
        <v>2019</v>
      </c>
      <c r="F144" s="464" t="s">
        <v>2030</v>
      </c>
      <c r="G144" s="464" t="s">
        <v>2031</v>
      </c>
      <c r="H144" s="468">
        <v>1401</v>
      </c>
      <c r="I144" s="468">
        <v>163449.99</v>
      </c>
      <c r="J144" s="464">
        <v>1.0760367296881677</v>
      </c>
      <c r="K144" s="464">
        <v>116.66665952890791</v>
      </c>
      <c r="L144" s="468">
        <v>1302</v>
      </c>
      <c r="M144" s="468">
        <v>151900.01</v>
      </c>
      <c r="N144" s="464">
        <v>1</v>
      </c>
      <c r="O144" s="464">
        <v>116.66667434715822</v>
      </c>
      <c r="P144" s="468">
        <v>1085</v>
      </c>
      <c r="Q144" s="468">
        <v>126583.34</v>
      </c>
      <c r="R144" s="491">
        <v>0.83333332236120317</v>
      </c>
      <c r="S144" s="469">
        <v>116.66667281105991</v>
      </c>
    </row>
    <row r="145" spans="1:19" ht="14.45" customHeight="1" x14ac:dyDescent="0.2">
      <c r="A145" s="463"/>
      <c r="B145" s="464" t="s">
        <v>1929</v>
      </c>
      <c r="C145" s="464" t="s">
        <v>1922</v>
      </c>
      <c r="D145" s="464" t="s">
        <v>1920</v>
      </c>
      <c r="E145" s="464" t="s">
        <v>2019</v>
      </c>
      <c r="F145" s="464" t="s">
        <v>2101</v>
      </c>
      <c r="G145" s="464" t="s">
        <v>2102</v>
      </c>
      <c r="H145" s="468">
        <v>1</v>
      </c>
      <c r="I145" s="468">
        <v>388.89</v>
      </c>
      <c r="J145" s="464">
        <v>0.14285766763891236</v>
      </c>
      <c r="K145" s="464">
        <v>388.89</v>
      </c>
      <c r="L145" s="468">
        <v>7</v>
      </c>
      <c r="M145" s="468">
        <v>2722.22</v>
      </c>
      <c r="N145" s="464">
        <v>1</v>
      </c>
      <c r="O145" s="464">
        <v>388.88857142857142</v>
      </c>
      <c r="P145" s="468">
        <v>4</v>
      </c>
      <c r="Q145" s="468">
        <v>2222.2199999999998</v>
      </c>
      <c r="R145" s="491">
        <v>0.81632638067459651</v>
      </c>
      <c r="S145" s="469">
        <v>555.55499999999995</v>
      </c>
    </row>
    <row r="146" spans="1:19" ht="14.45" customHeight="1" x14ac:dyDescent="0.2">
      <c r="A146" s="463"/>
      <c r="B146" s="464" t="s">
        <v>1929</v>
      </c>
      <c r="C146" s="464" t="s">
        <v>1922</v>
      </c>
      <c r="D146" s="464" t="s">
        <v>1920</v>
      </c>
      <c r="E146" s="464" t="s">
        <v>2019</v>
      </c>
      <c r="F146" s="464" t="s">
        <v>2032</v>
      </c>
      <c r="G146" s="464" t="s">
        <v>2033</v>
      </c>
      <c r="H146" s="468">
        <v>1392</v>
      </c>
      <c r="I146" s="468">
        <v>417600</v>
      </c>
      <c r="J146" s="464">
        <v>0.79588336192109777</v>
      </c>
      <c r="K146" s="464">
        <v>300</v>
      </c>
      <c r="L146" s="468">
        <v>1749</v>
      </c>
      <c r="M146" s="468">
        <v>524700</v>
      </c>
      <c r="N146" s="464">
        <v>1</v>
      </c>
      <c r="O146" s="464">
        <v>300</v>
      </c>
      <c r="P146" s="468">
        <v>1890</v>
      </c>
      <c r="Q146" s="468">
        <v>1039500</v>
      </c>
      <c r="R146" s="491">
        <v>1.9811320754716981</v>
      </c>
      <c r="S146" s="469">
        <v>550</v>
      </c>
    </row>
    <row r="147" spans="1:19" ht="14.45" customHeight="1" x14ac:dyDescent="0.2">
      <c r="A147" s="463"/>
      <c r="B147" s="464" t="s">
        <v>1929</v>
      </c>
      <c r="C147" s="464" t="s">
        <v>1922</v>
      </c>
      <c r="D147" s="464" t="s">
        <v>1920</v>
      </c>
      <c r="E147" s="464" t="s">
        <v>2019</v>
      </c>
      <c r="F147" s="464" t="s">
        <v>2034</v>
      </c>
      <c r="G147" s="464" t="s">
        <v>2035</v>
      </c>
      <c r="H147" s="468">
        <v>262</v>
      </c>
      <c r="I147" s="468">
        <v>77144.450000000012</v>
      </c>
      <c r="J147" s="464">
        <v>0.89726041975733972</v>
      </c>
      <c r="K147" s="464">
        <v>294.44446564885499</v>
      </c>
      <c r="L147" s="468">
        <v>292</v>
      </c>
      <c r="M147" s="468">
        <v>85977.77</v>
      </c>
      <c r="N147" s="464">
        <v>1</v>
      </c>
      <c r="O147" s="464">
        <v>294.44441780821921</v>
      </c>
      <c r="P147" s="468">
        <v>224</v>
      </c>
      <c r="Q147" s="468">
        <v>65955.55</v>
      </c>
      <c r="R147" s="491">
        <v>0.76712329245106026</v>
      </c>
      <c r="S147" s="469">
        <v>294.44441964285716</v>
      </c>
    </row>
    <row r="148" spans="1:19" ht="14.45" customHeight="1" x14ac:dyDescent="0.2">
      <c r="A148" s="463"/>
      <c r="B148" s="464" t="s">
        <v>1929</v>
      </c>
      <c r="C148" s="464" t="s">
        <v>1922</v>
      </c>
      <c r="D148" s="464" t="s">
        <v>1920</v>
      </c>
      <c r="E148" s="464" t="s">
        <v>2019</v>
      </c>
      <c r="F148" s="464" t="s">
        <v>2040</v>
      </c>
      <c r="G148" s="464" t="s">
        <v>2041</v>
      </c>
      <c r="H148" s="468">
        <v>2</v>
      </c>
      <c r="I148" s="468">
        <v>66.66</v>
      </c>
      <c r="J148" s="464">
        <v>0.66659999999999997</v>
      </c>
      <c r="K148" s="464">
        <v>33.33</v>
      </c>
      <c r="L148" s="468">
        <v>3</v>
      </c>
      <c r="M148" s="468">
        <v>100</v>
      </c>
      <c r="N148" s="464">
        <v>1</v>
      </c>
      <c r="O148" s="464">
        <v>33.333333333333336</v>
      </c>
      <c r="P148" s="468">
        <v>3</v>
      </c>
      <c r="Q148" s="468">
        <v>100</v>
      </c>
      <c r="R148" s="491">
        <v>1</v>
      </c>
      <c r="S148" s="469">
        <v>33.333333333333336</v>
      </c>
    </row>
    <row r="149" spans="1:19" ht="14.45" customHeight="1" x14ac:dyDescent="0.2">
      <c r="A149" s="463"/>
      <c r="B149" s="464" t="s">
        <v>1929</v>
      </c>
      <c r="C149" s="464" t="s">
        <v>1922</v>
      </c>
      <c r="D149" s="464" t="s">
        <v>1920</v>
      </c>
      <c r="E149" s="464" t="s">
        <v>2019</v>
      </c>
      <c r="F149" s="464" t="s">
        <v>2042</v>
      </c>
      <c r="G149" s="464" t="s">
        <v>2023</v>
      </c>
      <c r="H149" s="468">
        <v>897</v>
      </c>
      <c r="I149" s="468">
        <v>374746.66</v>
      </c>
      <c r="J149" s="464">
        <v>1.0089988692649985</v>
      </c>
      <c r="K149" s="464">
        <v>417.77777034559642</v>
      </c>
      <c r="L149" s="468">
        <v>889</v>
      </c>
      <c r="M149" s="468">
        <v>371404.44</v>
      </c>
      <c r="N149" s="464">
        <v>1</v>
      </c>
      <c r="O149" s="464">
        <v>417.77777277840272</v>
      </c>
      <c r="P149" s="468">
        <v>802</v>
      </c>
      <c r="Q149" s="468">
        <v>335057.78000000003</v>
      </c>
      <c r="R149" s="491">
        <v>0.90213724962469488</v>
      </c>
      <c r="S149" s="469">
        <v>417.77778054862847</v>
      </c>
    </row>
    <row r="150" spans="1:19" ht="14.45" customHeight="1" x14ac:dyDescent="0.2">
      <c r="A150" s="463"/>
      <c r="B150" s="464" t="s">
        <v>1929</v>
      </c>
      <c r="C150" s="464" t="s">
        <v>1922</v>
      </c>
      <c r="D150" s="464" t="s">
        <v>1920</v>
      </c>
      <c r="E150" s="464" t="s">
        <v>2019</v>
      </c>
      <c r="F150" s="464" t="s">
        <v>2043</v>
      </c>
      <c r="G150" s="464" t="s">
        <v>2044</v>
      </c>
      <c r="H150" s="468">
        <v>114</v>
      </c>
      <c r="I150" s="468">
        <v>24066.67</v>
      </c>
      <c r="J150" s="464">
        <v>1.1176473866327221</v>
      </c>
      <c r="K150" s="464">
        <v>211.11114035087718</v>
      </c>
      <c r="L150" s="468">
        <v>102</v>
      </c>
      <c r="M150" s="468">
        <v>21533.33</v>
      </c>
      <c r="N150" s="464">
        <v>1</v>
      </c>
      <c r="O150" s="464">
        <v>211.11107843137256</v>
      </c>
      <c r="P150" s="468">
        <v>64</v>
      </c>
      <c r="Q150" s="468">
        <v>14222.21</v>
      </c>
      <c r="R150" s="491">
        <v>0.66047425084740718</v>
      </c>
      <c r="S150" s="469">
        <v>222.22203124999999</v>
      </c>
    </row>
    <row r="151" spans="1:19" ht="14.45" customHeight="1" x14ac:dyDescent="0.2">
      <c r="A151" s="463"/>
      <c r="B151" s="464" t="s">
        <v>1929</v>
      </c>
      <c r="C151" s="464" t="s">
        <v>1922</v>
      </c>
      <c r="D151" s="464" t="s">
        <v>1920</v>
      </c>
      <c r="E151" s="464" t="s">
        <v>2019</v>
      </c>
      <c r="F151" s="464" t="s">
        <v>2045</v>
      </c>
      <c r="G151" s="464" t="s">
        <v>2046</v>
      </c>
      <c r="H151" s="468">
        <v>60</v>
      </c>
      <c r="I151" s="468">
        <v>35000</v>
      </c>
      <c r="J151" s="464">
        <v>1.1111107583775373</v>
      </c>
      <c r="K151" s="464">
        <v>583.33333333333337</v>
      </c>
      <c r="L151" s="468">
        <v>54</v>
      </c>
      <c r="M151" s="468">
        <v>31500.009999999995</v>
      </c>
      <c r="N151" s="464">
        <v>1</v>
      </c>
      <c r="O151" s="464">
        <v>583.33351851851842</v>
      </c>
      <c r="P151" s="468">
        <v>47</v>
      </c>
      <c r="Q151" s="468">
        <v>27416.66</v>
      </c>
      <c r="R151" s="491">
        <v>0.87036988242225966</v>
      </c>
      <c r="S151" s="469">
        <v>583.33319148936175</v>
      </c>
    </row>
    <row r="152" spans="1:19" ht="14.45" customHeight="1" x14ac:dyDescent="0.2">
      <c r="A152" s="463"/>
      <c r="B152" s="464" t="s">
        <v>1929</v>
      </c>
      <c r="C152" s="464" t="s">
        <v>1922</v>
      </c>
      <c r="D152" s="464" t="s">
        <v>1920</v>
      </c>
      <c r="E152" s="464" t="s">
        <v>2019</v>
      </c>
      <c r="F152" s="464" t="s">
        <v>2047</v>
      </c>
      <c r="G152" s="464" t="s">
        <v>2048</v>
      </c>
      <c r="H152" s="468">
        <v>208</v>
      </c>
      <c r="I152" s="468">
        <v>97066.67</v>
      </c>
      <c r="J152" s="464">
        <v>0.94545454722550171</v>
      </c>
      <c r="K152" s="464">
        <v>466.66668269230769</v>
      </c>
      <c r="L152" s="468">
        <v>220</v>
      </c>
      <c r="M152" s="468">
        <v>102666.67</v>
      </c>
      <c r="N152" s="464">
        <v>1</v>
      </c>
      <c r="O152" s="464">
        <v>466.66668181818181</v>
      </c>
      <c r="P152" s="468">
        <v>12</v>
      </c>
      <c r="Q152" s="468">
        <v>5600</v>
      </c>
      <c r="R152" s="491">
        <v>5.4545452774498286E-2</v>
      </c>
      <c r="S152" s="469">
        <v>466.66666666666669</v>
      </c>
    </row>
    <row r="153" spans="1:19" ht="14.45" customHeight="1" x14ac:dyDescent="0.2">
      <c r="A153" s="463"/>
      <c r="B153" s="464" t="s">
        <v>1929</v>
      </c>
      <c r="C153" s="464" t="s">
        <v>1922</v>
      </c>
      <c r="D153" s="464" t="s">
        <v>1920</v>
      </c>
      <c r="E153" s="464" t="s">
        <v>2019</v>
      </c>
      <c r="F153" s="464" t="s">
        <v>2049</v>
      </c>
      <c r="G153" s="464" t="s">
        <v>2050</v>
      </c>
      <c r="H153" s="468">
        <v>72</v>
      </c>
      <c r="I153" s="468">
        <v>3600</v>
      </c>
      <c r="J153" s="464">
        <v>0.83720930232558144</v>
      </c>
      <c r="K153" s="464">
        <v>50</v>
      </c>
      <c r="L153" s="468">
        <v>86</v>
      </c>
      <c r="M153" s="468">
        <v>4300</v>
      </c>
      <c r="N153" s="464">
        <v>1</v>
      </c>
      <c r="O153" s="464">
        <v>50</v>
      </c>
      <c r="P153" s="468">
        <v>69</v>
      </c>
      <c r="Q153" s="468">
        <v>4216.66</v>
      </c>
      <c r="R153" s="491">
        <v>0.9806186046511628</v>
      </c>
      <c r="S153" s="469">
        <v>61.111014492753618</v>
      </c>
    </row>
    <row r="154" spans="1:19" ht="14.45" customHeight="1" x14ac:dyDescent="0.2">
      <c r="A154" s="463"/>
      <c r="B154" s="464" t="s">
        <v>1929</v>
      </c>
      <c r="C154" s="464" t="s">
        <v>1922</v>
      </c>
      <c r="D154" s="464" t="s">
        <v>1920</v>
      </c>
      <c r="E154" s="464" t="s">
        <v>2019</v>
      </c>
      <c r="F154" s="464" t="s">
        <v>2051</v>
      </c>
      <c r="G154" s="464" t="s">
        <v>2052</v>
      </c>
      <c r="H154" s="468">
        <v>9</v>
      </c>
      <c r="I154" s="468">
        <v>909.99</v>
      </c>
      <c r="J154" s="464">
        <v>1</v>
      </c>
      <c r="K154" s="464">
        <v>101.11</v>
      </c>
      <c r="L154" s="468">
        <v>9</v>
      </c>
      <c r="M154" s="468">
        <v>909.99</v>
      </c>
      <c r="N154" s="464">
        <v>1</v>
      </c>
      <c r="O154" s="464">
        <v>101.11</v>
      </c>
      <c r="P154" s="468">
        <v>10</v>
      </c>
      <c r="Q154" s="468">
        <v>1277.78</v>
      </c>
      <c r="R154" s="491">
        <v>1.404169276585457</v>
      </c>
      <c r="S154" s="469">
        <v>127.77799999999999</v>
      </c>
    </row>
    <row r="155" spans="1:19" ht="14.45" customHeight="1" x14ac:dyDescent="0.2">
      <c r="A155" s="463"/>
      <c r="B155" s="464" t="s">
        <v>1929</v>
      </c>
      <c r="C155" s="464" t="s">
        <v>1922</v>
      </c>
      <c r="D155" s="464" t="s">
        <v>1920</v>
      </c>
      <c r="E155" s="464" t="s">
        <v>2019</v>
      </c>
      <c r="F155" s="464" t="s">
        <v>2053</v>
      </c>
      <c r="G155" s="464" t="s">
        <v>2054</v>
      </c>
      <c r="H155" s="468"/>
      <c r="I155" s="468"/>
      <c r="J155" s="464"/>
      <c r="K155" s="464"/>
      <c r="L155" s="468">
        <v>3</v>
      </c>
      <c r="M155" s="468">
        <v>230</v>
      </c>
      <c r="N155" s="464">
        <v>1</v>
      </c>
      <c r="O155" s="464">
        <v>76.666666666666671</v>
      </c>
      <c r="P155" s="468"/>
      <c r="Q155" s="468"/>
      <c r="R155" s="491"/>
      <c r="S155" s="469"/>
    </row>
    <row r="156" spans="1:19" ht="14.45" customHeight="1" x14ac:dyDescent="0.2">
      <c r="A156" s="463"/>
      <c r="B156" s="464" t="s">
        <v>1929</v>
      </c>
      <c r="C156" s="464" t="s">
        <v>1922</v>
      </c>
      <c r="D156" s="464" t="s">
        <v>1920</v>
      </c>
      <c r="E156" s="464" t="s">
        <v>2019</v>
      </c>
      <c r="F156" s="464" t="s">
        <v>2103</v>
      </c>
      <c r="G156" s="464" t="s">
        <v>2104</v>
      </c>
      <c r="H156" s="468"/>
      <c r="I156" s="468"/>
      <c r="J156" s="464"/>
      <c r="K156" s="464"/>
      <c r="L156" s="468">
        <v>1</v>
      </c>
      <c r="M156" s="468">
        <v>0</v>
      </c>
      <c r="N156" s="464"/>
      <c r="O156" s="464">
        <v>0</v>
      </c>
      <c r="P156" s="468"/>
      <c r="Q156" s="468"/>
      <c r="R156" s="491"/>
      <c r="S156" s="469"/>
    </row>
    <row r="157" spans="1:19" ht="14.45" customHeight="1" x14ac:dyDescent="0.2">
      <c r="A157" s="463"/>
      <c r="B157" s="464" t="s">
        <v>1929</v>
      </c>
      <c r="C157" s="464" t="s">
        <v>1922</v>
      </c>
      <c r="D157" s="464" t="s">
        <v>1920</v>
      </c>
      <c r="E157" s="464" t="s">
        <v>2019</v>
      </c>
      <c r="F157" s="464" t="s">
        <v>2055</v>
      </c>
      <c r="G157" s="464" t="s">
        <v>2056</v>
      </c>
      <c r="H157" s="468">
        <v>9</v>
      </c>
      <c r="I157" s="468">
        <v>0</v>
      </c>
      <c r="J157" s="464"/>
      <c r="K157" s="464">
        <v>0</v>
      </c>
      <c r="L157" s="468"/>
      <c r="M157" s="468"/>
      <c r="N157" s="464"/>
      <c r="O157" s="464"/>
      <c r="P157" s="468">
        <v>2</v>
      </c>
      <c r="Q157" s="468">
        <v>0</v>
      </c>
      <c r="R157" s="491"/>
      <c r="S157" s="469">
        <v>0</v>
      </c>
    </row>
    <row r="158" spans="1:19" ht="14.45" customHeight="1" x14ac:dyDescent="0.2">
      <c r="A158" s="463"/>
      <c r="B158" s="464" t="s">
        <v>1929</v>
      </c>
      <c r="C158" s="464" t="s">
        <v>1922</v>
      </c>
      <c r="D158" s="464" t="s">
        <v>1920</v>
      </c>
      <c r="E158" s="464" t="s">
        <v>2019</v>
      </c>
      <c r="F158" s="464" t="s">
        <v>2057</v>
      </c>
      <c r="G158" s="464" t="s">
        <v>2058</v>
      </c>
      <c r="H158" s="468">
        <v>661</v>
      </c>
      <c r="I158" s="468">
        <v>201972.22</v>
      </c>
      <c r="J158" s="464">
        <v>0.97636626931150716</v>
      </c>
      <c r="K158" s="464">
        <v>305.55555219364601</v>
      </c>
      <c r="L158" s="468">
        <v>677</v>
      </c>
      <c r="M158" s="468">
        <v>206861.12</v>
      </c>
      <c r="N158" s="464">
        <v>1</v>
      </c>
      <c r="O158" s="464">
        <v>305.55556868537667</v>
      </c>
      <c r="P158" s="468">
        <v>725</v>
      </c>
      <c r="Q158" s="468">
        <v>221527.77</v>
      </c>
      <c r="R158" s="491">
        <v>1.0709009503574185</v>
      </c>
      <c r="S158" s="469">
        <v>305.55554482758617</v>
      </c>
    </row>
    <row r="159" spans="1:19" ht="14.45" customHeight="1" x14ac:dyDescent="0.2">
      <c r="A159" s="463"/>
      <c r="B159" s="464" t="s">
        <v>1929</v>
      </c>
      <c r="C159" s="464" t="s">
        <v>1922</v>
      </c>
      <c r="D159" s="464" t="s">
        <v>1920</v>
      </c>
      <c r="E159" s="464" t="s">
        <v>2019</v>
      </c>
      <c r="F159" s="464" t="s">
        <v>2059</v>
      </c>
      <c r="G159" s="464" t="s">
        <v>2060</v>
      </c>
      <c r="H159" s="468">
        <v>939</v>
      </c>
      <c r="I159" s="468">
        <v>31300</v>
      </c>
      <c r="J159" s="464">
        <v>1.0064308681672025</v>
      </c>
      <c r="K159" s="464">
        <v>33.333333333333336</v>
      </c>
      <c r="L159" s="468">
        <v>933</v>
      </c>
      <c r="M159" s="468">
        <v>31100</v>
      </c>
      <c r="N159" s="464">
        <v>1</v>
      </c>
      <c r="O159" s="464">
        <v>33.333333333333336</v>
      </c>
      <c r="P159" s="468">
        <v>627</v>
      </c>
      <c r="Q159" s="468">
        <v>20899.989999999998</v>
      </c>
      <c r="R159" s="491">
        <v>0.67202540192926041</v>
      </c>
      <c r="S159" s="469">
        <v>33.333317384370012</v>
      </c>
    </row>
    <row r="160" spans="1:19" ht="14.45" customHeight="1" x14ac:dyDescent="0.2">
      <c r="A160" s="463"/>
      <c r="B160" s="464" t="s">
        <v>1929</v>
      </c>
      <c r="C160" s="464" t="s">
        <v>1922</v>
      </c>
      <c r="D160" s="464" t="s">
        <v>1920</v>
      </c>
      <c r="E160" s="464" t="s">
        <v>2019</v>
      </c>
      <c r="F160" s="464" t="s">
        <v>2061</v>
      </c>
      <c r="G160" s="464" t="s">
        <v>2062</v>
      </c>
      <c r="H160" s="468">
        <v>838</v>
      </c>
      <c r="I160" s="468">
        <v>381755.57</v>
      </c>
      <c r="J160" s="464">
        <v>1.1173333974113833</v>
      </c>
      <c r="K160" s="464">
        <v>455.5555727923628</v>
      </c>
      <c r="L160" s="468">
        <v>750</v>
      </c>
      <c r="M160" s="468">
        <v>341666.66000000003</v>
      </c>
      <c r="N160" s="464">
        <v>1</v>
      </c>
      <c r="O160" s="464">
        <v>455.55554666666671</v>
      </c>
      <c r="P160" s="468">
        <v>795</v>
      </c>
      <c r="Q160" s="468">
        <v>362166.67</v>
      </c>
      <c r="R160" s="491">
        <v>1.0600000304390249</v>
      </c>
      <c r="S160" s="469">
        <v>455.55555974842764</v>
      </c>
    </row>
    <row r="161" spans="1:19" ht="14.45" customHeight="1" x14ac:dyDescent="0.2">
      <c r="A161" s="463"/>
      <c r="B161" s="464" t="s">
        <v>1929</v>
      </c>
      <c r="C161" s="464" t="s">
        <v>1922</v>
      </c>
      <c r="D161" s="464" t="s">
        <v>1920</v>
      </c>
      <c r="E161" s="464" t="s">
        <v>2019</v>
      </c>
      <c r="F161" s="464" t="s">
        <v>2065</v>
      </c>
      <c r="G161" s="464" t="s">
        <v>2066</v>
      </c>
      <c r="H161" s="468">
        <v>673</v>
      </c>
      <c r="I161" s="468">
        <v>52344.439999999995</v>
      </c>
      <c r="J161" s="464">
        <v>0.97677765358124524</v>
      </c>
      <c r="K161" s="464">
        <v>77.777771173848436</v>
      </c>
      <c r="L161" s="468">
        <v>689</v>
      </c>
      <c r="M161" s="468">
        <v>53588.9</v>
      </c>
      <c r="N161" s="464">
        <v>1</v>
      </c>
      <c r="O161" s="464">
        <v>77.777793904209005</v>
      </c>
      <c r="P161" s="468">
        <v>744</v>
      </c>
      <c r="Q161" s="468">
        <v>57866.670000000006</v>
      </c>
      <c r="R161" s="491">
        <v>1.0798256728538933</v>
      </c>
      <c r="S161" s="469">
        <v>77.777782258064519</v>
      </c>
    </row>
    <row r="162" spans="1:19" ht="14.45" customHeight="1" x14ac:dyDescent="0.2">
      <c r="A162" s="463"/>
      <c r="B162" s="464" t="s">
        <v>1929</v>
      </c>
      <c r="C162" s="464" t="s">
        <v>1922</v>
      </c>
      <c r="D162" s="464" t="s">
        <v>1920</v>
      </c>
      <c r="E162" s="464" t="s">
        <v>2019</v>
      </c>
      <c r="F162" s="464" t="s">
        <v>2069</v>
      </c>
      <c r="G162" s="464" t="s">
        <v>2070</v>
      </c>
      <c r="H162" s="468"/>
      <c r="I162" s="468"/>
      <c r="J162" s="464"/>
      <c r="K162" s="464"/>
      <c r="L162" s="468">
        <v>2</v>
      </c>
      <c r="M162" s="468">
        <v>540</v>
      </c>
      <c r="N162" s="464">
        <v>1</v>
      </c>
      <c r="O162" s="464">
        <v>270</v>
      </c>
      <c r="P162" s="468">
        <v>2</v>
      </c>
      <c r="Q162" s="468">
        <v>540</v>
      </c>
      <c r="R162" s="491">
        <v>1</v>
      </c>
      <c r="S162" s="469">
        <v>270</v>
      </c>
    </row>
    <row r="163" spans="1:19" ht="14.45" customHeight="1" x14ac:dyDescent="0.2">
      <c r="A163" s="463"/>
      <c r="B163" s="464" t="s">
        <v>1929</v>
      </c>
      <c r="C163" s="464" t="s">
        <v>1922</v>
      </c>
      <c r="D163" s="464" t="s">
        <v>1920</v>
      </c>
      <c r="E163" s="464" t="s">
        <v>2019</v>
      </c>
      <c r="F163" s="464" t="s">
        <v>2071</v>
      </c>
      <c r="G163" s="464" t="s">
        <v>2072</v>
      </c>
      <c r="H163" s="468">
        <v>1044</v>
      </c>
      <c r="I163" s="468">
        <v>98600.01</v>
      </c>
      <c r="J163" s="464">
        <v>0.79573179515541415</v>
      </c>
      <c r="K163" s="464">
        <v>94.444454022988495</v>
      </c>
      <c r="L163" s="468">
        <v>1312</v>
      </c>
      <c r="M163" s="468">
        <v>123911.11</v>
      </c>
      <c r="N163" s="464">
        <v>1</v>
      </c>
      <c r="O163" s="464">
        <v>94.444443597560976</v>
      </c>
      <c r="P163" s="468">
        <v>1296</v>
      </c>
      <c r="Q163" s="468">
        <v>122399.99</v>
      </c>
      <c r="R163" s="491">
        <v>0.98780480620341471</v>
      </c>
      <c r="S163" s="469">
        <v>94.444436728395061</v>
      </c>
    </row>
    <row r="164" spans="1:19" ht="14.45" customHeight="1" x14ac:dyDescent="0.2">
      <c r="A164" s="463"/>
      <c r="B164" s="464" t="s">
        <v>1929</v>
      </c>
      <c r="C164" s="464" t="s">
        <v>1922</v>
      </c>
      <c r="D164" s="464" t="s">
        <v>1920</v>
      </c>
      <c r="E164" s="464" t="s">
        <v>2019</v>
      </c>
      <c r="F164" s="464" t="s">
        <v>2075</v>
      </c>
      <c r="G164" s="464" t="s">
        <v>2076</v>
      </c>
      <c r="H164" s="468">
        <v>1</v>
      </c>
      <c r="I164" s="468">
        <v>96.67</v>
      </c>
      <c r="J164" s="464">
        <v>0.20000827591914425</v>
      </c>
      <c r="K164" s="464">
        <v>96.67</v>
      </c>
      <c r="L164" s="468">
        <v>5</v>
      </c>
      <c r="M164" s="468">
        <v>483.33000000000004</v>
      </c>
      <c r="N164" s="464">
        <v>1</v>
      </c>
      <c r="O164" s="464">
        <v>96.666000000000011</v>
      </c>
      <c r="P164" s="468">
        <v>11</v>
      </c>
      <c r="Q164" s="468">
        <v>1063.3400000000001</v>
      </c>
      <c r="R164" s="491">
        <v>2.2000289657170051</v>
      </c>
      <c r="S164" s="469">
        <v>96.667272727272746</v>
      </c>
    </row>
    <row r="165" spans="1:19" ht="14.45" customHeight="1" x14ac:dyDescent="0.2">
      <c r="A165" s="463"/>
      <c r="B165" s="464" t="s">
        <v>1929</v>
      </c>
      <c r="C165" s="464" t="s">
        <v>1922</v>
      </c>
      <c r="D165" s="464" t="s">
        <v>1920</v>
      </c>
      <c r="E165" s="464" t="s">
        <v>2019</v>
      </c>
      <c r="F165" s="464" t="s">
        <v>2077</v>
      </c>
      <c r="G165" s="464" t="s">
        <v>2078</v>
      </c>
      <c r="H165" s="468">
        <v>1</v>
      </c>
      <c r="I165" s="468">
        <v>201.11</v>
      </c>
      <c r="J165" s="464"/>
      <c r="K165" s="464">
        <v>201.11</v>
      </c>
      <c r="L165" s="468"/>
      <c r="M165" s="468"/>
      <c r="N165" s="464"/>
      <c r="O165" s="464"/>
      <c r="P165" s="468"/>
      <c r="Q165" s="468"/>
      <c r="R165" s="491"/>
      <c r="S165" s="469"/>
    </row>
    <row r="166" spans="1:19" ht="14.45" customHeight="1" x14ac:dyDescent="0.2">
      <c r="A166" s="463"/>
      <c r="B166" s="464" t="s">
        <v>1929</v>
      </c>
      <c r="C166" s="464" t="s">
        <v>1922</v>
      </c>
      <c r="D166" s="464" t="s">
        <v>1920</v>
      </c>
      <c r="E166" s="464" t="s">
        <v>2019</v>
      </c>
      <c r="F166" s="464" t="s">
        <v>2079</v>
      </c>
      <c r="G166" s="464" t="s">
        <v>2080</v>
      </c>
      <c r="H166" s="468">
        <v>5</v>
      </c>
      <c r="I166" s="468">
        <v>977.78</v>
      </c>
      <c r="J166" s="464">
        <v>1.1282033530640267</v>
      </c>
      <c r="K166" s="464">
        <v>195.55599999999998</v>
      </c>
      <c r="L166" s="468">
        <v>2</v>
      </c>
      <c r="M166" s="468">
        <v>866.67</v>
      </c>
      <c r="N166" s="464">
        <v>1</v>
      </c>
      <c r="O166" s="464">
        <v>433.33499999999998</v>
      </c>
      <c r="P166" s="468">
        <v>9</v>
      </c>
      <c r="Q166" s="468">
        <v>3900</v>
      </c>
      <c r="R166" s="491">
        <v>4.4999826923742603</v>
      </c>
      <c r="S166" s="469">
        <v>433.33333333333331</v>
      </c>
    </row>
    <row r="167" spans="1:19" ht="14.45" customHeight="1" x14ac:dyDescent="0.2">
      <c r="A167" s="463"/>
      <c r="B167" s="464" t="s">
        <v>1929</v>
      </c>
      <c r="C167" s="464" t="s">
        <v>1922</v>
      </c>
      <c r="D167" s="464" t="s">
        <v>1920</v>
      </c>
      <c r="E167" s="464" t="s">
        <v>2019</v>
      </c>
      <c r="F167" s="464" t="s">
        <v>2105</v>
      </c>
      <c r="G167" s="464" t="s">
        <v>2106</v>
      </c>
      <c r="H167" s="468">
        <v>4</v>
      </c>
      <c r="I167" s="468">
        <v>302.23</v>
      </c>
      <c r="J167" s="464">
        <v>0.28572103840117979</v>
      </c>
      <c r="K167" s="464">
        <v>75.557500000000005</v>
      </c>
      <c r="L167" s="468">
        <v>14</v>
      </c>
      <c r="M167" s="468">
        <v>1057.7800000000002</v>
      </c>
      <c r="N167" s="464">
        <v>1</v>
      </c>
      <c r="O167" s="464">
        <v>75.555714285714302</v>
      </c>
      <c r="P167" s="468">
        <v>20</v>
      </c>
      <c r="Q167" s="468">
        <v>1511.1</v>
      </c>
      <c r="R167" s="491">
        <v>1.42855792319764</v>
      </c>
      <c r="S167" s="469">
        <v>75.554999999999993</v>
      </c>
    </row>
    <row r="168" spans="1:19" ht="14.45" customHeight="1" x14ac:dyDescent="0.2">
      <c r="A168" s="463"/>
      <c r="B168" s="464" t="s">
        <v>1929</v>
      </c>
      <c r="C168" s="464" t="s">
        <v>1922</v>
      </c>
      <c r="D168" s="464" t="s">
        <v>1920</v>
      </c>
      <c r="E168" s="464" t="s">
        <v>2019</v>
      </c>
      <c r="F168" s="464" t="s">
        <v>2081</v>
      </c>
      <c r="G168" s="464" t="s">
        <v>2082</v>
      </c>
      <c r="H168" s="468">
        <v>15</v>
      </c>
      <c r="I168" s="468">
        <v>1750.01</v>
      </c>
      <c r="J168" s="464">
        <v>1.2499982142984694</v>
      </c>
      <c r="K168" s="464">
        <v>116.66733333333333</v>
      </c>
      <c r="L168" s="468">
        <v>12</v>
      </c>
      <c r="M168" s="468">
        <v>1400.01</v>
      </c>
      <c r="N168" s="464">
        <v>1</v>
      </c>
      <c r="O168" s="464">
        <v>116.6675</v>
      </c>
      <c r="P168" s="468">
        <v>14</v>
      </c>
      <c r="Q168" s="468">
        <v>1866.67</v>
      </c>
      <c r="R168" s="491">
        <v>1.3333261905272107</v>
      </c>
      <c r="S168" s="469">
        <v>133.33357142857145</v>
      </c>
    </row>
    <row r="169" spans="1:19" ht="14.45" customHeight="1" x14ac:dyDescent="0.2">
      <c r="A169" s="463"/>
      <c r="B169" s="464" t="s">
        <v>1929</v>
      </c>
      <c r="C169" s="464" t="s">
        <v>1922</v>
      </c>
      <c r="D169" s="464" t="s">
        <v>1920</v>
      </c>
      <c r="E169" s="464" t="s">
        <v>2019</v>
      </c>
      <c r="F169" s="464" t="s">
        <v>2083</v>
      </c>
      <c r="G169" s="464" t="s">
        <v>2084</v>
      </c>
      <c r="H169" s="468">
        <v>36</v>
      </c>
      <c r="I169" s="468">
        <v>1760</v>
      </c>
      <c r="J169" s="464">
        <v>0.74999573866057589</v>
      </c>
      <c r="K169" s="464">
        <v>48.888888888888886</v>
      </c>
      <c r="L169" s="468">
        <v>48</v>
      </c>
      <c r="M169" s="468">
        <v>2346.6799999999998</v>
      </c>
      <c r="N169" s="464">
        <v>1</v>
      </c>
      <c r="O169" s="464">
        <v>48.889166666666661</v>
      </c>
      <c r="P169" s="468">
        <v>18</v>
      </c>
      <c r="Q169" s="468">
        <v>879.99999999999989</v>
      </c>
      <c r="R169" s="491">
        <v>0.37499786933028789</v>
      </c>
      <c r="S169" s="469">
        <v>48.888888888888886</v>
      </c>
    </row>
    <row r="170" spans="1:19" ht="14.45" customHeight="1" x14ac:dyDescent="0.2">
      <c r="A170" s="463"/>
      <c r="B170" s="464" t="s">
        <v>1929</v>
      </c>
      <c r="C170" s="464" t="s">
        <v>1922</v>
      </c>
      <c r="D170" s="464" t="s">
        <v>1920</v>
      </c>
      <c r="E170" s="464" t="s">
        <v>2019</v>
      </c>
      <c r="F170" s="464" t="s">
        <v>2085</v>
      </c>
      <c r="G170" s="464" t="s">
        <v>2086</v>
      </c>
      <c r="H170" s="468"/>
      <c r="I170" s="468"/>
      <c r="J170" s="464"/>
      <c r="K170" s="464"/>
      <c r="L170" s="468">
        <v>2</v>
      </c>
      <c r="M170" s="468">
        <v>688.89</v>
      </c>
      <c r="N170" s="464">
        <v>1</v>
      </c>
      <c r="O170" s="464">
        <v>344.44499999999999</v>
      </c>
      <c r="P170" s="468"/>
      <c r="Q170" s="468"/>
      <c r="R170" s="491"/>
      <c r="S170" s="469"/>
    </row>
    <row r="171" spans="1:19" ht="14.45" customHeight="1" x14ac:dyDescent="0.2">
      <c r="A171" s="463"/>
      <c r="B171" s="464" t="s">
        <v>1929</v>
      </c>
      <c r="C171" s="464" t="s">
        <v>1922</v>
      </c>
      <c r="D171" s="464" t="s">
        <v>1920</v>
      </c>
      <c r="E171" s="464" t="s">
        <v>2019</v>
      </c>
      <c r="F171" s="464" t="s">
        <v>2107</v>
      </c>
      <c r="G171" s="464" t="s">
        <v>2108</v>
      </c>
      <c r="H171" s="468"/>
      <c r="I171" s="468"/>
      <c r="J171" s="464"/>
      <c r="K171" s="464"/>
      <c r="L171" s="468">
        <v>7</v>
      </c>
      <c r="M171" s="468">
        <v>3266.67</v>
      </c>
      <c r="N171" s="464">
        <v>1</v>
      </c>
      <c r="O171" s="464">
        <v>466.66714285714289</v>
      </c>
      <c r="P171" s="468"/>
      <c r="Q171" s="468"/>
      <c r="R171" s="491"/>
      <c r="S171" s="469"/>
    </row>
    <row r="172" spans="1:19" ht="14.45" customHeight="1" x14ac:dyDescent="0.2">
      <c r="A172" s="463"/>
      <c r="B172" s="464" t="s">
        <v>1929</v>
      </c>
      <c r="C172" s="464" t="s">
        <v>1922</v>
      </c>
      <c r="D172" s="464" t="s">
        <v>1920</v>
      </c>
      <c r="E172" s="464" t="s">
        <v>2019</v>
      </c>
      <c r="F172" s="464" t="s">
        <v>2087</v>
      </c>
      <c r="G172" s="464" t="s">
        <v>2088</v>
      </c>
      <c r="H172" s="468">
        <v>231</v>
      </c>
      <c r="I172" s="468">
        <v>67503.320000000007</v>
      </c>
      <c r="J172" s="464">
        <v>0.96249985563212248</v>
      </c>
      <c r="K172" s="464">
        <v>292.22216450216456</v>
      </c>
      <c r="L172" s="468">
        <v>240</v>
      </c>
      <c r="M172" s="468">
        <v>70133.33</v>
      </c>
      <c r="N172" s="464">
        <v>1</v>
      </c>
      <c r="O172" s="464">
        <v>292.22220833333336</v>
      </c>
      <c r="P172" s="468">
        <v>260</v>
      </c>
      <c r="Q172" s="468">
        <v>75977.77</v>
      </c>
      <c r="R172" s="491">
        <v>1.0833332739226842</v>
      </c>
      <c r="S172" s="469">
        <v>292.2221923076923</v>
      </c>
    </row>
    <row r="173" spans="1:19" ht="14.45" customHeight="1" x14ac:dyDescent="0.2">
      <c r="A173" s="463"/>
      <c r="B173" s="464" t="s">
        <v>1929</v>
      </c>
      <c r="C173" s="464" t="s">
        <v>1922</v>
      </c>
      <c r="D173" s="464" t="s">
        <v>1920</v>
      </c>
      <c r="E173" s="464" t="s">
        <v>2019</v>
      </c>
      <c r="F173" s="464" t="s">
        <v>2091</v>
      </c>
      <c r="G173" s="464" t="s">
        <v>2092</v>
      </c>
      <c r="H173" s="468"/>
      <c r="I173" s="468"/>
      <c r="J173" s="464"/>
      <c r="K173" s="464"/>
      <c r="L173" s="468">
        <v>1</v>
      </c>
      <c r="M173" s="468">
        <v>116.67</v>
      </c>
      <c r="N173" s="464">
        <v>1</v>
      </c>
      <c r="O173" s="464">
        <v>116.67</v>
      </c>
      <c r="P173" s="468">
        <v>8</v>
      </c>
      <c r="Q173" s="468">
        <v>933.33</v>
      </c>
      <c r="R173" s="491">
        <v>7.999742864489586</v>
      </c>
      <c r="S173" s="469">
        <v>116.66625000000001</v>
      </c>
    </row>
    <row r="174" spans="1:19" ht="14.45" customHeight="1" x14ac:dyDescent="0.2">
      <c r="A174" s="463"/>
      <c r="B174" s="464" t="s">
        <v>1929</v>
      </c>
      <c r="C174" s="464" t="s">
        <v>1922</v>
      </c>
      <c r="D174" s="464" t="s">
        <v>1920</v>
      </c>
      <c r="E174" s="464" t="s">
        <v>2019</v>
      </c>
      <c r="F174" s="464" t="s">
        <v>2093</v>
      </c>
      <c r="G174" s="464" t="s">
        <v>2094</v>
      </c>
      <c r="H174" s="468">
        <v>150</v>
      </c>
      <c r="I174" s="468">
        <v>53833.33</v>
      </c>
      <c r="J174" s="464">
        <v>0.59288533152773126</v>
      </c>
      <c r="K174" s="464">
        <v>358.88886666666667</v>
      </c>
      <c r="L174" s="468">
        <v>253</v>
      </c>
      <c r="M174" s="468">
        <v>90798.89</v>
      </c>
      <c r="N174" s="464">
        <v>1</v>
      </c>
      <c r="O174" s="464">
        <v>358.88889328063243</v>
      </c>
      <c r="P174" s="468">
        <v>289</v>
      </c>
      <c r="Q174" s="468">
        <v>103718.89</v>
      </c>
      <c r="R174" s="491">
        <v>1.142292488377336</v>
      </c>
      <c r="S174" s="469">
        <v>358.88889273356403</v>
      </c>
    </row>
    <row r="175" spans="1:19" ht="14.45" customHeight="1" x14ac:dyDescent="0.2">
      <c r="A175" s="463"/>
      <c r="B175" s="464" t="s">
        <v>1929</v>
      </c>
      <c r="C175" s="464" t="s">
        <v>1922</v>
      </c>
      <c r="D175" s="464" t="s">
        <v>1920</v>
      </c>
      <c r="E175" s="464" t="s">
        <v>2019</v>
      </c>
      <c r="F175" s="464" t="s">
        <v>2095</v>
      </c>
      <c r="G175" s="464" t="s">
        <v>2096</v>
      </c>
      <c r="H175" s="468"/>
      <c r="I175" s="468"/>
      <c r="J175" s="464"/>
      <c r="K175" s="464"/>
      <c r="L175" s="468">
        <v>8</v>
      </c>
      <c r="M175" s="468">
        <v>4400</v>
      </c>
      <c r="N175" s="464">
        <v>1</v>
      </c>
      <c r="O175" s="464">
        <v>550</v>
      </c>
      <c r="P175" s="468">
        <v>5</v>
      </c>
      <c r="Q175" s="468">
        <v>2750</v>
      </c>
      <c r="R175" s="491">
        <v>0.625</v>
      </c>
      <c r="S175" s="469">
        <v>550</v>
      </c>
    </row>
    <row r="176" spans="1:19" ht="14.45" customHeight="1" x14ac:dyDescent="0.2">
      <c r="A176" s="463"/>
      <c r="B176" s="464" t="s">
        <v>1929</v>
      </c>
      <c r="C176" s="464" t="s">
        <v>1922</v>
      </c>
      <c r="D176" s="464" t="s">
        <v>1920</v>
      </c>
      <c r="E176" s="464" t="s">
        <v>2019</v>
      </c>
      <c r="F176" s="464" t="s">
        <v>2097</v>
      </c>
      <c r="G176" s="464" t="s">
        <v>2098</v>
      </c>
      <c r="H176" s="468"/>
      <c r="I176" s="468"/>
      <c r="J176" s="464"/>
      <c r="K176" s="464"/>
      <c r="L176" s="468">
        <v>5</v>
      </c>
      <c r="M176" s="468">
        <v>583.34</v>
      </c>
      <c r="N176" s="464">
        <v>1</v>
      </c>
      <c r="O176" s="464">
        <v>116.66800000000001</v>
      </c>
      <c r="P176" s="468">
        <v>7</v>
      </c>
      <c r="Q176" s="468">
        <v>816.67</v>
      </c>
      <c r="R176" s="491">
        <v>1.3999897144032638</v>
      </c>
      <c r="S176" s="469">
        <v>116.66714285714285</v>
      </c>
    </row>
    <row r="177" spans="1:19" ht="14.45" customHeight="1" x14ac:dyDescent="0.2">
      <c r="A177" s="463"/>
      <c r="B177" s="464" t="s">
        <v>1929</v>
      </c>
      <c r="C177" s="464" t="s">
        <v>1922</v>
      </c>
      <c r="D177" s="464" t="s">
        <v>1920</v>
      </c>
      <c r="E177" s="464" t="s">
        <v>2019</v>
      </c>
      <c r="F177" s="464" t="s">
        <v>2109</v>
      </c>
      <c r="G177" s="464"/>
      <c r="H177" s="468"/>
      <c r="I177" s="468"/>
      <c r="J177" s="464"/>
      <c r="K177" s="464"/>
      <c r="L177" s="468"/>
      <c r="M177" s="468"/>
      <c r="N177" s="464"/>
      <c r="O177" s="464"/>
      <c r="P177" s="468">
        <v>92</v>
      </c>
      <c r="Q177" s="468">
        <v>50906.679999999993</v>
      </c>
      <c r="R177" s="491"/>
      <c r="S177" s="469">
        <v>553.33347826086947</v>
      </c>
    </row>
    <row r="178" spans="1:19" ht="14.45" customHeight="1" x14ac:dyDescent="0.2">
      <c r="A178" s="463"/>
      <c r="B178" s="464" t="s">
        <v>1929</v>
      </c>
      <c r="C178" s="464" t="s">
        <v>1922</v>
      </c>
      <c r="D178" s="464" t="s">
        <v>1920</v>
      </c>
      <c r="E178" s="464" t="s">
        <v>2019</v>
      </c>
      <c r="F178" s="464" t="s">
        <v>2109</v>
      </c>
      <c r="G178" s="464" t="s">
        <v>2110</v>
      </c>
      <c r="H178" s="468"/>
      <c r="I178" s="468"/>
      <c r="J178" s="464"/>
      <c r="K178" s="464"/>
      <c r="L178" s="468"/>
      <c r="M178" s="468"/>
      <c r="N178" s="464"/>
      <c r="O178" s="464"/>
      <c r="P178" s="468">
        <v>38</v>
      </c>
      <c r="Q178" s="468">
        <v>21026.660000000003</v>
      </c>
      <c r="R178" s="491"/>
      <c r="S178" s="469">
        <v>553.33315789473693</v>
      </c>
    </row>
    <row r="179" spans="1:19" ht="14.45" customHeight="1" x14ac:dyDescent="0.2">
      <c r="A179" s="463"/>
      <c r="B179" s="464" t="s">
        <v>1929</v>
      </c>
      <c r="C179" s="464" t="s">
        <v>1923</v>
      </c>
      <c r="D179" s="464" t="s">
        <v>1920</v>
      </c>
      <c r="E179" s="464" t="s">
        <v>1930</v>
      </c>
      <c r="F179" s="464" t="s">
        <v>1934</v>
      </c>
      <c r="G179" s="464"/>
      <c r="H179" s="468">
        <v>1</v>
      </c>
      <c r="I179" s="468">
        <v>1657</v>
      </c>
      <c r="J179" s="464">
        <v>1</v>
      </c>
      <c r="K179" s="464">
        <v>1657</v>
      </c>
      <c r="L179" s="468">
        <v>1</v>
      </c>
      <c r="M179" s="468">
        <v>1657</v>
      </c>
      <c r="N179" s="464">
        <v>1</v>
      </c>
      <c r="O179" s="464">
        <v>1657</v>
      </c>
      <c r="P179" s="468"/>
      <c r="Q179" s="468"/>
      <c r="R179" s="491"/>
      <c r="S179" s="469"/>
    </row>
    <row r="180" spans="1:19" ht="14.45" customHeight="1" x14ac:dyDescent="0.2">
      <c r="A180" s="463"/>
      <c r="B180" s="464" t="s">
        <v>1929</v>
      </c>
      <c r="C180" s="464" t="s">
        <v>1923</v>
      </c>
      <c r="D180" s="464" t="s">
        <v>1920</v>
      </c>
      <c r="E180" s="464" t="s">
        <v>1930</v>
      </c>
      <c r="F180" s="464" t="s">
        <v>2111</v>
      </c>
      <c r="G180" s="464"/>
      <c r="H180" s="468">
        <v>1</v>
      </c>
      <c r="I180" s="468">
        <v>1179</v>
      </c>
      <c r="J180" s="464">
        <v>0.5</v>
      </c>
      <c r="K180" s="464">
        <v>1179</v>
      </c>
      <c r="L180" s="468">
        <v>2</v>
      </c>
      <c r="M180" s="468">
        <v>2358</v>
      </c>
      <c r="N180" s="464">
        <v>1</v>
      </c>
      <c r="O180" s="464">
        <v>1179</v>
      </c>
      <c r="P180" s="468">
        <v>2</v>
      </c>
      <c r="Q180" s="468">
        <v>2358</v>
      </c>
      <c r="R180" s="491">
        <v>1</v>
      </c>
      <c r="S180" s="469">
        <v>1179</v>
      </c>
    </row>
    <row r="181" spans="1:19" ht="14.45" customHeight="1" x14ac:dyDescent="0.2">
      <c r="A181" s="463"/>
      <c r="B181" s="464" t="s">
        <v>1929</v>
      </c>
      <c r="C181" s="464" t="s">
        <v>1923</v>
      </c>
      <c r="D181" s="464" t="s">
        <v>1920</v>
      </c>
      <c r="E181" s="464" t="s">
        <v>1930</v>
      </c>
      <c r="F181" s="464" t="s">
        <v>2112</v>
      </c>
      <c r="G181" s="464"/>
      <c r="H181" s="468">
        <v>2</v>
      </c>
      <c r="I181" s="468">
        <v>2562</v>
      </c>
      <c r="J181" s="464">
        <v>0.4</v>
      </c>
      <c r="K181" s="464">
        <v>1281</v>
      </c>
      <c r="L181" s="468">
        <v>5</v>
      </c>
      <c r="M181" s="468">
        <v>6405</v>
      </c>
      <c r="N181" s="464">
        <v>1</v>
      </c>
      <c r="O181" s="464">
        <v>1281</v>
      </c>
      <c r="P181" s="468"/>
      <c r="Q181" s="468"/>
      <c r="R181" s="491"/>
      <c r="S181" s="469"/>
    </row>
    <row r="182" spans="1:19" ht="14.45" customHeight="1" x14ac:dyDescent="0.2">
      <c r="A182" s="463"/>
      <c r="B182" s="464" t="s">
        <v>1929</v>
      </c>
      <c r="C182" s="464" t="s">
        <v>1923</v>
      </c>
      <c r="D182" s="464" t="s">
        <v>1920</v>
      </c>
      <c r="E182" s="464" t="s">
        <v>1930</v>
      </c>
      <c r="F182" s="464" t="s">
        <v>1935</v>
      </c>
      <c r="G182" s="464"/>
      <c r="H182" s="468">
        <v>1</v>
      </c>
      <c r="I182" s="468">
        <v>1008</v>
      </c>
      <c r="J182" s="464"/>
      <c r="K182" s="464">
        <v>1008</v>
      </c>
      <c r="L182" s="468"/>
      <c r="M182" s="468"/>
      <c r="N182" s="464"/>
      <c r="O182" s="464"/>
      <c r="P182" s="468"/>
      <c r="Q182" s="468"/>
      <c r="R182" s="491"/>
      <c r="S182" s="469"/>
    </row>
    <row r="183" spans="1:19" ht="14.45" customHeight="1" x14ac:dyDescent="0.2">
      <c r="A183" s="463"/>
      <c r="B183" s="464" t="s">
        <v>1929</v>
      </c>
      <c r="C183" s="464" t="s">
        <v>1923</v>
      </c>
      <c r="D183" s="464" t="s">
        <v>1920</v>
      </c>
      <c r="E183" s="464" t="s">
        <v>1930</v>
      </c>
      <c r="F183" s="464" t="s">
        <v>1939</v>
      </c>
      <c r="G183" s="464"/>
      <c r="H183" s="468">
        <v>1</v>
      </c>
      <c r="I183" s="468">
        <v>219</v>
      </c>
      <c r="J183" s="464"/>
      <c r="K183" s="464">
        <v>219</v>
      </c>
      <c r="L183" s="468"/>
      <c r="M183" s="468"/>
      <c r="N183" s="464"/>
      <c r="O183" s="464"/>
      <c r="P183" s="468"/>
      <c r="Q183" s="468"/>
      <c r="R183" s="491"/>
      <c r="S183" s="469"/>
    </row>
    <row r="184" spans="1:19" ht="14.45" customHeight="1" x14ac:dyDescent="0.2">
      <c r="A184" s="463"/>
      <c r="B184" s="464" t="s">
        <v>1929</v>
      </c>
      <c r="C184" s="464" t="s">
        <v>1923</v>
      </c>
      <c r="D184" s="464" t="s">
        <v>1920</v>
      </c>
      <c r="E184" s="464" t="s">
        <v>1930</v>
      </c>
      <c r="F184" s="464" t="s">
        <v>1962</v>
      </c>
      <c r="G184" s="464"/>
      <c r="H184" s="468">
        <v>1</v>
      </c>
      <c r="I184" s="468">
        <v>2000</v>
      </c>
      <c r="J184" s="464"/>
      <c r="K184" s="464">
        <v>2000</v>
      </c>
      <c r="L184" s="468"/>
      <c r="M184" s="468"/>
      <c r="N184" s="464"/>
      <c r="O184" s="464"/>
      <c r="P184" s="468"/>
      <c r="Q184" s="468"/>
      <c r="R184" s="491"/>
      <c r="S184" s="469"/>
    </row>
    <row r="185" spans="1:19" ht="14.45" customHeight="1" x14ac:dyDescent="0.2">
      <c r="A185" s="463"/>
      <c r="B185" s="464" t="s">
        <v>1929</v>
      </c>
      <c r="C185" s="464" t="s">
        <v>1923</v>
      </c>
      <c r="D185" s="464" t="s">
        <v>1920</v>
      </c>
      <c r="E185" s="464" t="s">
        <v>1930</v>
      </c>
      <c r="F185" s="464" t="s">
        <v>2113</v>
      </c>
      <c r="G185" s="464"/>
      <c r="H185" s="468"/>
      <c r="I185" s="468"/>
      <c r="J185" s="464"/>
      <c r="K185" s="464"/>
      <c r="L185" s="468"/>
      <c r="M185" s="468"/>
      <c r="N185" s="464"/>
      <c r="O185" s="464"/>
      <c r="P185" s="468">
        <v>1</v>
      </c>
      <c r="Q185" s="468">
        <v>258</v>
      </c>
      <c r="R185" s="491"/>
      <c r="S185" s="469">
        <v>258</v>
      </c>
    </row>
    <row r="186" spans="1:19" ht="14.45" customHeight="1" x14ac:dyDescent="0.2">
      <c r="A186" s="463"/>
      <c r="B186" s="464" t="s">
        <v>1929</v>
      </c>
      <c r="C186" s="464" t="s">
        <v>1923</v>
      </c>
      <c r="D186" s="464" t="s">
        <v>1920</v>
      </c>
      <c r="E186" s="464" t="s">
        <v>1930</v>
      </c>
      <c r="F186" s="464" t="s">
        <v>2114</v>
      </c>
      <c r="G186" s="464"/>
      <c r="H186" s="468"/>
      <c r="I186" s="468"/>
      <c r="J186" s="464"/>
      <c r="K186" s="464"/>
      <c r="L186" s="468">
        <v>1</v>
      </c>
      <c r="M186" s="468">
        <v>219</v>
      </c>
      <c r="N186" s="464">
        <v>1</v>
      </c>
      <c r="O186" s="464">
        <v>219</v>
      </c>
      <c r="P186" s="468">
        <v>1</v>
      </c>
      <c r="Q186" s="468">
        <v>219</v>
      </c>
      <c r="R186" s="491">
        <v>1</v>
      </c>
      <c r="S186" s="469">
        <v>219</v>
      </c>
    </row>
    <row r="187" spans="1:19" ht="14.45" customHeight="1" x14ac:dyDescent="0.2">
      <c r="A187" s="463"/>
      <c r="B187" s="464" t="s">
        <v>1929</v>
      </c>
      <c r="C187" s="464" t="s">
        <v>1923</v>
      </c>
      <c r="D187" s="464" t="s">
        <v>1920</v>
      </c>
      <c r="E187" s="464" t="s">
        <v>1930</v>
      </c>
      <c r="F187" s="464" t="s">
        <v>2115</v>
      </c>
      <c r="G187" s="464"/>
      <c r="H187" s="468"/>
      <c r="I187" s="468"/>
      <c r="J187" s="464"/>
      <c r="K187" s="464"/>
      <c r="L187" s="468"/>
      <c r="M187" s="468"/>
      <c r="N187" s="464"/>
      <c r="O187" s="464"/>
      <c r="P187" s="468">
        <v>4</v>
      </c>
      <c r="Q187" s="468">
        <v>2968</v>
      </c>
      <c r="R187" s="491"/>
      <c r="S187" s="469">
        <v>742</v>
      </c>
    </row>
    <row r="188" spans="1:19" ht="14.45" customHeight="1" x14ac:dyDescent="0.2">
      <c r="A188" s="463"/>
      <c r="B188" s="464" t="s">
        <v>1929</v>
      </c>
      <c r="C188" s="464" t="s">
        <v>1923</v>
      </c>
      <c r="D188" s="464" t="s">
        <v>1920</v>
      </c>
      <c r="E188" s="464" t="s">
        <v>1930</v>
      </c>
      <c r="F188" s="464" t="s">
        <v>2116</v>
      </c>
      <c r="G188" s="464"/>
      <c r="H188" s="468">
        <v>1</v>
      </c>
      <c r="I188" s="468">
        <v>2931</v>
      </c>
      <c r="J188" s="464"/>
      <c r="K188" s="464">
        <v>2931</v>
      </c>
      <c r="L188" s="468"/>
      <c r="M188" s="468"/>
      <c r="N188" s="464"/>
      <c r="O188" s="464"/>
      <c r="P188" s="468"/>
      <c r="Q188" s="468"/>
      <c r="R188" s="491"/>
      <c r="S188" s="469"/>
    </row>
    <row r="189" spans="1:19" ht="14.45" customHeight="1" x14ac:dyDescent="0.2">
      <c r="A189" s="463"/>
      <c r="B189" s="464" t="s">
        <v>1929</v>
      </c>
      <c r="C189" s="464" t="s">
        <v>1923</v>
      </c>
      <c r="D189" s="464" t="s">
        <v>1920</v>
      </c>
      <c r="E189" s="464" t="s">
        <v>2019</v>
      </c>
      <c r="F189" s="464" t="s">
        <v>2020</v>
      </c>
      <c r="G189" s="464" t="s">
        <v>2021</v>
      </c>
      <c r="H189" s="468">
        <v>94</v>
      </c>
      <c r="I189" s="468">
        <v>47835.56</v>
      </c>
      <c r="J189" s="464">
        <v>1.3055553205362116</v>
      </c>
      <c r="K189" s="464">
        <v>508.88893617021273</v>
      </c>
      <c r="L189" s="468">
        <v>72</v>
      </c>
      <c r="M189" s="468">
        <v>36640.01</v>
      </c>
      <c r="N189" s="464">
        <v>1</v>
      </c>
      <c r="O189" s="464">
        <v>508.88902777777781</v>
      </c>
      <c r="P189" s="468">
        <v>62</v>
      </c>
      <c r="Q189" s="468">
        <v>31551.11</v>
      </c>
      <c r="R189" s="491">
        <v>0.8611108457666905</v>
      </c>
      <c r="S189" s="469">
        <v>508.88887096774192</v>
      </c>
    </row>
    <row r="190" spans="1:19" ht="14.45" customHeight="1" x14ac:dyDescent="0.2">
      <c r="A190" s="463"/>
      <c r="B190" s="464" t="s">
        <v>1929</v>
      </c>
      <c r="C190" s="464" t="s">
        <v>1923</v>
      </c>
      <c r="D190" s="464" t="s">
        <v>1920</v>
      </c>
      <c r="E190" s="464" t="s">
        <v>2019</v>
      </c>
      <c r="F190" s="464" t="s">
        <v>2022</v>
      </c>
      <c r="G190" s="464" t="s">
        <v>2023</v>
      </c>
      <c r="H190" s="468">
        <v>147</v>
      </c>
      <c r="I190" s="468">
        <v>73500</v>
      </c>
      <c r="J190" s="464">
        <v>1.0208333333333333</v>
      </c>
      <c r="K190" s="464">
        <v>500</v>
      </c>
      <c r="L190" s="468">
        <v>144</v>
      </c>
      <c r="M190" s="468">
        <v>72000</v>
      </c>
      <c r="N190" s="464">
        <v>1</v>
      </c>
      <c r="O190" s="464">
        <v>500</v>
      </c>
      <c r="P190" s="468">
        <v>150</v>
      </c>
      <c r="Q190" s="468">
        <v>75000</v>
      </c>
      <c r="R190" s="491">
        <v>1.0416666666666667</v>
      </c>
      <c r="S190" s="469">
        <v>500</v>
      </c>
    </row>
    <row r="191" spans="1:19" ht="14.45" customHeight="1" x14ac:dyDescent="0.2">
      <c r="A191" s="463"/>
      <c r="B191" s="464" t="s">
        <v>1929</v>
      </c>
      <c r="C191" s="464" t="s">
        <v>1923</v>
      </c>
      <c r="D191" s="464" t="s">
        <v>1920</v>
      </c>
      <c r="E191" s="464" t="s">
        <v>2019</v>
      </c>
      <c r="F191" s="464" t="s">
        <v>2099</v>
      </c>
      <c r="G191" s="464" t="s">
        <v>2100</v>
      </c>
      <c r="H191" s="468">
        <v>1158</v>
      </c>
      <c r="I191" s="468">
        <v>122233.32</v>
      </c>
      <c r="J191" s="464">
        <v>1.2012447478294797</v>
      </c>
      <c r="K191" s="464">
        <v>105.55554404145079</v>
      </c>
      <c r="L191" s="468">
        <v>964</v>
      </c>
      <c r="M191" s="468">
        <v>101755.55</v>
      </c>
      <c r="N191" s="464">
        <v>1</v>
      </c>
      <c r="O191" s="464">
        <v>105.55554979253112</v>
      </c>
      <c r="P191" s="468">
        <v>932</v>
      </c>
      <c r="Q191" s="468">
        <v>98377.78</v>
      </c>
      <c r="R191" s="491">
        <v>0.96680505387666815</v>
      </c>
      <c r="S191" s="469">
        <v>105.55555793991417</v>
      </c>
    </row>
    <row r="192" spans="1:19" ht="14.45" customHeight="1" x14ac:dyDescent="0.2">
      <c r="A192" s="463"/>
      <c r="B192" s="464" t="s">
        <v>1929</v>
      </c>
      <c r="C192" s="464" t="s">
        <v>1923</v>
      </c>
      <c r="D192" s="464" t="s">
        <v>1920</v>
      </c>
      <c r="E192" s="464" t="s">
        <v>2019</v>
      </c>
      <c r="F192" s="464" t="s">
        <v>2024</v>
      </c>
      <c r="G192" s="464" t="s">
        <v>2025</v>
      </c>
      <c r="H192" s="468">
        <v>755</v>
      </c>
      <c r="I192" s="468">
        <v>58722.229999999996</v>
      </c>
      <c r="J192" s="464">
        <v>1.0328319750666382</v>
      </c>
      <c r="K192" s="464">
        <v>77.777788079470199</v>
      </c>
      <c r="L192" s="468">
        <v>731</v>
      </c>
      <c r="M192" s="468">
        <v>56855.55</v>
      </c>
      <c r="N192" s="464">
        <v>1</v>
      </c>
      <c r="O192" s="464">
        <v>77.777770177838576</v>
      </c>
      <c r="P192" s="468">
        <v>784</v>
      </c>
      <c r="Q192" s="468">
        <v>60977.78</v>
      </c>
      <c r="R192" s="491">
        <v>1.0725035638561231</v>
      </c>
      <c r="S192" s="469">
        <v>77.777780612244896</v>
      </c>
    </row>
    <row r="193" spans="1:19" ht="14.45" customHeight="1" x14ac:dyDescent="0.2">
      <c r="A193" s="463"/>
      <c r="B193" s="464" t="s">
        <v>1929</v>
      </c>
      <c r="C193" s="464" t="s">
        <v>1923</v>
      </c>
      <c r="D193" s="464" t="s">
        <v>1920</v>
      </c>
      <c r="E193" s="464" t="s">
        <v>2019</v>
      </c>
      <c r="F193" s="464" t="s">
        <v>2030</v>
      </c>
      <c r="G193" s="464" t="s">
        <v>2031</v>
      </c>
      <c r="H193" s="468">
        <v>524</v>
      </c>
      <c r="I193" s="468">
        <v>61133.33</v>
      </c>
      <c r="J193" s="464">
        <v>1.0234376726423375</v>
      </c>
      <c r="K193" s="464">
        <v>116.66666030534351</v>
      </c>
      <c r="L193" s="468">
        <v>512</v>
      </c>
      <c r="M193" s="468">
        <v>59733.320000000007</v>
      </c>
      <c r="N193" s="464">
        <v>1</v>
      </c>
      <c r="O193" s="464">
        <v>116.66664062500001</v>
      </c>
      <c r="P193" s="468">
        <v>384</v>
      </c>
      <c r="Q193" s="468">
        <v>44800</v>
      </c>
      <c r="R193" s="491">
        <v>0.75000016741075159</v>
      </c>
      <c r="S193" s="469">
        <v>116.66666666666667</v>
      </c>
    </row>
    <row r="194" spans="1:19" ht="14.45" customHeight="1" x14ac:dyDescent="0.2">
      <c r="A194" s="463"/>
      <c r="B194" s="464" t="s">
        <v>1929</v>
      </c>
      <c r="C194" s="464" t="s">
        <v>1923</v>
      </c>
      <c r="D194" s="464" t="s">
        <v>1920</v>
      </c>
      <c r="E194" s="464" t="s">
        <v>2019</v>
      </c>
      <c r="F194" s="464" t="s">
        <v>2101</v>
      </c>
      <c r="G194" s="464" t="s">
        <v>2102</v>
      </c>
      <c r="H194" s="468">
        <v>131</v>
      </c>
      <c r="I194" s="468">
        <v>50944.45</v>
      </c>
      <c r="J194" s="464">
        <v>2.2982455190608242</v>
      </c>
      <c r="K194" s="464">
        <v>388.88893129770992</v>
      </c>
      <c r="L194" s="468">
        <v>57</v>
      </c>
      <c r="M194" s="468">
        <v>22166.67</v>
      </c>
      <c r="N194" s="464">
        <v>1</v>
      </c>
      <c r="O194" s="464">
        <v>388.88894736842104</v>
      </c>
      <c r="P194" s="468">
        <v>93</v>
      </c>
      <c r="Q194" s="468">
        <v>51666.66</v>
      </c>
      <c r="R194" s="491">
        <v>2.3308264164170804</v>
      </c>
      <c r="S194" s="469">
        <v>555.55548387096781</v>
      </c>
    </row>
    <row r="195" spans="1:19" ht="14.45" customHeight="1" x14ac:dyDescent="0.2">
      <c r="A195" s="463"/>
      <c r="B195" s="464" t="s">
        <v>1929</v>
      </c>
      <c r="C195" s="464" t="s">
        <v>1923</v>
      </c>
      <c r="D195" s="464" t="s">
        <v>1920</v>
      </c>
      <c r="E195" s="464" t="s">
        <v>2019</v>
      </c>
      <c r="F195" s="464" t="s">
        <v>2032</v>
      </c>
      <c r="G195" s="464" t="s">
        <v>2033</v>
      </c>
      <c r="H195" s="468">
        <v>1219</v>
      </c>
      <c r="I195" s="468">
        <v>365700</v>
      </c>
      <c r="J195" s="464">
        <v>1.8928571428571428</v>
      </c>
      <c r="K195" s="464">
        <v>300</v>
      </c>
      <c r="L195" s="468">
        <v>644</v>
      </c>
      <c r="M195" s="468">
        <v>193200</v>
      </c>
      <c r="N195" s="464">
        <v>1</v>
      </c>
      <c r="O195" s="464">
        <v>300</v>
      </c>
      <c r="P195" s="468">
        <v>445</v>
      </c>
      <c r="Q195" s="468">
        <v>244750</v>
      </c>
      <c r="R195" s="491">
        <v>1.2668219461697723</v>
      </c>
      <c r="S195" s="469">
        <v>550</v>
      </c>
    </row>
    <row r="196" spans="1:19" ht="14.45" customHeight="1" x14ac:dyDescent="0.2">
      <c r="A196" s="463"/>
      <c r="B196" s="464" t="s">
        <v>1929</v>
      </c>
      <c r="C196" s="464" t="s">
        <v>1923</v>
      </c>
      <c r="D196" s="464" t="s">
        <v>1920</v>
      </c>
      <c r="E196" s="464" t="s">
        <v>2019</v>
      </c>
      <c r="F196" s="464" t="s">
        <v>2034</v>
      </c>
      <c r="G196" s="464" t="s">
        <v>2035</v>
      </c>
      <c r="H196" s="468">
        <v>16</v>
      </c>
      <c r="I196" s="468">
        <v>4711.1100000000006</v>
      </c>
      <c r="J196" s="464">
        <v>2.2857260686041436</v>
      </c>
      <c r="K196" s="464">
        <v>294.44437500000004</v>
      </c>
      <c r="L196" s="468">
        <v>7</v>
      </c>
      <c r="M196" s="468">
        <v>2061.1</v>
      </c>
      <c r="N196" s="464">
        <v>1</v>
      </c>
      <c r="O196" s="464">
        <v>294.44285714285712</v>
      </c>
      <c r="P196" s="468">
        <v>5</v>
      </c>
      <c r="Q196" s="468">
        <v>1472.21</v>
      </c>
      <c r="R196" s="491">
        <v>0.71428363495221003</v>
      </c>
      <c r="S196" s="469">
        <v>294.44200000000001</v>
      </c>
    </row>
    <row r="197" spans="1:19" ht="14.45" customHeight="1" x14ac:dyDescent="0.2">
      <c r="A197" s="463"/>
      <c r="B197" s="464" t="s">
        <v>1929</v>
      </c>
      <c r="C197" s="464" t="s">
        <v>1923</v>
      </c>
      <c r="D197" s="464" t="s">
        <v>1920</v>
      </c>
      <c r="E197" s="464" t="s">
        <v>2019</v>
      </c>
      <c r="F197" s="464" t="s">
        <v>2038</v>
      </c>
      <c r="G197" s="464" t="s">
        <v>2039</v>
      </c>
      <c r="H197" s="468">
        <v>1</v>
      </c>
      <c r="I197" s="468">
        <v>93.33</v>
      </c>
      <c r="J197" s="464"/>
      <c r="K197" s="464">
        <v>93.33</v>
      </c>
      <c r="L197" s="468"/>
      <c r="M197" s="468"/>
      <c r="N197" s="464"/>
      <c r="O197" s="464"/>
      <c r="P197" s="468"/>
      <c r="Q197" s="468"/>
      <c r="R197" s="491"/>
      <c r="S197" s="469"/>
    </row>
    <row r="198" spans="1:19" ht="14.45" customHeight="1" x14ac:dyDescent="0.2">
      <c r="A198" s="463"/>
      <c r="B198" s="464" t="s">
        <v>1929</v>
      </c>
      <c r="C198" s="464" t="s">
        <v>1923</v>
      </c>
      <c r="D198" s="464" t="s">
        <v>1920</v>
      </c>
      <c r="E198" s="464" t="s">
        <v>2019</v>
      </c>
      <c r="F198" s="464" t="s">
        <v>2117</v>
      </c>
      <c r="G198" s="464" t="s">
        <v>2118</v>
      </c>
      <c r="H198" s="468"/>
      <c r="I198" s="468"/>
      <c r="J198" s="464"/>
      <c r="K198" s="464"/>
      <c r="L198" s="468">
        <v>1</v>
      </c>
      <c r="M198" s="468">
        <v>666.67</v>
      </c>
      <c r="N198" s="464">
        <v>1</v>
      </c>
      <c r="O198" s="464">
        <v>666.67</v>
      </c>
      <c r="P198" s="468"/>
      <c r="Q198" s="468"/>
      <c r="R198" s="491"/>
      <c r="S198" s="469"/>
    </row>
    <row r="199" spans="1:19" ht="14.45" customHeight="1" x14ac:dyDescent="0.2">
      <c r="A199" s="463"/>
      <c r="B199" s="464" t="s">
        <v>1929</v>
      </c>
      <c r="C199" s="464" t="s">
        <v>1923</v>
      </c>
      <c r="D199" s="464" t="s">
        <v>1920</v>
      </c>
      <c r="E199" s="464" t="s">
        <v>2019</v>
      </c>
      <c r="F199" s="464" t="s">
        <v>2119</v>
      </c>
      <c r="G199" s="464" t="s">
        <v>2120</v>
      </c>
      <c r="H199" s="468"/>
      <c r="I199" s="468"/>
      <c r="J199" s="464"/>
      <c r="K199" s="464"/>
      <c r="L199" s="468">
        <v>1</v>
      </c>
      <c r="M199" s="468">
        <v>777.78</v>
      </c>
      <c r="N199" s="464">
        <v>1</v>
      </c>
      <c r="O199" s="464">
        <v>777.78</v>
      </c>
      <c r="P199" s="468"/>
      <c r="Q199" s="468"/>
      <c r="R199" s="491"/>
      <c r="S199" s="469"/>
    </row>
    <row r="200" spans="1:19" ht="14.45" customHeight="1" x14ac:dyDescent="0.2">
      <c r="A200" s="463"/>
      <c r="B200" s="464" t="s">
        <v>1929</v>
      </c>
      <c r="C200" s="464" t="s">
        <v>1923</v>
      </c>
      <c r="D200" s="464" t="s">
        <v>1920</v>
      </c>
      <c r="E200" s="464" t="s">
        <v>2019</v>
      </c>
      <c r="F200" s="464" t="s">
        <v>2040</v>
      </c>
      <c r="G200" s="464" t="s">
        <v>2041</v>
      </c>
      <c r="H200" s="468">
        <v>17</v>
      </c>
      <c r="I200" s="468">
        <v>566.67999999999995</v>
      </c>
      <c r="J200" s="464">
        <v>0.77274896704075913</v>
      </c>
      <c r="K200" s="464">
        <v>33.334117647058818</v>
      </c>
      <c r="L200" s="468">
        <v>22</v>
      </c>
      <c r="M200" s="468">
        <v>733.33</v>
      </c>
      <c r="N200" s="464">
        <v>1</v>
      </c>
      <c r="O200" s="464">
        <v>33.333181818181821</v>
      </c>
      <c r="P200" s="468"/>
      <c r="Q200" s="468"/>
      <c r="R200" s="491"/>
      <c r="S200" s="469"/>
    </row>
    <row r="201" spans="1:19" ht="14.45" customHeight="1" x14ac:dyDescent="0.2">
      <c r="A201" s="463"/>
      <c r="B201" s="464" t="s">
        <v>1929</v>
      </c>
      <c r="C201" s="464" t="s">
        <v>1923</v>
      </c>
      <c r="D201" s="464" t="s">
        <v>1920</v>
      </c>
      <c r="E201" s="464" t="s">
        <v>2019</v>
      </c>
      <c r="F201" s="464" t="s">
        <v>2042</v>
      </c>
      <c r="G201" s="464" t="s">
        <v>2023</v>
      </c>
      <c r="H201" s="468">
        <v>1933</v>
      </c>
      <c r="I201" s="468">
        <v>807564.45</v>
      </c>
      <c r="J201" s="464">
        <v>1.0597587884917308</v>
      </c>
      <c r="K201" s="464">
        <v>417.77778065183651</v>
      </c>
      <c r="L201" s="468">
        <v>1824</v>
      </c>
      <c r="M201" s="468">
        <v>762026.65999999992</v>
      </c>
      <c r="N201" s="464">
        <v>1</v>
      </c>
      <c r="O201" s="464">
        <v>417.77777412280699</v>
      </c>
      <c r="P201" s="468">
        <v>1754</v>
      </c>
      <c r="Q201" s="468">
        <v>732782.22</v>
      </c>
      <c r="R201" s="491">
        <v>0.96162281251419746</v>
      </c>
      <c r="S201" s="469">
        <v>417.77777651083238</v>
      </c>
    </row>
    <row r="202" spans="1:19" ht="14.45" customHeight="1" x14ac:dyDescent="0.2">
      <c r="A202" s="463"/>
      <c r="B202" s="464" t="s">
        <v>1929</v>
      </c>
      <c r="C202" s="464" t="s">
        <v>1923</v>
      </c>
      <c r="D202" s="464" t="s">
        <v>1920</v>
      </c>
      <c r="E202" s="464" t="s">
        <v>2019</v>
      </c>
      <c r="F202" s="464" t="s">
        <v>2043</v>
      </c>
      <c r="G202" s="464" t="s">
        <v>2044</v>
      </c>
      <c r="H202" s="468">
        <v>111</v>
      </c>
      <c r="I202" s="468">
        <v>23433.33</v>
      </c>
      <c r="J202" s="464">
        <v>0.77083297012073348</v>
      </c>
      <c r="K202" s="464">
        <v>211.1110810810811</v>
      </c>
      <c r="L202" s="468">
        <v>144</v>
      </c>
      <c r="M202" s="468">
        <v>30400.010000000002</v>
      </c>
      <c r="N202" s="464">
        <v>1</v>
      </c>
      <c r="O202" s="464">
        <v>211.11118055555556</v>
      </c>
      <c r="P202" s="468">
        <v>200</v>
      </c>
      <c r="Q202" s="468">
        <v>44444.44</v>
      </c>
      <c r="R202" s="491">
        <v>1.4619876769777378</v>
      </c>
      <c r="S202" s="469">
        <v>222.22220000000002</v>
      </c>
    </row>
    <row r="203" spans="1:19" ht="14.45" customHeight="1" x14ac:dyDescent="0.2">
      <c r="A203" s="463"/>
      <c r="B203" s="464" t="s">
        <v>1929</v>
      </c>
      <c r="C203" s="464" t="s">
        <v>1923</v>
      </c>
      <c r="D203" s="464" t="s">
        <v>1920</v>
      </c>
      <c r="E203" s="464" t="s">
        <v>2019</v>
      </c>
      <c r="F203" s="464" t="s">
        <v>2045</v>
      </c>
      <c r="G203" s="464" t="s">
        <v>2046</v>
      </c>
      <c r="H203" s="468">
        <v>65</v>
      </c>
      <c r="I203" s="468">
        <v>37916.67</v>
      </c>
      <c r="J203" s="464">
        <v>1.0317464031963</v>
      </c>
      <c r="K203" s="464">
        <v>583.3333846153846</v>
      </c>
      <c r="L203" s="468">
        <v>63</v>
      </c>
      <c r="M203" s="468">
        <v>36749.990000000005</v>
      </c>
      <c r="N203" s="464">
        <v>1</v>
      </c>
      <c r="O203" s="464">
        <v>583.33317460317471</v>
      </c>
      <c r="P203" s="468">
        <v>156</v>
      </c>
      <c r="Q203" s="468">
        <v>91000</v>
      </c>
      <c r="R203" s="491">
        <v>2.4761911499839862</v>
      </c>
      <c r="S203" s="469">
        <v>583.33333333333337</v>
      </c>
    </row>
    <row r="204" spans="1:19" ht="14.45" customHeight="1" x14ac:dyDescent="0.2">
      <c r="A204" s="463"/>
      <c r="B204" s="464" t="s">
        <v>1929</v>
      </c>
      <c r="C204" s="464" t="s">
        <v>1923</v>
      </c>
      <c r="D204" s="464" t="s">
        <v>1920</v>
      </c>
      <c r="E204" s="464" t="s">
        <v>2019</v>
      </c>
      <c r="F204" s="464" t="s">
        <v>2047</v>
      </c>
      <c r="G204" s="464" t="s">
        <v>2048</v>
      </c>
      <c r="H204" s="468">
        <v>32</v>
      </c>
      <c r="I204" s="468">
        <v>14933.33</v>
      </c>
      <c r="J204" s="464">
        <v>0.61538439349115481</v>
      </c>
      <c r="K204" s="464">
        <v>466.6665625</v>
      </c>
      <c r="L204" s="468">
        <v>52</v>
      </c>
      <c r="M204" s="468">
        <v>24266.67</v>
      </c>
      <c r="N204" s="464">
        <v>1</v>
      </c>
      <c r="O204" s="464">
        <v>466.66673076923075</v>
      </c>
      <c r="P204" s="468">
        <v>53</v>
      </c>
      <c r="Q204" s="468">
        <v>24733.340000000004</v>
      </c>
      <c r="R204" s="491">
        <v>1.019230903951799</v>
      </c>
      <c r="S204" s="469">
        <v>466.66679245283024</v>
      </c>
    </row>
    <row r="205" spans="1:19" ht="14.45" customHeight="1" x14ac:dyDescent="0.2">
      <c r="A205" s="463"/>
      <c r="B205" s="464" t="s">
        <v>1929</v>
      </c>
      <c r="C205" s="464" t="s">
        <v>1923</v>
      </c>
      <c r="D205" s="464" t="s">
        <v>1920</v>
      </c>
      <c r="E205" s="464" t="s">
        <v>2019</v>
      </c>
      <c r="F205" s="464" t="s">
        <v>2121</v>
      </c>
      <c r="G205" s="464" t="s">
        <v>2048</v>
      </c>
      <c r="H205" s="468">
        <v>8</v>
      </c>
      <c r="I205" s="468">
        <v>8000</v>
      </c>
      <c r="J205" s="464">
        <v>0.8</v>
      </c>
      <c r="K205" s="464">
        <v>1000</v>
      </c>
      <c r="L205" s="468">
        <v>10</v>
      </c>
      <c r="M205" s="468">
        <v>10000</v>
      </c>
      <c r="N205" s="464">
        <v>1</v>
      </c>
      <c r="O205" s="464">
        <v>1000</v>
      </c>
      <c r="P205" s="468">
        <v>8</v>
      </c>
      <c r="Q205" s="468">
        <v>8000</v>
      </c>
      <c r="R205" s="491">
        <v>0.8</v>
      </c>
      <c r="S205" s="469">
        <v>1000</v>
      </c>
    </row>
    <row r="206" spans="1:19" ht="14.45" customHeight="1" x14ac:dyDescent="0.2">
      <c r="A206" s="463"/>
      <c r="B206" s="464" t="s">
        <v>1929</v>
      </c>
      <c r="C206" s="464" t="s">
        <v>1923</v>
      </c>
      <c r="D206" s="464" t="s">
        <v>1920</v>
      </c>
      <c r="E206" s="464" t="s">
        <v>2019</v>
      </c>
      <c r="F206" s="464" t="s">
        <v>2049</v>
      </c>
      <c r="G206" s="464" t="s">
        <v>2050</v>
      </c>
      <c r="H206" s="468">
        <v>313</v>
      </c>
      <c r="I206" s="468">
        <v>15650</v>
      </c>
      <c r="J206" s="464">
        <v>0.85286103542234337</v>
      </c>
      <c r="K206" s="464">
        <v>50</v>
      </c>
      <c r="L206" s="468">
        <v>367</v>
      </c>
      <c r="M206" s="468">
        <v>18350</v>
      </c>
      <c r="N206" s="464">
        <v>1</v>
      </c>
      <c r="O206" s="464">
        <v>50</v>
      </c>
      <c r="P206" s="468">
        <v>321</v>
      </c>
      <c r="Q206" s="468">
        <v>19616.66</v>
      </c>
      <c r="R206" s="491">
        <v>1.0690277929155314</v>
      </c>
      <c r="S206" s="469">
        <v>61.111090342679127</v>
      </c>
    </row>
    <row r="207" spans="1:19" ht="14.45" customHeight="1" x14ac:dyDescent="0.2">
      <c r="A207" s="463"/>
      <c r="B207" s="464" t="s">
        <v>1929</v>
      </c>
      <c r="C207" s="464" t="s">
        <v>1923</v>
      </c>
      <c r="D207" s="464" t="s">
        <v>1920</v>
      </c>
      <c r="E207" s="464" t="s">
        <v>2019</v>
      </c>
      <c r="F207" s="464" t="s">
        <v>2055</v>
      </c>
      <c r="G207" s="464" t="s">
        <v>2056</v>
      </c>
      <c r="H207" s="468">
        <v>6</v>
      </c>
      <c r="I207" s="468">
        <v>0</v>
      </c>
      <c r="J207" s="464"/>
      <c r="K207" s="464">
        <v>0</v>
      </c>
      <c r="L207" s="468">
        <v>9</v>
      </c>
      <c r="M207" s="468">
        <v>0</v>
      </c>
      <c r="N207" s="464"/>
      <c r="O207" s="464">
        <v>0</v>
      </c>
      <c r="P207" s="468">
        <v>6</v>
      </c>
      <c r="Q207" s="468">
        <v>0</v>
      </c>
      <c r="R207" s="491"/>
      <c r="S207" s="469">
        <v>0</v>
      </c>
    </row>
    <row r="208" spans="1:19" ht="14.45" customHeight="1" x14ac:dyDescent="0.2">
      <c r="A208" s="463"/>
      <c r="B208" s="464" t="s">
        <v>1929</v>
      </c>
      <c r="C208" s="464" t="s">
        <v>1923</v>
      </c>
      <c r="D208" s="464" t="s">
        <v>1920</v>
      </c>
      <c r="E208" s="464" t="s">
        <v>2019</v>
      </c>
      <c r="F208" s="464" t="s">
        <v>2057</v>
      </c>
      <c r="G208" s="464" t="s">
        <v>2058</v>
      </c>
      <c r="H208" s="468">
        <v>727</v>
      </c>
      <c r="I208" s="468">
        <v>222138.88</v>
      </c>
      <c r="J208" s="464">
        <v>1.4598392670352842</v>
      </c>
      <c r="K208" s="464">
        <v>305.55554332874829</v>
      </c>
      <c r="L208" s="468">
        <v>498</v>
      </c>
      <c r="M208" s="468">
        <v>152166.67000000001</v>
      </c>
      <c r="N208" s="464">
        <v>1</v>
      </c>
      <c r="O208" s="464">
        <v>305.55556224899601</v>
      </c>
      <c r="P208" s="468">
        <v>439</v>
      </c>
      <c r="Q208" s="468">
        <v>134138.88</v>
      </c>
      <c r="R208" s="491">
        <v>0.88152602669165325</v>
      </c>
      <c r="S208" s="469">
        <v>305.55553530751712</v>
      </c>
    </row>
    <row r="209" spans="1:19" ht="14.45" customHeight="1" x14ac:dyDescent="0.2">
      <c r="A209" s="463"/>
      <c r="B209" s="464" t="s">
        <v>1929</v>
      </c>
      <c r="C209" s="464" t="s">
        <v>1923</v>
      </c>
      <c r="D209" s="464" t="s">
        <v>1920</v>
      </c>
      <c r="E209" s="464" t="s">
        <v>2019</v>
      </c>
      <c r="F209" s="464" t="s">
        <v>2059</v>
      </c>
      <c r="G209" s="464" t="s">
        <v>2060</v>
      </c>
      <c r="H209" s="468">
        <v>174</v>
      </c>
      <c r="I209" s="468">
        <v>5799.99</v>
      </c>
      <c r="J209" s="464">
        <v>0.7598243492682748</v>
      </c>
      <c r="K209" s="464">
        <v>33.333275862068966</v>
      </c>
      <c r="L209" s="468">
        <v>229</v>
      </c>
      <c r="M209" s="468">
        <v>7633.33</v>
      </c>
      <c r="N209" s="464">
        <v>1</v>
      </c>
      <c r="O209" s="464">
        <v>33.333318777292575</v>
      </c>
      <c r="P209" s="468">
        <v>49</v>
      </c>
      <c r="Q209" s="468">
        <v>1633.33</v>
      </c>
      <c r="R209" s="491">
        <v>0.21397345588360517</v>
      </c>
      <c r="S209" s="469">
        <v>33.333265306122449</v>
      </c>
    </row>
    <row r="210" spans="1:19" ht="14.45" customHeight="1" x14ac:dyDescent="0.2">
      <c r="A210" s="463"/>
      <c r="B210" s="464" t="s">
        <v>1929</v>
      </c>
      <c r="C210" s="464" t="s">
        <v>1923</v>
      </c>
      <c r="D210" s="464" t="s">
        <v>1920</v>
      </c>
      <c r="E210" s="464" t="s">
        <v>2019</v>
      </c>
      <c r="F210" s="464" t="s">
        <v>2061</v>
      </c>
      <c r="G210" s="464" t="s">
        <v>2062</v>
      </c>
      <c r="H210" s="468">
        <v>1785</v>
      </c>
      <c r="I210" s="468">
        <v>813166.67</v>
      </c>
      <c r="J210" s="464">
        <v>1.0481503152468348</v>
      </c>
      <c r="K210" s="464">
        <v>455.55555742296923</v>
      </c>
      <c r="L210" s="468">
        <v>1703</v>
      </c>
      <c r="M210" s="468">
        <v>775811.12</v>
      </c>
      <c r="N210" s="464">
        <v>1</v>
      </c>
      <c r="O210" s="464">
        <v>455.55556077510278</v>
      </c>
      <c r="P210" s="468">
        <v>1543</v>
      </c>
      <c r="Q210" s="468">
        <v>702922.22</v>
      </c>
      <c r="R210" s="491">
        <v>0.90604813707748866</v>
      </c>
      <c r="S210" s="469">
        <v>455.55555411535966</v>
      </c>
    </row>
    <row r="211" spans="1:19" ht="14.45" customHeight="1" x14ac:dyDescent="0.2">
      <c r="A211" s="463"/>
      <c r="B211" s="464" t="s">
        <v>1929</v>
      </c>
      <c r="C211" s="464" t="s">
        <v>1923</v>
      </c>
      <c r="D211" s="464" t="s">
        <v>1920</v>
      </c>
      <c r="E211" s="464" t="s">
        <v>2019</v>
      </c>
      <c r="F211" s="464" t="s">
        <v>2065</v>
      </c>
      <c r="G211" s="464" t="s">
        <v>2066</v>
      </c>
      <c r="H211" s="468">
        <v>932</v>
      </c>
      <c r="I211" s="468">
        <v>72488.89</v>
      </c>
      <c r="J211" s="464">
        <v>1.3371595485057486</v>
      </c>
      <c r="K211" s="464">
        <v>77.777778969957083</v>
      </c>
      <c r="L211" s="468">
        <v>697</v>
      </c>
      <c r="M211" s="468">
        <v>54211.100000000006</v>
      </c>
      <c r="N211" s="464">
        <v>1</v>
      </c>
      <c r="O211" s="464">
        <v>77.777761836441897</v>
      </c>
      <c r="P211" s="468">
        <v>582</v>
      </c>
      <c r="Q211" s="468">
        <v>45266.66</v>
      </c>
      <c r="R211" s="491">
        <v>0.83500722176823561</v>
      </c>
      <c r="S211" s="469">
        <v>77.777766323024068</v>
      </c>
    </row>
    <row r="212" spans="1:19" ht="14.45" customHeight="1" x14ac:dyDescent="0.2">
      <c r="A212" s="463"/>
      <c r="B212" s="464" t="s">
        <v>1929</v>
      </c>
      <c r="C212" s="464" t="s">
        <v>1923</v>
      </c>
      <c r="D212" s="464" t="s">
        <v>1920</v>
      </c>
      <c r="E212" s="464" t="s">
        <v>2019</v>
      </c>
      <c r="F212" s="464" t="s">
        <v>2122</v>
      </c>
      <c r="G212" s="464" t="s">
        <v>2123</v>
      </c>
      <c r="H212" s="468">
        <v>73</v>
      </c>
      <c r="I212" s="468">
        <v>51100</v>
      </c>
      <c r="J212" s="464">
        <v>1.1587301587301588</v>
      </c>
      <c r="K212" s="464">
        <v>700</v>
      </c>
      <c r="L212" s="468">
        <v>63</v>
      </c>
      <c r="M212" s="468">
        <v>44100</v>
      </c>
      <c r="N212" s="464">
        <v>1</v>
      </c>
      <c r="O212" s="464">
        <v>700</v>
      </c>
      <c r="P212" s="468">
        <v>55</v>
      </c>
      <c r="Q212" s="468">
        <v>38500</v>
      </c>
      <c r="R212" s="491">
        <v>0.87301587301587302</v>
      </c>
      <c r="S212" s="469">
        <v>700</v>
      </c>
    </row>
    <row r="213" spans="1:19" ht="14.45" customHeight="1" x14ac:dyDescent="0.2">
      <c r="A213" s="463"/>
      <c r="B213" s="464" t="s">
        <v>1929</v>
      </c>
      <c r="C213" s="464" t="s">
        <v>1923</v>
      </c>
      <c r="D213" s="464" t="s">
        <v>1920</v>
      </c>
      <c r="E213" s="464" t="s">
        <v>2019</v>
      </c>
      <c r="F213" s="464" t="s">
        <v>2069</v>
      </c>
      <c r="G213" s="464" t="s">
        <v>2070</v>
      </c>
      <c r="H213" s="468">
        <v>4</v>
      </c>
      <c r="I213" s="468">
        <v>1080</v>
      </c>
      <c r="J213" s="464">
        <v>0.8</v>
      </c>
      <c r="K213" s="464">
        <v>270</v>
      </c>
      <c r="L213" s="468">
        <v>5</v>
      </c>
      <c r="M213" s="468">
        <v>1350</v>
      </c>
      <c r="N213" s="464">
        <v>1</v>
      </c>
      <c r="O213" s="464">
        <v>270</v>
      </c>
      <c r="P213" s="468">
        <v>2</v>
      </c>
      <c r="Q213" s="468">
        <v>540</v>
      </c>
      <c r="R213" s="491">
        <v>0.4</v>
      </c>
      <c r="S213" s="469">
        <v>270</v>
      </c>
    </row>
    <row r="214" spans="1:19" ht="14.45" customHeight="1" x14ac:dyDescent="0.2">
      <c r="A214" s="463"/>
      <c r="B214" s="464" t="s">
        <v>1929</v>
      </c>
      <c r="C214" s="464" t="s">
        <v>1923</v>
      </c>
      <c r="D214" s="464" t="s">
        <v>1920</v>
      </c>
      <c r="E214" s="464" t="s">
        <v>2019</v>
      </c>
      <c r="F214" s="464" t="s">
        <v>2071</v>
      </c>
      <c r="G214" s="464" t="s">
        <v>2072</v>
      </c>
      <c r="H214" s="468">
        <v>1202</v>
      </c>
      <c r="I214" s="468">
        <v>113522.23</v>
      </c>
      <c r="J214" s="464">
        <v>1.1749758452606254</v>
      </c>
      <c r="K214" s="464">
        <v>94.444450915141431</v>
      </c>
      <c r="L214" s="468">
        <v>1023</v>
      </c>
      <c r="M214" s="468">
        <v>96616.65</v>
      </c>
      <c r="N214" s="464">
        <v>1</v>
      </c>
      <c r="O214" s="464">
        <v>94.444428152492662</v>
      </c>
      <c r="P214" s="468">
        <v>845</v>
      </c>
      <c r="Q214" s="468">
        <v>79805.55</v>
      </c>
      <c r="R214" s="491">
        <v>0.82600204002105237</v>
      </c>
      <c r="S214" s="469">
        <v>94.444437869822494</v>
      </c>
    </row>
    <row r="215" spans="1:19" ht="14.45" customHeight="1" x14ac:dyDescent="0.2">
      <c r="A215" s="463"/>
      <c r="B215" s="464" t="s">
        <v>1929</v>
      </c>
      <c r="C215" s="464" t="s">
        <v>1923</v>
      </c>
      <c r="D215" s="464" t="s">
        <v>1920</v>
      </c>
      <c r="E215" s="464" t="s">
        <v>2019</v>
      </c>
      <c r="F215" s="464" t="s">
        <v>2075</v>
      </c>
      <c r="G215" s="464" t="s">
        <v>2076</v>
      </c>
      <c r="H215" s="468">
        <v>1047</v>
      </c>
      <c r="I215" s="468">
        <v>101210</v>
      </c>
      <c r="J215" s="464">
        <v>1.2104044312689763</v>
      </c>
      <c r="K215" s="464">
        <v>96.666666666666671</v>
      </c>
      <c r="L215" s="468">
        <v>865</v>
      </c>
      <c r="M215" s="468">
        <v>83616.680000000008</v>
      </c>
      <c r="N215" s="464">
        <v>1</v>
      </c>
      <c r="O215" s="464">
        <v>96.666682080924858</v>
      </c>
      <c r="P215" s="468">
        <v>665</v>
      </c>
      <c r="Q215" s="468">
        <v>64283.33</v>
      </c>
      <c r="R215" s="491">
        <v>0.76878596471421723</v>
      </c>
      <c r="S215" s="469">
        <v>96.666661654135339</v>
      </c>
    </row>
    <row r="216" spans="1:19" ht="14.45" customHeight="1" x14ac:dyDescent="0.2">
      <c r="A216" s="463"/>
      <c r="B216" s="464" t="s">
        <v>1929</v>
      </c>
      <c r="C216" s="464" t="s">
        <v>1923</v>
      </c>
      <c r="D216" s="464" t="s">
        <v>1920</v>
      </c>
      <c r="E216" s="464" t="s">
        <v>2019</v>
      </c>
      <c r="F216" s="464" t="s">
        <v>2079</v>
      </c>
      <c r="G216" s="464" t="s">
        <v>2080</v>
      </c>
      <c r="H216" s="468">
        <v>1198</v>
      </c>
      <c r="I216" s="468">
        <v>234275.57</v>
      </c>
      <c r="J216" s="464">
        <v>0.57883931677088929</v>
      </c>
      <c r="K216" s="464">
        <v>195.55556761268781</v>
      </c>
      <c r="L216" s="468">
        <v>934</v>
      </c>
      <c r="M216" s="468">
        <v>404733.33999999997</v>
      </c>
      <c r="N216" s="464">
        <v>1</v>
      </c>
      <c r="O216" s="464">
        <v>433.33334047109201</v>
      </c>
      <c r="P216" s="468">
        <v>895</v>
      </c>
      <c r="Q216" s="468">
        <v>387833.33999999997</v>
      </c>
      <c r="R216" s="491">
        <v>0.95824411203682902</v>
      </c>
      <c r="S216" s="469">
        <v>433.33334078212289</v>
      </c>
    </row>
    <row r="217" spans="1:19" ht="14.45" customHeight="1" x14ac:dyDescent="0.2">
      <c r="A217" s="463"/>
      <c r="B217" s="464" t="s">
        <v>1929</v>
      </c>
      <c r="C217" s="464" t="s">
        <v>1923</v>
      </c>
      <c r="D217" s="464" t="s">
        <v>1920</v>
      </c>
      <c r="E217" s="464" t="s">
        <v>2019</v>
      </c>
      <c r="F217" s="464" t="s">
        <v>2105</v>
      </c>
      <c r="G217" s="464" t="s">
        <v>2106</v>
      </c>
      <c r="H217" s="468">
        <v>1640</v>
      </c>
      <c r="I217" s="468">
        <v>123911.12</v>
      </c>
      <c r="J217" s="464">
        <v>1.1747852464386295</v>
      </c>
      <c r="K217" s="464">
        <v>75.555560975609751</v>
      </c>
      <c r="L217" s="468">
        <v>1396</v>
      </c>
      <c r="M217" s="468">
        <v>105475.55</v>
      </c>
      <c r="N217" s="464">
        <v>1</v>
      </c>
      <c r="O217" s="464">
        <v>75.555551575931233</v>
      </c>
      <c r="P217" s="468">
        <v>1305</v>
      </c>
      <c r="Q217" s="468">
        <v>98599.99</v>
      </c>
      <c r="R217" s="491">
        <v>0.9348137080110035</v>
      </c>
      <c r="S217" s="469">
        <v>75.555547892720313</v>
      </c>
    </row>
    <row r="218" spans="1:19" ht="14.45" customHeight="1" x14ac:dyDescent="0.2">
      <c r="A218" s="463"/>
      <c r="B218" s="464" t="s">
        <v>1929</v>
      </c>
      <c r="C218" s="464" t="s">
        <v>1923</v>
      </c>
      <c r="D218" s="464" t="s">
        <v>1920</v>
      </c>
      <c r="E218" s="464" t="s">
        <v>2019</v>
      </c>
      <c r="F218" s="464" t="s">
        <v>2124</v>
      </c>
      <c r="G218" s="464" t="s">
        <v>2125</v>
      </c>
      <c r="H218" s="468">
        <v>130</v>
      </c>
      <c r="I218" s="468">
        <v>166833.33999999997</v>
      </c>
      <c r="J218" s="464">
        <v>0.89655172784409376</v>
      </c>
      <c r="K218" s="464">
        <v>1283.3333846153844</v>
      </c>
      <c r="L218" s="468">
        <v>145</v>
      </c>
      <c r="M218" s="468">
        <v>186083.34</v>
      </c>
      <c r="N218" s="464">
        <v>1</v>
      </c>
      <c r="O218" s="464">
        <v>1283.3333793103448</v>
      </c>
      <c r="P218" s="468">
        <v>138</v>
      </c>
      <c r="Q218" s="468">
        <v>177100</v>
      </c>
      <c r="R218" s="491">
        <v>0.9517241038343357</v>
      </c>
      <c r="S218" s="469">
        <v>1283.3333333333333</v>
      </c>
    </row>
    <row r="219" spans="1:19" ht="14.45" customHeight="1" x14ac:dyDescent="0.2">
      <c r="A219" s="463"/>
      <c r="B219" s="464" t="s">
        <v>1929</v>
      </c>
      <c r="C219" s="464" t="s">
        <v>1923</v>
      </c>
      <c r="D219" s="464" t="s">
        <v>1920</v>
      </c>
      <c r="E219" s="464" t="s">
        <v>2019</v>
      </c>
      <c r="F219" s="464" t="s">
        <v>2126</v>
      </c>
      <c r="G219" s="464" t="s">
        <v>2127</v>
      </c>
      <c r="H219" s="468">
        <v>5</v>
      </c>
      <c r="I219" s="468">
        <v>2333.33</v>
      </c>
      <c r="J219" s="464">
        <v>0.83333214285714285</v>
      </c>
      <c r="K219" s="464">
        <v>466.666</v>
      </c>
      <c r="L219" s="468">
        <v>6</v>
      </c>
      <c r="M219" s="468">
        <v>2800</v>
      </c>
      <c r="N219" s="464">
        <v>1</v>
      </c>
      <c r="O219" s="464">
        <v>466.66666666666669</v>
      </c>
      <c r="P219" s="468"/>
      <c r="Q219" s="468"/>
      <c r="R219" s="491"/>
      <c r="S219" s="469"/>
    </row>
    <row r="220" spans="1:19" ht="14.45" customHeight="1" x14ac:dyDescent="0.2">
      <c r="A220" s="463"/>
      <c r="B220" s="464" t="s">
        <v>1929</v>
      </c>
      <c r="C220" s="464" t="s">
        <v>1923</v>
      </c>
      <c r="D220" s="464" t="s">
        <v>1920</v>
      </c>
      <c r="E220" s="464" t="s">
        <v>2019</v>
      </c>
      <c r="F220" s="464" t="s">
        <v>2081</v>
      </c>
      <c r="G220" s="464" t="s">
        <v>2082</v>
      </c>
      <c r="H220" s="468">
        <v>6</v>
      </c>
      <c r="I220" s="468">
        <v>700.01</v>
      </c>
      <c r="J220" s="464">
        <v>1.5000428577551106</v>
      </c>
      <c r="K220" s="464">
        <v>116.66833333333334</v>
      </c>
      <c r="L220" s="468">
        <v>4</v>
      </c>
      <c r="M220" s="468">
        <v>466.66</v>
      </c>
      <c r="N220" s="464">
        <v>1</v>
      </c>
      <c r="O220" s="464">
        <v>116.66500000000001</v>
      </c>
      <c r="P220" s="468">
        <v>2</v>
      </c>
      <c r="Q220" s="468">
        <v>266.66000000000003</v>
      </c>
      <c r="R220" s="491">
        <v>0.57142244889212701</v>
      </c>
      <c r="S220" s="469">
        <v>133.33000000000001</v>
      </c>
    </row>
    <row r="221" spans="1:19" ht="14.45" customHeight="1" x14ac:dyDescent="0.2">
      <c r="A221" s="463"/>
      <c r="B221" s="464" t="s">
        <v>1929</v>
      </c>
      <c r="C221" s="464" t="s">
        <v>1923</v>
      </c>
      <c r="D221" s="464" t="s">
        <v>1920</v>
      </c>
      <c r="E221" s="464" t="s">
        <v>2019</v>
      </c>
      <c r="F221" s="464" t="s">
        <v>2128</v>
      </c>
      <c r="G221" s="464" t="s">
        <v>2129</v>
      </c>
      <c r="H221" s="468">
        <v>2</v>
      </c>
      <c r="I221" s="468">
        <v>933.34</v>
      </c>
      <c r="J221" s="464"/>
      <c r="K221" s="464">
        <v>466.67</v>
      </c>
      <c r="L221" s="468"/>
      <c r="M221" s="468"/>
      <c r="N221" s="464"/>
      <c r="O221" s="464"/>
      <c r="P221" s="468">
        <v>1</v>
      </c>
      <c r="Q221" s="468">
        <v>466.67</v>
      </c>
      <c r="R221" s="491"/>
      <c r="S221" s="469">
        <v>466.67</v>
      </c>
    </row>
    <row r="222" spans="1:19" ht="14.45" customHeight="1" x14ac:dyDescent="0.2">
      <c r="A222" s="463"/>
      <c r="B222" s="464" t="s">
        <v>1929</v>
      </c>
      <c r="C222" s="464" t="s">
        <v>1923</v>
      </c>
      <c r="D222" s="464" t="s">
        <v>1920</v>
      </c>
      <c r="E222" s="464" t="s">
        <v>2019</v>
      </c>
      <c r="F222" s="464" t="s">
        <v>2085</v>
      </c>
      <c r="G222" s="464" t="s">
        <v>2086</v>
      </c>
      <c r="H222" s="468">
        <v>4</v>
      </c>
      <c r="I222" s="468">
        <v>1377.78</v>
      </c>
      <c r="J222" s="464">
        <v>1.3333526884217861</v>
      </c>
      <c r="K222" s="464">
        <v>344.44499999999999</v>
      </c>
      <c r="L222" s="468">
        <v>3</v>
      </c>
      <c r="M222" s="468">
        <v>1033.32</v>
      </c>
      <c r="N222" s="464">
        <v>1</v>
      </c>
      <c r="O222" s="464">
        <v>344.44</v>
      </c>
      <c r="P222" s="468">
        <v>12</v>
      </c>
      <c r="Q222" s="468">
        <v>4133.32</v>
      </c>
      <c r="R222" s="491">
        <v>4.0000387101769057</v>
      </c>
      <c r="S222" s="469">
        <v>344.44333333333333</v>
      </c>
    </row>
    <row r="223" spans="1:19" ht="14.45" customHeight="1" x14ac:dyDescent="0.2">
      <c r="A223" s="463"/>
      <c r="B223" s="464" t="s">
        <v>1929</v>
      </c>
      <c r="C223" s="464" t="s">
        <v>1923</v>
      </c>
      <c r="D223" s="464" t="s">
        <v>1920</v>
      </c>
      <c r="E223" s="464" t="s">
        <v>2019</v>
      </c>
      <c r="F223" s="464" t="s">
        <v>2130</v>
      </c>
      <c r="G223" s="464" t="s">
        <v>2131</v>
      </c>
      <c r="H223" s="468"/>
      <c r="I223" s="468"/>
      <c r="J223" s="464"/>
      <c r="K223" s="464"/>
      <c r="L223" s="468">
        <v>1</v>
      </c>
      <c r="M223" s="468">
        <v>833.33</v>
      </c>
      <c r="N223" s="464">
        <v>1</v>
      </c>
      <c r="O223" s="464">
        <v>833.33</v>
      </c>
      <c r="P223" s="468"/>
      <c r="Q223" s="468"/>
      <c r="R223" s="491"/>
      <c r="S223" s="469"/>
    </row>
    <row r="224" spans="1:19" ht="14.45" customHeight="1" x14ac:dyDescent="0.2">
      <c r="A224" s="463"/>
      <c r="B224" s="464" t="s">
        <v>1929</v>
      </c>
      <c r="C224" s="464" t="s">
        <v>1923</v>
      </c>
      <c r="D224" s="464" t="s">
        <v>1920</v>
      </c>
      <c r="E224" s="464" t="s">
        <v>2019</v>
      </c>
      <c r="F224" s="464" t="s">
        <v>2087</v>
      </c>
      <c r="G224" s="464" t="s">
        <v>2088</v>
      </c>
      <c r="H224" s="468">
        <v>35</v>
      </c>
      <c r="I224" s="468">
        <v>10227.790000000001</v>
      </c>
      <c r="J224" s="464">
        <v>1.8421115195570774</v>
      </c>
      <c r="K224" s="464">
        <v>292.22257142857143</v>
      </c>
      <c r="L224" s="468">
        <v>19</v>
      </c>
      <c r="M224" s="468">
        <v>5552.21</v>
      </c>
      <c r="N224" s="464">
        <v>1</v>
      </c>
      <c r="O224" s="464">
        <v>292.22157894736841</v>
      </c>
      <c r="P224" s="468">
        <v>28</v>
      </c>
      <c r="Q224" s="468">
        <v>8182.2199999999993</v>
      </c>
      <c r="R224" s="491">
        <v>1.4736870543441258</v>
      </c>
      <c r="S224" s="469">
        <v>292.22214285714284</v>
      </c>
    </row>
    <row r="225" spans="1:19" ht="14.45" customHeight="1" x14ac:dyDescent="0.2">
      <c r="A225" s="463"/>
      <c r="B225" s="464" t="s">
        <v>1929</v>
      </c>
      <c r="C225" s="464" t="s">
        <v>1923</v>
      </c>
      <c r="D225" s="464" t="s">
        <v>1920</v>
      </c>
      <c r="E225" s="464" t="s">
        <v>2019</v>
      </c>
      <c r="F225" s="464" t="s">
        <v>2091</v>
      </c>
      <c r="G225" s="464" t="s">
        <v>2092</v>
      </c>
      <c r="H225" s="468">
        <v>99</v>
      </c>
      <c r="I225" s="468">
        <v>11550.01</v>
      </c>
      <c r="J225" s="464">
        <v>0.12468525097823861</v>
      </c>
      <c r="K225" s="464">
        <v>116.66676767676768</v>
      </c>
      <c r="L225" s="468">
        <v>794</v>
      </c>
      <c r="M225" s="468">
        <v>92633.33</v>
      </c>
      <c r="N225" s="464">
        <v>1</v>
      </c>
      <c r="O225" s="464">
        <v>116.66666246851386</v>
      </c>
      <c r="P225" s="468">
        <v>741</v>
      </c>
      <c r="Q225" s="468">
        <v>86450</v>
      </c>
      <c r="R225" s="491">
        <v>0.93324940385928046</v>
      </c>
      <c r="S225" s="469">
        <v>116.66666666666667</v>
      </c>
    </row>
    <row r="226" spans="1:19" ht="14.45" customHeight="1" x14ac:dyDescent="0.2">
      <c r="A226" s="463"/>
      <c r="B226" s="464" t="s">
        <v>1929</v>
      </c>
      <c r="C226" s="464" t="s">
        <v>1923</v>
      </c>
      <c r="D226" s="464" t="s">
        <v>1920</v>
      </c>
      <c r="E226" s="464" t="s">
        <v>2019</v>
      </c>
      <c r="F226" s="464" t="s">
        <v>2093</v>
      </c>
      <c r="G226" s="464" t="s">
        <v>2094</v>
      </c>
      <c r="H226" s="468">
        <v>12</v>
      </c>
      <c r="I226" s="468">
        <v>4306.67</v>
      </c>
      <c r="J226" s="464">
        <v>1.0909093211881109</v>
      </c>
      <c r="K226" s="464">
        <v>358.88916666666665</v>
      </c>
      <c r="L226" s="468">
        <v>11</v>
      </c>
      <c r="M226" s="468">
        <v>3947.7799999999993</v>
      </c>
      <c r="N226" s="464">
        <v>1</v>
      </c>
      <c r="O226" s="464">
        <v>358.88909090909084</v>
      </c>
      <c r="P226" s="468">
        <v>13</v>
      </c>
      <c r="Q226" s="468">
        <v>4665.5599999999995</v>
      </c>
      <c r="R226" s="491">
        <v>1.1818186423762216</v>
      </c>
      <c r="S226" s="469">
        <v>358.88923076923072</v>
      </c>
    </row>
    <row r="227" spans="1:19" ht="14.45" customHeight="1" x14ac:dyDescent="0.2">
      <c r="A227" s="463"/>
      <c r="B227" s="464" t="s">
        <v>1929</v>
      </c>
      <c r="C227" s="464" t="s">
        <v>1923</v>
      </c>
      <c r="D227" s="464" t="s">
        <v>1920</v>
      </c>
      <c r="E227" s="464" t="s">
        <v>2019</v>
      </c>
      <c r="F227" s="464" t="s">
        <v>2095</v>
      </c>
      <c r="G227" s="464" t="s">
        <v>2096</v>
      </c>
      <c r="H227" s="468"/>
      <c r="I227" s="468"/>
      <c r="J227" s="464"/>
      <c r="K227" s="464"/>
      <c r="L227" s="468">
        <v>290</v>
      </c>
      <c r="M227" s="468">
        <v>159500</v>
      </c>
      <c r="N227" s="464">
        <v>1</v>
      </c>
      <c r="O227" s="464">
        <v>550</v>
      </c>
      <c r="P227" s="468">
        <v>302</v>
      </c>
      <c r="Q227" s="468">
        <v>166100</v>
      </c>
      <c r="R227" s="491">
        <v>1.0413793103448277</v>
      </c>
      <c r="S227" s="469">
        <v>550</v>
      </c>
    </row>
    <row r="228" spans="1:19" ht="14.45" customHeight="1" x14ac:dyDescent="0.2">
      <c r="A228" s="463"/>
      <c r="B228" s="464" t="s">
        <v>1929</v>
      </c>
      <c r="C228" s="464" t="s">
        <v>1923</v>
      </c>
      <c r="D228" s="464" t="s">
        <v>1920</v>
      </c>
      <c r="E228" s="464" t="s">
        <v>2019</v>
      </c>
      <c r="F228" s="464" t="s">
        <v>2097</v>
      </c>
      <c r="G228" s="464" t="s">
        <v>2098</v>
      </c>
      <c r="H228" s="468"/>
      <c r="I228" s="468"/>
      <c r="J228" s="464"/>
      <c r="K228" s="464"/>
      <c r="L228" s="468">
        <v>3</v>
      </c>
      <c r="M228" s="468">
        <v>350</v>
      </c>
      <c r="N228" s="464">
        <v>1</v>
      </c>
      <c r="O228" s="464">
        <v>116.66666666666667</v>
      </c>
      <c r="P228" s="468">
        <v>6</v>
      </c>
      <c r="Q228" s="468">
        <v>700</v>
      </c>
      <c r="R228" s="491">
        <v>2</v>
      </c>
      <c r="S228" s="469">
        <v>116.66666666666667</v>
      </c>
    </row>
    <row r="229" spans="1:19" ht="14.45" customHeight="1" x14ac:dyDescent="0.2">
      <c r="A229" s="463"/>
      <c r="B229" s="464" t="s">
        <v>1929</v>
      </c>
      <c r="C229" s="464" t="s">
        <v>1923</v>
      </c>
      <c r="D229" s="464" t="s">
        <v>1920</v>
      </c>
      <c r="E229" s="464" t="s">
        <v>2019</v>
      </c>
      <c r="F229" s="464" t="s">
        <v>2109</v>
      </c>
      <c r="G229" s="464"/>
      <c r="H229" s="468"/>
      <c r="I229" s="468"/>
      <c r="J229" s="464"/>
      <c r="K229" s="464"/>
      <c r="L229" s="468"/>
      <c r="M229" s="468"/>
      <c r="N229" s="464"/>
      <c r="O229" s="464"/>
      <c r="P229" s="468">
        <v>16</v>
      </c>
      <c r="Q229" s="468">
        <v>8853.33</v>
      </c>
      <c r="R229" s="491"/>
      <c r="S229" s="469">
        <v>553.333125</v>
      </c>
    </row>
    <row r="230" spans="1:19" ht="14.45" customHeight="1" x14ac:dyDescent="0.2">
      <c r="A230" s="463"/>
      <c r="B230" s="464" t="s">
        <v>1929</v>
      </c>
      <c r="C230" s="464" t="s">
        <v>1923</v>
      </c>
      <c r="D230" s="464" t="s">
        <v>1920</v>
      </c>
      <c r="E230" s="464" t="s">
        <v>2019</v>
      </c>
      <c r="F230" s="464" t="s">
        <v>2109</v>
      </c>
      <c r="G230" s="464" t="s">
        <v>2110</v>
      </c>
      <c r="H230" s="468"/>
      <c r="I230" s="468"/>
      <c r="J230" s="464"/>
      <c r="K230" s="464"/>
      <c r="L230" s="468"/>
      <c r="M230" s="468"/>
      <c r="N230" s="464"/>
      <c r="O230" s="464"/>
      <c r="P230" s="468">
        <v>7</v>
      </c>
      <c r="Q230" s="468">
        <v>3873.33</v>
      </c>
      <c r="R230" s="491"/>
      <c r="S230" s="469">
        <v>553.33285714285716</v>
      </c>
    </row>
    <row r="231" spans="1:19" ht="14.45" customHeight="1" x14ac:dyDescent="0.2">
      <c r="A231" s="463"/>
      <c r="B231" s="464" t="s">
        <v>1929</v>
      </c>
      <c r="C231" s="464" t="s">
        <v>1924</v>
      </c>
      <c r="D231" s="464" t="s">
        <v>1920</v>
      </c>
      <c r="E231" s="464" t="s">
        <v>2019</v>
      </c>
      <c r="F231" s="464" t="s">
        <v>2099</v>
      </c>
      <c r="G231" s="464" t="s">
        <v>2100</v>
      </c>
      <c r="H231" s="468">
        <v>2</v>
      </c>
      <c r="I231" s="468">
        <v>211.11</v>
      </c>
      <c r="J231" s="464">
        <v>1</v>
      </c>
      <c r="K231" s="464">
        <v>105.55500000000001</v>
      </c>
      <c r="L231" s="468">
        <v>2</v>
      </c>
      <c r="M231" s="468">
        <v>211.11</v>
      </c>
      <c r="N231" s="464">
        <v>1</v>
      </c>
      <c r="O231" s="464">
        <v>105.55500000000001</v>
      </c>
      <c r="P231" s="468"/>
      <c r="Q231" s="468"/>
      <c r="R231" s="491"/>
      <c r="S231" s="469"/>
    </row>
    <row r="232" spans="1:19" ht="14.45" customHeight="1" x14ac:dyDescent="0.2">
      <c r="A232" s="463"/>
      <c r="B232" s="464" t="s">
        <v>1929</v>
      </c>
      <c r="C232" s="464" t="s">
        <v>1924</v>
      </c>
      <c r="D232" s="464" t="s">
        <v>1920</v>
      </c>
      <c r="E232" s="464" t="s">
        <v>2019</v>
      </c>
      <c r="F232" s="464" t="s">
        <v>2024</v>
      </c>
      <c r="G232" s="464" t="s">
        <v>2025</v>
      </c>
      <c r="H232" s="468">
        <v>764</v>
      </c>
      <c r="I232" s="468">
        <v>59422.229999999996</v>
      </c>
      <c r="J232" s="464">
        <v>0.9182693667285261</v>
      </c>
      <c r="K232" s="464">
        <v>77.777787958115184</v>
      </c>
      <c r="L232" s="468">
        <v>832</v>
      </c>
      <c r="M232" s="468">
        <v>64711.11</v>
      </c>
      <c r="N232" s="464">
        <v>1</v>
      </c>
      <c r="O232" s="464">
        <v>77.777776442307697</v>
      </c>
      <c r="P232" s="468">
        <v>911</v>
      </c>
      <c r="Q232" s="468">
        <v>70855.56</v>
      </c>
      <c r="R232" s="491">
        <v>1.0949520105589288</v>
      </c>
      <c r="S232" s="469">
        <v>77.777782656421508</v>
      </c>
    </row>
    <row r="233" spans="1:19" ht="14.45" customHeight="1" x14ac:dyDescent="0.2">
      <c r="A233" s="463"/>
      <c r="B233" s="464" t="s">
        <v>1929</v>
      </c>
      <c r="C233" s="464" t="s">
        <v>1924</v>
      </c>
      <c r="D233" s="464" t="s">
        <v>1920</v>
      </c>
      <c r="E233" s="464" t="s">
        <v>2019</v>
      </c>
      <c r="F233" s="464" t="s">
        <v>2026</v>
      </c>
      <c r="G233" s="464" t="s">
        <v>2027</v>
      </c>
      <c r="H233" s="468">
        <v>19</v>
      </c>
      <c r="I233" s="468">
        <v>4750</v>
      </c>
      <c r="J233" s="464">
        <v>1.2666666666666666</v>
      </c>
      <c r="K233" s="464">
        <v>250</v>
      </c>
      <c r="L233" s="468">
        <v>15</v>
      </c>
      <c r="M233" s="468">
        <v>3750</v>
      </c>
      <c r="N233" s="464">
        <v>1</v>
      </c>
      <c r="O233" s="464">
        <v>250</v>
      </c>
      <c r="P233" s="468">
        <v>10</v>
      </c>
      <c r="Q233" s="468">
        <v>2500</v>
      </c>
      <c r="R233" s="491">
        <v>0.66666666666666663</v>
      </c>
      <c r="S233" s="469">
        <v>250</v>
      </c>
    </row>
    <row r="234" spans="1:19" ht="14.45" customHeight="1" x14ac:dyDescent="0.2">
      <c r="A234" s="463"/>
      <c r="B234" s="464" t="s">
        <v>1929</v>
      </c>
      <c r="C234" s="464" t="s">
        <v>1924</v>
      </c>
      <c r="D234" s="464" t="s">
        <v>1920</v>
      </c>
      <c r="E234" s="464" t="s">
        <v>2019</v>
      </c>
      <c r="F234" s="464" t="s">
        <v>2028</v>
      </c>
      <c r="G234" s="464" t="s">
        <v>2029</v>
      </c>
      <c r="H234" s="468"/>
      <c r="I234" s="468"/>
      <c r="J234" s="464"/>
      <c r="K234" s="464"/>
      <c r="L234" s="468">
        <v>1</v>
      </c>
      <c r="M234" s="468">
        <v>300</v>
      </c>
      <c r="N234" s="464">
        <v>1</v>
      </c>
      <c r="O234" s="464">
        <v>300</v>
      </c>
      <c r="P234" s="468">
        <v>1</v>
      </c>
      <c r="Q234" s="468">
        <v>300</v>
      </c>
      <c r="R234" s="491">
        <v>1</v>
      </c>
      <c r="S234" s="469">
        <v>300</v>
      </c>
    </row>
    <row r="235" spans="1:19" ht="14.45" customHeight="1" x14ac:dyDescent="0.2">
      <c r="A235" s="463"/>
      <c r="B235" s="464" t="s">
        <v>1929</v>
      </c>
      <c r="C235" s="464" t="s">
        <v>1924</v>
      </c>
      <c r="D235" s="464" t="s">
        <v>1920</v>
      </c>
      <c r="E235" s="464" t="s">
        <v>2019</v>
      </c>
      <c r="F235" s="464" t="s">
        <v>2030</v>
      </c>
      <c r="G235" s="464" t="s">
        <v>2031</v>
      </c>
      <c r="H235" s="468">
        <v>598</v>
      </c>
      <c r="I235" s="468">
        <v>69766.66</v>
      </c>
      <c r="J235" s="464">
        <v>1.3259423916303317</v>
      </c>
      <c r="K235" s="464">
        <v>116.66665551839465</v>
      </c>
      <c r="L235" s="468">
        <v>451</v>
      </c>
      <c r="M235" s="468">
        <v>52616.659999999996</v>
      </c>
      <c r="N235" s="464">
        <v>1</v>
      </c>
      <c r="O235" s="464">
        <v>116.66665188470066</v>
      </c>
      <c r="P235" s="468">
        <v>469</v>
      </c>
      <c r="Q235" s="468">
        <v>54716.66</v>
      </c>
      <c r="R235" s="491">
        <v>1.0399113132608571</v>
      </c>
      <c r="S235" s="469">
        <v>116.66665245202559</v>
      </c>
    </row>
    <row r="236" spans="1:19" ht="14.45" customHeight="1" x14ac:dyDescent="0.2">
      <c r="A236" s="463"/>
      <c r="B236" s="464" t="s">
        <v>1929</v>
      </c>
      <c r="C236" s="464" t="s">
        <v>1924</v>
      </c>
      <c r="D236" s="464" t="s">
        <v>1920</v>
      </c>
      <c r="E236" s="464" t="s">
        <v>2019</v>
      </c>
      <c r="F236" s="464" t="s">
        <v>2032</v>
      </c>
      <c r="G236" s="464" t="s">
        <v>2033</v>
      </c>
      <c r="H236" s="468">
        <v>58</v>
      </c>
      <c r="I236" s="468">
        <v>17400</v>
      </c>
      <c r="J236" s="464">
        <v>3.4117647058823528</v>
      </c>
      <c r="K236" s="464">
        <v>300</v>
      </c>
      <c r="L236" s="468">
        <v>17</v>
      </c>
      <c r="M236" s="468">
        <v>5100</v>
      </c>
      <c r="N236" s="464">
        <v>1</v>
      </c>
      <c r="O236" s="464">
        <v>300</v>
      </c>
      <c r="P236" s="468"/>
      <c r="Q236" s="468"/>
      <c r="R236" s="491"/>
      <c r="S236" s="469"/>
    </row>
    <row r="237" spans="1:19" ht="14.45" customHeight="1" x14ac:dyDescent="0.2">
      <c r="A237" s="463"/>
      <c r="B237" s="464" t="s">
        <v>1929</v>
      </c>
      <c r="C237" s="464" t="s">
        <v>1924</v>
      </c>
      <c r="D237" s="464" t="s">
        <v>1920</v>
      </c>
      <c r="E237" s="464" t="s">
        <v>2019</v>
      </c>
      <c r="F237" s="464" t="s">
        <v>2034</v>
      </c>
      <c r="G237" s="464" t="s">
        <v>2035</v>
      </c>
      <c r="H237" s="468">
        <v>3</v>
      </c>
      <c r="I237" s="468">
        <v>883.33</v>
      </c>
      <c r="J237" s="464"/>
      <c r="K237" s="464">
        <v>294.44333333333333</v>
      </c>
      <c r="L237" s="468"/>
      <c r="M237" s="468"/>
      <c r="N237" s="464"/>
      <c r="O237" s="464"/>
      <c r="P237" s="468"/>
      <c r="Q237" s="468"/>
      <c r="R237" s="491"/>
      <c r="S237" s="469"/>
    </row>
    <row r="238" spans="1:19" ht="14.45" customHeight="1" x14ac:dyDescent="0.2">
      <c r="A238" s="463"/>
      <c r="B238" s="464" t="s">
        <v>1929</v>
      </c>
      <c r="C238" s="464" t="s">
        <v>1924</v>
      </c>
      <c r="D238" s="464" t="s">
        <v>1920</v>
      </c>
      <c r="E238" s="464" t="s">
        <v>2019</v>
      </c>
      <c r="F238" s="464" t="s">
        <v>2036</v>
      </c>
      <c r="G238" s="464" t="s">
        <v>2037</v>
      </c>
      <c r="H238" s="468">
        <v>1561</v>
      </c>
      <c r="I238" s="468">
        <v>1214111.1100000001</v>
      </c>
      <c r="J238" s="464">
        <v>1.0575880749128921</v>
      </c>
      <c r="K238" s="464">
        <v>777.7777770659834</v>
      </c>
      <c r="L238" s="468">
        <v>1476</v>
      </c>
      <c r="M238" s="468">
        <v>1148000</v>
      </c>
      <c r="N238" s="464">
        <v>1</v>
      </c>
      <c r="O238" s="464">
        <v>777.77777777777783</v>
      </c>
      <c r="P238" s="468">
        <v>1509</v>
      </c>
      <c r="Q238" s="468">
        <v>1173666.6600000001</v>
      </c>
      <c r="R238" s="491">
        <v>1.0223577177700349</v>
      </c>
      <c r="S238" s="469">
        <v>777.77777335984104</v>
      </c>
    </row>
    <row r="239" spans="1:19" ht="14.45" customHeight="1" x14ac:dyDescent="0.2">
      <c r="A239" s="463"/>
      <c r="B239" s="464" t="s">
        <v>1929</v>
      </c>
      <c r="C239" s="464" t="s">
        <v>1924</v>
      </c>
      <c r="D239" s="464" t="s">
        <v>1920</v>
      </c>
      <c r="E239" s="464" t="s">
        <v>2019</v>
      </c>
      <c r="F239" s="464" t="s">
        <v>2038</v>
      </c>
      <c r="G239" s="464" t="s">
        <v>2039</v>
      </c>
      <c r="H239" s="468">
        <v>4967</v>
      </c>
      <c r="I239" s="468">
        <v>463586.68000000005</v>
      </c>
      <c r="J239" s="464">
        <v>1.5175679744150856</v>
      </c>
      <c r="K239" s="464">
        <v>93.333336017716945</v>
      </c>
      <c r="L239" s="468">
        <v>3273</v>
      </c>
      <c r="M239" s="468">
        <v>305480.00999999995</v>
      </c>
      <c r="N239" s="464">
        <v>1</v>
      </c>
      <c r="O239" s="464">
        <v>93.333336388634265</v>
      </c>
      <c r="P239" s="468">
        <v>3036</v>
      </c>
      <c r="Q239" s="468">
        <v>283360.01</v>
      </c>
      <c r="R239" s="491">
        <v>0.92758936992309271</v>
      </c>
      <c r="S239" s="469">
        <v>93.33333662714098</v>
      </c>
    </row>
    <row r="240" spans="1:19" ht="14.45" customHeight="1" x14ac:dyDescent="0.2">
      <c r="A240" s="463"/>
      <c r="B240" s="464" t="s">
        <v>1929</v>
      </c>
      <c r="C240" s="464" t="s">
        <v>1924</v>
      </c>
      <c r="D240" s="464" t="s">
        <v>1920</v>
      </c>
      <c r="E240" s="464" t="s">
        <v>2019</v>
      </c>
      <c r="F240" s="464" t="s">
        <v>2117</v>
      </c>
      <c r="G240" s="464" t="s">
        <v>2118</v>
      </c>
      <c r="H240" s="468">
        <v>114</v>
      </c>
      <c r="I240" s="468">
        <v>76000</v>
      </c>
      <c r="J240" s="464">
        <v>1.3902440719809843</v>
      </c>
      <c r="K240" s="464">
        <v>666.66666666666663</v>
      </c>
      <c r="L240" s="468">
        <v>82</v>
      </c>
      <c r="M240" s="468">
        <v>54666.66</v>
      </c>
      <c r="N240" s="464">
        <v>1</v>
      </c>
      <c r="O240" s="464">
        <v>666.66658536585373</v>
      </c>
      <c r="P240" s="468">
        <v>84</v>
      </c>
      <c r="Q240" s="468">
        <v>56000.009999999995</v>
      </c>
      <c r="R240" s="491">
        <v>1.0243905517549452</v>
      </c>
      <c r="S240" s="469">
        <v>666.66678571428565</v>
      </c>
    </row>
    <row r="241" spans="1:19" ht="14.45" customHeight="1" x14ac:dyDescent="0.2">
      <c r="A241" s="463"/>
      <c r="B241" s="464" t="s">
        <v>1929</v>
      </c>
      <c r="C241" s="464" t="s">
        <v>1924</v>
      </c>
      <c r="D241" s="464" t="s">
        <v>1920</v>
      </c>
      <c r="E241" s="464" t="s">
        <v>2019</v>
      </c>
      <c r="F241" s="464" t="s">
        <v>2119</v>
      </c>
      <c r="G241" s="464" t="s">
        <v>2120</v>
      </c>
      <c r="H241" s="468">
        <v>286</v>
      </c>
      <c r="I241" s="468">
        <v>222444.44</v>
      </c>
      <c r="J241" s="464">
        <v>1.0553505713624354</v>
      </c>
      <c r="K241" s="464">
        <v>777.7777622377622</v>
      </c>
      <c r="L241" s="468">
        <v>271</v>
      </c>
      <c r="M241" s="468">
        <v>210777.77</v>
      </c>
      <c r="N241" s="464">
        <v>1</v>
      </c>
      <c r="O241" s="464">
        <v>777.77774907749074</v>
      </c>
      <c r="P241" s="468">
        <v>209</v>
      </c>
      <c r="Q241" s="468">
        <v>162555.56</v>
      </c>
      <c r="R241" s="491">
        <v>0.77121776172126688</v>
      </c>
      <c r="S241" s="469">
        <v>777.77779904306215</v>
      </c>
    </row>
    <row r="242" spans="1:19" ht="14.45" customHeight="1" x14ac:dyDescent="0.2">
      <c r="A242" s="463"/>
      <c r="B242" s="464" t="s">
        <v>1929</v>
      </c>
      <c r="C242" s="464" t="s">
        <v>1924</v>
      </c>
      <c r="D242" s="464" t="s">
        <v>1920</v>
      </c>
      <c r="E242" s="464" t="s">
        <v>2019</v>
      </c>
      <c r="F242" s="464" t="s">
        <v>2132</v>
      </c>
      <c r="G242" s="464" t="s">
        <v>2133</v>
      </c>
      <c r="H242" s="468">
        <v>192</v>
      </c>
      <c r="I242" s="468">
        <v>64000</v>
      </c>
      <c r="J242" s="464">
        <v>0.39425047286956127</v>
      </c>
      <c r="K242" s="464">
        <v>333.33333333333331</v>
      </c>
      <c r="L242" s="468">
        <v>487</v>
      </c>
      <c r="M242" s="468">
        <v>162333.35</v>
      </c>
      <c r="N242" s="464">
        <v>1</v>
      </c>
      <c r="O242" s="464">
        <v>333.3333675564682</v>
      </c>
      <c r="P242" s="468">
        <v>408</v>
      </c>
      <c r="Q242" s="468">
        <v>136000.01</v>
      </c>
      <c r="R242" s="491">
        <v>0.83778231644945422</v>
      </c>
      <c r="S242" s="469">
        <v>333.33335784313726</v>
      </c>
    </row>
    <row r="243" spans="1:19" ht="14.45" customHeight="1" x14ac:dyDescent="0.2">
      <c r="A243" s="463"/>
      <c r="B243" s="464" t="s">
        <v>1929</v>
      </c>
      <c r="C243" s="464" t="s">
        <v>1924</v>
      </c>
      <c r="D243" s="464" t="s">
        <v>1920</v>
      </c>
      <c r="E243" s="464" t="s">
        <v>2019</v>
      </c>
      <c r="F243" s="464" t="s">
        <v>2042</v>
      </c>
      <c r="G243" s="464" t="s">
        <v>2023</v>
      </c>
      <c r="H243" s="468">
        <v>14</v>
      </c>
      <c r="I243" s="468">
        <v>5848.89</v>
      </c>
      <c r="J243" s="464">
        <v>1.0769215189500512</v>
      </c>
      <c r="K243" s="464">
        <v>417.77785714285716</v>
      </c>
      <c r="L243" s="468">
        <v>13</v>
      </c>
      <c r="M243" s="468">
        <v>5431.119999999999</v>
      </c>
      <c r="N243" s="464">
        <v>1</v>
      </c>
      <c r="O243" s="464">
        <v>417.77846153846144</v>
      </c>
      <c r="P243" s="468"/>
      <c r="Q243" s="468"/>
      <c r="R243" s="491"/>
      <c r="S243" s="469"/>
    </row>
    <row r="244" spans="1:19" ht="14.45" customHeight="1" x14ac:dyDescent="0.2">
      <c r="A244" s="463"/>
      <c r="B244" s="464" t="s">
        <v>1929</v>
      </c>
      <c r="C244" s="464" t="s">
        <v>1924</v>
      </c>
      <c r="D244" s="464" t="s">
        <v>1920</v>
      </c>
      <c r="E244" s="464" t="s">
        <v>2019</v>
      </c>
      <c r="F244" s="464" t="s">
        <v>2043</v>
      </c>
      <c r="G244" s="464" t="s">
        <v>2044</v>
      </c>
      <c r="H244" s="468">
        <v>146</v>
      </c>
      <c r="I244" s="468">
        <v>30822.22</v>
      </c>
      <c r="J244" s="464">
        <v>1.3035710282962811</v>
      </c>
      <c r="K244" s="464">
        <v>211.11109589041098</v>
      </c>
      <c r="L244" s="468">
        <v>112</v>
      </c>
      <c r="M244" s="468">
        <v>23644.449999999997</v>
      </c>
      <c r="N244" s="464">
        <v>1</v>
      </c>
      <c r="O244" s="464">
        <v>211.11116071428569</v>
      </c>
      <c r="P244" s="468">
        <v>133</v>
      </c>
      <c r="Q244" s="468">
        <v>29555.559999999994</v>
      </c>
      <c r="R244" s="491">
        <v>1.2499998942669421</v>
      </c>
      <c r="S244" s="469">
        <v>222.22225563909771</v>
      </c>
    </row>
    <row r="245" spans="1:19" ht="14.45" customHeight="1" x14ac:dyDescent="0.2">
      <c r="A245" s="463"/>
      <c r="B245" s="464" t="s">
        <v>1929</v>
      </c>
      <c r="C245" s="464" t="s">
        <v>1924</v>
      </c>
      <c r="D245" s="464" t="s">
        <v>1920</v>
      </c>
      <c r="E245" s="464" t="s">
        <v>2019</v>
      </c>
      <c r="F245" s="464" t="s">
        <v>2045</v>
      </c>
      <c r="G245" s="464" t="s">
        <v>2046</v>
      </c>
      <c r="H245" s="468">
        <v>93</v>
      </c>
      <c r="I245" s="468">
        <v>54250</v>
      </c>
      <c r="J245" s="464">
        <v>1.1071426311953816</v>
      </c>
      <c r="K245" s="464">
        <v>583.33333333333337</v>
      </c>
      <c r="L245" s="468">
        <v>84</v>
      </c>
      <c r="M245" s="468">
        <v>49000.009999999995</v>
      </c>
      <c r="N245" s="464">
        <v>1</v>
      </c>
      <c r="O245" s="464">
        <v>583.33345238095228</v>
      </c>
      <c r="P245" s="468">
        <v>44</v>
      </c>
      <c r="Q245" s="468">
        <v>25666.67</v>
      </c>
      <c r="R245" s="491">
        <v>0.52380948493683988</v>
      </c>
      <c r="S245" s="469">
        <v>583.33340909090907</v>
      </c>
    </row>
    <row r="246" spans="1:19" ht="14.45" customHeight="1" x14ac:dyDescent="0.2">
      <c r="A246" s="463"/>
      <c r="B246" s="464" t="s">
        <v>1929</v>
      </c>
      <c r="C246" s="464" t="s">
        <v>1924</v>
      </c>
      <c r="D246" s="464" t="s">
        <v>1920</v>
      </c>
      <c r="E246" s="464" t="s">
        <v>2019</v>
      </c>
      <c r="F246" s="464" t="s">
        <v>2047</v>
      </c>
      <c r="G246" s="464" t="s">
        <v>2048</v>
      </c>
      <c r="H246" s="468">
        <v>85</v>
      </c>
      <c r="I246" s="468">
        <v>39666.660000000003</v>
      </c>
      <c r="J246" s="464">
        <v>1.0624996316964945</v>
      </c>
      <c r="K246" s="464">
        <v>466.66658823529417</v>
      </c>
      <c r="L246" s="468">
        <v>80</v>
      </c>
      <c r="M246" s="468">
        <v>37333.339999999997</v>
      </c>
      <c r="N246" s="464">
        <v>1</v>
      </c>
      <c r="O246" s="464">
        <v>466.66674999999998</v>
      </c>
      <c r="P246" s="468">
        <v>40</v>
      </c>
      <c r="Q246" s="468">
        <v>18666.669999999998</v>
      </c>
      <c r="R246" s="491">
        <v>0.5</v>
      </c>
      <c r="S246" s="469">
        <v>466.66674999999998</v>
      </c>
    </row>
    <row r="247" spans="1:19" ht="14.45" customHeight="1" x14ac:dyDescent="0.2">
      <c r="A247" s="463"/>
      <c r="B247" s="464" t="s">
        <v>1929</v>
      </c>
      <c r="C247" s="464" t="s">
        <v>1924</v>
      </c>
      <c r="D247" s="464" t="s">
        <v>1920</v>
      </c>
      <c r="E247" s="464" t="s">
        <v>2019</v>
      </c>
      <c r="F247" s="464" t="s">
        <v>2121</v>
      </c>
      <c r="G247" s="464" t="s">
        <v>2048</v>
      </c>
      <c r="H247" s="468">
        <v>50</v>
      </c>
      <c r="I247" s="468">
        <v>50000</v>
      </c>
      <c r="J247" s="464">
        <v>1.3888888888888888</v>
      </c>
      <c r="K247" s="464">
        <v>1000</v>
      </c>
      <c r="L247" s="468">
        <v>36</v>
      </c>
      <c r="M247" s="468">
        <v>36000</v>
      </c>
      <c r="N247" s="464">
        <v>1</v>
      </c>
      <c r="O247" s="464">
        <v>1000</v>
      </c>
      <c r="P247" s="468">
        <v>35</v>
      </c>
      <c r="Q247" s="468">
        <v>35000</v>
      </c>
      <c r="R247" s="491">
        <v>0.97222222222222221</v>
      </c>
      <c r="S247" s="469">
        <v>1000</v>
      </c>
    </row>
    <row r="248" spans="1:19" ht="14.45" customHeight="1" x14ac:dyDescent="0.2">
      <c r="A248" s="463"/>
      <c r="B248" s="464" t="s">
        <v>1929</v>
      </c>
      <c r="C248" s="464" t="s">
        <v>1924</v>
      </c>
      <c r="D248" s="464" t="s">
        <v>1920</v>
      </c>
      <c r="E248" s="464" t="s">
        <v>2019</v>
      </c>
      <c r="F248" s="464" t="s">
        <v>2049</v>
      </c>
      <c r="G248" s="464" t="s">
        <v>2050</v>
      </c>
      <c r="H248" s="468">
        <v>669</v>
      </c>
      <c r="I248" s="468">
        <v>33450</v>
      </c>
      <c r="J248" s="464">
        <v>1.3597560975609757</v>
      </c>
      <c r="K248" s="464">
        <v>50</v>
      </c>
      <c r="L248" s="468">
        <v>492</v>
      </c>
      <c r="M248" s="468">
        <v>24600</v>
      </c>
      <c r="N248" s="464">
        <v>1</v>
      </c>
      <c r="O248" s="464">
        <v>50</v>
      </c>
      <c r="P248" s="468">
        <v>248</v>
      </c>
      <c r="Q248" s="468">
        <v>15155.559999999998</v>
      </c>
      <c r="R248" s="491">
        <v>0.61607967479674786</v>
      </c>
      <c r="S248" s="469">
        <v>61.111129032258056</v>
      </c>
    </row>
    <row r="249" spans="1:19" ht="14.45" customHeight="1" x14ac:dyDescent="0.2">
      <c r="A249" s="463"/>
      <c r="B249" s="464" t="s">
        <v>1929</v>
      </c>
      <c r="C249" s="464" t="s">
        <v>1924</v>
      </c>
      <c r="D249" s="464" t="s">
        <v>1920</v>
      </c>
      <c r="E249" s="464" t="s">
        <v>2019</v>
      </c>
      <c r="F249" s="464" t="s">
        <v>2051</v>
      </c>
      <c r="G249" s="464" t="s">
        <v>2052</v>
      </c>
      <c r="H249" s="468">
        <v>1</v>
      </c>
      <c r="I249" s="468">
        <v>101.11</v>
      </c>
      <c r="J249" s="464">
        <v>1</v>
      </c>
      <c r="K249" s="464">
        <v>101.11</v>
      </c>
      <c r="L249" s="468">
        <v>1</v>
      </c>
      <c r="M249" s="468">
        <v>101.11</v>
      </c>
      <c r="N249" s="464">
        <v>1</v>
      </c>
      <c r="O249" s="464">
        <v>101.11</v>
      </c>
      <c r="P249" s="468">
        <v>2</v>
      </c>
      <c r="Q249" s="468">
        <v>255.56</v>
      </c>
      <c r="R249" s="491">
        <v>2.5275442587281178</v>
      </c>
      <c r="S249" s="469">
        <v>127.78</v>
      </c>
    </row>
    <row r="250" spans="1:19" ht="14.45" customHeight="1" x14ac:dyDescent="0.2">
      <c r="A250" s="463"/>
      <c r="B250" s="464" t="s">
        <v>1929</v>
      </c>
      <c r="C250" s="464" t="s">
        <v>1924</v>
      </c>
      <c r="D250" s="464" t="s">
        <v>1920</v>
      </c>
      <c r="E250" s="464" t="s">
        <v>2019</v>
      </c>
      <c r="F250" s="464" t="s">
        <v>2053</v>
      </c>
      <c r="G250" s="464" t="s">
        <v>2054</v>
      </c>
      <c r="H250" s="468">
        <v>1</v>
      </c>
      <c r="I250" s="468">
        <v>76.67</v>
      </c>
      <c r="J250" s="464"/>
      <c r="K250" s="464">
        <v>76.67</v>
      </c>
      <c r="L250" s="468"/>
      <c r="M250" s="468"/>
      <c r="N250" s="464"/>
      <c r="O250" s="464"/>
      <c r="P250" s="468"/>
      <c r="Q250" s="468"/>
      <c r="R250" s="491"/>
      <c r="S250" s="469"/>
    </row>
    <row r="251" spans="1:19" ht="14.45" customHeight="1" x14ac:dyDescent="0.2">
      <c r="A251" s="463"/>
      <c r="B251" s="464" t="s">
        <v>1929</v>
      </c>
      <c r="C251" s="464" t="s">
        <v>1924</v>
      </c>
      <c r="D251" s="464" t="s">
        <v>1920</v>
      </c>
      <c r="E251" s="464" t="s">
        <v>2019</v>
      </c>
      <c r="F251" s="464" t="s">
        <v>2103</v>
      </c>
      <c r="G251" s="464" t="s">
        <v>2104</v>
      </c>
      <c r="H251" s="468">
        <v>1</v>
      </c>
      <c r="I251" s="468">
        <v>0</v>
      </c>
      <c r="J251" s="464"/>
      <c r="K251" s="464">
        <v>0</v>
      </c>
      <c r="L251" s="468">
        <v>1</v>
      </c>
      <c r="M251" s="468">
        <v>0</v>
      </c>
      <c r="N251" s="464"/>
      <c r="O251" s="464">
        <v>0</v>
      </c>
      <c r="P251" s="468"/>
      <c r="Q251" s="468"/>
      <c r="R251" s="491"/>
      <c r="S251" s="469"/>
    </row>
    <row r="252" spans="1:19" ht="14.45" customHeight="1" x14ac:dyDescent="0.2">
      <c r="A252" s="463"/>
      <c r="B252" s="464" t="s">
        <v>1929</v>
      </c>
      <c r="C252" s="464" t="s">
        <v>1924</v>
      </c>
      <c r="D252" s="464" t="s">
        <v>1920</v>
      </c>
      <c r="E252" s="464" t="s">
        <v>2019</v>
      </c>
      <c r="F252" s="464" t="s">
        <v>2057</v>
      </c>
      <c r="G252" s="464" t="s">
        <v>2058</v>
      </c>
      <c r="H252" s="468">
        <v>883</v>
      </c>
      <c r="I252" s="468">
        <v>269805.57</v>
      </c>
      <c r="J252" s="464">
        <v>1.1726427910860473</v>
      </c>
      <c r="K252" s="464">
        <v>305.55557191392978</v>
      </c>
      <c r="L252" s="468">
        <v>753</v>
      </c>
      <c r="M252" s="468">
        <v>230083.34000000003</v>
      </c>
      <c r="N252" s="464">
        <v>1</v>
      </c>
      <c r="O252" s="464">
        <v>305.55556440903058</v>
      </c>
      <c r="P252" s="468">
        <v>697</v>
      </c>
      <c r="Q252" s="468">
        <v>212972.22999999998</v>
      </c>
      <c r="R252" s="491">
        <v>0.92563081707697725</v>
      </c>
      <c r="S252" s="469">
        <v>305.55556671449062</v>
      </c>
    </row>
    <row r="253" spans="1:19" ht="14.45" customHeight="1" x14ac:dyDescent="0.2">
      <c r="A253" s="463"/>
      <c r="B253" s="464" t="s">
        <v>1929</v>
      </c>
      <c r="C253" s="464" t="s">
        <v>1924</v>
      </c>
      <c r="D253" s="464" t="s">
        <v>1920</v>
      </c>
      <c r="E253" s="464" t="s">
        <v>2019</v>
      </c>
      <c r="F253" s="464" t="s">
        <v>2059</v>
      </c>
      <c r="G253" s="464" t="s">
        <v>2060</v>
      </c>
      <c r="H253" s="468">
        <v>5534</v>
      </c>
      <c r="I253" s="468">
        <v>184466.66999999998</v>
      </c>
      <c r="J253" s="464">
        <v>1.0595443423319928</v>
      </c>
      <c r="K253" s="464">
        <v>33.333333935670396</v>
      </c>
      <c r="L253" s="468">
        <v>5223</v>
      </c>
      <c r="M253" s="468">
        <v>174100.00000000003</v>
      </c>
      <c r="N253" s="464">
        <v>1</v>
      </c>
      <c r="O253" s="464">
        <v>33.333333333333336</v>
      </c>
      <c r="P253" s="468">
        <v>2489</v>
      </c>
      <c r="Q253" s="468">
        <v>82966.67</v>
      </c>
      <c r="R253" s="491">
        <v>0.47654606547960932</v>
      </c>
      <c r="S253" s="469">
        <v>33.333334672559261</v>
      </c>
    </row>
    <row r="254" spans="1:19" ht="14.45" customHeight="1" x14ac:dyDescent="0.2">
      <c r="A254" s="463"/>
      <c r="B254" s="464" t="s">
        <v>1929</v>
      </c>
      <c r="C254" s="464" t="s">
        <v>1924</v>
      </c>
      <c r="D254" s="464" t="s">
        <v>1920</v>
      </c>
      <c r="E254" s="464" t="s">
        <v>2019</v>
      </c>
      <c r="F254" s="464" t="s">
        <v>2061</v>
      </c>
      <c r="G254" s="464" t="s">
        <v>2062</v>
      </c>
      <c r="H254" s="468">
        <v>452</v>
      </c>
      <c r="I254" s="468">
        <v>205911.09</v>
      </c>
      <c r="J254" s="464">
        <v>1.3025935080819075</v>
      </c>
      <c r="K254" s="464">
        <v>455.5555088495575</v>
      </c>
      <c r="L254" s="468">
        <v>347</v>
      </c>
      <c r="M254" s="468">
        <v>158077.78</v>
      </c>
      <c r="N254" s="464">
        <v>1</v>
      </c>
      <c r="O254" s="464">
        <v>455.5555619596542</v>
      </c>
      <c r="P254" s="468">
        <v>160</v>
      </c>
      <c r="Q254" s="468">
        <v>72888.88</v>
      </c>
      <c r="R254" s="491">
        <v>0.46109503815147207</v>
      </c>
      <c r="S254" s="469">
        <v>455.55550000000005</v>
      </c>
    </row>
    <row r="255" spans="1:19" ht="14.45" customHeight="1" x14ac:dyDescent="0.2">
      <c r="A255" s="463"/>
      <c r="B255" s="464" t="s">
        <v>1929</v>
      </c>
      <c r="C255" s="464" t="s">
        <v>1924</v>
      </c>
      <c r="D255" s="464" t="s">
        <v>1920</v>
      </c>
      <c r="E255" s="464" t="s">
        <v>2019</v>
      </c>
      <c r="F255" s="464" t="s">
        <v>2063</v>
      </c>
      <c r="G255" s="464" t="s">
        <v>2064</v>
      </c>
      <c r="H255" s="468">
        <v>279</v>
      </c>
      <c r="I255" s="468">
        <v>16429.990000000002</v>
      </c>
      <c r="J255" s="464">
        <v>0.92999873207642869</v>
      </c>
      <c r="K255" s="464">
        <v>58.888853046594988</v>
      </c>
      <c r="L255" s="468">
        <v>300</v>
      </c>
      <c r="M255" s="468">
        <v>17666.68</v>
      </c>
      <c r="N255" s="464">
        <v>1</v>
      </c>
      <c r="O255" s="464">
        <v>58.888933333333334</v>
      </c>
      <c r="P255" s="468">
        <v>265</v>
      </c>
      <c r="Q255" s="468">
        <v>15605.56</v>
      </c>
      <c r="R255" s="491">
        <v>0.88333291823930693</v>
      </c>
      <c r="S255" s="469">
        <v>58.888905660377354</v>
      </c>
    </row>
    <row r="256" spans="1:19" ht="14.45" customHeight="1" x14ac:dyDescent="0.2">
      <c r="A256" s="463"/>
      <c r="B256" s="464" t="s">
        <v>1929</v>
      </c>
      <c r="C256" s="464" t="s">
        <v>1924</v>
      </c>
      <c r="D256" s="464" t="s">
        <v>1920</v>
      </c>
      <c r="E256" s="464" t="s">
        <v>2019</v>
      </c>
      <c r="F256" s="464" t="s">
        <v>2065</v>
      </c>
      <c r="G256" s="464" t="s">
        <v>2066</v>
      </c>
      <c r="H256" s="468">
        <v>903</v>
      </c>
      <c r="I256" s="468">
        <v>70233.34</v>
      </c>
      <c r="J256" s="464">
        <v>1.2186234564923706</v>
      </c>
      <c r="K256" s="464">
        <v>77.77778516057586</v>
      </c>
      <c r="L256" s="468">
        <v>741</v>
      </c>
      <c r="M256" s="468">
        <v>57633.34</v>
      </c>
      <c r="N256" s="464">
        <v>1</v>
      </c>
      <c r="O256" s="464">
        <v>77.777786774628879</v>
      </c>
      <c r="P256" s="468">
        <v>539</v>
      </c>
      <c r="Q256" s="468">
        <v>41922.229999999996</v>
      </c>
      <c r="R256" s="491">
        <v>0.72739546241810726</v>
      </c>
      <c r="S256" s="469">
        <v>77.777792207792203</v>
      </c>
    </row>
    <row r="257" spans="1:19" ht="14.45" customHeight="1" x14ac:dyDescent="0.2">
      <c r="A257" s="463"/>
      <c r="B257" s="464" t="s">
        <v>1929</v>
      </c>
      <c r="C257" s="464" t="s">
        <v>1924</v>
      </c>
      <c r="D257" s="464" t="s">
        <v>1920</v>
      </c>
      <c r="E257" s="464" t="s">
        <v>2019</v>
      </c>
      <c r="F257" s="464" t="s">
        <v>2122</v>
      </c>
      <c r="G257" s="464" t="s">
        <v>2123</v>
      </c>
      <c r="H257" s="468">
        <v>1</v>
      </c>
      <c r="I257" s="468">
        <v>700</v>
      </c>
      <c r="J257" s="464"/>
      <c r="K257" s="464">
        <v>700</v>
      </c>
      <c r="L257" s="468"/>
      <c r="M257" s="468"/>
      <c r="N257" s="464"/>
      <c r="O257" s="464"/>
      <c r="P257" s="468"/>
      <c r="Q257" s="468"/>
      <c r="R257" s="491"/>
      <c r="S257" s="469"/>
    </row>
    <row r="258" spans="1:19" ht="14.45" customHeight="1" x14ac:dyDescent="0.2">
      <c r="A258" s="463"/>
      <c r="B258" s="464" t="s">
        <v>1929</v>
      </c>
      <c r="C258" s="464" t="s">
        <v>1924</v>
      </c>
      <c r="D258" s="464" t="s">
        <v>1920</v>
      </c>
      <c r="E258" s="464" t="s">
        <v>2019</v>
      </c>
      <c r="F258" s="464" t="s">
        <v>2134</v>
      </c>
      <c r="G258" s="464" t="s">
        <v>2135</v>
      </c>
      <c r="H258" s="468">
        <v>306</v>
      </c>
      <c r="I258" s="468">
        <v>340000</v>
      </c>
      <c r="J258" s="464">
        <v>1.5148514476521917</v>
      </c>
      <c r="K258" s="464">
        <v>1111.1111111111111</v>
      </c>
      <c r="L258" s="468">
        <v>202</v>
      </c>
      <c r="M258" s="468">
        <v>224444.45</v>
      </c>
      <c r="N258" s="464">
        <v>1</v>
      </c>
      <c r="O258" s="464">
        <v>1111.1111386138614</v>
      </c>
      <c r="P258" s="468">
        <v>142</v>
      </c>
      <c r="Q258" s="468">
        <v>157777.77999999997</v>
      </c>
      <c r="R258" s="491">
        <v>0.70297028953043816</v>
      </c>
      <c r="S258" s="469">
        <v>1111.1111267605631</v>
      </c>
    </row>
    <row r="259" spans="1:19" ht="14.45" customHeight="1" x14ac:dyDescent="0.2">
      <c r="A259" s="463"/>
      <c r="B259" s="464" t="s">
        <v>1929</v>
      </c>
      <c r="C259" s="464" t="s">
        <v>1924</v>
      </c>
      <c r="D259" s="464" t="s">
        <v>1920</v>
      </c>
      <c r="E259" s="464" t="s">
        <v>2019</v>
      </c>
      <c r="F259" s="464" t="s">
        <v>2069</v>
      </c>
      <c r="G259" s="464" t="s">
        <v>2070</v>
      </c>
      <c r="H259" s="468">
        <v>3171</v>
      </c>
      <c r="I259" s="468">
        <v>856170</v>
      </c>
      <c r="J259" s="464">
        <v>1.0153698366954851</v>
      </c>
      <c r="K259" s="464">
        <v>270</v>
      </c>
      <c r="L259" s="468">
        <v>3123</v>
      </c>
      <c r="M259" s="468">
        <v>843210</v>
      </c>
      <c r="N259" s="464">
        <v>1</v>
      </c>
      <c r="O259" s="464">
        <v>270</v>
      </c>
      <c r="P259" s="468">
        <v>2615</v>
      </c>
      <c r="Q259" s="468">
        <v>706050</v>
      </c>
      <c r="R259" s="491">
        <v>0.8373358949727826</v>
      </c>
      <c r="S259" s="469">
        <v>270</v>
      </c>
    </row>
    <row r="260" spans="1:19" ht="14.45" customHeight="1" x14ac:dyDescent="0.2">
      <c r="A260" s="463"/>
      <c r="B260" s="464" t="s">
        <v>1929</v>
      </c>
      <c r="C260" s="464" t="s">
        <v>1924</v>
      </c>
      <c r="D260" s="464" t="s">
        <v>1920</v>
      </c>
      <c r="E260" s="464" t="s">
        <v>2019</v>
      </c>
      <c r="F260" s="464" t="s">
        <v>2071</v>
      </c>
      <c r="G260" s="464" t="s">
        <v>2072</v>
      </c>
      <c r="H260" s="468">
        <v>1469</v>
      </c>
      <c r="I260" s="468">
        <v>138738.89000000001</v>
      </c>
      <c r="J260" s="464">
        <v>1.4416094159024488</v>
      </c>
      <c r="K260" s="464">
        <v>94.444445200816887</v>
      </c>
      <c r="L260" s="468">
        <v>1019</v>
      </c>
      <c r="M260" s="468">
        <v>96238.89</v>
      </c>
      <c r="N260" s="464">
        <v>1</v>
      </c>
      <c r="O260" s="464">
        <v>94.444445534838081</v>
      </c>
      <c r="P260" s="468">
        <v>820</v>
      </c>
      <c r="Q260" s="468">
        <v>77444.430000000008</v>
      </c>
      <c r="R260" s="491">
        <v>0.80471034111054285</v>
      </c>
      <c r="S260" s="469">
        <v>94.444426829268295</v>
      </c>
    </row>
    <row r="261" spans="1:19" ht="14.45" customHeight="1" x14ac:dyDescent="0.2">
      <c r="A261" s="463"/>
      <c r="B261" s="464" t="s">
        <v>1929</v>
      </c>
      <c r="C261" s="464" t="s">
        <v>1924</v>
      </c>
      <c r="D261" s="464" t="s">
        <v>1920</v>
      </c>
      <c r="E261" s="464" t="s">
        <v>2019</v>
      </c>
      <c r="F261" s="464" t="s">
        <v>2075</v>
      </c>
      <c r="G261" s="464" t="s">
        <v>2076</v>
      </c>
      <c r="H261" s="468">
        <v>8</v>
      </c>
      <c r="I261" s="468">
        <v>773.34</v>
      </c>
      <c r="J261" s="464">
        <v>0.66667241379310349</v>
      </c>
      <c r="K261" s="464">
        <v>96.667500000000004</v>
      </c>
      <c r="L261" s="468">
        <v>12</v>
      </c>
      <c r="M261" s="468">
        <v>1160</v>
      </c>
      <c r="N261" s="464">
        <v>1</v>
      </c>
      <c r="O261" s="464">
        <v>96.666666666666671</v>
      </c>
      <c r="P261" s="468">
        <v>1</v>
      </c>
      <c r="Q261" s="468">
        <v>96.67</v>
      </c>
      <c r="R261" s="491">
        <v>8.3336206896551732E-2</v>
      </c>
      <c r="S261" s="469">
        <v>96.67</v>
      </c>
    </row>
    <row r="262" spans="1:19" ht="14.45" customHeight="1" x14ac:dyDescent="0.2">
      <c r="A262" s="463"/>
      <c r="B262" s="464" t="s">
        <v>1929</v>
      </c>
      <c r="C262" s="464" t="s">
        <v>1924</v>
      </c>
      <c r="D262" s="464" t="s">
        <v>1920</v>
      </c>
      <c r="E262" s="464" t="s">
        <v>2019</v>
      </c>
      <c r="F262" s="464" t="s">
        <v>2136</v>
      </c>
      <c r="G262" s="464" t="s">
        <v>2137</v>
      </c>
      <c r="H262" s="468"/>
      <c r="I262" s="468"/>
      <c r="J262" s="464"/>
      <c r="K262" s="464"/>
      <c r="L262" s="468"/>
      <c r="M262" s="468"/>
      <c r="N262" s="464"/>
      <c r="O262" s="464"/>
      <c r="P262" s="468">
        <v>2</v>
      </c>
      <c r="Q262" s="468">
        <v>666.67</v>
      </c>
      <c r="R262" s="491"/>
      <c r="S262" s="469">
        <v>333.33499999999998</v>
      </c>
    </row>
    <row r="263" spans="1:19" ht="14.45" customHeight="1" x14ac:dyDescent="0.2">
      <c r="A263" s="463"/>
      <c r="B263" s="464" t="s">
        <v>1929</v>
      </c>
      <c r="C263" s="464" t="s">
        <v>1924</v>
      </c>
      <c r="D263" s="464" t="s">
        <v>1920</v>
      </c>
      <c r="E263" s="464" t="s">
        <v>2019</v>
      </c>
      <c r="F263" s="464" t="s">
        <v>2105</v>
      </c>
      <c r="G263" s="464" t="s">
        <v>2106</v>
      </c>
      <c r="H263" s="468">
        <v>24</v>
      </c>
      <c r="I263" s="468">
        <v>1813.34</v>
      </c>
      <c r="J263" s="464">
        <v>0.82758966916311816</v>
      </c>
      <c r="K263" s="464">
        <v>75.555833333333325</v>
      </c>
      <c r="L263" s="468">
        <v>29</v>
      </c>
      <c r="M263" s="468">
        <v>2191.11</v>
      </c>
      <c r="N263" s="464">
        <v>1</v>
      </c>
      <c r="O263" s="464">
        <v>75.55551724137932</v>
      </c>
      <c r="P263" s="468">
        <v>11</v>
      </c>
      <c r="Q263" s="468">
        <v>831.12</v>
      </c>
      <c r="R263" s="491">
        <v>0.37931459397291784</v>
      </c>
      <c r="S263" s="469">
        <v>75.556363636363642</v>
      </c>
    </row>
    <row r="264" spans="1:19" ht="14.45" customHeight="1" x14ac:dyDescent="0.2">
      <c r="A264" s="463"/>
      <c r="B264" s="464" t="s">
        <v>1929</v>
      </c>
      <c r="C264" s="464" t="s">
        <v>1924</v>
      </c>
      <c r="D264" s="464" t="s">
        <v>1920</v>
      </c>
      <c r="E264" s="464" t="s">
        <v>2019</v>
      </c>
      <c r="F264" s="464" t="s">
        <v>2124</v>
      </c>
      <c r="G264" s="464" t="s">
        <v>2125</v>
      </c>
      <c r="H264" s="468">
        <v>52</v>
      </c>
      <c r="I264" s="468">
        <v>66733.33</v>
      </c>
      <c r="J264" s="464">
        <v>1.106382862316504</v>
      </c>
      <c r="K264" s="464">
        <v>1283.3332692307692</v>
      </c>
      <c r="L264" s="468">
        <v>47</v>
      </c>
      <c r="M264" s="468">
        <v>60316.67</v>
      </c>
      <c r="N264" s="464">
        <v>1</v>
      </c>
      <c r="O264" s="464">
        <v>1283.333404255319</v>
      </c>
      <c r="P264" s="468">
        <v>29</v>
      </c>
      <c r="Q264" s="468">
        <v>37216.67</v>
      </c>
      <c r="R264" s="491">
        <v>0.61702129776063563</v>
      </c>
      <c r="S264" s="469">
        <v>1283.3334482758621</v>
      </c>
    </row>
    <row r="265" spans="1:19" ht="14.45" customHeight="1" x14ac:dyDescent="0.2">
      <c r="A265" s="463"/>
      <c r="B265" s="464" t="s">
        <v>1929</v>
      </c>
      <c r="C265" s="464" t="s">
        <v>1924</v>
      </c>
      <c r="D265" s="464" t="s">
        <v>1920</v>
      </c>
      <c r="E265" s="464" t="s">
        <v>2019</v>
      </c>
      <c r="F265" s="464" t="s">
        <v>2081</v>
      </c>
      <c r="G265" s="464" t="s">
        <v>2082</v>
      </c>
      <c r="H265" s="468">
        <v>12</v>
      </c>
      <c r="I265" s="468">
        <v>1400</v>
      </c>
      <c r="J265" s="464">
        <v>4</v>
      </c>
      <c r="K265" s="464">
        <v>116.66666666666667</v>
      </c>
      <c r="L265" s="468">
        <v>3</v>
      </c>
      <c r="M265" s="468">
        <v>350</v>
      </c>
      <c r="N265" s="464">
        <v>1</v>
      </c>
      <c r="O265" s="464">
        <v>116.66666666666667</v>
      </c>
      <c r="P265" s="468"/>
      <c r="Q265" s="468"/>
      <c r="R265" s="491"/>
      <c r="S265" s="469"/>
    </row>
    <row r="266" spans="1:19" ht="14.45" customHeight="1" x14ac:dyDescent="0.2">
      <c r="A266" s="463"/>
      <c r="B266" s="464" t="s">
        <v>1929</v>
      </c>
      <c r="C266" s="464" t="s">
        <v>1924</v>
      </c>
      <c r="D266" s="464" t="s">
        <v>1920</v>
      </c>
      <c r="E266" s="464" t="s">
        <v>2019</v>
      </c>
      <c r="F266" s="464" t="s">
        <v>2083</v>
      </c>
      <c r="G266" s="464" t="s">
        <v>2084</v>
      </c>
      <c r="H266" s="468">
        <v>55</v>
      </c>
      <c r="I266" s="468">
        <v>2688.8900000000003</v>
      </c>
      <c r="J266" s="464">
        <v>2.1153706967084149</v>
      </c>
      <c r="K266" s="464">
        <v>48.888909090909095</v>
      </c>
      <c r="L266" s="468">
        <v>26</v>
      </c>
      <c r="M266" s="468">
        <v>1271.1199999999999</v>
      </c>
      <c r="N266" s="464">
        <v>1</v>
      </c>
      <c r="O266" s="464">
        <v>48.889230769230764</v>
      </c>
      <c r="P266" s="468">
        <v>61</v>
      </c>
      <c r="Q266" s="468">
        <v>2982.21</v>
      </c>
      <c r="R266" s="491">
        <v>2.3461278242809493</v>
      </c>
      <c r="S266" s="469">
        <v>48.888688524590165</v>
      </c>
    </row>
    <row r="267" spans="1:19" ht="14.45" customHeight="1" x14ac:dyDescent="0.2">
      <c r="A267" s="463"/>
      <c r="B267" s="464" t="s">
        <v>1929</v>
      </c>
      <c r="C267" s="464" t="s">
        <v>1924</v>
      </c>
      <c r="D267" s="464" t="s">
        <v>1920</v>
      </c>
      <c r="E267" s="464" t="s">
        <v>2019</v>
      </c>
      <c r="F267" s="464" t="s">
        <v>2128</v>
      </c>
      <c r="G267" s="464" t="s">
        <v>2129</v>
      </c>
      <c r="H267" s="468">
        <v>10</v>
      </c>
      <c r="I267" s="468">
        <v>4666.67</v>
      </c>
      <c r="J267" s="464">
        <v>2.4999973214333546</v>
      </c>
      <c r="K267" s="464">
        <v>466.66700000000003</v>
      </c>
      <c r="L267" s="468">
        <v>4</v>
      </c>
      <c r="M267" s="468">
        <v>1866.67</v>
      </c>
      <c r="N267" s="464">
        <v>1</v>
      </c>
      <c r="O267" s="464">
        <v>466.66750000000002</v>
      </c>
      <c r="P267" s="468">
        <v>2</v>
      </c>
      <c r="Q267" s="468">
        <v>933.34</v>
      </c>
      <c r="R267" s="491">
        <v>0.50000267856664538</v>
      </c>
      <c r="S267" s="469">
        <v>466.67</v>
      </c>
    </row>
    <row r="268" spans="1:19" ht="14.45" customHeight="1" x14ac:dyDescent="0.2">
      <c r="A268" s="463"/>
      <c r="B268" s="464" t="s">
        <v>1929</v>
      </c>
      <c r="C268" s="464" t="s">
        <v>1924</v>
      </c>
      <c r="D268" s="464" t="s">
        <v>1920</v>
      </c>
      <c r="E268" s="464" t="s">
        <v>2019</v>
      </c>
      <c r="F268" s="464" t="s">
        <v>2085</v>
      </c>
      <c r="G268" s="464" t="s">
        <v>2086</v>
      </c>
      <c r="H268" s="468">
        <v>1</v>
      </c>
      <c r="I268" s="468">
        <v>344.44</v>
      </c>
      <c r="J268" s="464">
        <v>0.24999818547362768</v>
      </c>
      <c r="K268" s="464">
        <v>344.44</v>
      </c>
      <c r="L268" s="468">
        <v>4</v>
      </c>
      <c r="M268" s="468">
        <v>1377.77</v>
      </c>
      <c r="N268" s="464">
        <v>1</v>
      </c>
      <c r="O268" s="464">
        <v>344.4425</v>
      </c>
      <c r="P268" s="468">
        <v>1</v>
      </c>
      <c r="Q268" s="468">
        <v>344.44</v>
      </c>
      <c r="R268" s="491">
        <v>0.24999818547362768</v>
      </c>
      <c r="S268" s="469">
        <v>344.44</v>
      </c>
    </row>
    <row r="269" spans="1:19" ht="14.45" customHeight="1" x14ac:dyDescent="0.2">
      <c r="A269" s="463"/>
      <c r="B269" s="464" t="s">
        <v>1929</v>
      </c>
      <c r="C269" s="464" t="s">
        <v>1924</v>
      </c>
      <c r="D269" s="464" t="s">
        <v>1920</v>
      </c>
      <c r="E269" s="464" t="s">
        <v>2019</v>
      </c>
      <c r="F269" s="464" t="s">
        <v>2107</v>
      </c>
      <c r="G269" s="464" t="s">
        <v>2108</v>
      </c>
      <c r="H269" s="468">
        <v>173</v>
      </c>
      <c r="I269" s="468">
        <v>80733.34</v>
      </c>
      <c r="J269" s="464">
        <v>1.2013888093171414</v>
      </c>
      <c r="K269" s="464">
        <v>466.66670520231213</v>
      </c>
      <c r="L269" s="468">
        <v>144</v>
      </c>
      <c r="M269" s="468">
        <v>67200.009999999995</v>
      </c>
      <c r="N269" s="464">
        <v>1</v>
      </c>
      <c r="O269" s="464">
        <v>466.66673611111105</v>
      </c>
      <c r="P269" s="468">
        <v>63</v>
      </c>
      <c r="Q269" s="468">
        <v>29400.009999999995</v>
      </c>
      <c r="R269" s="491">
        <v>0.43750008370534466</v>
      </c>
      <c r="S269" s="469">
        <v>466.66682539682529</v>
      </c>
    </row>
    <row r="270" spans="1:19" ht="14.45" customHeight="1" x14ac:dyDescent="0.2">
      <c r="A270" s="463"/>
      <c r="B270" s="464" t="s">
        <v>1929</v>
      </c>
      <c r="C270" s="464" t="s">
        <v>1924</v>
      </c>
      <c r="D270" s="464" t="s">
        <v>1920</v>
      </c>
      <c r="E270" s="464" t="s">
        <v>2019</v>
      </c>
      <c r="F270" s="464" t="s">
        <v>2138</v>
      </c>
      <c r="G270" s="464" t="s">
        <v>2139</v>
      </c>
      <c r="H270" s="468">
        <v>40</v>
      </c>
      <c r="I270" s="468">
        <v>3911.11</v>
      </c>
      <c r="J270" s="464">
        <v>0.86956647405269716</v>
      </c>
      <c r="K270" s="464">
        <v>97.777749999999997</v>
      </c>
      <c r="L270" s="468">
        <v>46</v>
      </c>
      <c r="M270" s="468">
        <v>4497.7700000000004</v>
      </c>
      <c r="N270" s="464">
        <v>1</v>
      </c>
      <c r="O270" s="464">
        <v>97.777608695652177</v>
      </c>
      <c r="P270" s="468">
        <v>33</v>
      </c>
      <c r="Q270" s="468">
        <v>3226.6699999999996</v>
      </c>
      <c r="R270" s="491">
        <v>0.71739328600617625</v>
      </c>
      <c r="S270" s="469">
        <v>97.777878787878777</v>
      </c>
    </row>
    <row r="271" spans="1:19" ht="14.45" customHeight="1" x14ac:dyDescent="0.2">
      <c r="A271" s="463"/>
      <c r="B271" s="464" t="s">
        <v>1929</v>
      </c>
      <c r="C271" s="464" t="s">
        <v>1924</v>
      </c>
      <c r="D271" s="464" t="s">
        <v>1920</v>
      </c>
      <c r="E271" s="464" t="s">
        <v>2019</v>
      </c>
      <c r="F271" s="464" t="s">
        <v>2087</v>
      </c>
      <c r="G271" s="464" t="s">
        <v>2088</v>
      </c>
      <c r="H271" s="468">
        <v>5</v>
      </c>
      <c r="I271" s="468">
        <v>1461.1000000000001</v>
      </c>
      <c r="J271" s="464"/>
      <c r="K271" s="464">
        <v>292.22000000000003</v>
      </c>
      <c r="L271" s="468"/>
      <c r="M271" s="468"/>
      <c r="N271" s="464"/>
      <c r="O271" s="464"/>
      <c r="P271" s="468"/>
      <c r="Q271" s="468"/>
      <c r="R271" s="491"/>
      <c r="S271" s="469"/>
    </row>
    <row r="272" spans="1:19" ht="14.45" customHeight="1" x14ac:dyDescent="0.2">
      <c r="A272" s="463"/>
      <c r="B272" s="464" t="s">
        <v>1929</v>
      </c>
      <c r="C272" s="464" t="s">
        <v>1924</v>
      </c>
      <c r="D272" s="464" t="s">
        <v>1920</v>
      </c>
      <c r="E272" s="464" t="s">
        <v>2019</v>
      </c>
      <c r="F272" s="464" t="s">
        <v>2140</v>
      </c>
      <c r="G272" s="464" t="s">
        <v>2141</v>
      </c>
      <c r="H272" s="468"/>
      <c r="I272" s="468"/>
      <c r="J272" s="464"/>
      <c r="K272" s="464"/>
      <c r="L272" s="468">
        <v>1</v>
      </c>
      <c r="M272" s="468">
        <v>645.55999999999995</v>
      </c>
      <c r="N272" s="464">
        <v>1</v>
      </c>
      <c r="O272" s="464">
        <v>645.55999999999995</v>
      </c>
      <c r="P272" s="468">
        <v>1</v>
      </c>
      <c r="Q272" s="468">
        <v>645.55999999999995</v>
      </c>
      <c r="R272" s="491">
        <v>1</v>
      </c>
      <c r="S272" s="469">
        <v>645.55999999999995</v>
      </c>
    </row>
    <row r="273" spans="1:19" ht="14.45" customHeight="1" x14ac:dyDescent="0.2">
      <c r="A273" s="463"/>
      <c r="B273" s="464" t="s">
        <v>1929</v>
      </c>
      <c r="C273" s="464" t="s">
        <v>1924</v>
      </c>
      <c r="D273" s="464" t="s">
        <v>1920</v>
      </c>
      <c r="E273" s="464" t="s">
        <v>2019</v>
      </c>
      <c r="F273" s="464" t="s">
        <v>2091</v>
      </c>
      <c r="G273" s="464" t="s">
        <v>2092</v>
      </c>
      <c r="H273" s="468">
        <v>1</v>
      </c>
      <c r="I273" s="468">
        <v>116.67</v>
      </c>
      <c r="J273" s="464"/>
      <c r="K273" s="464">
        <v>116.67</v>
      </c>
      <c r="L273" s="468"/>
      <c r="M273" s="468"/>
      <c r="N273" s="464"/>
      <c r="O273" s="464"/>
      <c r="P273" s="468"/>
      <c r="Q273" s="468"/>
      <c r="R273" s="491"/>
      <c r="S273" s="469"/>
    </row>
    <row r="274" spans="1:19" ht="14.45" customHeight="1" x14ac:dyDescent="0.2">
      <c r="A274" s="463"/>
      <c r="B274" s="464" t="s">
        <v>1929</v>
      </c>
      <c r="C274" s="464" t="s">
        <v>1924</v>
      </c>
      <c r="D274" s="464" t="s">
        <v>1920</v>
      </c>
      <c r="E274" s="464" t="s">
        <v>2019</v>
      </c>
      <c r="F274" s="464" t="s">
        <v>2097</v>
      </c>
      <c r="G274" s="464" t="s">
        <v>2098</v>
      </c>
      <c r="H274" s="468"/>
      <c r="I274" s="468"/>
      <c r="J274" s="464"/>
      <c r="K274" s="464"/>
      <c r="L274" s="468">
        <v>2</v>
      </c>
      <c r="M274" s="468">
        <v>233.34</v>
      </c>
      <c r="N274" s="464">
        <v>1</v>
      </c>
      <c r="O274" s="464">
        <v>116.67</v>
      </c>
      <c r="P274" s="468">
        <v>16</v>
      </c>
      <c r="Q274" s="468">
        <v>1866.67</v>
      </c>
      <c r="R274" s="491">
        <v>7.9997857204079885</v>
      </c>
      <c r="S274" s="469">
        <v>116.666875</v>
      </c>
    </row>
    <row r="275" spans="1:19" ht="14.45" customHeight="1" x14ac:dyDescent="0.2">
      <c r="A275" s="463"/>
      <c r="B275" s="464" t="s">
        <v>1929</v>
      </c>
      <c r="C275" s="464" t="s">
        <v>1924</v>
      </c>
      <c r="D275" s="464" t="s">
        <v>1920</v>
      </c>
      <c r="E275" s="464" t="s">
        <v>2019</v>
      </c>
      <c r="F275" s="464" t="s">
        <v>2142</v>
      </c>
      <c r="G275" s="464" t="s">
        <v>2143</v>
      </c>
      <c r="H275" s="468"/>
      <c r="I275" s="468"/>
      <c r="J275" s="464"/>
      <c r="K275" s="464"/>
      <c r="L275" s="468"/>
      <c r="M275" s="468"/>
      <c r="N275" s="464"/>
      <c r="O275" s="464"/>
      <c r="P275" s="468">
        <v>15</v>
      </c>
      <c r="Q275" s="468">
        <v>7216.6600000000008</v>
      </c>
      <c r="R275" s="491"/>
      <c r="S275" s="469">
        <v>481.1106666666667</v>
      </c>
    </row>
    <row r="276" spans="1:19" ht="14.45" customHeight="1" x14ac:dyDescent="0.2">
      <c r="A276" s="463"/>
      <c r="B276" s="464" t="s">
        <v>2144</v>
      </c>
      <c r="C276" s="464" t="s">
        <v>444</v>
      </c>
      <c r="D276" s="464" t="s">
        <v>1920</v>
      </c>
      <c r="E276" s="464" t="s">
        <v>2019</v>
      </c>
      <c r="F276" s="464" t="s">
        <v>2145</v>
      </c>
      <c r="G276" s="464" t="s">
        <v>2146</v>
      </c>
      <c r="H276" s="468"/>
      <c r="I276" s="468"/>
      <c r="J276" s="464"/>
      <c r="K276" s="464"/>
      <c r="L276" s="468"/>
      <c r="M276" s="468"/>
      <c r="N276" s="464"/>
      <c r="O276" s="464"/>
      <c r="P276" s="468">
        <v>1</v>
      </c>
      <c r="Q276" s="468">
        <v>244.44</v>
      </c>
      <c r="R276" s="491"/>
      <c r="S276" s="469">
        <v>244.44</v>
      </c>
    </row>
    <row r="277" spans="1:19" ht="14.45" customHeight="1" x14ac:dyDescent="0.2">
      <c r="A277" s="463"/>
      <c r="B277" s="464" t="s">
        <v>2144</v>
      </c>
      <c r="C277" s="464" t="s">
        <v>1921</v>
      </c>
      <c r="D277" s="464" t="s">
        <v>1920</v>
      </c>
      <c r="E277" s="464" t="s">
        <v>1930</v>
      </c>
      <c r="F277" s="464" t="s">
        <v>1932</v>
      </c>
      <c r="G277" s="464"/>
      <c r="H277" s="468">
        <v>21</v>
      </c>
      <c r="I277" s="468">
        <v>2373</v>
      </c>
      <c r="J277" s="464">
        <v>0.95454545454545459</v>
      </c>
      <c r="K277" s="464">
        <v>113</v>
      </c>
      <c r="L277" s="468">
        <v>22</v>
      </c>
      <c r="M277" s="468">
        <v>2486</v>
      </c>
      <c r="N277" s="464">
        <v>1</v>
      </c>
      <c r="O277" s="464">
        <v>113</v>
      </c>
      <c r="P277" s="468">
        <v>45</v>
      </c>
      <c r="Q277" s="468">
        <v>5085</v>
      </c>
      <c r="R277" s="491">
        <v>2.0454545454545454</v>
      </c>
      <c r="S277" s="469">
        <v>113</v>
      </c>
    </row>
    <row r="278" spans="1:19" ht="14.45" customHeight="1" x14ac:dyDescent="0.2">
      <c r="A278" s="463"/>
      <c r="B278" s="464" t="s">
        <v>2144</v>
      </c>
      <c r="C278" s="464" t="s">
        <v>1921</v>
      </c>
      <c r="D278" s="464" t="s">
        <v>1920</v>
      </c>
      <c r="E278" s="464" t="s">
        <v>1930</v>
      </c>
      <c r="F278" s="464" t="s">
        <v>1935</v>
      </c>
      <c r="G278" s="464"/>
      <c r="H278" s="468">
        <v>8</v>
      </c>
      <c r="I278" s="468">
        <v>8064</v>
      </c>
      <c r="J278" s="464">
        <v>1.3333333333333333</v>
      </c>
      <c r="K278" s="464">
        <v>1008</v>
      </c>
      <c r="L278" s="468">
        <v>6</v>
      </c>
      <c r="M278" s="468">
        <v>6048</v>
      </c>
      <c r="N278" s="464">
        <v>1</v>
      </c>
      <c r="O278" s="464">
        <v>1008</v>
      </c>
      <c r="P278" s="468">
        <v>3</v>
      </c>
      <c r="Q278" s="468">
        <v>3024</v>
      </c>
      <c r="R278" s="491">
        <v>0.5</v>
      </c>
      <c r="S278" s="469">
        <v>1008</v>
      </c>
    </row>
    <row r="279" spans="1:19" ht="14.45" customHeight="1" x14ac:dyDescent="0.2">
      <c r="A279" s="463"/>
      <c r="B279" s="464" t="s">
        <v>2144</v>
      </c>
      <c r="C279" s="464" t="s">
        <v>1921</v>
      </c>
      <c r="D279" s="464" t="s">
        <v>1920</v>
      </c>
      <c r="E279" s="464" t="s">
        <v>1930</v>
      </c>
      <c r="F279" s="464" t="s">
        <v>2147</v>
      </c>
      <c r="G279" s="464"/>
      <c r="H279" s="468">
        <v>509</v>
      </c>
      <c r="I279" s="468">
        <v>110453</v>
      </c>
      <c r="J279" s="464">
        <v>0.95497185741088175</v>
      </c>
      <c r="K279" s="464">
        <v>217</v>
      </c>
      <c r="L279" s="468">
        <v>533</v>
      </c>
      <c r="M279" s="468">
        <v>115661</v>
      </c>
      <c r="N279" s="464">
        <v>1</v>
      </c>
      <c r="O279" s="464">
        <v>217</v>
      </c>
      <c r="P279" s="468">
        <v>543</v>
      </c>
      <c r="Q279" s="468">
        <v>117831</v>
      </c>
      <c r="R279" s="491">
        <v>1.0187617260787993</v>
      </c>
      <c r="S279" s="469">
        <v>217</v>
      </c>
    </row>
    <row r="280" spans="1:19" ht="14.45" customHeight="1" x14ac:dyDescent="0.2">
      <c r="A280" s="463"/>
      <c r="B280" s="464" t="s">
        <v>2144</v>
      </c>
      <c r="C280" s="464" t="s">
        <v>1921</v>
      </c>
      <c r="D280" s="464" t="s">
        <v>1920</v>
      </c>
      <c r="E280" s="464" t="s">
        <v>1930</v>
      </c>
      <c r="F280" s="464" t="s">
        <v>2148</v>
      </c>
      <c r="G280" s="464"/>
      <c r="H280" s="468">
        <v>4</v>
      </c>
      <c r="I280" s="468">
        <v>5156</v>
      </c>
      <c r="J280" s="464"/>
      <c r="K280" s="464">
        <v>1289</v>
      </c>
      <c r="L280" s="468"/>
      <c r="M280" s="468"/>
      <c r="N280" s="464"/>
      <c r="O280" s="464"/>
      <c r="P280" s="468">
        <v>1</v>
      </c>
      <c r="Q280" s="468">
        <v>1289</v>
      </c>
      <c r="R280" s="491"/>
      <c r="S280" s="469">
        <v>1289</v>
      </c>
    </row>
    <row r="281" spans="1:19" ht="14.45" customHeight="1" x14ac:dyDescent="0.2">
      <c r="A281" s="463"/>
      <c r="B281" s="464" t="s">
        <v>2144</v>
      </c>
      <c r="C281" s="464" t="s">
        <v>1921</v>
      </c>
      <c r="D281" s="464" t="s">
        <v>1920</v>
      </c>
      <c r="E281" s="464" t="s">
        <v>1930</v>
      </c>
      <c r="F281" s="464" t="s">
        <v>2149</v>
      </c>
      <c r="G281" s="464"/>
      <c r="H281" s="468">
        <v>2</v>
      </c>
      <c r="I281" s="468">
        <v>3540</v>
      </c>
      <c r="J281" s="464">
        <v>1</v>
      </c>
      <c r="K281" s="464">
        <v>1770</v>
      </c>
      <c r="L281" s="468">
        <v>2</v>
      </c>
      <c r="M281" s="468">
        <v>3540</v>
      </c>
      <c r="N281" s="464">
        <v>1</v>
      </c>
      <c r="O281" s="464">
        <v>1770</v>
      </c>
      <c r="P281" s="468">
        <v>1</v>
      </c>
      <c r="Q281" s="468">
        <v>1770</v>
      </c>
      <c r="R281" s="491">
        <v>0.5</v>
      </c>
      <c r="S281" s="469">
        <v>1770</v>
      </c>
    </row>
    <row r="282" spans="1:19" ht="14.45" customHeight="1" x14ac:dyDescent="0.2">
      <c r="A282" s="463"/>
      <c r="B282" s="464" t="s">
        <v>2144</v>
      </c>
      <c r="C282" s="464" t="s">
        <v>1921</v>
      </c>
      <c r="D282" s="464" t="s">
        <v>1920</v>
      </c>
      <c r="E282" s="464" t="s">
        <v>1930</v>
      </c>
      <c r="F282" s="464" t="s">
        <v>2150</v>
      </c>
      <c r="G282" s="464"/>
      <c r="H282" s="468">
        <v>5</v>
      </c>
      <c r="I282" s="468">
        <v>12250</v>
      </c>
      <c r="J282" s="464">
        <v>0.625</v>
      </c>
      <c r="K282" s="464">
        <v>2450</v>
      </c>
      <c r="L282" s="468">
        <v>8</v>
      </c>
      <c r="M282" s="468">
        <v>19600</v>
      </c>
      <c r="N282" s="464">
        <v>1</v>
      </c>
      <c r="O282" s="464">
        <v>2450</v>
      </c>
      <c r="P282" s="468">
        <v>7</v>
      </c>
      <c r="Q282" s="468">
        <v>17150</v>
      </c>
      <c r="R282" s="491">
        <v>0.875</v>
      </c>
      <c r="S282" s="469">
        <v>2450</v>
      </c>
    </row>
    <row r="283" spans="1:19" ht="14.45" customHeight="1" x14ac:dyDescent="0.2">
      <c r="A283" s="463"/>
      <c r="B283" s="464" t="s">
        <v>2144</v>
      </c>
      <c r="C283" s="464" t="s">
        <v>1921</v>
      </c>
      <c r="D283" s="464" t="s">
        <v>1920</v>
      </c>
      <c r="E283" s="464" t="s">
        <v>1930</v>
      </c>
      <c r="F283" s="464" t="s">
        <v>2151</v>
      </c>
      <c r="G283" s="464"/>
      <c r="H283" s="468"/>
      <c r="I283" s="468"/>
      <c r="J283" s="464"/>
      <c r="K283" s="464"/>
      <c r="L283" s="468">
        <v>2</v>
      </c>
      <c r="M283" s="468">
        <v>2606</v>
      </c>
      <c r="N283" s="464">
        <v>1</v>
      </c>
      <c r="O283" s="464">
        <v>1303</v>
      </c>
      <c r="P283" s="468"/>
      <c r="Q283" s="468"/>
      <c r="R283" s="491"/>
      <c r="S283" s="469"/>
    </row>
    <row r="284" spans="1:19" ht="14.45" customHeight="1" x14ac:dyDescent="0.2">
      <c r="A284" s="463"/>
      <c r="B284" s="464" t="s">
        <v>2144</v>
      </c>
      <c r="C284" s="464" t="s">
        <v>1921</v>
      </c>
      <c r="D284" s="464" t="s">
        <v>1920</v>
      </c>
      <c r="E284" s="464" t="s">
        <v>1930</v>
      </c>
      <c r="F284" s="464" t="s">
        <v>2152</v>
      </c>
      <c r="G284" s="464"/>
      <c r="H284" s="468">
        <v>246</v>
      </c>
      <c r="I284" s="468">
        <v>256578</v>
      </c>
      <c r="J284" s="464">
        <v>0.91791044776119401</v>
      </c>
      <c r="K284" s="464">
        <v>1043</v>
      </c>
      <c r="L284" s="468">
        <v>268</v>
      </c>
      <c r="M284" s="468">
        <v>279524</v>
      </c>
      <c r="N284" s="464">
        <v>1</v>
      </c>
      <c r="O284" s="464">
        <v>1043</v>
      </c>
      <c r="P284" s="468">
        <v>281</v>
      </c>
      <c r="Q284" s="468">
        <v>293083</v>
      </c>
      <c r="R284" s="491">
        <v>1.0485074626865671</v>
      </c>
      <c r="S284" s="469">
        <v>1043</v>
      </c>
    </row>
    <row r="285" spans="1:19" ht="14.45" customHeight="1" x14ac:dyDescent="0.2">
      <c r="A285" s="463"/>
      <c r="B285" s="464" t="s">
        <v>2144</v>
      </c>
      <c r="C285" s="464" t="s">
        <v>1921</v>
      </c>
      <c r="D285" s="464" t="s">
        <v>1920</v>
      </c>
      <c r="E285" s="464" t="s">
        <v>1930</v>
      </c>
      <c r="F285" s="464" t="s">
        <v>2153</v>
      </c>
      <c r="G285" s="464"/>
      <c r="H285" s="468">
        <v>2</v>
      </c>
      <c r="I285" s="468">
        <v>3308</v>
      </c>
      <c r="J285" s="464">
        <v>0.66666666666666663</v>
      </c>
      <c r="K285" s="464">
        <v>1654</v>
      </c>
      <c r="L285" s="468">
        <v>3</v>
      </c>
      <c r="M285" s="468">
        <v>4962</v>
      </c>
      <c r="N285" s="464">
        <v>1</v>
      </c>
      <c r="O285" s="464">
        <v>1654</v>
      </c>
      <c r="P285" s="468">
        <v>2</v>
      </c>
      <c r="Q285" s="468">
        <v>3308</v>
      </c>
      <c r="R285" s="491">
        <v>0.66666666666666663</v>
      </c>
      <c r="S285" s="469">
        <v>1654</v>
      </c>
    </row>
    <row r="286" spans="1:19" ht="14.45" customHeight="1" x14ac:dyDescent="0.2">
      <c r="A286" s="463"/>
      <c r="B286" s="464" t="s">
        <v>2144</v>
      </c>
      <c r="C286" s="464" t="s">
        <v>1921</v>
      </c>
      <c r="D286" s="464" t="s">
        <v>1920</v>
      </c>
      <c r="E286" s="464" t="s">
        <v>1930</v>
      </c>
      <c r="F286" s="464" t="s">
        <v>2154</v>
      </c>
      <c r="G286" s="464"/>
      <c r="H286" s="468">
        <v>40</v>
      </c>
      <c r="I286" s="468">
        <v>52920</v>
      </c>
      <c r="J286" s="464">
        <v>1.4285714285714286</v>
      </c>
      <c r="K286" s="464">
        <v>1323</v>
      </c>
      <c r="L286" s="468">
        <v>28</v>
      </c>
      <c r="M286" s="468">
        <v>37044</v>
      </c>
      <c r="N286" s="464">
        <v>1</v>
      </c>
      <c r="O286" s="464">
        <v>1323</v>
      </c>
      <c r="P286" s="468">
        <v>29</v>
      </c>
      <c r="Q286" s="468">
        <v>38367</v>
      </c>
      <c r="R286" s="491">
        <v>1.0357142857142858</v>
      </c>
      <c r="S286" s="469">
        <v>1323</v>
      </c>
    </row>
    <row r="287" spans="1:19" ht="14.45" customHeight="1" x14ac:dyDescent="0.2">
      <c r="A287" s="463"/>
      <c r="B287" s="464" t="s">
        <v>2144</v>
      </c>
      <c r="C287" s="464" t="s">
        <v>1921</v>
      </c>
      <c r="D287" s="464" t="s">
        <v>1920</v>
      </c>
      <c r="E287" s="464" t="s">
        <v>1930</v>
      </c>
      <c r="F287" s="464" t="s">
        <v>2155</v>
      </c>
      <c r="G287" s="464"/>
      <c r="H287" s="468">
        <v>6</v>
      </c>
      <c r="I287" s="468">
        <v>11598</v>
      </c>
      <c r="J287" s="464">
        <v>2</v>
      </c>
      <c r="K287" s="464">
        <v>1933</v>
      </c>
      <c r="L287" s="468">
        <v>3</v>
      </c>
      <c r="M287" s="468">
        <v>5799</v>
      </c>
      <c r="N287" s="464">
        <v>1</v>
      </c>
      <c r="O287" s="464">
        <v>1933</v>
      </c>
      <c r="P287" s="468">
        <v>3</v>
      </c>
      <c r="Q287" s="468">
        <v>5799</v>
      </c>
      <c r="R287" s="491">
        <v>1</v>
      </c>
      <c r="S287" s="469">
        <v>1933</v>
      </c>
    </row>
    <row r="288" spans="1:19" ht="14.45" customHeight="1" x14ac:dyDescent="0.2">
      <c r="A288" s="463"/>
      <c r="B288" s="464" t="s">
        <v>2144</v>
      </c>
      <c r="C288" s="464" t="s">
        <v>1921</v>
      </c>
      <c r="D288" s="464" t="s">
        <v>1920</v>
      </c>
      <c r="E288" s="464" t="s">
        <v>1930</v>
      </c>
      <c r="F288" s="464" t="s">
        <v>2156</v>
      </c>
      <c r="G288" s="464"/>
      <c r="H288" s="468">
        <v>1</v>
      </c>
      <c r="I288" s="468">
        <v>678</v>
      </c>
      <c r="J288" s="464">
        <v>0.2</v>
      </c>
      <c r="K288" s="464">
        <v>678</v>
      </c>
      <c r="L288" s="468">
        <v>5</v>
      </c>
      <c r="M288" s="468">
        <v>3390</v>
      </c>
      <c r="N288" s="464">
        <v>1</v>
      </c>
      <c r="O288" s="464">
        <v>678</v>
      </c>
      <c r="P288" s="468">
        <v>2</v>
      </c>
      <c r="Q288" s="468">
        <v>1356</v>
      </c>
      <c r="R288" s="491">
        <v>0.4</v>
      </c>
      <c r="S288" s="469">
        <v>678</v>
      </c>
    </row>
    <row r="289" spans="1:19" ht="14.45" customHeight="1" x14ac:dyDescent="0.2">
      <c r="A289" s="463"/>
      <c r="B289" s="464" t="s">
        <v>2144</v>
      </c>
      <c r="C289" s="464" t="s">
        <v>1921</v>
      </c>
      <c r="D289" s="464" t="s">
        <v>1920</v>
      </c>
      <c r="E289" s="464" t="s">
        <v>1930</v>
      </c>
      <c r="F289" s="464" t="s">
        <v>2157</v>
      </c>
      <c r="G289" s="464"/>
      <c r="H289" s="468">
        <v>89</v>
      </c>
      <c r="I289" s="468">
        <v>48238</v>
      </c>
      <c r="J289" s="464">
        <v>1.0348837209302326</v>
      </c>
      <c r="K289" s="464">
        <v>542</v>
      </c>
      <c r="L289" s="468">
        <v>86</v>
      </c>
      <c r="M289" s="468">
        <v>46612</v>
      </c>
      <c r="N289" s="464">
        <v>1</v>
      </c>
      <c r="O289" s="464">
        <v>542</v>
      </c>
      <c r="P289" s="468">
        <v>101</v>
      </c>
      <c r="Q289" s="468">
        <v>54742.54</v>
      </c>
      <c r="R289" s="491">
        <v>1.1744301896507336</v>
      </c>
      <c r="S289" s="469">
        <v>542.00534653465343</v>
      </c>
    </row>
    <row r="290" spans="1:19" ht="14.45" customHeight="1" x14ac:dyDescent="0.2">
      <c r="A290" s="463"/>
      <c r="B290" s="464" t="s">
        <v>2144</v>
      </c>
      <c r="C290" s="464" t="s">
        <v>1921</v>
      </c>
      <c r="D290" s="464" t="s">
        <v>1920</v>
      </c>
      <c r="E290" s="464" t="s">
        <v>1930</v>
      </c>
      <c r="F290" s="464" t="s">
        <v>2158</v>
      </c>
      <c r="G290" s="464"/>
      <c r="H290" s="468"/>
      <c r="I290" s="468"/>
      <c r="J290" s="464"/>
      <c r="K290" s="464"/>
      <c r="L290" s="468">
        <v>2</v>
      </c>
      <c r="M290" s="468">
        <v>596</v>
      </c>
      <c r="N290" s="464">
        <v>1</v>
      </c>
      <c r="O290" s="464">
        <v>298</v>
      </c>
      <c r="P290" s="468"/>
      <c r="Q290" s="468"/>
      <c r="R290" s="491"/>
      <c r="S290" s="469"/>
    </row>
    <row r="291" spans="1:19" ht="14.45" customHeight="1" x14ac:dyDescent="0.2">
      <c r="A291" s="463"/>
      <c r="B291" s="464" t="s">
        <v>2144</v>
      </c>
      <c r="C291" s="464" t="s">
        <v>1921</v>
      </c>
      <c r="D291" s="464" t="s">
        <v>1920</v>
      </c>
      <c r="E291" s="464" t="s">
        <v>1930</v>
      </c>
      <c r="F291" s="464" t="s">
        <v>2159</v>
      </c>
      <c r="G291" s="464"/>
      <c r="H291" s="468">
        <v>77</v>
      </c>
      <c r="I291" s="468">
        <v>44583</v>
      </c>
      <c r="J291" s="464">
        <v>0.8651685393258427</v>
      </c>
      <c r="K291" s="464">
        <v>579</v>
      </c>
      <c r="L291" s="468">
        <v>89</v>
      </c>
      <c r="M291" s="468">
        <v>51531</v>
      </c>
      <c r="N291" s="464">
        <v>1</v>
      </c>
      <c r="O291" s="464">
        <v>579</v>
      </c>
      <c r="P291" s="468">
        <v>78</v>
      </c>
      <c r="Q291" s="468">
        <v>45162</v>
      </c>
      <c r="R291" s="491">
        <v>0.8764044943820225</v>
      </c>
      <c r="S291" s="469">
        <v>579</v>
      </c>
    </row>
    <row r="292" spans="1:19" ht="14.45" customHeight="1" x14ac:dyDescent="0.2">
      <c r="A292" s="463"/>
      <c r="B292" s="464" t="s">
        <v>2144</v>
      </c>
      <c r="C292" s="464" t="s">
        <v>1921</v>
      </c>
      <c r="D292" s="464" t="s">
        <v>1920</v>
      </c>
      <c r="E292" s="464" t="s">
        <v>1930</v>
      </c>
      <c r="F292" s="464" t="s">
        <v>1936</v>
      </c>
      <c r="G292" s="464"/>
      <c r="H292" s="468">
        <v>28</v>
      </c>
      <c r="I292" s="468">
        <v>3164</v>
      </c>
      <c r="J292" s="464">
        <v>0.35</v>
      </c>
      <c r="K292" s="464">
        <v>113</v>
      </c>
      <c r="L292" s="468">
        <v>80</v>
      </c>
      <c r="M292" s="468">
        <v>9040</v>
      </c>
      <c r="N292" s="464">
        <v>1</v>
      </c>
      <c r="O292" s="464">
        <v>113</v>
      </c>
      <c r="P292" s="468">
        <v>122</v>
      </c>
      <c r="Q292" s="468">
        <v>13786</v>
      </c>
      <c r="R292" s="491">
        <v>1.5249999999999999</v>
      </c>
      <c r="S292" s="469">
        <v>113</v>
      </c>
    </row>
    <row r="293" spans="1:19" ht="14.45" customHeight="1" x14ac:dyDescent="0.2">
      <c r="A293" s="463"/>
      <c r="B293" s="464" t="s">
        <v>2144</v>
      </c>
      <c r="C293" s="464" t="s">
        <v>1921</v>
      </c>
      <c r="D293" s="464" t="s">
        <v>1920</v>
      </c>
      <c r="E293" s="464" t="s">
        <v>1930</v>
      </c>
      <c r="F293" s="464" t="s">
        <v>1937</v>
      </c>
      <c r="G293" s="464"/>
      <c r="H293" s="468">
        <v>4</v>
      </c>
      <c r="I293" s="468">
        <v>528</v>
      </c>
      <c r="J293" s="464">
        <v>0.30769230769230771</v>
      </c>
      <c r="K293" s="464">
        <v>132</v>
      </c>
      <c r="L293" s="468">
        <v>13</v>
      </c>
      <c r="M293" s="468">
        <v>1716</v>
      </c>
      <c r="N293" s="464">
        <v>1</v>
      </c>
      <c r="O293" s="464">
        <v>132</v>
      </c>
      <c r="P293" s="468">
        <v>21</v>
      </c>
      <c r="Q293" s="468">
        <v>2772</v>
      </c>
      <c r="R293" s="491">
        <v>1.6153846153846154</v>
      </c>
      <c r="S293" s="469">
        <v>132</v>
      </c>
    </row>
    <row r="294" spans="1:19" ht="14.45" customHeight="1" x14ac:dyDescent="0.2">
      <c r="A294" s="463"/>
      <c r="B294" s="464" t="s">
        <v>2144</v>
      </c>
      <c r="C294" s="464" t="s">
        <v>1921</v>
      </c>
      <c r="D294" s="464" t="s">
        <v>1920</v>
      </c>
      <c r="E294" s="464" t="s">
        <v>1930</v>
      </c>
      <c r="F294" s="464" t="s">
        <v>1938</v>
      </c>
      <c r="G294" s="464"/>
      <c r="H294" s="468">
        <v>4</v>
      </c>
      <c r="I294" s="468">
        <v>624</v>
      </c>
      <c r="J294" s="464">
        <v>6.4516129032258063E-2</v>
      </c>
      <c r="K294" s="464">
        <v>156</v>
      </c>
      <c r="L294" s="468">
        <v>62</v>
      </c>
      <c r="M294" s="468">
        <v>9672</v>
      </c>
      <c r="N294" s="464">
        <v>1</v>
      </c>
      <c r="O294" s="464">
        <v>156</v>
      </c>
      <c r="P294" s="468">
        <v>164</v>
      </c>
      <c r="Q294" s="468">
        <v>25584</v>
      </c>
      <c r="R294" s="491">
        <v>2.6451612903225805</v>
      </c>
      <c r="S294" s="469">
        <v>156</v>
      </c>
    </row>
    <row r="295" spans="1:19" ht="14.45" customHeight="1" x14ac:dyDescent="0.2">
      <c r="A295" s="463"/>
      <c r="B295" s="464" t="s">
        <v>2144</v>
      </c>
      <c r="C295" s="464" t="s">
        <v>1921</v>
      </c>
      <c r="D295" s="464" t="s">
        <v>1920</v>
      </c>
      <c r="E295" s="464" t="s">
        <v>1930</v>
      </c>
      <c r="F295" s="464" t="s">
        <v>1962</v>
      </c>
      <c r="G295" s="464"/>
      <c r="H295" s="468">
        <v>3</v>
      </c>
      <c r="I295" s="468">
        <v>6000</v>
      </c>
      <c r="J295" s="464">
        <v>1.5</v>
      </c>
      <c r="K295" s="464">
        <v>2000</v>
      </c>
      <c r="L295" s="468">
        <v>2</v>
      </c>
      <c r="M295" s="468">
        <v>4000</v>
      </c>
      <c r="N295" s="464">
        <v>1</v>
      </c>
      <c r="O295" s="464">
        <v>2000</v>
      </c>
      <c r="P295" s="468">
        <v>3</v>
      </c>
      <c r="Q295" s="468">
        <v>6000</v>
      </c>
      <c r="R295" s="491">
        <v>1.5</v>
      </c>
      <c r="S295" s="469">
        <v>2000</v>
      </c>
    </row>
    <row r="296" spans="1:19" ht="14.45" customHeight="1" x14ac:dyDescent="0.2">
      <c r="A296" s="463"/>
      <c r="B296" s="464" t="s">
        <v>2144</v>
      </c>
      <c r="C296" s="464" t="s">
        <v>1921</v>
      </c>
      <c r="D296" s="464" t="s">
        <v>1920</v>
      </c>
      <c r="E296" s="464" t="s">
        <v>1930</v>
      </c>
      <c r="F296" s="464" t="s">
        <v>1978</v>
      </c>
      <c r="G296" s="464"/>
      <c r="H296" s="468">
        <v>8</v>
      </c>
      <c r="I296" s="468">
        <v>8064</v>
      </c>
      <c r="J296" s="464">
        <v>2</v>
      </c>
      <c r="K296" s="464">
        <v>1008</v>
      </c>
      <c r="L296" s="468">
        <v>4</v>
      </c>
      <c r="M296" s="468">
        <v>4032</v>
      </c>
      <c r="N296" s="464">
        <v>1</v>
      </c>
      <c r="O296" s="464">
        <v>1008</v>
      </c>
      <c r="P296" s="468">
        <v>4</v>
      </c>
      <c r="Q296" s="468">
        <v>4032</v>
      </c>
      <c r="R296" s="491">
        <v>1</v>
      </c>
      <c r="S296" s="469">
        <v>1008</v>
      </c>
    </row>
    <row r="297" spans="1:19" ht="14.45" customHeight="1" x14ac:dyDescent="0.2">
      <c r="A297" s="463"/>
      <c r="B297" s="464" t="s">
        <v>2144</v>
      </c>
      <c r="C297" s="464" t="s">
        <v>1921</v>
      </c>
      <c r="D297" s="464" t="s">
        <v>1920</v>
      </c>
      <c r="E297" s="464" t="s">
        <v>1930</v>
      </c>
      <c r="F297" s="464" t="s">
        <v>2160</v>
      </c>
      <c r="G297" s="464"/>
      <c r="H297" s="468">
        <v>230</v>
      </c>
      <c r="I297" s="468">
        <v>49910</v>
      </c>
      <c r="J297" s="464">
        <v>0.82733812949640284</v>
      </c>
      <c r="K297" s="464">
        <v>217</v>
      </c>
      <c r="L297" s="468">
        <v>278</v>
      </c>
      <c r="M297" s="468">
        <v>60326</v>
      </c>
      <c r="N297" s="464">
        <v>1</v>
      </c>
      <c r="O297" s="464">
        <v>217</v>
      </c>
      <c r="P297" s="468">
        <v>278</v>
      </c>
      <c r="Q297" s="468">
        <v>60118</v>
      </c>
      <c r="R297" s="491">
        <v>0.99655206710207866</v>
      </c>
      <c r="S297" s="469">
        <v>216.25179856115108</v>
      </c>
    </row>
    <row r="298" spans="1:19" ht="14.45" customHeight="1" x14ac:dyDescent="0.2">
      <c r="A298" s="463"/>
      <c r="B298" s="464" t="s">
        <v>2144</v>
      </c>
      <c r="C298" s="464" t="s">
        <v>1921</v>
      </c>
      <c r="D298" s="464" t="s">
        <v>1920</v>
      </c>
      <c r="E298" s="464" t="s">
        <v>1930</v>
      </c>
      <c r="F298" s="464" t="s">
        <v>2161</v>
      </c>
      <c r="G298" s="464"/>
      <c r="H298" s="468">
        <v>144</v>
      </c>
      <c r="I298" s="468">
        <v>150192</v>
      </c>
      <c r="J298" s="464">
        <v>0.676056338028169</v>
      </c>
      <c r="K298" s="464">
        <v>1043</v>
      </c>
      <c r="L298" s="468">
        <v>213</v>
      </c>
      <c r="M298" s="468">
        <v>222159</v>
      </c>
      <c r="N298" s="464">
        <v>1</v>
      </c>
      <c r="O298" s="464">
        <v>1043</v>
      </c>
      <c r="P298" s="468">
        <v>207</v>
      </c>
      <c r="Q298" s="468">
        <v>215901</v>
      </c>
      <c r="R298" s="491">
        <v>0.971830985915493</v>
      </c>
      <c r="S298" s="469">
        <v>1043</v>
      </c>
    </row>
    <row r="299" spans="1:19" ht="14.45" customHeight="1" x14ac:dyDescent="0.2">
      <c r="A299" s="463"/>
      <c r="B299" s="464" t="s">
        <v>2144</v>
      </c>
      <c r="C299" s="464" t="s">
        <v>1921</v>
      </c>
      <c r="D299" s="464" t="s">
        <v>1920</v>
      </c>
      <c r="E299" s="464" t="s">
        <v>1930</v>
      </c>
      <c r="F299" s="464" t="s">
        <v>2162</v>
      </c>
      <c r="G299" s="464"/>
      <c r="H299" s="468">
        <v>2</v>
      </c>
      <c r="I299" s="468">
        <v>2646</v>
      </c>
      <c r="J299" s="464">
        <v>0.2857142857142857</v>
      </c>
      <c r="K299" s="464">
        <v>1323</v>
      </c>
      <c r="L299" s="468">
        <v>7</v>
      </c>
      <c r="M299" s="468">
        <v>9261</v>
      </c>
      <c r="N299" s="464">
        <v>1</v>
      </c>
      <c r="O299" s="464">
        <v>1323</v>
      </c>
      <c r="P299" s="468">
        <v>9</v>
      </c>
      <c r="Q299" s="468">
        <v>11907</v>
      </c>
      <c r="R299" s="491">
        <v>1.2857142857142858</v>
      </c>
      <c r="S299" s="469">
        <v>1323</v>
      </c>
    </row>
    <row r="300" spans="1:19" ht="14.45" customHeight="1" x14ac:dyDescent="0.2">
      <c r="A300" s="463"/>
      <c r="B300" s="464" t="s">
        <v>2144</v>
      </c>
      <c r="C300" s="464" t="s">
        <v>1921</v>
      </c>
      <c r="D300" s="464" t="s">
        <v>1920</v>
      </c>
      <c r="E300" s="464" t="s">
        <v>1930</v>
      </c>
      <c r="F300" s="464" t="s">
        <v>2163</v>
      </c>
      <c r="G300" s="464"/>
      <c r="H300" s="468">
        <v>27</v>
      </c>
      <c r="I300" s="468">
        <v>14634</v>
      </c>
      <c r="J300" s="464">
        <v>1.6875</v>
      </c>
      <c r="K300" s="464">
        <v>542</v>
      </c>
      <c r="L300" s="468">
        <v>16</v>
      </c>
      <c r="M300" s="468">
        <v>8672</v>
      </c>
      <c r="N300" s="464">
        <v>1</v>
      </c>
      <c r="O300" s="464">
        <v>542</v>
      </c>
      <c r="P300" s="468">
        <v>8</v>
      </c>
      <c r="Q300" s="468">
        <v>4336</v>
      </c>
      <c r="R300" s="491">
        <v>0.5</v>
      </c>
      <c r="S300" s="469">
        <v>542</v>
      </c>
    </row>
    <row r="301" spans="1:19" ht="14.45" customHeight="1" x14ac:dyDescent="0.2">
      <c r="A301" s="463"/>
      <c r="B301" s="464" t="s">
        <v>2144</v>
      </c>
      <c r="C301" s="464" t="s">
        <v>1921</v>
      </c>
      <c r="D301" s="464" t="s">
        <v>1920</v>
      </c>
      <c r="E301" s="464" t="s">
        <v>1930</v>
      </c>
      <c r="F301" s="464" t="s">
        <v>2164</v>
      </c>
      <c r="G301" s="464"/>
      <c r="H301" s="468">
        <v>1</v>
      </c>
      <c r="I301" s="468">
        <v>298</v>
      </c>
      <c r="J301" s="464"/>
      <c r="K301" s="464">
        <v>298</v>
      </c>
      <c r="L301" s="468"/>
      <c r="M301" s="468"/>
      <c r="N301" s="464"/>
      <c r="O301" s="464"/>
      <c r="P301" s="468"/>
      <c r="Q301" s="468"/>
      <c r="R301" s="491"/>
      <c r="S301" s="469"/>
    </row>
    <row r="302" spans="1:19" ht="14.45" customHeight="1" x14ac:dyDescent="0.2">
      <c r="A302" s="463"/>
      <c r="B302" s="464" t="s">
        <v>2144</v>
      </c>
      <c r="C302" s="464" t="s">
        <v>1921</v>
      </c>
      <c r="D302" s="464" t="s">
        <v>1920</v>
      </c>
      <c r="E302" s="464" t="s">
        <v>1930</v>
      </c>
      <c r="F302" s="464" t="s">
        <v>2165</v>
      </c>
      <c r="G302" s="464"/>
      <c r="H302" s="468">
        <v>104</v>
      </c>
      <c r="I302" s="468">
        <v>60216</v>
      </c>
      <c r="J302" s="464">
        <v>1.0833333333333333</v>
      </c>
      <c r="K302" s="464">
        <v>579</v>
      </c>
      <c r="L302" s="468">
        <v>96</v>
      </c>
      <c r="M302" s="468">
        <v>55584</v>
      </c>
      <c r="N302" s="464">
        <v>1</v>
      </c>
      <c r="O302" s="464">
        <v>579</v>
      </c>
      <c r="P302" s="468">
        <v>92</v>
      </c>
      <c r="Q302" s="468">
        <v>53268</v>
      </c>
      <c r="R302" s="491">
        <v>0.95833333333333337</v>
      </c>
      <c r="S302" s="469">
        <v>579</v>
      </c>
    </row>
    <row r="303" spans="1:19" ht="14.45" customHeight="1" x14ac:dyDescent="0.2">
      <c r="A303" s="463"/>
      <c r="B303" s="464" t="s">
        <v>2144</v>
      </c>
      <c r="C303" s="464" t="s">
        <v>1921</v>
      </c>
      <c r="D303" s="464" t="s">
        <v>1920</v>
      </c>
      <c r="E303" s="464" t="s">
        <v>1930</v>
      </c>
      <c r="F303" s="464" t="s">
        <v>2166</v>
      </c>
      <c r="G303" s="464"/>
      <c r="H303" s="468"/>
      <c r="I303" s="468"/>
      <c r="J303" s="464"/>
      <c r="K303" s="464"/>
      <c r="L303" s="468">
        <v>1</v>
      </c>
      <c r="M303" s="468">
        <v>15615</v>
      </c>
      <c r="N303" s="464">
        <v>1</v>
      </c>
      <c r="O303" s="464">
        <v>15615</v>
      </c>
      <c r="P303" s="468"/>
      <c r="Q303" s="468"/>
      <c r="R303" s="491"/>
      <c r="S303" s="469"/>
    </row>
    <row r="304" spans="1:19" ht="14.45" customHeight="1" x14ac:dyDescent="0.2">
      <c r="A304" s="463"/>
      <c r="B304" s="464" t="s">
        <v>2144</v>
      </c>
      <c r="C304" s="464" t="s">
        <v>1921</v>
      </c>
      <c r="D304" s="464" t="s">
        <v>1920</v>
      </c>
      <c r="E304" s="464" t="s">
        <v>1930</v>
      </c>
      <c r="F304" s="464" t="s">
        <v>2167</v>
      </c>
      <c r="G304" s="464"/>
      <c r="H304" s="468"/>
      <c r="I304" s="468"/>
      <c r="J304" s="464"/>
      <c r="K304" s="464"/>
      <c r="L304" s="468">
        <v>1</v>
      </c>
      <c r="M304" s="468">
        <v>678</v>
      </c>
      <c r="N304" s="464">
        <v>1</v>
      </c>
      <c r="O304" s="464">
        <v>678</v>
      </c>
      <c r="P304" s="468"/>
      <c r="Q304" s="468"/>
      <c r="R304" s="491"/>
      <c r="S304" s="469"/>
    </row>
    <row r="305" spans="1:19" ht="14.45" customHeight="1" x14ac:dyDescent="0.2">
      <c r="A305" s="463"/>
      <c r="B305" s="464" t="s">
        <v>2144</v>
      </c>
      <c r="C305" s="464" t="s">
        <v>1921</v>
      </c>
      <c r="D305" s="464" t="s">
        <v>1920</v>
      </c>
      <c r="E305" s="464" t="s">
        <v>1930</v>
      </c>
      <c r="F305" s="464" t="s">
        <v>2168</v>
      </c>
      <c r="G305" s="464"/>
      <c r="H305" s="468"/>
      <c r="I305" s="468"/>
      <c r="J305" s="464"/>
      <c r="K305" s="464"/>
      <c r="L305" s="468">
        <v>2</v>
      </c>
      <c r="M305" s="468">
        <v>2606</v>
      </c>
      <c r="N305" s="464">
        <v>1</v>
      </c>
      <c r="O305" s="464">
        <v>1303</v>
      </c>
      <c r="P305" s="468">
        <v>2</v>
      </c>
      <c r="Q305" s="468">
        <v>2606</v>
      </c>
      <c r="R305" s="491">
        <v>1</v>
      </c>
      <c r="S305" s="469">
        <v>1303</v>
      </c>
    </row>
    <row r="306" spans="1:19" ht="14.45" customHeight="1" x14ac:dyDescent="0.2">
      <c r="A306" s="463"/>
      <c r="B306" s="464" t="s">
        <v>2144</v>
      </c>
      <c r="C306" s="464" t="s">
        <v>1921</v>
      </c>
      <c r="D306" s="464" t="s">
        <v>1920</v>
      </c>
      <c r="E306" s="464" t="s">
        <v>1930</v>
      </c>
      <c r="F306" s="464" t="s">
        <v>2169</v>
      </c>
      <c r="G306" s="464"/>
      <c r="H306" s="468">
        <v>1</v>
      </c>
      <c r="I306" s="468">
        <v>136</v>
      </c>
      <c r="J306" s="464">
        <v>1</v>
      </c>
      <c r="K306" s="464">
        <v>136</v>
      </c>
      <c r="L306" s="468">
        <v>1</v>
      </c>
      <c r="M306" s="468">
        <v>136</v>
      </c>
      <c r="N306" s="464">
        <v>1</v>
      </c>
      <c r="O306" s="464">
        <v>136</v>
      </c>
      <c r="P306" s="468">
        <v>4</v>
      </c>
      <c r="Q306" s="468">
        <v>544</v>
      </c>
      <c r="R306" s="491">
        <v>4</v>
      </c>
      <c r="S306" s="469">
        <v>136</v>
      </c>
    </row>
    <row r="307" spans="1:19" ht="14.45" customHeight="1" x14ac:dyDescent="0.2">
      <c r="A307" s="463"/>
      <c r="B307" s="464" t="s">
        <v>2144</v>
      </c>
      <c r="C307" s="464" t="s">
        <v>1921</v>
      </c>
      <c r="D307" s="464" t="s">
        <v>1920</v>
      </c>
      <c r="E307" s="464" t="s">
        <v>1930</v>
      </c>
      <c r="F307" s="464" t="s">
        <v>2170</v>
      </c>
      <c r="G307" s="464"/>
      <c r="H307" s="468">
        <v>1</v>
      </c>
      <c r="I307" s="468">
        <v>224</v>
      </c>
      <c r="J307" s="464">
        <v>1</v>
      </c>
      <c r="K307" s="464">
        <v>224</v>
      </c>
      <c r="L307" s="468">
        <v>1</v>
      </c>
      <c r="M307" s="468">
        <v>224</v>
      </c>
      <c r="N307" s="464">
        <v>1</v>
      </c>
      <c r="O307" s="464">
        <v>224</v>
      </c>
      <c r="P307" s="468">
        <v>37</v>
      </c>
      <c r="Q307" s="468">
        <v>8288</v>
      </c>
      <c r="R307" s="491">
        <v>37</v>
      </c>
      <c r="S307" s="469">
        <v>224</v>
      </c>
    </row>
    <row r="308" spans="1:19" ht="14.45" customHeight="1" x14ac:dyDescent="0.2">
      <c r="A308" s="463"/>
      <c r="B308" s="464" t="s">
        <v>2144</v>
      </c>
      <c r="C308" s="464" t="s">
        <v>1921</v>
      </c>
      <c r="D308" s="464" t="s">
        <v>1920</v>
      </c>
      <c r="E308" s="464" t="s">
        <v>1930</v>
      </c>
      <c r="F308" s="464" t="s">
        <v>2171</v>
      </c>
      <c r="G308" s="464"/>
      <c r="H308" s="468"/>
      <c r="I308" s="468"/>
      <c r="J308" s="464"/>
      <c r="K308" s="464"/>
      <c r="L308" s="468">
        <v>13</v>
      </c>
      <c r="M308" s="468">
        <v>14079</v>
      </c>
      <c r="N308" s="464">
        <v>1</v>
      </c>
      <c r="O308" s="464">
        <v>1083</v>
      </c>
      <c r="P308" s="468">
        <v>19</v>
      </c>
      <c r="Q308" s="468">
        <v>20577</v>
      </c>
      <c r="R308" s="491">
        <v>1.4615384615384615</v>
      </c>
      <c r="S308" s="469">
        <v>1083</v>
      </c>
    </row>
    <row r="309" spans="1:19" ht="14.45" customHeight="1" x14ac:dyDescent="0.2">
      <c r="A309" s="463"/>
      <c r="B309" s="464" t="s">
        <v>2144</v>
      </c>
      <c r="C309" s="464" t="s">
        <v>1921</v>
      </c>
      <c r="D309" s="464" t="s">
        <v>1920</v>
      </c>
      <c r="E309" s="464" t="s">
        <v>1930</v>
      </c>
      <c r="F309" s="464" t="s">
        <v>2172</v>
      </c>
      <c r="G309" s="464"/>
      <c r="H309" s="468"/>
      <c r="I309" s="468"/>
      <c r="J309" s="464"/>
      <c r="K309" s="464"/>
      <c r="L309" s="468">
        <v>1</v>
      </c>
      <c r="M309" s="468">
        <v>2450</v>
      </c>
      <c r="N309" s="464">
        <v>1</v>
      </c>
      <c r="O309" s="464">
        <v>2450</v>
      </c>
      <c r="P309" s="468"/>
      <c r="Q309" s="468"/>
      <c r="R309" s="491"/>
      <c r="S309" s="469"/>
    </row>
    <row r="310" spans="1:19" ht="14.45" customHeight="1" x14ac:dyDescent="0.2">
      <c r="A310" s="463"/>
      <c r="B310" s="464" t="s">
        <v>2144</v>
      </c>
      <c r="C310" s="464" t="s">
        <v>1921</v>
      </c>
      <c r="D310" s="464" t="s">
        <v>1920</v>
      </c>
      <c r="E310" s="464" t="s">
        <v>1930</v>
      </c>
      <c r="F310" s="464" t="s">
        <v>2173</v>
      </c>
      <c r="G310" s="464"/>
      <c r="H310" s="468"/>
      <c r="I310" s="468"/>
      <c r="J310" s="464"/>
      <c r="K310" s="464"/>
      <c r="L310" s="468"/>
      <c r="M310" s="468"/>
      <c r="N310" s="464"/>
      <c r="O310" s="464"/>
      <c r="P310" s="468">
        <v>4</v>
      </c>
      <c r="Q310" s="468">
        <v>4332</v>
      </c>
      <c r="R310" s="491"/>
      <c r="S310" s="469">
        <v>1083</v>
      </c>
    </row>
    <row r="311" spans="1:19" ht="14.45" customHeight="1" x14ac:dyDescent="0.2">
      <c r="A311" s="463"/>
      <c r="B311" s="464" t="s">
        <v>2144</v>
      </c>
      <c r="C311" s="464" t="s">
        <v>1921</v>
      </c>
      <c r="D311" s="464" t="s">
        <v>1920</v>
      </c>
      <c r="E311" s="464" t="s">
        <v>1930</v>
      </c>
      <c r="F311" s="464" t="s">
        <v>2174</v>
      </c>
      <c r="G311" s="464"/>
      <c r="H311" s="468"/>
      <c r="I311" s="468"/>
      <c r="J311" s="464"/>
      <c r="K311" s="464"/>
      <c r="L311" s="468"/>
      <c r="M311" s="468"/>
      <c r="N311" s="464"/>
      <c r="O311" s="464"/>
      <c r="P311" s="468">
        <v>1</v>
      </c>
      <c r="Q311" s="468">
        <v>1654</v>
      </c>
      <c r="R311" s="491"/>
      <c r="S311" s="469">
        <v>1654</v>
      </c>
    </row>
    <row r="312" spans="1:19" ht="14.45" customHeight="1" x14ac:dyDescent="0.2">
      <c r="A312" s="463"/>
      <c r="B312" s="464" t="s">
        <v>2144</v>
      </c>
      <c r="C312" s="464" t="s">
        <v>1921</v>
      </c>
      <c r="D312" s="464" t="s">
        <v>1920</v>
      </c>
      <c r="E312" s="464" t="s">
        <v>1930</v>
      </c>
      <c r="F312" s="464" t="s">
        <v>2175</v>
      </c>
      <c r="G312" s="464"/>
      <c r="H312" s="468"/>
      <c r="I312" s="468"/>
      <c r="J312" s="464"/>
      <c r="K312" s="464"/>
      <c r="L312" s="468">
        <v>1</v>
      </c>
      <c r="M312" s="468">
        <v>1289</v>
      </c>
      <c r="N312" s="464">
        <v>1</v>
      </c>
      <c r="O312" s="464">
        <v>1289</v>
      </c>
      <c r="P312" s="468"/>
      <c r="Q312" s="468"/>
      <c r="R312" s="491"/>
      <c r="S312" s="469"/>
    </row>
    <row r="313" spans="1:19" ht="14.45" customHeight="1" x14ac:dyDescent="0.2">
      <c r="A313" s="463"/>
      <c r="B313" s="464" t="s">
        <v>2144</v>
      </c>
      <c r="C313" s="464" t="s">
        <v>1921</v>
      </c>
      <c r="D313" s="464" t="s">
        <v>1920</v>
      </c>
      <c r="E313" s="464" t="s">
        <v>2019</v>
      </c>
      <c r="F313" s="464" t="s">
        <v>2024</v>
      </c>
      <c r="G313" s="464" t="s">
        <v>2025</v>
      </c>
      <c r="H313" s="468">
        <v>26</v>
      </c>
      <c r="I313" s="468">
        <v>2022.2300000000002</v>
      </c>
      <c r="J313" s="464">
        <v>0.59091174734529051</v>
      </c>
      <c r="K313" s="464">
        <v>77.778076923076938</v>
      </c>
      <c r="L313" s="468">
        <v>44</v>
      </c>
      <c r="M313" s="468">
        <v>3422.2200000000003</v>
      </c>
      <c r="N313" s="464">
        <v>1</v>
      </c>
      <c r="O313" s="464">
        <v>77.777727272727276</v>
      </c>
      <c r="P313" s="468">
        <v>73</v>
      </c>
      <c r="Q313" s="468">
        <v>5677.78</v>
      </c>
      <c r="R313" s="491">
        <v>1.6590926357744387</v>
      </c>
      <c r="S313" s="469">
        <v>77.777808219178084</v>
      </c>
    </row>
    <row r="314" spans="1:19" ht="14.45" customHeight="1" x14ac:dyDescent="0.2">
      <c r="A314" s="463"/>
      <c r="B314" s="464" t="s">
        <v>2144</v>
      </c>
      <c r="C314" s="464" t="s">
        <v>1921</v>
      </c>
      <c r="D314" s="464" t="s">
        <v>1920</v>
      </c>
      <c r="E314" s="464" t="s">
        <v>2019</v>
      </c>
      <c r="F314" s="464" t="s">
        <v>2026</v>
      </c>
      <c r="G314" s="464" t="s">
        <v>2027</v>
      </c>
      <c r="H314" s="468">
        <v>42</v>
      </c>
      <c r="I314" s="468">
        <v>10500</v>
      </c>
      <c r="J314" s="464">
        <v>0.8936170212765957</v>
      </c>
      <c r="K314" s="464">
        <v>250</v>
      </c>
      <c r="L314" s="468">
        <v>47</v>
      </c>
      <c r="M314" s="468">
        <v>11750</v>
      </c>
      <c r="N314" s="464">
        <v>1</v>
      </c>
      <c r="O314" s="464">
        <v>250</v>
      </c>
      <c r="P314" s="468">
        <v>30</v>
      </c>
      <c r="Q314" s="468">
        <v>7500</v>
      </c>
      <c r="R314" s="491">
        <v>0.63829787234042556</v>
      </c>
      <c r="S314" s="469">
        <v>250</v>
      </c>
    </row>
    <row r="315" spans="1:19" ht="14.45" customHeight="1" x14ac:dyDescent="0.2">
      <c r="A315" s="463"/>
      <c r="B315" s="464" t="s">
        <v>2144</v>
      </c>
      <c r="C315" s="464" t="s">
        <v>1921</v>
      </c>
      <c r="D315" s="464" t="s">
        <v>1920</v>
      </c>
      <c r="E315" s="464" t="s">
        <v>2019</v>
      </c>
      <c r="F315" s="464" t="s">
        <v>2028</v>
      </c>
      <c r="G315" s="464" t="s">
        <v>2029</v>
      </c>
      <c r="H315" s="468">
        <v>682</v>
      </c>
      <c r="I315" s="468">
        <v>204600</v>
      </c>
      <c r="J315" s="464">
        <v>0.88917861799217734</v>
      </c>
      <c r="K315" s="464">
        <v>300</v>
      </c>
      <c r="L315" s="468">
        <v>767</v>
      </c>
      <c r="M315" s="468">
        <v>230100</v>
      </c>
      <c r="N315" s="464">
        <v>1</v>
      </c>
      <c r="O315" s="464">
        <v>300</v>
      </c>
      <c r="P315" s="468">
        <v>764</v>
      </c>
      <c r="Q315" s="468">
        <v>229200</v>
      </c>
      <c r="R315" s="491">
        <v>0.99608865710560623</v>
      </c>
      <c r="S315" s="469">
        <v>300</v>
      </c>
    </row>
    <row r="316" spans="1:19" ht="14.45" customHeight="1" x14ac:dyDescent="0.2">
      <c r="A316" s="463"/>
      <c r="B316" s="464" t="s">
        <v>2144</v>
      </c>
      <c r="C316" s="464" t="s">
        <v>1921</v>
      </c>
      <c r="D316" s="464" t="s">
        <v>1920</v>
      </c>
      <c r="E316" s="464" t="s">
        <v>2019</v>
      </c>
      <c r="F316" s="464" t="s">
        <v>2030</v>
      </c>
      <c r="G316" s="464" t="s">
        <v>2031</v>
      </c>
      <c r="H316" s="468"/>
      <c r="I316" s="468"/>
      <c r="J316" s="464"/>
      <c r="K316" s="464"/>
      <c r="L316" s="468"/>
      <c r="M316" s="468"/>
      <c r="N316" s="464"/>
      <c r="O316" s="464"/>
      <c r="P316" s="468">
        <v>1</v>
      </c>
      <c r="Q316" s="468">
        <v>116.67</v>
      </c>
      <c r="R316" s="491"/>
      <c r="S316" s="469">
        <v>116.67</v>
      </c>
    </row>
    <row r="317" spans="1:19" ht="14.45" customHeight="1" x14ac:dyDescent="0.2">
      <c r="A317" s="463"/>
      <c r="B317" s="464" t="s">
        <v>2144</v>
      </c>
      <c r="C317" s="464" t="s">
        <v>1921</v>
      </c>
      <c r="D317" s="464" t="s">
        <v>1920</v>
      </c>
      <c r="E317" s="464" t="s">
        <v>2019</v>
      </c>
      <c r="F317" s="464" t="s">
        <v>2032</v>
      </c>
      <c r="G317" s="464" t="s">
        <v>2033</v>
      </c>
      <c r="H317" s="468"/>
      <c r="I317" s="468"/>
      <c r="J317" s="464"/>
      <c r="K317" s="464"/>
      <c r="L317" s="468"/>
      <c r="M317" s="468"/>
      <c r="N317" s="464"/>
      <c r="O317" s="464"/>
      <c r="P317" s="468">
        <v>1</v>
      </c>
      <c r="Q317" s="468">
        <v>550</v>
      </c>
      <c r="R317" s="491"/>
      <c r="S317" s="469">
        <v>550</v>
      </c>
    </row>
    <row r="318" spans="1:19" ht="14.45" customHeight="1" x14ac:dyDescent="0.2">
      <c r="A318" s="463"/>
      <c r="B318" s="464" t="s">
        <v>2144</v>
      </c>
      <c r="C318" s="464" t="s">
        <v>1921</v>
      </c>
      <c r="D318" s="464" t="s">
        <v>1920</v>
      </c>
      <c r="E318" s="464" t="s">
        <v>2019</v>
      </c>
      <c r="F318" s="464" t="s">
        <v>2047</v>
      </c>
      <c r="G318" s="464" t="s">
        <v>2048</v>
      </c>
      <c r="H318" s="468"/>
      <c r="I318" s="468"/>
      <c r="J318" s="464"/>
      <c r="K318" s="464"/>
      <c r="L318" s="468"/>
      <c r="M318" s="468"/>
      <c r="N318" s="464"/>
      <c r="O318" s="464"/>
      <c r="P318" s="468">
        <v>3</v>
      </c>
      <c r="Q318" s="468">
        <v>1400</v>
      </c>
      <c r="R318" s="491"/>
      <c r="S318" s="469">
        <v>466.66666666666669</v>
      </c>
    </row>
    <row r="319" spans="1:19" ht="14.45" customHeight="1" x14ac:dyDescent="0.2">
      <c r="A319" s="463"/>
      <c r="B319" s="464" t="s">
        <v>2144</v>
      </c>
      <c r="C319" s="464" t="s">
        <v>1921</v>
      </c>
      <c r="D319" s="464" t="s">
        <v>1920</v>
      </c>
      <c r="E319" s="464" t="s">
        <v>2019</v>
      </c>
      <c r="F319" s="464" t="s">
        <v>2049</v>
      </c>
      <c r="G319" s="464" t="s">
        <v>2050</v>
      </c>
      <c r="H319" s="468"/>
      <c r="I319" s="468"/>
      <c r="J319" s="464"/>
      <c r="K319" s="464"/>
      <c r="L319" s="468"/>
      <c r="M319" s="468"/>
      <c r="N319" s="464"/>
      <c r="O319" s="464"/>
      <c r="P319" s="468">
        <v>1</v>
      </c>
      <c r="Q319" s="468">
        <v>61.11</v>
      </c>
      <c r="R319" s="491"/>
      <c r="S319" s="469">
        <v>61.11</v>
      </c>
    </row>
    <row r="320" spans="1:19" ht="14.45" customHeight="1" x14ac:dyDescent="0.2">
      <c r="A320" s="463"/>
      <c r="B320" s="464" t="s">
        <v>2144</v>
      </c>
      <c r="C320" s="464" t="s">
        <v>1921</v>
      </c>
      <c r="D320" s="464" t="s">
        <v>1920</v>
      </c>
      <c r="E320" s="464" t="s">
        <v>2019</v>
      </c>
      <c r="F320" s="464" t="s">
        <v>2176</v>
      </c>
      <c r="G320" s="464" t="s">
        <v>2177</v>
      </c>
      <c r="H320" s="468">
        <v>378</v>
      </c>
      <c r="I320" s="468">
        <v>251999.99999999994</v>
      </c>
      <c r="J320" s="464">
        <v>0.8513513513513512</v>
      </c>
      <c r="K320" s="464">
        <v>666.66666666666652</v>
      </c>
      <c r="L320" s="468">
        <v>444</v>
      </c>
      <c r="M320" s="468">
        <v>296000</v>
      </c>
      <c r="N320" s="464">
        <v>1</v>
      </c>
      <c r="O320" s="464">
        <v>666.66666666666663</v>
      </c>
      <c r="P320" s="468">
        <v>415</v>
      </c>
      <c r="Q320" s="468">
        <v>276666.67</v>
      </c>
      <c r="R320" s="491">
        <v>0.93468469594594594</v>
      </c>
      <c r="S320" s="469">
        <v>666.66667469879519</v>
      </c>
    </row>
    <row r="321" spans="1:19" ht="14.45" customHeight="1" x14ac:dyDescent="0.2">
      <c r="A321" s="463"/>
      <c r="B321" s="464" t="s">
        <v>2144</v>
      </c>
      <c r="C321" s="464" t="s">
        <v>1921</v>
      </c>
      <c r="D321" s="464" t="s">
        <v>1920</v>
      </c>
      <c r="E321" s="464" t="s">
        <v>2019</v>
      </c>
      <c r="F321" s="464" t="s">
        <v>2178</v>
      </c>
      <c r="G321" s="464" t="s">
        <v>2179</v>
      </c>
      <c r="H321" s="468">
        <v>728</v>
      </c>
      <c r="I321" s="468">
        <v>169866.66999999998</v>
      </c>
      <c r="J321" s="464">
        <v>0.90434785988194955</v>
      </c>
      <c r="K321" s="464">
        <v>233.3333379120879</v>
      </c>
      <c r="L321" s="468">
        <v>805</v>
      </c>
      <c r="M321" s="468">
        <v>187833.33</v>
      </c>
      <c r="N321" s="464">
        <v>1</v>
      </c>
      <c r="O321" s="464">
        <v>233.33332919254656</v>
      </c>
      <c r="P321" s="468">
        <v>960</v>
      </c>
      <c r="Q321" s="468">
        <v>224000.01</v>
      </c>
      <c r="R321" s="491">
        <v>1.1925466582528246</v>
      </c>
      <c r="S321" s="469">
        <v>233.33334375000001</v>
      </c>
    </row>
    <row r="322" spans="1:19" ht="14.45" customHeight="1" x14ac:dyDescent="0.2">
      <c r="A322" s="463"/>
      <c r="B322" s="464" t="s">
        <v>2144</v>
      </c>
      <c r="C322" s="464" t="s">
        <v>1921</v>
      </c>
      <c r="D322" s="464" t="s">
        <v>1920</v>
      </c>
      <c r="E322" s="464" t="s">
        <v>2019</v>
      </c>
      <c r="F322" s="464" t="s">
        <v>2180</v>
      </c>
      <c r="G322" s="464" t="s">
        <v>2181</v>
      </c>
      <c r="H322" s="468">
        <v>428</v>
      </c>
      <c r="I322" s="468">
        <v>332888.89</v>
      </c>
      <c r="J322" s="464">
        <v>0.8475247289313379</v>
      </c>
      <c r="K322" s="464">
        <v>777.77778037383177</v>
      </c>
      <c r="L322" s="468">
        <v>505</v>
      </c>
      <c r="M322" s="468">
        <v>392777.79000000004</v>
      </c>
      <c r="N322" s="464">
        <v>1</v>
      </c>
      <c r="O322" s="464">
        <v>777.77780198019809</v>
      </c>
      <c r="P322" s="468">
        <v>540</v>
      </c>
      <c r="Q322" s="468">
        <v>420000</v>
      </c>
      <c r="R322" s="491">
        <v>1.0693068974190214</v>
      </c>
      <c r="S322" s="469">
        <v>777.77777777777783</v>
      </c>
    </row>
    <row r="323" spans="1:19" ht="14.45" customHeight="1" x14ac:dyDescent="0.2">
      <c r="A323" s="463"/>
      <c r="B323" s="464" t="s">
        <v>2144</v>
      </c>
      <c r="C323" s="464" t="s">
        <v>1921</v>
      </c>
      <c r="D323" s="464" t="s">
        <v>1920</v>
      </c>
      <c r="E323" s="464" t="s">
        <v>2019</v>
      </c>
      <c r="F323" s="464" t="s">
        <v>2145</v>
      </c>
      <c r="G323" s="464" t="s">
        <v>2146</v>
      </c>
      <c r="H323" s="468">
        <v>1031</v>
      </c>
      <c r="I323" s="468">
        <v>252022.22999999998</v>
      </c>
      <c r="J323" s="464">
        <v>0.94155249357148241</v>
      </c>
      <c r="K323" s="464">
        <v>244.44445198836078</v>
      </c>
      <c r="L323" s="468">
        <v>1095</v>
      </c>
      <c r="M323" s="468">
        <v>267666.67999999993</v>
      </c>
      <c r="N323" s="464">
        <v>1</v>
      </c>
      <c r="O323" s="464">
        <v>244.44445662100452</v>
      </c>
      <c r="P323" s="468">
        <v>1229</v>
      </c>
      <c r="Q323" s="468">
        <v>300422.22000000003</v>
      </c>
      <c r="R323" s="491">
        <v>1.1223743650124853</v>
      </c>
      <c r="S323" s="469">
        <v>244.44444263628969</v>
      </c>
    </row>
    <row r="324" spans="1:19" ht="14.45" customHeight="1" x14ac:dyDescent="0.2">
      <c r="A324" s="463"/>
      <c r="B324" s="464" t="s">
        <v>2144</v>
      </c>
      <c r="C324" s="464" t="s">
        <v>1921</v>
      </c>
      <c r="D324" s="464" t="s">
        <v>1920</v>
      </c>
      <c r="E324" s="464" t="s">
        <v>2019</v>
      </c>
      <c r="F324" s="464" t="s">
        <v>2182</v>
      </c>
      <c r="G324" s="464" t="s">
        <v>2183</v>
      </c>
      <c r="H324" s="468">
        <v>19</v>
      </c>
      <c r="I324" s="468">
        <v>9985.5600000000013</v>
      </c>
      <c r="J324" s="464">
        <v>0.59375053886454632</v>
      </c>
      <c r="K324" s="464">
        <v>525.55578947368429</v>
      </c>
      <c r="L324" s="468">
        <v>32</v>
      </c>
      <c r="M324" s="468">
        <v>16817.77</v>
      </c>
      <c r="N324" s="464">
        <v>1</v>
      </c>
      <c r="O324" s="464">
        <v>525.55531250000001</v>
      </c>
      <c r="P324" s="468">
        <v>53</v>
      </c>
      <c r="Q324" s="468">
        <v>27854.43</v>
      </c>
      <c r="R324" s="491">
        <v>1.6562499070923196</v>
      </c>
      <c r="S324" s="469">
        <v>525.55528301886795</v>
      </c>
    </row>
    <row r="325" spans="1:19" ht="14.45" customHeight="1" x14ac:dyDescent="0.2">
      <c r="A325" s="463"/>
      <c r="B325" s="464" t="s">
        <v>2144</v>
      </c>
      <c r="C325" s="464" t="s">
        <v>1921</v>
      </c>
      <c r="D325" s="464" t="s">
        <v>1920</v>
      </c>
      <c r="E325" s="464" t="s">
        <v>2019</v>
      </c>
      <c r="F325" s="464" t="s">
        <v>2184</v>
      </c>
      <c r="G325" s="464" t="s">
        <v>2185</v>
      </c>
      <c r="H325" s="468">
        <v>11</v>
      </c>
      <c r="I325" s="468">
        <v>11000</v>
      </c>
      <c r="J325" s="464">
        <v>0.6470588235294118</v>
      </c>
      <c r="K325" s="464">
        <v>1000</v>
      </c>
      <c r="L325" s="468">
        <v>17</v>
      </c>
      <c r="M325" s="468">
        <v>17000</v>
      </c>
      <c r="N325" s="464">
        <v>1</v>
      </c>
      <c r="O325" s="464">
        <v>1000</v>
      </c>
      <c r="P325" s="468">
        <v>18</v>
      </c>
      <c r="Q325" s="468">
        <v>18000</v>
      </c>
      <c r="R325" s="491">
        <v>1.0588235294117647</v>
      </c>
      <c r="S325" s="469">
        <v>1000</v>
      </c>
    </row>
    <row r="326" spans="1:19" ht="14.45" customHeight="1" x14ac:dyDescent="0.2">
      <c r="A326" s="463"/>
      <c r="B326" s="464" t="s">
        <v>2144</v>
      </c>
      <c r="C326" s="464" t="s">
        <v>1921</v>
      </c>
      <c r="D326" s="464" t="s">
        <v>1920</v>
      </c>
      <c r="E326" s="464" t="s">
        <v>2019</v>
      </c>
      <c r="F326" s="464" t="s">
        <v>2103</v>
      </c>
      <c r="G326" s="464" t="s">
        <v>2104</v>
      </c>
      <c r="H326" s="468">
        <v>1</v>
      </c>
      <c r="I326" s="468">
        <v>0</v>
      </c>
      <c r="J326" s="464"/>
      <c r="K326" s="464">
        <v>0</v>
      </c>
      <c r="L326" s="468"/>
      <c r="M326" s="468"/>
      <c r="N326" s="464"/>
      <c r="O326" s="464"/>
      <c r="P326" s="468">
        <v>2</v>
      </c>
      <c r="Q326" s="468">
        <v>0</v>
      </c>
      <c r="R326" s="491"/>
      <c r="S326" s="469">
        <v>0</v>
      </c>
    </row>
    <row r="327" spans="1:19" ht="14.45" customHeight="1" x14ac:dyDescent="0.2">
      <c r="A327" s="463"/>
      <c r="B327" s="464" t="s">
        <v>2144</v>
      </c>
      <c r="C327" s="464" t="s">
        <v>1921</v>
      </c>
      <c r="D327" s="464" t="s">
        <v>1920</v>
      </c>
      <c r="E327" s="464" t="s">
        <v>2019</v>
      </c>
      <c r="F327" s="464" t="s">
        <v>2055</v>
      </c>
      <c r="G327" s="464" t="s">
        <v>2056</v>
      </c>
      <c r="H327" s="468">
        <v>1179</v>
      </c>
      <c r="I327" s="468">
        <v>0</v>
      </c>
      <c r="J327" s="464"/>
      <c r="K327" s="464">
        <v>0</v>
      </c>
      <c r="L327" s="468">
        <v>1289</v>
      </c>
      <c r="M327" s="468">
        <v>0</v>
      </c>
      <c r="N327" s="464"/>
      <c r="O327" s="464">
        <v>0</v>
      </c>
      <c r="P327" s="468">
        <v>1275</v>
      </c>
      <c r="Q327" s="468">
        <v>0</v>
      </c>
      <c r="R327" s="491"/>
      <c r="S327" s="469">
        <v>0</v>
      </c>
    </row>
    <row r="328" spans="1:19" ht="14.45" customHeight="1" x14ac:dyDescent="0.2">
      <c r="A328" s="463"/>
      <c r="B328" s="464" t="s">
        <v>2144</v>
      </c>
      <c r="C328" s="464" t="s">
        <v>1921</v>
      </c>
      <c r="D328" s="464" t="s">
        <v>1920</v>
      </c>
      <c r="E328" s="464" t="s">
        <v>2019</v>
      </c>
      <c r="F328" s="464" t="s">
        <v>2057</v>
      </c>
      <c r="G328" s="464" t="s">
        <v>2058</v>
      </c>
      <c r="H328" s="468">
        <v>810</v>
      </c>
      <c r="I328" s="468">
        <v>247500</v>
      </c>
      <c r="J328" s="464">
        <v>0.888157915984639</v>
      </c>
      <c r="K328" s="464">
        <v>305.55555555555554</v>
      </c>
      <c r="L328" s="468">
        <v>912</v>
      </c>
      <c r="M328" s="468">
        <v>278666.66000000003</v>
      </c>
      <c r="N328" s="464">
        <v>1</v>
      </c>
      <c r="O328" s="464">
        <v>305.55554824561409</v>
      </c>
      <c r="P328" s="468">
        <v>992</v>
      </c>
      <c r="Q328" s="468">
        <v>303111.12</v>
      </c>
      <c r="R328" s="491">
        <v>1.0877193561655347</v>
      </c>
      <c r="S328" s="469">
        <v>305.55556451612904</v>
      </c>
    </row>
    <row r="329" spans="1:19" ht="14.45" customHeight="1" x14ac:dyDescent="0.2">
      <c r="A329" s="463"/>
      <c r="B329" s="464" t="s">
        <v>2144</v>
      </c>
      <c r="C329" s="464" t="s">
        <v>1921</v>
      </c>
      <c r="D329" s="464" t="s">
        <v>1920</v>
      </c>
      <c r="E329" s="464" t="s">
        <v>2019</v>
      </c>
      <c r="F329" s="464" t="s">
        <v>2059</v>
      </c>
      <c r="G329" s="464" t="s">
        <v>2060</v>
      </c>
      <c r="H329" s="468">
        <v>1807</v>
      </c>
      <c r="I329" s="468">
        <v>60233.349999999991</v>
      </c>
      <c r="J329" s="464">
        <v>0.80850123375822358</v>
      </c>
      <c r="K329" s="464">
        <v>33.333342556723849</v>
      </c>
      <c r="L329" s="468">
        <v>2235</v>
      </c>
      <c r="M329" s="468">
        <v>74500.009999999995</v>
      </c>
      <c r="N329" s="464">
        <v>1</v>
      </c>
      <c r="O329" s="464">
        <v>33.333337807606263</v>
      </c>
      <c r="P329" s="468">
        <v>487</v>
      </c>
      <c r="Q329" s="468">
        <v>16233.33</v>
      </c>
      <c r="R329" s="491">
        <v>0.21789701773194395</v>
      </c>
      <c r="S329" s="469">
        <v>33.333326488706362</v>
      </c>
    </row>
    <row r="330" spans="1:19" ht="14.45" customHeight="1" x14ac:dyDescent="0.2">
      <c r="A330" s="463"/>
      <c r="B330" s="464" t="s">
        <v>2144</v>
      </c>
      <c r="C330" s="464" t="s">
        <v>1921</v>
      </c>
      <c r="D330" s="464" t="s">
        <v>1920</v>
      </c>
      <c r="E330" s="464" t="s">
        <v>2019</v>
      </c>
      <c r="F330" s="464" t="s">
        <v>2061</v>
      </c>
      <c r="G330" s="464" t="s">
        <v>2062</v>
      </c>
      <c r="H330" s="468">
        <v>776</v>
      </c>
      <c r="I330" s="468">
        <v>353511.11999999994</v>
      </c>
      <c r="J330" s="464">
        <v>0.74187380978643258</v>
      </c>
      <c r="K330" s="464">
        <v>455.55556701030918</v>
      </c>
      <c r="L330" s="468">
        <v>1046</v>
      </c>
      <c r="M330" s="468">
        <v>476511.12</v>
      </c>
      <c r="N330" s="464">
        <v>1</v>
      </c>
      <c r="O330" s="464">
        <v>455.5555640535373</v>
      </c>
      <c r="P330" s="468">
        <v>1131</v>
      </c>
      <c r="Q330" s="468">
        <v>515233.34</v>
      </c>
      <c r="R330" s="491">
        <v>1.0812619441074114</v>
      </c>
      <c r="S330" s="469">
        <v>455.55556145004425</v>
      </c>
    </row>
    <row r="331" spans="1:19" ht="14.45" customHeight="1" x14ac:dyDescent="0.2">
      <c r="A331" s="463"/>
      <c r="B331" s="464" t="s">
        <v>2144</v>
      </c>
      <c r="C331" s="464" t="s">
        <v>1921</v>
      </c>
      <c r="D331" s="464" t="s">
        <v>1920</v>
      </c>
      <c r="E331" s="464" t="s">
        <v>2019</v>
      </c>
      <c r="F331" s="464" t="s">
        <v>2065</v>
      </c>
      <c r="G331" s="464" t="s">
        <v>2066</v>
      </c>
      <c r="H331" s="468">
        <v>907</v>
      </c>
      <c r="I331" s="468">
        <v>70544.44</v>
      </c>
      <c r="J331" s="464">
        <v>0.9051894862968789</v>
      </c>
      <c r="K331" s="464">
        <v>77.777772877618531</v>
      </c>
      <c r="L331" s="468">
        <v>1002</v>
      </c>
      <c r="M331" s="468">
        <v>77933.34</v>
      </c>
      <c r="N331" s="464">
        <v>1</v>
      </c>
      <c r="O331" s="464">
        <v>77.777784431137718</v>
      </c>
      <c r="P331" s="468">
        <v>1122</v>
      </c>
      <c r="Q331" s="468">
        <v>87266.68</v>
      </c>
      <c r="R331" s="491">
        <v>1.1197605543404145</v>
      </c>
      <c r="S331" s="469">
        <v>77.777789661319062</v>
      </c>
    </row>
    <row r="332" spans="1:19" ht="14.45" customHeight="1" x14ac:dyDescent="0.2">
      <c r="A332" s="463"/>
      <c r="B332" s="464" t="s">
        <v>2144</v>
      </c>
      <c r="C332" s="464" t="s">
        <v>1921</v>
      </c>
      <c r="D332" s="464" t="s">
        <v>1920</v>
      </c>
      <c r="E332" s="464" t="s">
        <v>2019</v>
      </c>
      <c r="F332" s="464" t="s">
        <v>2186</v>
      </c>
      <c r="G332" s="464" t="s">
        <v>2187</v>
      </c>
      <c r="H332" s="468">
        <v>421</v>
      </c>
      <c r="I332" s="468">
        <v>608111.1</v>
      </c>
      <c r="J332" s="464">
        <v>0.74777973051720426</v>
      </c>
      <c r="K332" s="464">
        <v>1444.4444180522564</v>
      </c>
      <c r="L332" s="468">
        <v>563</v>
      </c>
      <c r="M332" s="468">
        <v>813222.2300000001</v>
      </c>
      <c r="N332" s="464">
        <v>1</v>
      </c>
      <c r="O332" s="464">
        <v>1444.4444582593253</v>
      </c>
      <c r="P332" s="468">
        <v>495</v>
      </c>
      <c r="Q332" s="468">
        <v>714999.98999999987</v>
      </c>
      <c r="R332" s="491">
        <v>0.87921845176317892</v>
      </c>
      <c r="S332" s="469">
        <v>1444.444424242424</v>
      </c>
    </row>
    <row r="333" spans="1:19" ht="14.45" customHeight="1" x14ac:dyDescent="0.2">
      <c r="A333" s="463"/>
      <c r="B333" s="464" t="s">
        <v>2144</v>
      </c>
      <c r="C333" s="464" t="s">
        <v>1921</v>
      </c>
      <c r="D333" s="464" t="s">
        <v>1920</v>
      </c>
      <c r="E333" s="464" t="s">
        <v>2019</v>
      </c>
      <c r="F333" s="464" t="s">
        <v>2067</v>
      </c>
      <c r="G333" s="464" t="s">
        <v>2068</v>
      </c>
      <c r="H333" s="468"/>
      <c r="I333" s="468"/>
      <c r="J333" s="464"/>
      <c r="K333" s="464"/>
      <c r="L333" s="468"/>
      <c r="M333" s="468"/>
      <c r="N333" s="464"/>
      <c r="O333" s="464"/>
      <c r="P333" s="468">
        <v>0</v>
      </c>
      <c r="Q333" s="468">
        <v>0</v>
      </c>
      <c r="R333" s="491"/>
      <c r="S333" s="469"/>
    </row>
    <row r="334" spans="1:19" ht="14.45" customHeight="1" x14ac:dyDescent="0.2">
      <c r="A334" s="463"/>
      <c r="B334" s="464" t="s">
        <v>2144</v>
      </c>
      <c r="C334" s="464" t="s">
        <v>1921</v>
      </c>
      <c r="D334" s="464" t="s">
        <v>1920</v>
      </c>
      <c r="E334" s="464" t="s">
        <v>2019</v>
      </c>
      <c r="F334" s="464" t="s">
        <v>2071</v>
      </c>
      <c r="G334" s="464" t="s">
        <v>2072</v>
      </c>
      <c r="H334" s="468">
        <v>3</v>
      </c>
      <c r="I334" s="468">
        <v>283.33</v>
      </c>
      <c r="J334" s="464">
        <v>0.29999788234297575</v>
      </c>
      <c r="K334" s="464">
        <v>94.443333333333328</v>
      </c>
      <c r="L334" s="468">
        <v>10</v>
      </c>
      <c r="M334" s="468">
        <v>944.43999999999994</v>
      </c>
      <c r="N334" s="464">
        <v>1</v>
      </c>
      <c r="O334" s="464">
        <v>94.443999999999988</v>
      </c>
      <c r="P334" s="468">
        <v>17</v>
      </c>
      <c r="Q334" s="468">
        <v>1605.55</v>
      </c>
      <c r="R334" s="491">
        <v>1.7000021176570244</v>
      </c>
      <c r="S334" s="469">
        <v>94.444117647058818</v>
      </c>
    </row>
    <row r="335" spans="1:19" ht="14.45" customHeight="1" x14ac:dyDescent="0.2">
      <c r="A335" s="463"/>
      <c r="B335" s="464" t="s">
        <v>2144</v>
      </c>
      <c r="C335" s="464" t="s">
        <v>1921</v>
      </c>
      <c r="D335" s="464" t="s">
        <v>1920</v>
      </c>
      <c r="E335" s="464" t="s">
        <v>2019</v>
      </c>
      <c r="F335" s="464" t="s">
        <v>2075</v>
      </c>
      <c r="G335" s="464" t="s">
        <v>2076</v>
      </c>
      <c r="H335" s="468">
        <v>6</v>
      </c>
      <c r="I335" s="468">
        <v>580.01</v>
      </c>
      <c r="J335" s="464">
        <v>0.24000480001324143</v>
      </c>
      <c r="K335" s="464">
        <v>96.668333333333337</v>
      </c>
      <c r="L335" s="468">
        <v>25</v>
      </c>
      <c r="M335" s="468">
        <v>2416.66</v>
      </c>
      <c r="N335" s="464">
        <v>1</v>
      </c>
      <c r="O335" s="464">
        <v>96.666399999999996</v>
      </c>
      <c r="P335" s="468">
        <v>14</v>
      </c>
      <c r="Q335" s="468">
        <v>1353.34</v>
      </c>
      <c r="R335" s="491">
        <v>0.56000430346014751</v>
      </c>
      <c r="S335" s="469">
        <v>96.667142857142849</v>
      </c>
    </row>
    <row r="336" spans="1:19" ht="14.45" customHeight="1" x14ac:dyDescent="0.2">
      <c r="A336" s="463"/>
      <c r="B336" s="464" t="s">
        <v>2144</v>
      </c>
      <c r="C336" s="464" t="s">
        <v>1921</v>
      </c>
      <c r="D336" s="464" t="s">
        <v>1920</v>
      </c>
      <c r="E336" s="464" t="s">
        <v>2019</v>
      </c>
      <c r="F336" s="464" t="s">
        <v>2188</v>
      </c>
      <c r="G336" s="464" t="s">
        <v>2189</v>
      </c>
      <c r="H336" s="468">
        <v>496</v>
      </c>
      <c r="I336" s="468">
        <v>173600</v>
      </c>
      <c r="J336" s="464">
        <v>0.93233082706766912</v>
      </c>
      <c r="K336" s="464">
        <v>350</v>
      </c>
      <c r="L336" s="468">
        <v>532</v>
      </c>
      <c r="M336" s="468">
        <v>186200</v>
      </c>
      <c r="N336" s="464">
        <v>1</v>
      </c>
      <c r="O336" s="464">
        <v>350</v>
      </c>
      <c r="P336" s="468">
        <v>517</v>
      </c>
      <c r="Q336" s="468">
        <v>180950</v>
      </c>
      <c r="R336" s="491">
        <v>0.97180451127819545</v>
      </c>
      <c r="S336" s="469">
        <v>350</v>
      </c>
    </row>
    <row r="337" spans="1:19" ht="14.45" customHeight="1" x14ac:dyDescent="0.2">
      <c r="A337" s="463"/>
      <c r="B337" s="464" t="s">
        <v>2144</v>
      </c>
      <c r="C337" s="464" t="s">
        <v>1921</v>
      </c>
      <c r="D337" s="464" t="s">
        <v>1920</v>
      </c>
      <c r="E337" s="464" t="s">
        <v>2019</v>
      </c>
      <c r="F337" s="464" t="s">
        <v>2190</v>
      </c>
      <c r="G337" s="464" t="s">
        <v>2191</v>
      </c>
      <c r="H337" s="468">
        <v>39</v>
      </c>
      <c r="I337" s="468">
        <v>2296.67</v>
      </c>
      <c r="J337" s="464">
        <v>0.86666792452830188</v>
      </c>
      <c r="K337" s="464">
        <v>58.888974358974359</v>
      </c>
      <c r="L337" s="468">
        <v>45</v>
      </c>
      <c r="M337" s="468">
        <v>2650</v>
      </c>
      <c r="N337" s="464">
        <v>1</v>
      </c>
      <c r="O337" s="464">
        <v>58.888888888888886</v>
      </c>
      <c r="P337" s="468">
        <v>29</v>
      </c>
      <c r="Q337" s="468">
        <v>1707.7700000000002</v>
      </c>
      <c r="R337" s="491">
        <v>0.64444150943396239</v>
      </c>
      <c r="S337" s="469">
        <v>58.888620689655177</v>
      </c>
    </row>
    <row r="338" spans="1:19" ht="14.45" customHeight="1" x14ac:dyDescent="0.2">
      <c r="A338" s="463"/>
      <c r="B338" s="464" t="s">
        <v>2144</v>
      </c>
      <c r="C338" s="464" t="s">
        <v>1921</v>
      </c>
      <c r="D338" s="464" t="s">
        <v>1920</v>
      </c>
      <c r="E338" s="464" t="s">
        <v>2019</v>
      </c>
      <c r="F338" s="464" t="s">
        <v>2192</v>
      </c>
      <c r="G338" s="464" t="s">
        <v>2193</v>
      </c>
      <c r="H338" s="468">
        <v>696</v>
      </c>
      <c r="I338" s="468">
        <v>89706.67</v>
      </c>
      <c r="J338" s="464">
        <v>0.90389608688445555</v>
      </c>
      <c r="K338" s="464">
        <v>128.88889367816091</v>
      </c>
      <c r="L338" s="468">
        <v>770</v>
      </c>
      <c r="M338" s="468">
        <v>99244.45</v>
      </c>
      <c r="N338" s="464">
        <v>1</v>
      </c>
      <c r="O338" s="464">
        <v>128.88889610389609</v>
      </c>
      <c r="P338" s="468">
        <v>763</v>
      </c>
      <c r="Q338" s="468">
        <v>98342.22</v>
      </c>
      <c r="R338" s="491">
        <v>0.99090901304808487</v>
      </c>
      <c r="S338" s="469">
        <v>128.88888597640891</v>
      </c>
    </row>
    <row r="339" spans="1:19" ht="14.45" customHeight="1" x14ac:dyDescent="0.2">
      <c r="A339" s="463"/>
      <c r="B339" s="464" t="s">
        <v>2144</v>
      </c>
      <c r="C339" s="464" t="s">
        <v>1921</v>
      </c>
      <c r="D339" s="464" t="s">
        <v>1920</v>
      </c>
      <c r="E339" s="464" t="s">
        <v>2019</v>
      </c>
      <c r="F339" s="464" t="s">
        <v>2083</v>
      </c>
      <c r="G339" s="464" t="s">
        <v>2084</v>
      </c>
      <c r="H339" s="468">
        <v>1885</v>
      </c>
      <c r="I339" s="468">
        <v>92155.55</v>
      </c>
      <c r="J339" s="464">
        <v>0.77285768198591076</v>
      </c>
      <c r="K339" s="464">
        <v>48.888885941644567</v>
      </c>
      <c r="L339" s="468">
        <v>2439</v>
      </c>
      <c r="M339" s="468">
        <v>119240</v>
      </c>
      <c r="N339" s="464">
        <v>1</v>
      </c>
      <c r="O339" s="464">
        <v>48.888888888888886</v>
      </c>
      <c r="P339" s="468">
        <v>2763</v>
      </c>
      <c r="Q339" s="468">
        <v>135080</v>
      </c>
      <c r="R339" s="491">
        <v>1.1328413284132841</v>
      </c>
      <c r="S339" s="469">
        <v>48.888888888888886</v>
      </c>
    </row>
    <row r="340" spans="1:19" ht="14.45" customHeight="1" x14ac:dyDescent="0.2">
      <c r="A340" s="463"/>
      <c r="B340" s="464" t="s">
        <v>2144</v>
      </c>
      <c r="C340" s="464" t="s">
        <v>1921</v>
      </c>
      <c r="D340" s="464" t="s">
        <v>1920</v>
      </c>
      <c r="E340" s="464" t="s">
        <v>2019</v>
      </c>
      <c r="F340" s="464" t="s">
        <v>2194</v>
      </c>
      <c r="G340" s="464" t="s">
        <v>2195</v>
      </c>
      <c r="H340" s="468">
        <v>2030</v>
      </c>
      <c r="I340" s="468">
        <v>1804444.44</v>
      </c>
      <c r="J340" s="464">
        <v>0.75018477376688586</v>
      </c>
      <c r="K340" s="464">
        <v>888.88888669950734</v>
      </c>
      <c r="L340" s="468">
        <v>2706</v>
      </c>
      <c r="M340" s="468">
        <v>2405333.3299999996</v>
      </c>
      <c r="N340" s="464">
        <v>1</v>
      </c>
      <c r="O340" s="464">
        <v>888.88888765705826</v>
      </c>
      <c r="P340" s="468">
        <v>2748</v>
      </c>
      <c r="Q340" s="468">
        <v>2442666.67</v>
      </c>
      <c r="R340" s="491">
        <v>1.0155210670946802</v>
      </c>
      <c r="S340" s="469">
        <v>888.88889010189223</v>
      </c>
    </row>
    <row r="341" spans="1:19" ht="14.45" customHeight="1" x14ac:dyDescent="0.2">
      <c r="A341" s="463"/>
      <c r="B341" s="464" t="s">
        <v>2144</v>
      </c>
      <c r="C341" s="464" t="s">
        <v>1921</v>
      </c>
      <c r="D341" s="464" t="s">
        <v>1920</v>
      </c>
      <c r="E341" s="464" t="s">
        <v>2019</v>
      </c>
      <c r="F341" s="464" t="s">
        <v>2196</v>
      </c>
      <c r="G341" s="464" t="s">
        <v>2197</v>
      </c>
      <c r="H341" s="468">
        <v>47</v>
      </c>
      <c r="I341" s="468">
        <v>15666.67</v>
      </c>
      <c r="J341" s="464">
        <v>1.0930237425636611</v>
      </c>
      <c r="K341" s="464">
        <v>333.33340425531912</v>
      </c>
      <c r="L341" s="468">
        <v>43</v>
      </c>
      <c r="M341" s="468">
        <v>14333.33</v>
      </c>
      <c r="N341" s="464">
        <v>1</v>
      </c>
      <c r="O341" s="464">
        <v>333.33325581395349</v>
      </c>
      <c r="P341" s="468">
        <v>64</v>
      </c>
      <c r="Q341" s="468">
        <v>21333.33</v>
      </c>
      <c r="R341" s="491">
        <v>1.4883722065981877</v>
      </c>
      <c r="S341" s="469">
        <v>333.33328125000003</v>
      </c>
    </row>
    <row r="342" spans="1:19" ht="14.45" customHeight="1" x14ac:dyDescent="0.2">
      <c r="A342" s="463"/>
      <c r="B342" s="464" t="s">
        <v>2144</v>
      </c>
      <c r="C342" s="464" t="s">
        <v>1921</v>
      </c>
      <c r="D342" s="464" t="s">
        <v>1920</v>
      </c>
      <c r="E342" s="464" t="s">
        <v>2019</v>
      </c>
      <c r="F342" s="464" t="s">
        <v>2140</v>
      </c>
      <c r="G342" s="464" t="s">
        <v>2141</v>
      </c>
      <c r="H342" s="468">
        <v>1</v>
      </c>
      <c r="I342" s="468">
        <v>645.55999999999995</v>
      </c>
      <c r="J342" s="464"/>
      <c r="K342" s="464">
        <v>645.55999999999995</v>
      </c>
      <c r="L342" s="468"/>
      <c r="M342" s="468"/>
      <c r="N342" s="464"/>
      <c r="O342" s="464"/>
      <c r="P342" s="468"/>
      <c r="Q342" s="468"/>
      <c r="R342" s="491"/>
      <c r="S342" s="469"/>
    </row>
    <row r="343" spans="1:19" ht="14.45" customHeight="1" x14ac:dyDescent="0.2">
      <c r="A343" s="463"/>
      <c r="B343" s="464" t="s">
        <v>2144</v>
      </c>
      <c r="C343" s="464" t="s">
        <v>1921</v>
      </c>
      <c r="D343" s="464" t="s">
        <v>1920</v>
      </c>
      <c r="E343" s="464" t="s">
        <v>2019</v>
      </c>
      <c r="F343" s="464" t="s">
        <v>2089</v>
      </c>
      <c r="G343" s="464" t="s">
        <v>2090</v>
      </c>
      <c r="H343" s="468">
        <v>1</v>
      </c>
      <c r="I343" s="468">
        <v>222.22</v>
      </c>
      <c r="J343" s="464"/>
      <c r="K343" s="464">
        <v>222.22</v>
      </c>
      <c r="L343" s="468"/>
      <c r="M343" s="468"/>
      <c r="N343" s="464"/>
      <c r="O343" s="464"/>
      <c r="P343" s="468"/>
      <c r="Q343" s="468"/>
      <c r="R343" s="491"/>
      <c r="S343" s="469"/>
    </row>
    <row r="344" spans="1:19" ht="14.45" customHeight="1" thickBot="1" x14ac:dyDescent="0.25">
      <c r="A344" s="470"/>
      <c r="B344" s="471" t="s">
        <v>2144</v>
      </c>
      <c r="C344" s="471" t="s">
        <v>1921</v>
      </c>
      <c r="D344" s="471" t="s">
        <v>1920</v>
      </c>
      <c r="E344" s="471" t="s">
        <v>2019</v>
      </c>
      <c r="F344" s="471" t="s">
        <v>2198</v>
      </c>
      <c r="G344" s="471" t="s">
        <v>2199</v>
      </c>
      <c r="H344" s="475">
        <v>1</v>
      </c>
      <c r="I344" s="475">
        <v>233.33</v>
      </c>
      <c r="J344" s="471"/>
      <c r="K344" s="471">
        <v>233.33</v>
      </c>
      <c r="L344" s="475"/>
      <c r="M344" s="475"/>
      <c r="N344" s="471"/>
      <c r="O344" s="471"/>
      <c r="P344" s="475"/>
      <c r="Q344" s="475"/>
      <c r="R344" s="483"/>
      <c r="S344" s="476"/>
    </row>
  </sheetData>
  <autoFilter ref="A5:S5" xr:uid="{00000000-0009-0000-0000-000023000000}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 xr:uid="{26247C2A-4151-4E30-8FB4-C84DBFBFBDCF}"/>
  </hyperlinks>
  <pageMargins left="0.25" right="0.25" top="0.75" bottom="0.75" header="0.3" footer="0.3"/>
  <pageSetup paperSize="9" scale="7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24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133" bestFit="1" customWidth="1"/>
    <col min="2" max="2" width="11.7109375" style="133" hidden="1" customWidth="1"/>
    <col min="3" max="4" width="11" style="135" customWidth="1"/>
    <col min="5" max="5" width="11" style="136" customWidth="1"/>
    <col min="6" max="16384" width="8.85546875" style="133"/>
  </cols>
  <sheetData>
    <row r="1" spans="1:5" ht="19.5" thickBot="1" x14ac:dyDescent="0.35">
      <c r="A1" s="304" t="s">
        <v>103</v>
      </c>
      <c r="B1" s="304"/>
      <c r="C1" s="305"/>
      <c r="D1" s="305"/>
      <c r="E1" s="305"/>
    </row>
    <row r="2" spans="1:5" ht="14.45" customHeight="1" thickBot="1" x14ac:dyDescent="0.25">
      <c r="A2" s="207" t="s">
        <v>242</v>
      </c>
      <c r="B2" s="134"/>
    </row>
    <row r="3" spans="1:5" ht="14.45" customHeight="1" thickBot="1" x14ac:dyDescent="0.25">
      <c r="A3" s="137"/>
      <c r="C3" s="138" t="s">
        <v>91</v>
      </c>
      <c r="D3" s="139" t="s">
        <v>59</v>
      </c>
      <c r="E3" s="140" t="s">
        <v>61</v>
      </c>
    </row>
    <row r="4" spans="1:5" ht="14.45" customHeight="1" thickBot="1" x14ac:dyDescent="0.25">
      <c r="A4" s="141" t="str">
        <f>HYPERLINK("#HI!A1","NÁKLADY CELKEM (v tisících Kč)")</f>
        <v>NÁKLADY CELKEM (v tisících Kč)</v>
      </c>
      <c r="B4" s="142"/>
      <c r="C4" s="143">
        <f ca="1">IF(ISERROR(VLOOKUP("Náklady celkem",INDIRECT("HI!$A:$G"),6,0)),0,VLOOKUP("Náklady celkem",INDIRECT("HI!$A:$G"),6,0))</f>
        <v>41221.241485519407</v>
      </c>
      <c r="D4" s="143">
        <f ca="1">IF(ISERROR(VLOOKUP("Náklady celkem",INDIRECT("HI!$A:$G"),5,0)),0,VLOOKUP("Náklady celkem",INDIRECT("HI!$A:$G"),5,0))</f>
        <v>43389.249379999987</v>
      </c>
      <c r="E4" s="144">
        <f ca="1">IF(C4=0,0,D4/C4)</f>
        <v>1.0525944347222578</v>
      </c>
    </row>
    <row r="5" spans="1:5" ht="14.45" customHeight="1" x14ac:dyDescent="0.2">
      <c r="A5" s="145" t="s">
        <v>125</v>
      </c>
      <c r="B5" s="146"/>
      <c r="C5" s="147"/>
      <c r="D5" s="147"/>
      <c r="E5" s="148"/>
    </row>
    <row r="6" spans="1:5" ht="14.45" customHeight="1" x14ac:dyDescent="0.2">
      <c r="A6" s="149" t="s">
        <v>130</v>
      </c>
      <c r="B6" s="150"/>
      <c r="C6" s="151"/>
      <c r="D6" s="151"/>
      <c r="E6" s="148"/>
    </row>
    <row r="7" spans="1:5" ht="14.45" customHeight="1" x14ac:dyDescent="0.25">
      <c r="A7" s="23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50" t="s">
        <v>95</v>
      </c>
      <c r="C7" s="151">
        <f>IF(ISERROR(HI!F5),"",HI!F5)</f>
        <v>348.33334118652346</v>
      </c>
      <c r="D7" s="151">
        <f>IF(ISERROR(HI!E5),"",HI!E5)</f>
        <v>282.15107</v>
      </c>
      <c r="E7" s="148">
        <f t="shared" ref="E7:E13" si="0">IF(C7=0,0,D7/C7)</f>
        <v>0.81000305350878099</v>
      </c>
    </row>
    <row r="8" spans="1:5" ht="14.45" customHeight="1" x14ac:dyDescent="0.25">
      <c r="A8" s="232" t="str">
        <f>HYPERLINK("#'LŽ PL'!A1","Plnění pozitivního listu (min. 90%)")</f>
        <v>Plnění pozitivního listu (min. 90%)</v>
      </c>
      <c r="B8" s="150" t="s">
        <v>123</v>
      </c>
      <c r="C8" s="152">
        <v>0.9</v>
      </c>
      <c r="D8" s="152">
        <f>IF(ISERROR(VLOOKUP("celkem",'LŽ PL'!$A:$F,5,0)),0,VLOOKUP("celkem",'LŽ PL'!$A:$F,5,0))</f>
        <v>1</v>
      </c>
      <c r="E8" s="148">
        <f t="shared" si="0"/>
        <v>1.1111111111111112</v>
      </c>
    </row>
    <row r="9" spans="1:5" ht="14.45" customHeight="1" x14ac:dyDescent="0.25">
      <c r="A9" s="232" t="str">
        <f>HYPERLINK("#'LŽ Statim'!A1","Podíl statimových žádanek (max. 30%)")</f>
        <v>Podíl statimových žádanek (max. 30%)</v>
      </c>
      <c r="B9" s="230" t="s">
        <v>178</v>
      </c>
      <c r="C9" s="231">
        <v>0.3</v>
      </c>
      <c r="D9" s="231">
        <f>IF('LŽ Statim'!G3="",0,'LŽ Statim'!G3)</f>
        <v>0</v>
      </c>
      <c r="E9" s="148">
        <f>IF(C9=0,0,D9/C9)</f>
        <v>0</v>
      </c>
    </row>
    <row r="10" spans="1:5" ht="14.45" customHeight="1" x14ac:dyDescent="0.2">
      <c r="A10" s="153" t="s">
        <v>126</v>
      </c>
      <c r="B10" s="150"/>
      <c r="C10" s="151"/>
      <c r="D10" s="151"/>
      <c r="E10" s="148"/>
    </row>
    <row r="11" spans="1:5" ht="14.45" customHeight="1" x14ac:dyDescent="0.2">
      <c r="A11" s="153" t="s">
        <v>127</v>
      </c>
      <c r="B11" s="150"/>
      <c r="C11" s="151"/>
      <c r="D11" s="151"/>
      <c r="E11" s="148"/>
    </row>
    <row r="12" spans="1:5" ht="14.45" customHeight="1" x14ac:dyDescent="0.2">
      <c r="A12" s="154" t="s">
        <v>131</v>
      </c>
      <c r="B12" s="150"/>
      <c r="C12" s="147"/>
      <c r="D12" s="147"/>
      <c r="E12" s="148"/>
    </row>
    <row r="13" spans="1:5" ht="14.45" customHeight="1" x14ac:dyDescent="0.2">
      <c r="A13" s="155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3" s="150" t="s">
        <v>95</v>
      </c>
      <c r="C13" s="151">
        <f>IF(ISERROR(HI!F6),"",HI!F6)</f>
        <v>3366.0000091552733</v>
      </c>
      <c r="D13" s="151">
        <f>IF(ISERROR(HI!E6),"",HI!E6)</f>
        <v>2898.2788499999997</v>
      </c>
      <c r="E13" s="148">
        <f t="shared" si="0"/>
        <v>0.86104540764019422</v>
      </c>
    </row>
    <row r="14" spans="1:5" ht="14.45" customHeight="1" thickBot="1" x14ac:dyDescent="0.25">
      <c r="A14" s="156" t="str">
        <f>HYPERLINK("#HI!A1","Osobní náklady")</f>
        <v>Osobní náklady</v>
      </c>
      <c r="B14" s="150"/>
      <c r="C14" s="147">
        <f ca="1">IF(ISERROR(VLOOKUP("Osobní náklady (Kč) *",INDIRECT("HI!$A:$G"),6,0)),0,VLOOKUP("Osobní náklady (Kč) *",INDIRECT("HI!$A:$G"),6,0))</f>
        <v>31938.240321289064</v>
      </c>
      <c r="D14" s="147">
        <f ca="1">IF(ISERROR(VLOOKUP("Osobní náklady (Kč) *",INDIRECT("HI!$A:$G"),5,0)),0,VLOOKUP("Osobní náklady (Kč) *",INDIRECT("HI!$A:$G"),5,0))</f>
        <v>33634.912550000001</v>
      </c>
      <c r="E14" s="148">
        <f ca="1">IF(C14=0,0,D14/C14)</f>
        <v>1.0531235350364618</v>
      </c>
    </row>
    <row r="15" spans="1:5" ht="14.45" customHeight="1" thickBot="1" x14ac:dyDescent="0.25">
      <c r="A15" s="160"/>
      <c r="B15" s="161"/>
      <c r="C15" s="162"/>
      <c r="D15" s="162"/>
      <c r="E15" s="163"/>
    </row>
    <row r="16" spans="1:5" ht="14.45" customHeight="1" thickBot="1" x14ac:dyDescent="0.25">
      <c r="A16" s="164" t="str">
        <f>HYPERLINK("#HI!A1","VÝNOSY CELKEM (v tisících)")</f>
        <v>VÝNOSY CELKEM (v tisících)</v>
      </c>
      <c r="B16" s="165"/>
      <c r="C16" s="166">
        <f ca="1">IF(ISERROR(VLOOKUP("Výnosy celkem",INDIRECT("HI!$A:$G"),6,0)),0,VLOOKUP("Výnosy celkem",INDIRECT("HI!$A:$G"),6,0))</f>
        <v>17721.38560999999</v>
      </c>
      <c r="D16" s="166">
        <f ca="1">IF(ISERROR(VLOOKUP("Výnosy celkem",INDIRECT("HI!$A:$G"),5,0)),0,VLOOKUP("Výnosy celkem",INDIRECT("HI!$A:$G"),5,0))</f>
        <v>17653.132140000002</v>
      </c>
      <c r="E16" s="167">
        <f t="shared" ref="E16:E19" ca="1" si="1">IF(C16=0,0,D16/C16)</f>
        <v>0.99614852520553054</v>
      </c>
    </row>
    <row r="17" spans="1:5" ht="14.45" customHeight="1" x14ac:dyDescent="0.2">
      <c r="A17" s="168" t="str">
        <f>HYPERLINK("#HI!A1","Ambulance (body za výkony + Kč za ZUM a ZULP)")</f>
        <v>Ambulance (body za výkony + Kč za ZUM a ZULP)</v>
      </c>
      <c r="B17" s="146"/>
      <c r="C17" s="147">
        <f ca="1">IF(ISERROR(VLOOKUP("Ambulance *",INDIRECT("HI!$A:$G"),6,0)),0,VLOOKUP("Ambulance *",INDIRECT("HI!$A:$G"),6,0))</f>
        <v>17721.38560999999</v>
      </c>
      <c r="D17" s="147">
        <f ca="1">IF(ISERROR(VLOOKUP("Ambulance *",INDIRECT("HI!$A:$G"),5,0)),0,VLOOKUP("Ambulance *",INDIRECT("HI!$A:$G"),5,0))</f>
        <v>17653.132140000002</v>
      </c>
      <c r="E17" s="148">
        <f t="shared" ca="1" si="1"/>
        <v>0.99614852520553054</v>
      </c>
    </row>
    <row r="18" spans="1:5" ht="14.45" customHeight="1" x14ac:dyDescent="0.25">
      <c r="A18" s="239" t="str">
        <f>HYPERLINK("#'ZV Vykáz.-A'!A1","Zdravotní výkony vykázané u ambulantních pacientů (min. 100 % 2016)")</f>
        <v>Zdravotní výkony vykázané u ambulantních pacientů (min. 100 % 2016)</v>
      </c>
      <c r="B18" s="240" t="s">
        <v>105</v>
      </c>
      <c r="C18" s="152">
        <v>1</v>
      </c>
      <c r="D18" s="152">
        <f>IF(ISERROR(VLOOKUP("Celkem:",'ZV Vykáz.-A'!$A:$AB,10,0)),"",VLOOKUP("Celkem:",'ZV Vykáz.-A'!$A:$AB,10,0))</f>
        <v>0.99614852520553043</v>
      </c>
      <c r="E18" s="148">
        <f t="shared" si="1"/>
        <v>0.99614852520553043</v>
      </c>
    </row>
    <row r="19" spans="1:5" ht="14.45" customHeight="1" x14ac:dyDescent="0.25">
      <c r="A19" s="238" t="str">
        <f>HYPERLINK("#'ZV Vykáz.-A'!A1","Specializovaná ambulantní péče")</f>
        <v>Specializovaná ambulantní péče</v>
      </c>
      <c r="B19" s="240" t="s">
        <v>105</v>
      </c>
      <c r="C19" s="152">
        <v>1</v>
      </c>
      <c r="D19" s="231">
        <f>IF(ISERROR(VLOOKUP("Specializovaná ambulantní péče",'ZV Vykáz.-A'!$A:$AB,10,0)),"",VLOOKUP("Specializovaná ambulantní péče",'ZV Vykáz.-A'!$A:$AB,10,0))</f>
        <v>0.99614852520552999</v>
      </c>
      <c r="E19" s="148">
        <f t="shared" si="1"/>
        <v>0.99614852520552999</v>
      </c>
    </row>
    <row r="20" spans="1:5" ht="14.45" customHeight="1" x14ac:dyDescent="0.25">
      <c r="A20" s="238" t="str">
        <f>HYPERLINK("#'ZV Vykáz.-A'!A1","Ambulantní péče ve vyjmenovaných odbornostech (§9)")</f>
        <v>Ambulantní péče ve vyjmenovaných odbornostech (§9)</v>
      </c>
      <c r="B20" s="240" t="s">
        <v>105</v>
      </c>
      <c r="C20" s="152">
        <v>1</v>
      </c>
      <c r="D20" s="231" t="str">
        <f>IF(ISERROR(VLOOKUP("Ambulantní péče ve vyjmenovaných odbornostech (§9) *",'ZV Vykáz.-A'!$A:$AB,10,0)),"",VLOOKUP("Ambulantní péče ve vyjmenovaných odbornostech (§9) *",'ZV Vykáz.-A'!$A:$AB,10,0))</f>
        <v/>
      </c>
      <c r="E20" s="148">
        <f>IF(OR(C20=0,D20=""),0,IF(C20="","",D20/C20))</f>
        <v>0</v>
      </c>
    </row>
    <row r="21" spans="1:5" ht="14.45" customHeight="1" x14ac:dyDescent="0.2">
      <c r="A21" s="169" t="str">
        <f>HYPERLINK("#HI!A1","Hospitalizace (casemix * 30000)")</f>
        <v>Hospitalizace (casemix * 30000)</v>
      </c>
      <c r="B21" s="150"/>
      <c r="C21" s="147">
        <f ca="1">IF(ISERROR(VLOOKUP("Hospitalizace *",INDIRECT("HI!$A:$G"),6,0)),0,VLOOKUP("Hospitalizace *",INDIRECT("HI!$A:$G"),6,0))</f>
        <v>0</v>
      </c>
      <c r="D21" s="147">
        <f ca="1">IF(ISERROR(VLOOKUP("Hospitalizace *",INDIRECT("HI!$A:$G"),5,0)),0,VLOOKUP("Hospitalizace *",INDIRECT("HI!$A:$G"),5,0))</f>
        <v>0</v>
      </c>
      <c r="E21" s="148">
        <f ca="1">IF(C21=0,0,D21/C21)</f>
        <v>0</v>
      </c>
    </row>
    <row r="22" spans="1:5" ht="14.45" customHeight="1" thickBot="1" x14ac:dyDescent="0.25">
      <c r="A22" s="170" t="s">
        <v>128</v>
      </c>
      <c r="B22" s="157"/>
      <c r="C22" s="158"/>
      <c r="D22" s="158"/>
      <c r="E22" s="159"/>
    </row>
    <row r="23" spans="1:5" ht="14.45" customHeight="1" thickBot="1" x14ac:dyDescent="0.25">
      <c r="A23" s="171"/>
      <c r="B23" s="172"/>
      <c r="C23" s="173"/>
      <c r="D23" s="173"/>
      <c r="E23" s="174"/>
    </row>
    <row r="24" spans="1:5" ht="14.45" customHeight="1" thickBot="1" x14ac:dyDescent="0.25">
      <c r="A24" s="175" t="s">
        <v>129</v>
      </c>
      <c r="B24" s="176"/>
      <c r="C24" s="177"/>
      <c r="D24" s="177"/>
      <c r="E24" s="178"/>
    </row>
  </sheetData>
  <mergeCells count="1">
    <mergeCell ref="A1:E1"/>
  </mergeCells>
  <conditionalFormatting sqref="E5">
    <cfRule type="cellIs" dxfId="54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53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52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7">
    <cfRule type="cellIs" dxfId="51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1">
    <cfRule type="cellIs" dxfId="50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49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9">
    <cfRule type="cellIs" dxfId="48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6 E8 E18:E19">
    <cfRule type="cellIs" dxfId="47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3 E20">
    <cfRule type="cellIs" dxfId="46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B18AA81A-8619-4E1D-A682-1B215B1AC665}"/>
  </hyperlinks>
  <pageMargins left="0.25" right="0.25" top="0.75" bottom="0.75" header="0.3" footer="0.3"/>
  <pageSetup paperSize="9" fitToHeight="0" orientation="landscape" r:id="rId1"/>
  <ignoredErrors>
    <ignoredError sqref="E18:E19" evalError="1"/>
    <ignoredError sqref="E2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114" bestFit="1" customWidth="1"/>
    <col min="2" max="2" width="9.5703125" style="114" hidden="1" customWidth="1" outlineLevel="1"/>
    <col min="3" max="3" width="9.5703125" style="114" customWidth="1" collapsed="1"/>
    <col min="4" max="4" width="2.28515625" style="114" customWidth="1"/>
    <col min="5" max="8" width="9.5703125" style="114" customWidth="1"/>
    <col min="9" max="10" width="9.7109375" style="114" hidden="1" customWidth="1" outlineLevel="1"/>
    <col min="11" max="11" width="8.85546875" style="114" collapsed="1"/>
    <col min="12" max="16384" width="8.85546875" style="114"/>
  </cols>
  <sheetData>
    <row r="1" spans="1:10" ht="18.600000000000001" customHeight="1" thickBot="1" x14ac:dyDescent="0.35">
      <c r="A1" s="315" t="s">
        <v>116</v>
      </c>
      <c r="B1" s="315"/>
      <c r="C1" s="315"/>
      <c r="D1" s="315"/>
      <c r="E1" s="315"/>
      <c r="F1" s="315"/>
      <c r="G1" s="315"/>
      <c r="H1" s="315"/>
      <c r="I1" s="315"/>
      <c r="J1" s="315"/>
    </row>
    <row r="2" spans="1:10" ht="14.45" customHeight="1" thickBot="1" x14ac:dyDescent="0.25">
      <c r="A2" s="207" t="s">
        <v>242</v>
      </c>
      <c r="B2" s="96"/>
      <c r="C2" s="96"/>
      <c r="D2" s="96"/>
      <c r="E2" s="96"/>
      <c r="F2" s="96"/>
    </row>
    <row r="3" spans="1:10" ht="14.45" customHeight="1" x14ac:dyDescent="0.2">
      <c r="A3" s="306"/>
      <c r="B3" s="92">
        <v>2015</v>
      </c>
      <c r="C3" s="40">
        <v>2018</v>
      </c>
      <c r="D3" s="7"/>
      <c r="E3" s="310">
        <v>2019</v>
      </c>
      <c r="F3" s="311"/>
      <c r="G3" s="311"/>
      <c r="H3" s="312"/>
      <c r="I3" s="313">
        <v>2017</v>
      </c>
      <c r="J3" s="314"/>
    </row>
    <row r="4" spans="1:10" ht="14.45" customHeight="1" thickBot="1" x14ac:dyDescent="0.25">
      <c r="A4" s="307"/>
      <c r="B4" s="308" t="s">
        <v>59</v>
      </c>
      <c r="C4" s="309"/>
      <c r="D4" s="7"/>
      <c r="E4" s="113" t="s">
        <v>59</v>
      </c>
      <c r="F4" s="94" t="s">
        <v>60</v>
      </c>
      <c r="G4" s="94" t="s">
        <v>54</v>
      </c>
      <c r="H4" s="95" t="s">
        <v>61</v>
      </c>
      <c r="I4" s="243" t="s">
        <v>186</v>
      </c>
      <c r="J4" s="244" t="s">
        <v>187</v>
      </c>
    </row>
    <row r="5" spans="1:10" ht="14.45" customHeight="1" x14ac:dyDescent="0.2">
      <c r="A5" s="97" t="str">
        <f>HYPERLINK("#'Léky Žádanky'!A1","Léky (Kč)")</f>
        <v>Léky (Kč)</v>
      </c>
      <c r="B5" s="27">
        <v>321.27645999999999</v>
      </c>
      <c r="C5" s="29">
        <v>276.76511000000011</v>
      </c>
      <c r="D5" s="8"/>
      <c r="E5" s="102">
        <v>282.15107</v>
      </c>
      <c r="F5" s="28">
        <v>348.33334118652346</v>
      </c>
      <c r="G5" s="101">
        <f>E5-F5</f>
        <v>-66.182271186523451</v>
      </c>
      <c r="H5" s="107">
        <f>IF(F5&lt;0.00000001,"",E5/F5)</f>
        <v>0.81000305350878099</v>
      </c>
    </row>
    <row r="6" spans="1:10" ht="14.45" customHeight="1" x14ac:dyDescent="0.2">
      <c r="A6" s="97" t="str">
        <f>HYPERLINK("#'Materiál Žádanky'!A1","Materiál - SZM (Kč)")</f>
        <v>Materiál - SZM (Kč)</v>
      </c>
      <c r="B6" s="10">
        <v>3301.6790399999982</v>
      </c>
      <c r="C6" s="31">
        <v>3234.1351899999986</v>
      </c>
      <c r="D6" s="8"/>
      <c r="E6" s="103">
        <v>2898.2788499999997</v>
      </c>
      <c r="F6" s="30">
        <v>3366.0000091552733</v>
      </c>
      <c r="G6" s="104">
        <f>E6-F6</f>
        <v>-467.72115915527365</v>
      </c>
      <c r="H6" s="108">
        <f>IF(F6&lt;0.00000001,"",E6/F6)</f>
        <v>0.86104540764019422</v>
      </c>
    </row>
    <row r="7" spans="1:10" ht="14.45" customHeight="1" x14ac:dyDescent="0.2">
      <c r="A7" s="97" t="str">
        <f>HYPERLINK("#'Osobní náklady'!A1","Osobní náklady (Kč) *")</f>
        <v>Osobní náklady (Kč) *</v>
      </c>
      <c r="B7" s="10">
        <v>28877.161899999999</v>
      </c>
      <c r="C7" s="31">
        <v>31242.08958</v>
      </c>
      <c r="D7" s="8"/>
      <c r="E7" s="103">
        <v>33634.912550000001</v>
      </c>
      <c r="F7" s="30">
        <v>31938.240321289064</v>
      </c>
      <c r="G7" s="104">
        <f>E7-F7</f>
        <v>1696.6722287109369</v>
      </c>
      <c r="H7" s="108">
        <f>IF(F7&lt;0.00000001,"",E7/F7)</f>
        <v>1.0531235350364618</v>
      </c>
    </row>
    <row r="8" spans="1:10" ht="14.45" customHeight="1" thickBot="1" x14ac:dyDescent="0.25">
      <c r="A8" s="1" t="s">
        <v>62</v>
      </c>
      <c r="B8" s="11">
        <v>6189.7591099999981</v>
      </c>
      <c r="C8" s="33">
        <v>6812.1346400000057</v>
      </c>
      <c r="D8" s="8"/>
      <c r="E8" s="105">
        <v>6573.9069099999861</v>
      </c>
      <c r="F8" s="32">
        <v>5568.6678138885454</v>
      </c>
      <c r="G8" s="106">
        <f>E8-F8</f>
        <v>1005.2390961114406</v>
      </c>
      <c r="H8" s="109">
        <f>IF(F8&lt;0.00000001,"",E8/F8)</f>
        <v>1.1805169799506305</v>
      </c>
    </row>
    <row r="9" spans="1:10" ht="14.45" customHeight="1" thickBot="1" x14ac:dyDescent="0.25">
      <c r="A9" s="2" t="s">
        <v>63</v>
      </c>
      <c r="B9" s="3">
        <v>38689.876509999995</v>
      </c>
      <c r="C9" s="35">
        <v>41565.124520000005</v>
      </c>
      <c r="D9" s="8"/>
      <c r="E9" s="3">
        <v>43389.249379999987</v>
      </c>
      <c r="F9" s="34">
        <v>41221.241485519407</v>
      </c>
      <c r="G9" s="34">
        <f>E9-F9</f>
        <v>2168.0078944805791</v>
      </c>
      <c r="H9" s="110">
        <f>IF(F9&lt;0.00000001,"",E9/F9)</f>
        <v>1.0525944347222578</v>
      </c>
    </row>
    <row r="10" spans="1:10" ht="14.45" customHeight="1" thickBot="1" x14ac:dyDescent="0.25">
      <c r="A10" s="12"/>
      <c r="B10" s="12"/>
      <c r="C10" s="93"/>
      <c r="D10" s="8"/>
      <c r="E10" s="12"/>
      <c r="F10" s="13"/>
    </row>
    <row r="11" spans="1:10" ht="14.45" customHeight="1" x14ac:dyDescent="0.2">
      <c r="A11" s="117" t="str">
        <f>HYPERLINK("#'ZV Vykáz.-A'!A1","Ambulance *")</f>
        <v>Ambulance *</v>
      </c>
      <c r="B11" s="9">
        <f>IF(ISERROR(VLOOKUP("Celkem:",'ZV Vykáz.-A'!A:H,2,0)),0,VLOOKUP("Celkem:",'ZV Vykáz.-A'!A:H,2,0)/1000)</f>
        <v>16884.730149999992</v>
      </c>
      <c r="C11" s="29">
        <f>IF(ISERROR(VLOOKUP("Celkem:",'ZV Vykáz.-A'!A:H,5,0)),0,VLOOKUP("Celkem:",'ZV Vykáz.-A'!A:H,5,0)/1000)</f>
        <v>17721.38560999999</v>
      </c>
      <c r="D11" s="8"/>
      <c r="E11" s="102">
        <f>IF(ISERROR(VLOOKUP("Celkem:",'ZV Vykáz.-A'!A:H,8,0)),0,VLOOKUP("Celkem:",'ZV Vykáz.-A'!A:H,8,0)/1000)</f>
        <v>17653.132140000002</v>
      </c>
      <c r="F11" s="28">
        <f>C11</f>
        <v>17721.38560999999</v>
      </c>
      <c r="G11" s="101">
        <f>E11-F11</f>
        <v>-68.253469999988738</v>
      </c>
      <c r="H11" s="107">
        <f>IF(F11&lt;0.00000001,"",E11/F11)</f>
        <v>0.99614852520553054</v>
      </c>
      <c r="I11" s="101">
        <f>E11-B11</f>
        <v>768.40199000000939</v>
      </c>
      <c r="J11" s="107">
        <f>IF(B11&lt;0.00000001,"",E11/B11)</f>
        <v>1.0455086923613055</v>
      </c>
    </row>
    <row r="12" spans="1:10" ht="14.45" customHeight="1" thickBot="1" x14ac:dyDescent="0.25">
      <c r="A12" s="118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05">
        <f>IF(ISERROR(VLOOKUP("Celkem",#REF!,4,0)),0,VLOOKUP("Celkem",#REF!,4,0)*30)</f>
        <v>0</v>
      </c>
      <c r="F12" s="32">
        <f>C12</f>
        <v>0</v>
      </c>
      <c r="G12" s="106">
        <f>E12-F12</f>
        <v>0</v>
      </c>
      <c r="H12" s="109" t="str">
        <f>IF(F12&lt;0.00000001,"",E12/F12)</f>
        <v/>
      </c>
      <c r="I12" s="106">
        <f>E12-B12</f>
        <v>0</v>
      </c>
      <c r="J12" s="109" t="str">
        <f>IF(B12&lt;0.00000001,"",E12/B12)</f>
        <v/>
      </c>
    </row>
    <row r="13" spans="1:10" ht="14.45" customHeight="1" thickBot="1" x14ac:dyDescent="0.25">
      <c r="A13" s="4" t="s">
        <v>66</v>
      </c>
      <c r="B13" s="5">
        <f>SUM(B11:B12)</f>
        <v>16884.730149999992</v>
      </c>
      <c r="C13" s="37">
        <f>SUM(C11:C12)</f>
        <v>17721.38560999999</v>
      </c>
      <c r="D13" s="8"/>
      <c r="E13" s="5">
        <f>SUM(E11:E12)</f>
        <v>17653.132140000002</v>
      </c>
      <c r="F13" s="36">
        <f>SUM(F11:F12)</f>
        <v>17721.38560999999</v>
      </c>
      <c r="G13" s="36">
        <f>E13-F13</f>
        <v>-68.253469999988738</v>
      </c>
      <c r="H13" s="111">
        <f>IF(F13&lt;0.00000001,"",E13/F13)</f>
        <v>0.99614852520553054</v>
      </c>
      <c r="I13" s="36">
        <f>SUM(I11:I12)</f>
        <v>768.40199000000939</v>
      </c>
      <c r="J13" s="111">
        <f>IF(B13&lt;0.00000001,"",E13/B13)</f>
        <v>1.0455086923613055</v>
      </c>
    </row>
    <row r="14" spans="1:10" ht="14.45" customHeight="1" thickBot="1" x14ac:dyDescent="0.25">
      <c r="A14" s="12"/>
      <c r="B14" s="12"/>
      <c r="C14" s="93"/>
      <c r="D14" s="8"/>
      <c r="E14" s="12"/>
      <c r="F14" s="13"/>
    </row>
    <row r="15" spans="1:10" ht="14.45" customHeight="1" thickBot="1" x14ac:dyDescent="0.25">
      <c r="A15" s="119" t="str">
        <f>HYPERLINK("#'HI Graf'!A1","Hospodářský index (Výnosy / Náklady) *")</f>
        <v>Hospodářský index (Výnosy / Náklady) *</v>
      </c>
      <c r="B15" s="6">
        <f>IF(B9=0,"",B13/B9)</f>
        <v>0.43641209724812313</v>
      </c>
      <c r="C15" s="39">
        <f>IF(C9=0,"",C13/C9)</f>
        <v>0.42635228005807951</v>
      </c>
      <c r="D15" s="8"/>
      <c r="E15" s="6">
        <f>IF(E9=0,"",E13/E9)</f>
        <v>0.40685497887725863</v>
      </c>
      <c r="F15" s="38">
        <f>IF(F9=0,"",F13/F9)</f>
        <v>0.42990907045401161</v>
      </c>
      <c r="G15" s="38">
        <f>IF(ISERROR(F15-E15),"",E15-F15)</f>
        <v>-2.3054091576752977E-2</v>
      </c>
      <c r="H15" s="112">
        <f>IF(ISERROR(F15-E15),"",IF(F15&lt;0.00000001,"",E15/F15))</f>
        <v>0.94637449367512438</v>
      </c>
    </row>
    <row r="17" spans="1:8" ht="14.45" customHeight="1" x14ac:dyDescent="0.2">
      <c r="A17" s="98" t="s">
        <v>133</v>
      </c>
    </row>
    <row r="18" spans="1:8" ht="14.45" customHeight="1" x14ac:dyDescent="0.25">
      <c r="A18" s="210" t="s">
        <v>160</v>
      </c>
      <c r="B18" s="211"/>
      <c r="C18" s="211"/>
      <c r="D18" s="211"/>
      <c r="E18" s="211"/>
      <c r="F18" s="211"/>
      <c r="G18" s="211"/>
      <c r="H18" s="211"/>
    </row>
    <row r="19" spans="1:8" ht="15" x14ac:dyDescent="0.25">
      <c r="A19" s="209" t="s">
        <v>159</v>
      </c>
      <c r="B19" s="211"/>
      <c r="C19" s="211"/>
      <c r="D19" s="211"/>
      <c r="E19" s="211"/>
      <c r="F19" s="211"/>
      <c r="G19" s="211"/>
      <c r="H19" s="211"/>
    </row>
    <row r="20" spans="1:8" ht="14.45" customHeight="1" x14ac:dyDescent="0.2">
      <c r="A20" s="99" t="s">
        <v>179</v>
      </c>
    </row>
    <row r="21" spans="1:8" ht="14.45" customHeight="1" x14ac:dyDescent="0.2">
      <c r="A21" s="99" t="s">
        <v>134</v>
      </c>
    </row>
    <row r="22" spans="1:8" ht="14.45" customHeight="1" x14ac:dyDescent="0.2">
      <c r="A22" s="100" t="s">
        <v>221</v>
      </c>
    </row>
    <row r="23" spans="1:8" ht="14.45" customHeight="1" x14ac:dyDescent="0.2">
      <c r="A23" s="100" t="s">
        <v>135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5" priority="8" operator="greaterThan">
      <formula>0</formula>
    </cfRule>
  </conditionalFormatting>
  <conditionalFormatting sqref="G11:G13 G15">
    <cfRule type="cellIs" dxfId="44" priority="7" operator="lessThan">
      <formula>0</formula>
    </cfRule>
  </conditionalFormatting>
  <conditionalFormatting sqref="H5:H9">
    <cfRule type="cellIs" dxfId="43" priority="6" operator="greaterThan">
      <formula>1</formula>
    </cfRule>
  </conditionalFormatting>
  <conditionalFormatting sqref="H11:H13 H15">
    <cfRule type="cellIs" dxfId="42" priority="5" operator="lessThan">
      <formula>1</formula>
    </cfRule>
  </conditionalFormatting>
  <conditionalFormatting sqref="I11:I13">
    <cfRule type="cellIs" dxfId="41" priority="4" operator="lessThan">
      <formula>0</formula>
    </cfRule>
  </conditionalFormatting>
  <conditionalFormatting sqref="J11:J13">
    <cfRule type="cellIs" dxfId="40" priority="3" operator="lessThan">
      <formula>1</formula>
    </cfRule>
  </conditionalFormatting>
  <hyperlinks>
    <hyperlink ref="A2" location="Obsah!A1" display="Zpět na Obsah  KL 01  1.-4.měsíc" xr:uid="{C6E40986-555B-47F4-A2FA-D32A4AE9BC84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ColWidth="8.85546875" defaultRowHeight="14.45" customHeight="1" x14ac:dyDescent="0.2"/>
  <cols>
    <col min="1" max="1" width="8.85546875" style="114"/>
    <col min="2" max="13" width="8.85546875" style="114" customWidth="1"/>
    <col min="14" max="16384" width="8.85546875" style="114"/>
  </cols>
  <sheetData>
    <row r="1" spans="1:13" ht="18.600000000000001" customHeight="1" thickBot="1" x14ac:dyDescent="0.35">
      <c r="A1" s="304" t="s">
        <v>89</v>
      </c>
      <c r="B1" s="304"/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</row>
    <row r="2" spans="1:13" ht="14.45" customHeight="1" x14ac:dyDescent="0.2">
      <c r="A2" s="207" t="s">
        <v>242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</row>
    <row r="3" spans="1:13" ht="14.45" customHeight="1" x14ac:dyDescent="0.2">
      <c r="A3" s="180"/>
      <c r="B3" s="181" t="s">
        <v>68</v>
      </c>
      <c r="C3" s="182" t="s">
        <v>69</v>
      </c>
      <c r="D3" s="182" t="s">
        <v>70</v>
      </c>
      <c r="E3" s="181" t="s">
        <v>71</v>
      </c>
      <c r="F3" s="182" t="s">
        <v>72</v>
      </c>
      <c r="G3" s="182" t="s">
        <v>73</v>
      </c>
      <c r="H3" s="182" t="s">
        <v>74</v>
      </c>
      <c r="I3" s="182" t="s">
        <v>75</v>
      </c>
      <c r="J3" s="182" t="s">
        <v>76</v>
      </c>
      <c r="K3" s="182" t="s">
        <v>77</v>
      </c>
      <c r="L3" s="182" t="s">
        <v>78</v>
      </c>
      <c r="M3" s="182" t="s">
        <v>79</v>
      </c>
    </row>
    <row r="4" spans="1:13" ht="14.45" customHeight="1" x14ac:dyDescent="0.2">
      <c r="A4" s="180" t="s">
        <v>67</v>
      </c>
      <c r="B4" s="183">
        <f>(B10+B8)/B6</f>
        <v>0.51379850570130592</v>
      </c>
      <c r="C4" s="183">
        <f t="shared" ref="C4:M4" si="0">(C10+C8)/C6</f>
        <v>0.48790467094621653</v>
      </c>
      <c r="D4" s="183">
        <f t="shared" si="0"/>
        <v>0.48218706856371651</v>
      </c>
      <c r="E4" s="183">
        <f t="shared" si="0"/>
        <v>0.49588333749291358</v>
      </c>
      <c r="F4" s="183">
        <f t="shared" si="0"/>
        <v>0.47539405104854399</v>
      </c>
      <c r="G4" s="183">
        <f t="shared" si="0"/>
        <v>0.44198671004975754</v>
      </c>
      <c r="H4" s="183">
        <f t="shared" si="0"/>
        <v>0.39459293233568365</v>
      </c>
      <c r="I4" s="183">
        <f t="shared" si="0"/>
        <v>0.37455100356251597</v>
      </c>
      <c r="J4" s="183">
        <f t="shared" si="0"/>
        <v>0.38184915274938902</v>
      </c>
      <c r="K4" s="183">
        <f t="shared" si="0"/>
        <v>0.40858657328603826</v>
      </c>
      <c r="L4" s="183">
        <f t="shared" si="0"/>
        <v>0.40685500376821704</v>
      </c>
      <c r="M4" s="183">
        <f t="shared" si="0"/>
        <v>0.40685500376821704</v>
      </c>
    </row>
    <row r="5" spans="1:13" ht="14.45" customHeight="1" x14ac:dyDescent="0.2">
      <c r="A5" s="184" t="s">
        <v>40</v>
      </c>
      <c r="B5" s="183">
        <f>IF(ISERROR(VLOOKUP($A5,'Man Tab'!$A:$Q,COLUMN()+2,0)),0,VLOOKUP($A5,'Man Tab'!$A:$Q,COLUMN()+2,0))</f>
        <v>3716.30386000001</v>
      </c>
      <c r="C5" s="183">
        <f>IF(ISERROR(VLOOKUP($A5,'Man Tab'!$A:$Q,COLUMN()+2,0)),0,VLOOKUP($A5,'Man Tab'!$A:$Q,COLUMN()+2,0))</f>
        <v>3649.3750400000099</v>
      </c>
      <c r="D5" s="183">
        <f>IF(ISERROR(VLOOKUP($A5,'Man Tab'!$A:$Q,COLUMN()+2,0)),0,VLOOKUP($A5,'Man Tab'!$A:$Q,COLUMN()+2,0))</f>
        <v>3822.3723599999898</v>
      </c>
      <c r="E5" s="183">
        <f>IF(ISERROR(VLOOKUP($A5,'Man Tab'!$A:$Q,COLUMN()+2,0)),0,VLOOKUP($A5,'Man Tab'!$A:$Q,COLUMN()+2,0))</f>
        <v>3808.6153099999801</v>
      </c>
      <c r="F5" s="183">
        <f>IF(ISERROR(VLOOKUP($A5,'Man Tab'!$A:$Q,COLUMN()+2,0)),0,VLOOKUP($A5,'Man Tab'!$A:$Q,COLUMN()+2,0))</f>
        <v>3720.9482600000001</v>
      </c>
      <c r="G5" s="183">
        <f>IF(ISERROR(VLOOKUP($A5,'Man Tab'!$A:$Q,COLUMN()+2,0)),0,VLOOKUP($A5,'Man Tab'!$A:$Q,COLUMN()+2,0))</f>
        <v>3796.9299599999899</v>
      </c>
      <c r="H5" s="183">
        <f>IF(ISERROR(VLOOKUP($A5,'Man Tab'!$A:$Q,COLUMN()+2,0)),0,VLOOKUP($A5,'Man Tab'!$A:$Q,COLUMN()+2,0))</f>
        <v>4895.8597399999999</v>
      </c>
      <c r="I5" s="183">
        <f>IF(ISERROR(VLOOKUP($A5,'Man Tab'!$A:$Q,COLUMN()+2,0)),0,VLOOKUP($A5,'Man Tab'!$A:$Q,COLUMN()+2,0))</f>
        <v>3831.1907900000101</v>
      </c>
      <c r="J5" s="183">
        <f>IF(ISERROR(VLOOKUP($A5,'Man Tab'!$A:$Q,COLUMN()+2,0)),0,VLOOKUP($A5,'Man Tab'!$A:$Q,COLUMN()+2,0))</f>
        <v>3484.9443999999899</v>
      </c>
      <c r="K5" s="183">
        <f>IF(ISERROR(VLOOKUP($A5,'Man Tab'!$A:$Q,COLUMN()+2,0)),0,VLOOKUP($A5,'Man Tab'!$A:$Q,COLUMN()+2,0))</f>
        <v>3692.9117900000001</v>
      </c>
      <c r="L5" s="183">
        <f>IF(ISERROR(VLOOKUP($A5,'Man Tab'!$A:$Q,COLUMN()+2,0)),0,VLOOKUP($A5,'Man Tab'!$A:$Q,COLUMN()+2,0))</f>
        <v>4969.7978700000003</v>
      </c>
      <c r="M5" s="183">
        <f>IF(ISERROR(VLOOKUP($A5,'Man Tab'!$A:$Q,COLUMN()+2,0)),0,VLOOKUP($A5,'Man Tab'!$A:$Q,COLUMN()+2,0))</f>
        <v>0</v>
      </c>
    </row>
    <row r="6" spans="1:13" ht="14.45" customHeight="1" x14ac:dyDescent="0.2">
      <c r="A6" s="184" t="s">
        <v>63</v>
      </c>
      <c r="B6" s="185">
        <f>B5</f>
        <v>3716.30386000001</v>
      </c>
      <c r="C6" s="185">
        <f t="shared" ref="C6:M6" si="1">C5+B6</f>
        <v>7365.6789000000199</v>
      </c>
      <c r="D6" s="185">
        <f t="shared" si="1"/>
        <v>11188.051260000009</v>
      </c>
      <c r="E6" s="185">
        <f t="shared" si="1"/>
        <v>14996.66656999999</v>
      </c>
      <c r="F6" s="185">
        <f t="shared" si="1"/>
        <v>18717.614829999991</v>
      </c>
      <c r="G6" s="185">
        <f t="shared" si="1"/>
        <v>22514.544789999982</v>
      </c>
      <c r="H6" s="185">
        <f t="shared" si="1"/>
        <v>27410.404529999982</v>
      </c>
      <c r="I6" s="185">
        <f t="shared" si="1"/>
        <v>31241.595319999993</v>
      </c>
      <c r="J6" s="185">
        <f t="shared" si="1"/>
        <v>34726.539719999986</v>
      </c>
      <c r="K6" s="185">
        <f t="shared" si="1"/>
        <v>38419.451509999984</v>
      </c>
      <c r="L6" s="185">
        <f t="shared" si="1"/>
        <v>43389.249379999987</v>
      </c>
      <c r="M6" s="185">
        <f t="shared" si="1"/>
        <v>43389.249379999987</v>
      </c>
    </row>
    <row r="7" spans="1:13" ht="14.45" customHeight="1" x14ac:dyDescent="0.2">
      <c r="A7" s="184" t="s">
        <v>87</v>
      </c>
      <c r="B7" s="184"/>
      <c r="C7" s="184"/>
      <c r="D7" s="184"/>
      <c r="E7" s="184"/>
      <c r="F7" s="184"/>
      <c r="G7" s="184"/>
      <c r="H7" s="184"/>
      <c r="I7" s="184"/>
      <c r="J7" s="184"/>
      <c r="K7" s="184"/>
      <c r="L7" s="184"/>
      <c r="M7" s="184"/>
    </row>
    <row r="8" spans="1:13" ht="14.45" customHeight="1" x14ac:dyDescent="0.2">
      <c r="A8" s="184" t="s">
        <v>64</v>
      </c>
      <c r="B8" s="185">
        <f>B7*30</f>
        <v>0</v>
      </c>
      <c r="C8" s="185">
        <f t="shared" ref="C8:M8" si="2">C7*30</f>
        <v>0</v>
      </c>
      <c r="D8" s="185">
        <f t="shared" si="2"/>
        <v>0</v>
      </c>
      <c r="E8" s="185">
        <f t="shared" si="2"/>
        <v>0</v>
      </c>
      <c r="F8" s="185">
        <f t="shared" si="2"/>
        <v>0</v>
      </c>
      <c r="G8" s="185">
        <f t="shared" si="2"/>
        <v>0</v>
      </c>
      <c r="H8" s="185">
        <f t="shared" si="2"/>
        <v>0</v>
      </c>
      <c r="I8" s="185">
        <f t="shared" si="2"/>
        <v>0</v>
      </c>
      <c r="J8" s="185">
        <f t="shared" si="2"/>
        <v>0</v>
      </c>
      <c r="K8" s="185">
        <f t="shared" si="2"/>
        <v>0</v>
      </c>
      <c r="L8" s="185">
        <f t="shared" si="2"/>
        <v>0</v>
      </c>
      <c r="M8" s="185">
        <f t="shared" si="2"/>
        <v>0</v>
      </c>
    </row>
    <row r="9" spans="1:13" ht="14.45" customHeight="1" x14ac:dyDescent="0.2">
      <c r="A9" s="184" t="s">
        <v>88</v>
      </c>
      <c r="B9" s="184">
        <v>1909431.3700000003</v>
      </c>
      <c r="C9" s="184">
        <v>1684317.7699999996</v>
      </c>
      <c r="D9" s="184">
        <v>1800984.4999999995</v>
      </c>
      <c r="E9" s="184">
        <v>2041863.4300000004</v>
      </c>
      <c r="F9" s="184">
        <v>1461645.6699999995</v>
      </c>
      <c r="G9" s="184">
        <v>1052886.8400000001</v>
      </c>
      <c r="H9" s="184">
        <v>864822.32000000018</v>
      </c>
      <c r="I9" s="184">
        <v>885618.98</v>
      </c>
      <c r="J9" s="184">
        <v>1558728.8900000001</v>
      </c>
      <c r="K9" s="184">
        <v>2437372.2700000019</v>
      </c>
      <c r="L9" s="184">
        <v>1955461.1800000004</v>
      </c>
      <c r="M9" s="184">
        <v>0</v>
      </c>
    </row>
    <row r="10" spans="1:13" ht="14.45" customHeight="1" x14ac:dyDescent="0.2">
      <c r="A10" s="184" t="s">
        <v>65</v>
      </c>
      <c r="B10" s="185">
        <f>B9/1000</f>
        <v>1909.4313700000002</v>
      </c>
      <c r="C10" s="185">
        <f t="shared" ref="C10:M10" si="3">C9/1000+B10</f>
        <v>3593.7491399999999</v>
      </c>
      <c r="D10" s="185">
        <f t="shared" si="3"/>
        <v>5394.7336399999995</v>
      </c>
      <c r="E10" s="185">
        <f t="shared" si="3"/>
        <v>7436.5970699999998</v>
      </c>
      <c r="F10" s="185">
        <f t="shared" si="3"/>
        <v>8898.2427399999997</v>
      </c>
      <c r="G10" s="185">
        <f t="shared" si="3"/>
        <v>9951.1295800000007</v>
      </c>
      <c r="H10" s="185">
        <f t="shared" si="3"/>
        <v>10815.9519</v>
      </c>
      <c r="I10" s="185">
        <f t="shared" si="3"/>
        <v>11701.570879999999</v>
      </c>
      <c r="J10" s="185">
        <f t="shared" si="3"/>
        <v>13260.29977</v>
      </c>
      <c r="K10" s="185">
        <f t="shared" si="3"/>
        <v>15697.672040000001</v>
      </c>
      <c r="L10" s="185">
        <f t="shared" si="3"/>
        <v>17653.133220000003</v>
      </c>
      <c r="M10" s="185">
        <f t="shared" si="3"/>
        <v>17653.133220000003</v>
      </c>
    </row>
    <row r="11" spans="1:13" ht="14.45" customHeight="1" x14ac:dyDescent="0.2">
      <c r="A11" s="180"/>
      <c r="B11" s="180" t="s">
        <v>80</v>
      </c>
      <c r="C11" s="180">
        <f ca="1">IF(MONTH(TODAY())=1,12,MONTH(TODAY())-1)</f>
        <v>11</v>
      </c>
      <c r="D11" s="180"/>
      <c r="E11" s="180"/>
      <c r="F11" s="180"/>
      <c r="G11" s="180"/>
      <c r="H11" s="180"/>
      <c r="I11" s="180"/>
      <c r="J11" s="180"/>
      <c r="K11" s="180"/>
      <c r="L11" s="180"/>
      <c r="M11" s="180"/>
    </row>
    <row r="12" spans="1:13" ht="14.45" customHeight="1" x14ac:dyDescent="0.2">
      <c r="A12" s="180">
        <v>0</v>
      </c>
      <c r="B12" s="183">
        <f>IF(ISERROR(HI!F15),#REF!,HI!F15)</f>
        <v>0.42990907045401161</v>
      </c>
      <c r="C12" s="180"/>
      <c r="D12" s="180"/>
      <c r="E12" s="180"/>
      <c r="F12" s="180"/>
      <c r="G12" s="180"/>
      <c r="H12" s="180"/>
      <c r="I12" s="180"/>
      <c r="J12" s="180"/>
      <c r="K12" s="180"/>
      <c r="L12" s="180"/>
      <c r="M12" s="180"/>
    </row>
    <row r="13" spans="1:13" ht="14.45" customHeight="1" x14ac:dyDescent="0.2">
      <c r="A13" s="180">
        <v>1</v>
      </c>
      <c r="B13" s="183">
        <f>IF(ISERROR(HI!F15),#REF!,HI!F15)</f>
        <v>0.42990907045401161</v>
      </c>
      <c r="C13" s="180"/>
      <c r="D13" s="180"/>
      <c r="E13" s="180"/>
      <c r="F13" s="180"/>
      <c r="G13" s="180"/>
      <c r="H13" s="180"/>
      <c r="I13" s="180"/>
      <c r="J13" s="180"/>
      <c r="K13" s="180"/>
      <c r="L13" s="180"/>
      <c r="M13" s="180"/>
    </row>
  </sheetData>
  <mergeCells count="1">
    <mergeCell ref="A1:M1"/>
  </mergeCells>
  <hyperlinks>
    <hyperlink ref="A2" location="Obsah!A1" display="Zpět na Obsah  KL 01  1.-4.měsíc" xr:uid="{D076139C-56B8-49A5-BFA3-6C3FFB316137}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114" bestFit="1" customWidth="1"/>
    <col min="2" max="2" width="12.7109375" style="114" bestFit="1" customWidth="1"/>
    <col min="3" max="3" width="13.7109375" style="114" bestFit="1" customWidth="1"/>
    <col min="4" max="15" width="7.7109375" style="114" bestFit="1" customWidth="1"/>
    <col min="16" max="16" width="8.85546875" style="114" customWidth="1"/>
    <col min="17" max="17" width="6.7109375" style="114" bestFit="1" customWidth="1"/>
    <col min="18" max="16384" width="8.85546875" style="114"/>
  </cols>
  <sheetData>
    <row r="1" spans="1:17" s="186" customFormat="1" ht="18.600000000000001" customHeight="1" thickBot="1" x14ac:dyDescent="0.35">
      <c r="A1" s="316" t="s">
        <v>244</v>
      </c>
      <c r="B1" s="316"/>
      <c r="C1" s="316"/>
      <c r="D1" s="316"/>
      <c r="E1" s="316"/>
      <c r="F1" s="316"/>
      <c r="G1" s="316"/>
      <c r="H1" s="304"/>
      <c r="I1" s="304"/>
      <c r="J1" s="304"/>
      <c r="K1" s="304"/>
      <c r="L1" s="304"/>
      <c r="M1" s="304"/>
      <c r="N1" s="304"/>
      <c r="O1" s="304"/>
      <c r="P1" s="304"/>
      <c r="Q1" s="304"/>
    </row>
    <row r="2" spans="1:17" s="186" customFormat="1" ht="14.45" customHeight="1" thickBot="1" x14ac:dyDescent="0.25">
      <c r="A2" s="207" t="s">
        <v>242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</row>
    <row r="3" spans="1:17" ht="14.45" customHeight="1" x14ac:dyDescent="0.2">
      <c r="A3" s="68"/>
      <c r="B3" s="317" t="s">
        <v>16</v>
      </c>
      <c r="C3" s="318"/>
      <c r="D3" s="318"/>
      <c r="E3" s="318"/>
      <c r="F3" s="318"/>
      <c r="G3" s="318"/>
      <c r="H3" s="318"/>
      <c r="I3" s="318"/>
      <c r="J3" s="318"/>
      <c r="K3" s="318"/>
      <c r="L3" s="318"/>
      <c r="M3" s="318"/>
      <c r="N3" s="318"/>
      <c r="O3" s="318"/>
      <c r="P3" s="122"/>
      <c r="Q3" s="124"/>
    </row>
    <row r="4" spans="1:17" ht="14.45" customHeight="1" x14ac:dyDescent="0.2">
      <c r="A4" s="69"/>
      <c r="B4" s="20">
        <v>2019</v>
      </c>
      <c r="C4" s="123" t="s">
        <v>17</v>
      </c>
      <c r="D4" s="237" t="s">
        <v>222</v>
      </c>
      <c r="E4" s="237" t="s">
        <v>223</v>
      </c>
      <c r="F4" s="237" t="s">
        <v>224</v>
      </c>
      <c r="G4" s="237" t="s">
        <v>225</v>
      </c>
      <c r="H4" s="237" t="s">
        <v>226</v>
      </c>
      <c r="I4" s="237" t="s">
        <v>227</v>
      </c>
      <c r="J4" s="237" t="s">
        <v>228</v>
      </c>
      <c r="K4" s="237" t="s">
        <v>229</v>
      </c>
      <c r="L4" s="237" t="s">
        <v>230</v>
      </c>
      <c r="M4" s="237" t="s">
        <v>231</v>
      </c>
      <c r="N4" s="237" t="s">
        <v>232</v>
      </c>
      <c r="O4" s="237" t="s">
        <v>233</v>
      </c>
      <c r="P4" s="319" t="s">
        <v>3</v>
      </c>
      <c r="Q4" s="320"/>
    </row>
    <row r="5" spans="1:17" ht="14.45" customHeight="1" thickBot="1" x14ac:dyDescent="0.25">
      <c r="A5" s="70"/>
      <c r="B5" s="21" t="s">
        <v>18</v>
      </c>
      <c r="C5" s="22" t="s">
        <v>18</v>
      </c>
      <c r="D5" s="22" t="s">
        <v>19</v>
      </c>
      <c r="E5" s="22" t="s">
        <v>19</v>
      </c>
      <c r="F5" s="22" t="s">
        <v>19</v>
      </c>
      <c r="G5" s="22" t="s">
        <v>19</v>
      </c>
      <c r="H5" s="22" t="s">
        <v>19</v>
      </c>
      <c r="I5" s="22" t="s">
        <v>19</v>
      </c>
      <c r="J5" s="22" t="s">
        <v>19</v>
      </c>
      <c r="K5" s="22" t="s">
        <v>19</v>
      </c>
      <c r="L5" s="22" t="s">
        <v>19</v>
      </c>
      <c r="M5" s="22" t="s">
        <v>19</v>
      </c>
      <c r="N5" s="22" t="s">
        <v>19</v>
      </c>
      <c r="O5" s="22" t="s">
        <v>19</v>
      </c>
      <c r="P5" s="22" t="s">
        <v>19</v>
      </c>
      <c r="Q5" s="23" t="s">
        <v>20</v>
      </c>
    </row>
    <row r="6" spans="1:17" ht="14.45" customHeight="1" x14ac:dyDescent="0.2">
      <c r="A6" s="14" t="s">
        <v>21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80" t="s">
        <v>243</v>
      </c>
    </row>
    <row r="7" spans="1:17" ht="14.45" customHeight="1" x14ac:dyDescent="0.2">
      <c r="A7" s="15" t="s">
        <v>22</v>
      </c>
      <c r="B7" s="51">
        <v>380</v>
      </c>
      <c r="C7" s="52">
        <v>31.666666666666</v>
      </c>
      <c r="D7" s="52">
        <v>30.145479999999999</v>
      </c>
      <c r="E7" s="52">
        <v>44.436520000000002</v>
      </c>
      <c r="F7" s="52">
        <v>19.045120000000001</v>
      </c>
      <c r="G7" s="52">
        <v>29.047359999998999</v>
      </c>
      <c r="H7" s="52">
        <v>36.134059999999998</v>
      </c>
      <c r="I7" s="52">
        <v>26.437229999999001</v>
      </c>
      <c r="J7" s="52">
        <v>18.382680000000001</v>
      </c>
      <c r="K7" s="52">
        <v>0</v>
      </c>
      <c r="L7" s="52">
        <v>42.382989999998998</v>
      </c>
      <c r="M7" s="52">
        <v>6.2807399999999998</v>
      </c>
      <c r="N7" s="52">
        <v>29.858889999999999</v>
      </c>
      <c r="O7" s="52">
        <v>0</v>
      </c>
      <c r="P7" s="53">
        <v>282.15107</v>
      </c>
      <c r="Q7" s="81">
        <v>0.81000307176999997</v>
      </c>
    </row>
    <row r="8" spans="1:17" ht="14.45" customHeight="1" x14ac:dyDescent="0.2">
      <c r="A8" s="15" t="s">
        <v>23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81" t="s">
        <v>243</v>
      </c>
    </row>
    <row r="9" spans="1:17" ht="14.45" customHeight="1" x14ac:dyDescent="0.2">
      <c r="A9" s="15" t="s">
        <v>24</v>
      </c>
      <c r="B9" s="51">
        <v>3672</v>
      </c>
      <c r="C9" s="52">
        <v>306</v>
      </c>
      <c r="D9" s="52">
        <v>247.909570000001</v>
      </c>
      <c r="E9" s="52">
        <v>196.8707</v>
      </c>
      <c r="F9" s="52">
        <v>300.713989999999</v>
      </c>
      <c r="G9" s="52">
        <v>257.35960999999901</v>
      </c>
      <c r="H9" s="52">
        <v>333.6696</v>
      </c>
      <c r="I9" s="52">
        <v>149.22466999999901</v>
      </c>
      <c r="J9" s="52">
        <v>264.10108000000002</v>
      </c>
      <c r="K9" s="52">
        <v>179.10655</v>
      </c>
      <c r="L9" s="52">
        <v>176.621569999999</v>
      </c>
      <c r="M9" s="52">
        <v>303.20161000000002</v>
      </c>
      <c r="N9" s="52">
        <v>489.49990000000003</v>
      </c>
      <c r="O9" s="52">
        <v>0</v>
      </c>
      <c r="P9" s="53">
        <v>2898.2788500000001</v>
      </c>
      <c r="Q9" s="81">
        <v>0.86104540998199997</v>
      </c>
    </row>
    <row r="10" spans="1:17" ht="14.45" customHeight="1" x14ac:dyDescent="0.2">
      <c r="A10" s="15" t="s">
        <v>25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81" t="s">
        <v>243</v>
      </c>
    </row>
    <row r="11" spans="1:17" ht="14.45" customHeight="1" x14ac:dyDescent="0.2">
      <c r="A11" s="15" t="s">
        <v>26</v>
      </c>
      <c r="B11" s="51">
        <v>471.65880055069698</v>
      </c>
      <c r="C11" s="52">
        <v>39.304900045891003</v>
      </c>
      <c r="D11" s="52">
        <v>49.9437</v>
      </c>
      <c r="E11" s="52">
        <v>26.578970000000002</v>
      </c>
      <c r="F11" s="52">
        <v>38.375179999998998</v>
      </c>
      <c r="G11" s="52">
        <v>42.867379999999002</v>
      </c>
      <c r="H11" s="52">
        <v>41.460329999999999</v>
      </c>
      <c r="I11" s="52">
        <v>41.959969999998997</v>
      </c>
      <c r="J11" s="52">
        <v>41.004420000000003</v>
      </c>
      <c r="K11" s="52">
        <v>27.873090000000001</v>
      </c>
      <c r="L11" s="52">
        <v>44.043359999998998</v>
      </c>
      <c r="M11" s="52">
        <v>37.999400000000001</v>
      </c>
      <c r="N11" s="52">
        <v>39.12865</v>
      </c>
      <c r="O11" s="52">
        <v>0</v>
      </c>
      <c r="P11" s="53">
        <v>431.23444999999998</v>
      </c>
      <c r="Q11" s="81">
        <v>0.99741080049499997</v>
      </c>
    </row>
    <row r="12" spans="1:17" ht="14.45" customHeight="1" x14ac:dyDescent="0.2">
      <c r="A12" s="15" t="s">
        <v>27</v>
      </c>
      <c r="B12" s="51">
        <v>64.931185044833995</v>
      </c>
      <c r="C12" s="52">
        <v>5.4109320870689999</v>
      </c>
      <c r="D12" s="52">
        <v>2.2582200000000001</v>
      </c>
      <c r="E12" s="52">
        <v>1.694</v>
      </c>
      <c r="F12" s="52">
        <v>9.8311999999990007</v>
      </c>
      <c r="G12" s="52">
        <v>5.4150999999989997</v>
      </c>
      <c r="H12" s="52">
        <v>11.1812</v>
      </c>
      <c r="I12" s="52">
        <v>6.9833999999990004</v>
      </c>
      <c r="J12" s="52">
        <v>2.8608500000000001</v>
      </c>
      <c r="K12" s="52">
        <v>1.1686799999999999</v>
      </c>
      <c r="L12" s="52">
        <v>9.2589799999989992</v>
      </c>
      <c r="M12" s="52">
        <v>5.2945500000000001</v>
      </c>
      <c r="N12" s="52">
        <v>2.7782499999999999</v>
      </c>
      <c r="O12" s="52">
        <v>0</v>
      </c>
      <c r="P12" s="53">
        <v>58.724429999999003</v>
      </c>
      <c r="Q12" s="81">
        <v>0.98662937540999995</v>
      </c>
    </row>
    <row r="13" spans="1:17" ht="14.45" customHeight="1" x14ac:dyDescent="0.2">
      <c r="A13" s="15" t="s">
        <v>28</v>
      </c>
      <c r="B13" s="51">
        <v>70</v>
      </c>
      <c r="C13" s="52">
        <v>5.833333333333</v>
      </c>
      <c r="D13" s="52">
        <v>9.1701800000000002</v>
      </c>
      <c r="E13" s="52">
        <v>7.6261799999999997</v>
      </c>
      <c r="F13" s="52">
        <v>6.9308399999989998</v>
      </c>
      <c r="G13" s="52">
        <v>6.5006899999990004</v>
      </c>
      <c r="H13" s="52">
        <v>5.2538999999999998</v>
      </c>
      <c r="I13" s="52">
        <v>6.3021999999989999</v>
      </c>
      <c r="J13" s="52">
        <v>4.6005799999999999</v>
      </c>
      <c r="K13" s="52">
        <v>4.0268499999999996</v>
      </c>
      <c r="L13" s="52">
        <v>4.5615099999990001</v>
      </c>
      <c r="M13" s="52">
        <v>3.1295899999999999</v>
      </c>
      <c r="N13" s="52">
        <v>7.7651500000000002</v>
      </c>
      <c r="O13" s="52">
        <v>0</v>
      </c>
      <c r="P13" s="53">
        <v>65.867670000000004</v>
      </c>
      <c r="Q13" s="81">
        <v>1.0265091428569999</v>
      </c>
    </row>
    <row r="14" spans="1:17" ht="14.45" customHeight="1" x14ac:dyDescent="0.2">
      <c r="A14" s="15" t="s">
        <v>29</v>
      </c>
      <c r="B14" s="51">
        <v>1707.3598970379801</v>
      </c>
      <c r="C14" s="52">
        <v>142.27999141983199</v>
      </c>
      <c r="D14" s="52">
        <v>164.059</v>
      </c>
      <c r="E14" s="52">
        <v>165.55892</v>
      </c>
      <c r="F14" s="52">
        <v>138.40325999999999</v>
      </c>
      <c r="G14" s="52">
        <v>119.834499999999</v>
      </c>
      <c r="H14" s="52">
        <v>105.64100000000001</v>
      </c>
      <c r="I14" s="52">
        <v>132.44900000000001</v>
      </c>
      <c r="J14" s="52">
        <v>30.54073</v>
      </c>
      <c r="K14" s="52">
        <v>70.322389999999999</v>
      </c>
      <c r="L14" s="52">
        <v>73.180299999998994</v>
      </c>
      <c r="M14" s="52">
        <v>111.59399999999999</v>
      </c>
      <c r="N14" s="52">
        <v>135.94828000000001</v>
      </c>
      <c r="O14" s="52">
        <v>0</v>
      </c>
      <c r="P14" s="53">
        <v>1247.5313799999999</v>
      </c>
      <c r="Q14" s="81">
        <v>0.79710395329999995</v>
      </c>
    </row>
    <row r="15" spans="1:17" ht="14.45" customHeight="1" x14ac:dyDescent="0.2">
      <c r="A15" s="15" t="s">
        <v>30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81" t="s">
        <v>243</v>
      </c>
    </row>
    <row r="16" spans="1:17" ht="14.45" customHeight="1" x14ac:dyDescent="0.2">
      <c r="A16" s="15" t="s">
        <v>31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81" t="s">
        <v>243</v>
      </c>
    </row>
    <row r="17" spans="1:17" ht="14.45" customHeight="1" x14ac:dyDescent="0.2">
      <c r="A17" s="15" t="s">
        <v>32</v>
      </c>
      <c r="B17" s="51">
        <v>1041.1713507357199</v>
      </c>
      <c r="C17" s="52">
        <v>86.764279227976004</v>
      </c>
      <c r="D17" s="52">
        <v>36.727899999999998</v>
      </c>
      <c r="E17" s="52">
        <v>93.672240000000002</v>
      </c>
      <c r="F17" s="52">
        <v>49.987499999999002</v>
      </c>
      <c r="G17" s="52">
        <v>100.76575</v>
      </c>
      <c r="H17" s="52">
        <v>50.097969999999997</v>
      </c>
      <c r="I17" s="52">
        <v>199.72072999999901</v>
      </c>
      <c r="J17" s="52">
        <v>26.447669999999999</v>
      </c>
      <c r="K17" s="52">
        <v>237.67461</v>
      </c>
      <c r="L17" s="52">
        <v>22.274099999998999</v>
      </c>
      <c r="M17" s="52">
        <v>58.135330000000003</v>
      </c>
      <c r="N17" s="52">
        <v>61.550040000000003</v>
      </c>
      <c r="O17" s="52">
        <v>0</v>
      </c>
      <c r="P17" s="53">
        <v>937.05383999999901</v>
      </c>
      <c r="Q17" s="81">
        <v>0.98181778820999999</v>
      </c>
    </row>
    <row r="18" spans="1:17" ht="14.45" customHeight="1" x14ac:dyDescent="0.2">
      <c r="A18" s="15" t="s">
        <v>33</v>
      </c>
      <c r="B18" s="51">
        <v>0</v>
      </c>
      <c r="C18" s="52">
        <v>0</v>
      </c>
      <c r="D18" s="52">
        <v>0</v>
      </c>
      <c r="E18" s="52">
        <v>13.836</v>
      </c>
      <c r="F18" s="52">
        <v>0</v>
      </c>
      <c r="G18" s="52">
        <v>0</v>
      </c>
      <c r="H18" s="52">
        <v>3.645</v>
      </c>
      <c r="I18" s="52">
        <v>5.5159999999989999</v>
      </c>
      <c r="J18" s="52">
        <v>0</v>
      </c>
      <c r="K18" s="52">
        <v>0</v>
      </c>
      <c r="L18" s="52">
        <v>3.224999999999</v>
      </c>
      <c r="M18" s="52">
        <v>0.69199999999999995</v>
      </c>
      <c r="N18" s="52">
        <v>2.91</v>
      </c>
      <c r="O18" s="52">
        <v>0</v>
      </c>
      <c r="P18" s="53">
        <v>29.824000000000002</v>
      </c>
      <c r="Q18" s="81" t="s">
        <v>243</v>
      </c>
    </row>
    <row r="19" spans="1:17" ht="14.45" customHeight="1" x14ac:dyDescent="0.2">
      <c r="A19" s="15" t="s">
        <v>34</v>
      </c>
      <c r="B19" s="51">
        <v>1366.78908143794</v>
      </c>
      <c r="C19" s="52">
        <v>113.899090119829</v>
      </c>
      <c r="D19" s="52">
        <v>176.33190999999999</v>
      </c>
      <c r="E19" s="52">
        <v>195.68599</v>
      </c>
      <c r="F19" s="52">
        <v>170.15271999999999</v>
      </c>
      <c r="G19" s="52">
        <v>291.01856999999899</v>
      </c>
      <c r="H19" s="52">
        <v>165.54169999999999</v>
      </c>
      <c r="I19" s="52">
        <v>309.56514999999899</v>
      </c>
      <c r="J19" s="52">
        <v>267.82427000000001</v>
      </c>
      <c r="K19" s="52">
        <v>130.14924999999999</v>
      </c>
      <c r="L19" s="52">
        <v>132.66316999999901</v>
      </c>
      <c r="M19" s="52">
        <v>199.22467</v>
      </c>
      <c r="N19" s="52">
        <v>148.85561999999999</v>
      </c>
      <c r="O19" s="52">
        <v>0</v>
      </c>
      <c r="P19" s="53">
        <v>2187.0130199999999</v>
      </c>
      <c r="Q19" s="81">
        <v>1.745574659511</v>
      </c>
    </row>
    <row r="20" spans="1:17" ht="14.45" customHeight="1" x14ac:dyDescent="0.2">
      <c r="A20" s="15" t="s">
        <v>35</v>
      </c>
      <c r="B20" s="51">
        <v>34841.715801999999</v>
      </c>
      <c r="C20" s="52">
        <v>2903.4763168333402</v>
      </c>
      <c r="D20" s="52">
        <v>2880.68714000001</v>
      </c>
      <c r="E20" s="52">
        <v>2737.6783500000101</v>
      </c>
      <c r="F20" s="52">
        <v>2974.38930999999</v>
      </c>
      <c r="G20" s="52">
        <v>2825.8994599999901</v>
      </c>
      <c r="H20" s="52">
        <v>2863.3721799999998</v>
      </c>
      <c r="I20" s="52">
        <v>2804.0435399999901</v>
      </c>
      <c r="J20" s="52">
        <v>4179.2622700000002</v>
      </c>
      <c r="K20" s="52">
        <v>2843.25414000001</v>
      </c>
      <c r="L20" s="52">
        <v>2867.80860999999</v>
      </c>
      <c r="M20" s="52">
        <v>2822.9630699999998</v>
      </c>
      <c r="N20" s="52">
        <v>3835.5544799999998</v>
      </c>
      <c r="O20" s="52">
        <v>0</v>
      </c>
      <c r="P20" s="53">
        <v>33634.912550000001</v>
      </c>
      <c r="Q20" s="81">
        <v>1.053123562606</v>
      </c>
    </row>
    <row r="21" spans="1:17" ht="14.45" customHeight="1" x14ac:dyDescent="0.2">
      <c r="A21" s="16" t="s">
        <v>36</v>
      </c>
      <c r="B21" s="51">
        <v>1344.99999999998</v>
      </c>
      <c r="C21" s="52">
        <v>112.08333333333201</v>
      </c>
      <c r="D21" s="52">
        <v>110.7441</v>
      </c>
      <c r="E21" s="52">
        <v>109.91710999999999</v>
      </c>
      <c r="F21" s="52">
        <v>109.9131</v>
      </c>
      <c r="G21" s="52">
        <v>109.91304</v>
      </c>
      <c r="H21" s="52">
        <v>104.95310000000001</v>
      </c>
      <c r="I21" s="52">
        <v>108.9211</v>
      </c>
      <c r="J21" s="52">
        <v>108.9211</v>
      </c>
      <c r="K21" s="52">
        <v>108.92359999999999</v>
      </c>
      <c r="L21" s="52">
        <v>108.92359999999999</v>
      </c>
      <c r="M21" s="52">
        <v>108.92359999999999</v>
      </c>
      <c r="N21" s="52">
        <v>110.7086</v>
      </c>
      <c r="O21" s="52">
        <v>0</v>
      </c>
      <c r="P21" s="53">
        <v>1200.76205</v>
      </c>
      <c r="Q21" s="81">
        <v>0.973919878337</v>
      </c>
    </row>
    <row r="22" spans="1:17" ht="14.45" customHeight="1" x14ac:dyDescent="0.2">
      <c r="A22" s="15" t="s">
        <v>37</v>
      </c>
      <c r="B22" s="51">
        <v>8</v>
      </c>
      <c r="C22" s="52">
        <v>0.66666666666600005</v>
      </c>
      <c r="D22" s="52">
        <v>4.9119999999999999</v>
      </c>
      <c r="E22" s="52">
        <v>0</v>
      </c>
      <c r="F22" s="52">
        <v>4.1974899999990001</v>
      </c>
      <c r="G22" s="52">
        <v>9.0749999999989992</v>
      </c>
      <c r="H22" s="52">
        <v>0</v>
      </c>
      <c r="I22" s="52">
        <v>5.8079999999989997</v>
      </c>
      <c r="J22" s="52">
        <v>7.5389999999999997</v>
      </c>
      <c r="K22" s="52">
        <v>227.0675</v>
      </c>
      <c r="L22" s="52">
        <v>0</v>
      </c>
      <c r="M22" s="52">
        <v>4.1139999999999999</v>
      </c>
      <c r="N22" s="52">
        <v>86.016559999999998</v>
      </c>
      <c r="O22" s="52">
        <v>0</v>
      </c>
      <c r="P22" s="53">
        <v>348.72955000000002</v>
      </c>
      <c r="Q22" s="81">
        <v>47.554029545454</v>
      </c>
    </row>
    <row r="23" spans="1:17" ht="14.45" customHeight="1" x14ac:dyDescent="0.2">
      <c r="A23" s="16" t="s">
        <v>38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81" t="s">
        <v>243</v>
      </c>
    </row>
    <row r="24" spans="1:17" ht="14.45" customHeight="1" x14ac:dyDescent="0.2">
      <c r="A24" s="16" t="s">
        <v>39</v>
      </c>
      <c r="B24" s="51">
        <v>1.45519152283669E-11</v>
      </c>
      <c r="C24" s="52">
        <v>4.5474735088646402E-13</v>
      </c>
      <c r="D24" s="52">
        <v>3.4146599999989999</v>
      </c>
      <c r="E24" s="52">
        <v>55.820059999999998</v>
      </c>
      <c r="F24" s="52">
        <v>0.43264999999800002</v>
      </c>
      <c r="G24" s="52">
        <v>10.918850000000001</v>
      </c>
      <c r="H24" s="52">
        <v>-1.7799999999999999E-3</v>
      </c>
      <c r="I24" s="52">
        <v>-1.0300000000000001E-3</v>
      </c>
      <c r="J24" s="52">
        <v>-55.624909999998998</v>
      </c>
      <c r="K24" s="52">
        <v>1.6241300000000001</v>
      </c>
      <c r="L24" s="52">
        <v>1.2099999999999999E-3</v>
      </c>
      <c r="M24" s="52">
        <v>31.359229999998998</v>
      </c>
      <c r="N24" s="52">
        <v>19.223449999999001</v>
      </c>
      <c r="O24" s="52">
        <v>0</v>
      </c>
      <c r="P24" s="53">
        <v>67.166519999997007</v>
      </c>
      <c r="Q24" s="81"/>
    </row>
    <row r="25" spans="1:17" ht="14.45" customHeight="1" x14ac:dyDescent="0.2">
      <c r="A25" s="17" t="s">
        <v>40</v>
      </c>
      <c r="B25" s="54">
        <v>44968.626116807201</v>
      </c>
      <c r="C25" s="55">
        <v>3747.3855097339301</v>
      </c>
      <c r="D25" s="55">
        <v>3716.30386000001</v>
      </c>
      <c r="E25" s="55">
        <v>3649.3750400000099</v>
      </c>
      <c r="F25" s="55">
        <v>3822.3723599999898</v>
      </c>
      <c r="G25" s="55">
        <v>3808.6153099999801</v>
      </c>
      <c r="H25" s="55">
        <v>3720.9482600000001</v>
      </c>
      <c r="I25" s="55">
        <v>3796.9299599999899</v>
      </c>
      <c r="J25" s="55">
        <v>4895.8597399999999</v>
      </c>
      <c r="K25" s="55">
        <v>3831.1907900000101</v>
      </c>
      <c r="L25" s="55">
        <v>3484.9443999999899</v>
      </c>
      <c r="M25" s="55">
        <v>3692.9117900000001</v>
      </c>
      <c r="N25" s="55">
        <v>4969.7978700000003</v>
      </c>
      <c r="O25" s="55">
        <v>0</v>
      </c>
      <c r="P25" s="56">
        <v>43389.249380000001</v>
      </c>
      <c r="Q25" s="82">
        <v>1.0525944571529999</v>
      </c>
    </row>
    <row r="26" spans="1:17" ht="14.45" customHeight="1" x14ac:dyDescent="0.2">
      <c r="A26" s="15" t="s">
        <v>41</v>
      </c>
      <c r="B26" s="51">
        <v>6401.5356237505002</v>
      </c>
      <c r="C26" s="52">
        <v>533.46130197920797</v>
      </c>
      <c r="D26" s="52">
        <v>537.72381000000098</v>
      </c>
      <c r="E26" s="52">
        <v>543.42012</v>
      </c>
      <c r="F26" s="52">
        <v>487.86546000000101</v>
      </c>
      <c r="G26" s="52">
        <v>540.32903999999996</v>
      </c>
      <c r="H26" s="52">
        <v>483.11228999999997</v>
      </c>
      <c r="I26" s="52">
        <v>791.27931999999998</v>
      </c>
      <c r="J26" s="52">
        <v>594.14846999999997</v>
      </c>
      <c r="K26" s="52">
        <v>429.41568000000001</v>
      </c>
      <c r="L26" s="52">
        <v>463.01826</v>
      </c>
      <c r="M26" s="52">
        <v>510.49417999999997</v>
      </c>
      <c r="N26" s="52">
        <v>350.59483</v>
      </c>
      <c r="O26" s="52">
        <v>0</v>
      </c>
      <c r="P26" s="53">
        <v>5731.40146</v>
      </c>
      <c r="Q26" s="81">
        <v>0.97670907792200001</v>
      </c>
    </row>
    <row r="27" spans="1:17" ht="14.45" customHeight="1" x14ac:dyDescent="0.2">
      <c r="A27" s="18" t="s">
        <v>42</v>
      </c>
      <c r="B27" s="54">
        <v>51370.161740557698</v>
      </c>
      <c r="C27" s="55">
        <v>4280.8468117131397</v>
      </c>
      <c r="D27" s="55">
        <v>4254.0276700000104</v>
      </c>
      <c r="E27" s="55">
        <v>4192.7951600000097</v>
      </c>
      <c r="F27" s="55">
        <v>4310.2378199999903</v>
      </c>
      <c r="G27" s="55">
        <v>4348.9443499999797</v>
      </c>
      <c r="H27" s="55">
        <v>4204.0605500000001</v>
      </c>
      <c r="I27" s="55">
        <v>4588.20927999999</v>
      </c>
      <c r="J27" s="55">
        <v>5490.00821</v>
      </c>
      <c r="K27" s="55">
        <v>4260.6064700000097</v>
      </c>
      <c r="L27" s="55">
        <v>3947.9626599999901</v>
      </c>
      <c r="M27" s="55">
        <v>4203.4059699999998</v>
      </c>
      <c r="N27" s="55">
        <v>5320.3927000000003</v>
      </c>
      <c r="O27" s="55">
        <v>0</v>
      </c>
      <c r="P27" s="56">
        <v>49120.650840000002</v>
      </c>
      <c r="Q27" s="82">
        <v>1.04313793722</v>
      </c>
    </row>
    <row r="28" spans="1:17" ht="14.45" customHeight="1" x14ac:dyDescent="0.2">
      <c r="A28" s="16" t="s">
        <v>43</v>
      </c>
      <c r="B28" s="51">
        <v>11027.072056225201</v>
      </c>
      <c r="C28" s="52">
        <v>918.92267135209897</v>
      </c>
      <c r="D28" s="52">
        <v>937.22963000000095</v>
      </c>
      <c r="E28" s="52">
        <v>1024.3779999999999</v>
      </c>
      <c r="F28" s="52">
        <v>1172.46684</v>
      </c>
      <c r="G28" s="52">
        <v>1028.15391</v>
      </c>
      <c r="H28" s="52">
        <v>1358.82168</v>
      </c>
      <c r="I28" s="52">
        <v>999.00239000000101</v>
      </c>
      <c r="J28" s="52">
        <v>645.57600000000002</v>
      </c>
      <c r="K28" s="52">
        <v>445.25900000000001</v>
      </c>
      <c r="L28" s="52">
        <v>566.04700000000003</v>
      </c>
      <c r="M28" s="52">
        <v>992.66399999999805</v>
      </c>
      <c r="N28" s="52">
        <v>1195.2999400000001</v>
      </c>
      <c r="O28" s="52">
        <v>0</v>
      </c>
      <c r="P28" s="53">
        <v>10364.89839</v>
      </c>
      <c r="Q28" s="81">
        <v>1.0254001989229999</v>
      </c>
    </row>
    <row r="29" spans="1:17" ht="14.45" customHeight="1" x14ac:dyDescent="0.2">
      <c r="A29" s="16" t="s">
        <v>44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81" t="s">
        <v>243</v>
      </c>
    </row>
    <row r="30" spans="1:17" ht="14.45" customHeight="1" x14ac:dyDescent="0.2">
      <c r="A30" s="16" t="s">
        <v>45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81">
        <v>0</v>
      </c>
    </row>
    <row r="31" spans="1:17" ht="14.45" customHeight="1" thickBot="1" x14ac:dyDescent="0.25">
      <c r="A31" s="19" t="s">
        <v>46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83" t="s">
        <v>243</v>
      </c>
    </row>
    <row r="32" spans="1:17" ht="14.45" customHeight="1" x14ac:dyDescent="0.2">
      <c r="B32" s="115"/>
      <c r="C32" s="115"/>
      <c r="D32" s="115"/>
      <c r="E32" s="115"/>
      <c r="F32" s="115"/>
      <c r="G32" s="115"/>
      <c r="H32" s="115"/>
      <c r="I32" s="115"/>
      <c r="J32" s="115"/>
      <c r="K32" s="115"/>
      <c r="L32" s="115"/>
      <c r="M32" s="115"/>
      <c r="N32" s="115"/>
      <c r="O32" s="115"/>
      <c r="P32" s="115"/>
      <c r="Q32" s="115"/>
    </row>
    <row r="33" spans="1:17" ht="14.45" customHeight="1" x14ac:dyDescent="0.2">
      <c r="A33" s="98" t="s">
        <v>133</v>
      </c>
      <c r="B33" s="116"/>
      <c r="C33" s="116"/>
      <c r="D33" s="116"/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16"/>
    </row>
    <row r="34" spans="1:17" ht="14.45" customHeight="1" x14ac:dyDescent="0.2">
      <c r="A34" s="120" t="s">
        <v>220</v>
      </c>
      <c r="B34" s="116"/>
      <c r="C34" s="116"/>
      <c r="D34" s="116"/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</row>
    <row r="35" spans="1:17" ht="14.45" customHeight="1" x14ac:dyDescent="0.2">
      <c r="A35" s="121" t="s">
        <v>47</v>
      </c>
      <c r="B35" s="116"/>
      <c r="C35" s="116"/>
      <c r="D35" s="116"/>
      <c r="E35" s="116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</row>
  </sheetData>
  <autoFilter ref="A5:A31" xr:uid="{00000000-0009-0000-0000-000005000000}"/>
  <mergeCells count="3">
    <mergeCell ref="A1:Q1"/>
    <mergeCell ref="B3:O3"/>
    <mergeCell ref="P4:Q4"/>
  </mergeCells>
  <hyperlinks>
    <hyperlink ref="A2" location="Obsah!A1" display="Zpět na Obsah  KL 01  1.-4.měsíc" xr:uid="{597FF74D-01CC-4CE7-B123-C58418BBDBBC}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K203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114" customWidth="1"/>
    <col min="2" max="11" width="10" style="114" customWidth="1"/>
    <col min="12" max="16384" width="8.85546875" style="114"/>
  </cols>
  <sheetData>
    <row r="1" spans="1:11" s="60" customFormat="1" ht="18.600000000000001" customHeight="1" thickBot="1" x14ac:dyDescent="0.35">
      <c r="A1" s="316" t="s">
        <v>48</v>
      </c>
      <c r="B1" s="316"/>
      <c r="C1" s="316"/>
      <c r="D1" s="316"/>
      <c r="E1" s="316"/>
      <c r="F1" s="316"/>
      <c r="G1" s="316"/>
      <c r="H1" s="321"/>
      <c r="I1" s="321"/>
      <c r="J1" s="321"/>
      <c r="K1" s="321"/>
    </row>
    <row r="2" spans="1:11" s="60" customFormat="1" ht="14.45" customHeight="1" thickBot="1" x14ac:dyDescent="0.25">
      <c r="A2" s="207" t="s">
        <v>242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5" customHeight="1" x14ac:dyDescent="0.2">
      <c r="A3" s="68"/>
      <c r="B3" s="317" t="s">
        <v>49</v>
      </c>
      <c r="C3" s="318"/>
      <c r="D3" s="318"/>
      <c r="E3" s="318"/>
      <c r="F3" s="324" t="s">
        <v>50</v>
      </c>
      <c r="G3" s="318"/>
      <c r="H3" s="318"/>
      <c r="I3" s="318"/>
      <c r="J3" s="318"/>
      <c r="K3" s="325"/>
    </row>
    <row r="4" spans="1:11" ht="14.45" customHeight="1" x14ac:dyDescent="0.2">
      <c r="A4" s="69"/>
      <c r="B4" s="322"/>
      <c r="C4" s="323"/>
      <c r="D4" s="323"/>
      <c r="E4" s="323"/>
      <c r="F4" s="326" t="s">
        <v>238</v>
      </c>
      <c r="G4" s="328" t="s">
        <v>51</v>
      </c>
      <c r="H4" s="125" t="s">
        <v>120</v>
      </c>
      <c r="I4" s="326" t="s">
        <v>52</v>
      </c>
      <c r="J4" s="328" t="s">
        <v>240</v>
      </c>
      <c r="K4" s="329" t="s">
        <v>241</v>
      </c>
    </row>
    <row r="5" spans="1:11" ht="39" thickBot="1" x14ac:dyDescent="0.25">
      <c r="A5" s="70"/>
      <c r="B5" s="24" t="s">
        <v>234</v>
      </c>
      <c r="C5" s="25" t="s">
        <v>235</v>
      </c>
      <c r="D5" s="26" t="s">
        <v>236</v>
      </c>
      <c r="E5" s="26" t="s">
        <v>237</v>
      </c>
      <c r="F5" s="327"/>
      <c r="G5" s="327"/>
      <c r="H5" s="25" t="s">
        <v>239</v>
      </c>
      <c r="I5" s="327"/>
      <c r="J5" s="327"/>
      <c r="K5" s="330"/>
    </row>
    <row r="6" spans="1:11" ht="14.45" customHeight="1" thickBot="1" x14ac:dyDescent="0.25">
      <c r="A6" s="433" t="s">
        <v>245</v>
      </c>
      <c r="B6" s="415">
        <v>42489.578292190999</v>
      </c>
      <c r="C6" s="415">
        <v>45717.753180000102</v>
      </c>
      <c r="D6" s="416">
        <v>3228.1748878090698</v>
      </c>
      <c r="E6" s="417">
        <v>1.0759756866870001</v>
      </c>
      <c r="F6" s="415">
        <v>44968.626116807201</v>
      </c>
      <c r="G6" s="416">
        <v>41221.240607073298</v>
      </c>
      <c r="H6" s="418">
        <v>4969.7978700000003</v>
      </c>
      <c r="I6" s="415">
        <v>43389.249380000001</v>
      </c>
      <c r="J6" s="416">
        <v>2168.0087729267002</v>
      </c>
      <c r="K6" s="419">
        <v>0.96487825239000002</v>
      </c>
    </row>
    <row r="7" spans="1:11" ht="14.45" customHeight="1" thickBot="1" x14ac:dyDescent="0.25">
      <c r="A7" s="434" t="s">
        <v>246</v>
      </c>
      <c r="B7" s="415">
        <v>6121.1942589301298</v>
      </c>
      <c r="C7" s="415">
        <v>5981.2363600000099</v>
      </c>
      <c r="D7" s="416">
        <v>-139.95789893012201</v>
      </c>
      <c r="E7" s="417">
        <v>0.97713552404799997</v>
      </c>
      <c r="F7" s="415">
        <v>6365.9498826335102</v>
      </c>
      <c r="G7" s="416">
        <v>5835.4540590807201</v>
      </c>
      <c r="H7" s="418">
        <v>704.97856999999999</v>
      </c>
      <c r="I7" s="415">
        <v>4983.78262</v>
      </c>
      <c r="J7" s="416">
        <v>-851.67143908071796</v>
      </c>
      <c r="K7" s="419">
        <v>0.78288122147999994</v>
      </c>
    </row>
    <row r="8" spans="1:11" ht="14.45" customHeight="1" thickBot="1" x14ac:dyDescent="0.25">
      <c r="A8" s="435" t="s">
        <v>247</v>
      </c>
      <c r="B8" s="415">
        <v>4707.9170496903798</v>
      </c>
      <c r="C8" s="415">
        <v>4575.6914000000097</v>
      </c>
      <c r="D8" s="416">
        <v>-132.22564969037001</v>
      </c>
      <c r="E8" s="417">
        <v>0.97191419298699999</v>
      </c>
      <c r="F8" s="415">
        <v>4658.5899855955304</v>
      </c>
      <c r="G8" s="416">
        <v>4270.3741534625697</v>
      </c>
      <c r="H8" s="418">
        <v>569.03029000000004</v>
      </c>
      <c r="I8" s="415">
        <v>3736.2512400000001</v>
      </c>
      <c r="J8" s="416">
        <v>-534.12291346257098</v>
      </c>
      <c r="K8" s="419">
        <v>0.80201332410699999</v>
      </c>
    </row>
    <row r="9" spans="1:11" ht="14.45" customHeight="1" thickBot="1" x14ac:dyDescent="0.25">
      <c r="A9" s="436" t="s">
        <v>248</v>
      </c>
      <c r="B9" s="420">
        <v>0</v>
      </c>
      <c r="C9" s="420">
        <v>-2.7060000000000001E-2</v>
      </c>
      <c r="D9" s="421">
        <v>-2.7060000000000001E-2</v>
      </c>
      <c r="E9" s="422" t="s">
        <v>243</v>
      </c>
      <c r="F9" s="420">
        <v>0</v>
      </c>
      <c r="G9" s="421">
        <v>0</v>
      </c>
      <c r="H9" s="423">
        <v>-5.5000000000000003E-4</v>
      </c>
      <c r="I9" s="420">
        <v>-5.2300000000000003E-3</v>
      </c>
      <c r="J9" s="421">
        <v>-5.2300000000000003E-3</v>
      </c>
      <c r="K9" s="424" t="s">
        <v>243</v>
      </c>
    </row>
    <row r="10" spans="1:11" ht="14.45" customHeight="1" thickBot="1" x14ac:dyDescent="0.25">
      <c r="A10" s="437" t="s">
        <v>249</v>
      </c>
      <c r="B10" s="415">
        <v>0</v>
      </c>
      <c r="C10" s="415">
        <v>-2.7060000000000001E-2</v>
      </c>
      <c r="D10" s="416">
        <v>-2.7060000000000001E-2</v>
      </c>
      <c r="E10" s="425" t="s">
        <v>243</v>
      </c>
      <c r="F10" s="415">
        <v>0</v>
      </c>
      <c r="G10" s="416">
        <v>0</v>
      </c>
      <c r="H10" s="418">
        <v>-5.5000000000000003E-4</v>
      </c>
      <c r="I10" s="415">
        <v>-5.2300000000000003E-3</v>
      </c>
      <c r="J10" s="416">
        <v>-5.2300000000000003E-3</v>
      </c>
      <c r="K10" s="426" t="s">
        <v>243</v>
      </c>
    </row>
    <row r="11" spans="1:11" ht="14.45" customHeight="1" thickBot="1" x14ac:dyDescent="0.25">
      <c r="A11" s="436" t="s">
        <v>250</v>
      </c>
      <c r="B11" s="420">
        <v>380</v>
      </c>
      <c r="C11" s="420">
        <v>298.64305000000098</v>
      </c>
      <c r="D11" s="421">
        <v>-81.356949999999003</v>
      </c>
      <c r="E11" s="427">
        <v>0.78590276315700003</v>
      </c>
      <c r="F11" s="420">
        <v>380</v>
      </c>
      <c r="G11" s="421">
        <v>348.33333333333297</v>
      </c>
      <c r="H11" s="423">
        <v>29.858889999999999</v>
      </c>
      <c r="I11" s="420">
        <v>282.15107</v>
      </c>
      <c r="J11" s="421">
        <v>-66.182263333332997</v>
      </c>
      <c r="K11" s="428">
        <v>0.74250281578900001</v>
      </c>
    </row>
    <row r="12" spans="1:11" ht="14.45" customHeight="1" thickBot="1" x14ac:dyDescent="0.25">
      <c r="A12" s="437" t="s">
        <v>251</v>
      </c>
      <c r="B12" s="415">
        <v>268</v>
      </c>
      <c r="C12" s="415">
        <v>205.34396000000001</v>
      </c>
      <c r="D12" s="416">
        <v>-62.656039999999003</v>
      </c>
      <c r="E12" s="417">
        <v>0.76620880596999996</v>
      </c>
      <c r="F12" s="415">
        <v>268</v>
      </c>
      <c r="G12" s="416">
        <v>245.666666666667</v>
      </c>
      <c r="H12" s="418">
        <v>21.57255</v>
      </c>
      <c r="I12" s="415">
        <v>201.8929</v>
      </c>
      <c r="J12" s="416">
        <v>-43.773766666665999</v>
      </c>
      <c r="K12" s="419">
        <v>0.75333171641700003</v>
      </c>
    </row>
    <row r="13" spans="1:11" ht="14.45" customHeight="1" thickBot="1" x14ac:dyDescent="0.25">
      <c r="A13" s="437" t="s">
        <v>252</v>
      </c>
      <c r="B13" s="415">
        <v>2</v>
      </c>
      <c r="C13" s="415">
        <v>1.66709</v>
      </c>
      <c r="D13" s="416">
        <v>-0.33290999999900001</v>
      </c>
      <c r="E13" s="417">
        <v>0.83354499999999998</v>
      </c>
      <c r="F13" s="415">
        <v>2</v>
      </c>
      <c r="G13" s="416">
        <v>1.833333333333</v>
      </c>
      <c r="H13" s="418">
        <v>0.16733999999999999</v>
      </c>
      <c r="I13" s="415">
        <v>1.6096699999999999</v>
      </c>
      <c r="J13" s="416">
        <v>-0.22366333333300001</v>
      </c>
      <c r="K13" s="419">
        <v>0.80483499999899999</v>
      </c>
    </row>
    <row r="14" spans="1:11" ht="14.45" customHeight="1" thickBot="1" x14ac:dyDescent="0.25">
      <c r="A14" s="437" t="s">
        <v>253</v>
      </c>
      <c r="B14" s="415">
        <v>110</v>
      </c>
      <c r="C14" s="415">
        <v>91.632000000000005</v>
      </c>
      <c r="D14" s="416">
        <v>-18.367999999999</v>
      </c>
      <c r="E14" s="417">
        <v>0.83301818181800003</v>
      </c>
      <c r="F14" s="415">
        <v>110</v>
      </c>
      <c r="G14" s="416">
        <v>100.833333333333</v>
      </c>
      <c r="H14" s="418">
        <v>8.1189999999999998</v>
      </c>
      <c r="I14" s="415">
        <v>78.648499999999999</v>
      </c>
      <c r="J14" s="416">
        <v>-22.184833333333</v>
      </c>
      <c r="K14" s="419">
        <v>0.71498636363599999</v>
      </c>
    </row>
    <row r="15" spans="1:11" ht="14.45" customHeight="1" thickBot="1" x14ac:dyDescent="0.25">
      <c r="A15" s="436" t="s">
        <v>254</v>
      </c>
      <c r="B15" s="420">
        <v>3720</v>
      </c>
      <c r="C15" s="420">
        <v>3616.95777000001</v>
      </c>
      <c r="D15" s="421">
        <v>-103.042229999993</v>
      </c>
      <c r="E15" s="427">
        <v>0.97230047580599999</v>
      </c>
      <c r="F15" s="420">
        <v>3672</v>
      </c>
      <c r="G15" s="421">
        <v>3366</v>
      </c>
      <c r="H15" s="423">
        <v>489.49990000000003</v>
      </c>
      <c r="I15" s="420">
        <v>2898.2788500000001</v>
      </c>
      <c r="J15" s="421">
        <v>-467.72115000000201</v>
      </c>
      <c r="K15" s="428">
        <v>0.78929162581599999</v>
      </c>
    </row>
    <row r="16" spans="1:11" ht="14.45" customHeight="1" thickBot="1" x14ac:dyDescent="0.25">
      <c r="A16" s="437" t="s">
        <v>255</v>
      </c>
      <c r="B16" s="415">
        <v>0</v>
      </c>
      <c r="C16" s="415">
        <v>0</v>
      </c>
      <c r="D16" s="416">
        <v>0</v>
      </c>
      <c r="E16" s="417">
        <v>1</v>
      </c>
      <c r="F16" s="415">
        <v>0</v>
      </c>
      <c r="G16" s="416">
        <v>0</v>
      </c>
      <c r="H16" s="418">
        <v>0</v>
      </c>
      <c r="I16" s="415">
        <v>0.24137</v>
      </c>
      <c r="J16" s="416">
        <v>0.24137</v>
      </c>
      <c r="K16" s="426" t="s">
        <v>256</v>
      </c>
    </row>
    <row r="17" spans="1:11" ht="14.45" customHeight="1" thickBot="1" x14ac:dyDescent="0.25">
      <c r="A17" s="437" t="s">
        <v>257</v>
      </c>
      <c r="B17" s="415">
        <v>0</v>
      </c>
      <c r="C17" s="415">
        <v>1.02016</v>
      </c>
      <c r="D17" s="416">
        <v>1.02016</v>
      </c>
      <c r="E17" s="425" t="s">
        <v>243</v>
      </c>
      <c r="F17" s="415">
        <v>1</v>
      </c>
      <c r="G17" s="416">
        <v>0.91666666666600005</v>
      </c>
      <c r="H17" s="418">
        <v>0.19622000000000001</v>
      </c>
      <c r="I17" s="415">
        <v>1.23468</v>
      </c>
      <c r="J17" s="416">
        <v>0.31801333333300003</v>
      </c>
      <c r="K17" s="419">
        <v>1.23468</v>
      </c>
    </row>
    <row r="18" spans="1:11" ht="14.45" customHeight="1" thickBot="1" x14ac:dyDescent="0.25">
      <c r="A18" s="437" t="s">
        <v>258</v>
      </c>
      <c r="B18" s="415">
        <v>60</v>
      </c>
      <c r="C18" s="415">
        <v>36.965249999999997</v>
      </c>
      <c r="D18" s="416">
        <v>-23.034749999999001</v>
      </c>
      <c r="E18" s="417">
        <v>0.61608750000000001</v>
      </c>
      <c r="F18" s="415">
        <v>40</v>
      </c>
      <c r="G18" s="416">
        <v>36.666666666666003</v>
      </c>
      <c r="H18" s="418">
        <v>4.3967400000000003</v>
      </c>
      <c r="I18" s="415">
        <v>23.62555</v>
      </c>
      <c r="J18" s="416">
        <v>-13.041116666665999</v>
      </c>
      <c r="K18" s="419">
        <v>0.59063874999999999</v>
      </c>
    </row>
    <row r="19" spans="1:11" ht="14.45" customHeight="1" thickBot="1" x14ac:dyDescent="0.25">
      <c r="A19" s="437" t="s">
        <v>259</v>
      </c>
      <c r="B19" s="415">
        <v>80</v>
      </c>
      <c r="C19" s="415">
        <v>78.029929999999993</v>
      </c>
      <c r="D19" s="416">
        <v>-1.9700699999989999</v>
      </c>
      <c r="E19" s="417">
        <v>0.97537412499999998</v>
      </c>
      <c r="F19" s="415">
        <v>90</v>
      </c>
      <c r="G19" s="416">
        <v>82.5</v>
      </c>
      <c r="H19" s="418">
        <v>9.8895900000000001</v>
      </c>
      <c r="I19" s="415">
        <v>58.711579999999998</v>
      </c>
      <c r="J19" s="416">
        <v>-23.788419999999999</v>
      </c>
      <c r="K19" s="419">
        <v>0.65235088888799997</v>
      </c>
    </row>
    <row r="20" spans="1:11" ht="14.45" customHeight="1" thickBot="1" x14ac:dyDescent="0.25">
      <c r="A20" s="437" t="s">
        <v>260</v>
      </c>
      <c r="B20" s="415">
        <v>100</v>
      </c>
      <c r="C20" s="415">
        <v>54.789650000000002</v>
      </c>
      <c r="D20" s="416">
        <v>-45.210349999999004</v>
      </c>
      <c r="E20" s="417">
        <v>0.54789650000000001</v>
      </c>
      <c r="F20" s="415">
        <v>55</v>
      </c>
      <c r="G20" s="416">
        <v>50.416666666666003</v>
      </c>
      <c r="H20" s="418">
        <v>5.0273399999999997</v>
      </c>
      <c r="I20" s="415">
        <v>61.847020000000001</v>
      </c>
      <c r="J20" s="416">
        <v>11.430353333333001</v>
      </c>
      <c r="K20" s="419">
        <v>1.124491272727</v>
      </c>
    </row>
    <row r="21" spans="1:11" ht="14.45" customHeight="1" thickBot="1" x14ac:dyDescent="0.25">
      <c r="A21" s="437" t="s">
        <v>261</v>
      </c>
      <c r="B21" s="415">
        <v>10</v>
      </c>
      <c r="C21" s="415">
        <v>15.57263</v>
      </c>
      <c r="D21" s="416">
        <v>5.5726300000000002</v>
      </c>
      <c r="E21" s="417">
        <v>1.5572630000000001</v>
      </c>
      <c r="F21" s="415">
        <v>15</v>
      </c>
      <c r="G21" s="416">
        <v>13.75</v>
      </c>
      <c r="H21" s="418">
        <v>0.76200000000000001</v>
      </c>
      <c r="I21" s="415">
        <v>10.88923</v>
      </c>
      <c r="J21" s="416">
        <v>-2.86077</v>
      </c>
      <c r="K21" s="419">
        <v>0.725948666666</v>
      </c>
    </row>
    <row r="22" spans="1:11" ht="14.45" customHeight="1" thickBot="1" x14ac:dyDescent="0.25">
      <c r="A22" s="437" t="s">
        <v>262</v>
      </c>
      <c r="B22" s="415">
        <v>170</v>
      </c>
      <c r="C22" s="415">
        <v>165.70574999999999</v>
      </c>
      <c r="D22" s="416">
        <v>-4.2942499999989998</v>
      </c>
      <c r="E22" s="417">
        <v>0.97473970588199998</v>
      </c>
      <c r="F22" s="415">
        <v>170</v>
      </c>
      <c r="G22" s="416">
        <v>155.833333333333</v>
      </c>
      <c r="H22" s="418">
        <v>22.174769999999999</v>
      </c>
      <c r="I22" s="415">
        <v>134.62450000000001</v>
      </c>
      <c r="J22" s="416">
        <v>-21.208833333333001</v>
      </c>
      <c r="K22" s="419">
        <v>0.79190882352900005</v>
      </c>
    </row>
    <row r="23" spans="1:11" ht="14.45" customHeight="1" thickBot="1" x14ac:dyDescent="0.25">
      <c r="A23" s="437" t="s">
        <v>263</v>
      </c>
      <c r="B23" s="415">
        <v>0</v>
      </c>
      <c r="C23" s="415">
        <v>1.0557000000000001</v>
      </c>
      <c r="D23" s="416">
        <v>1.0557000000000001</v>
      </c>
      <c r="E23" s="425" t="s">
        <v>243</v>
      </c>
      <c r="F23" s="415">
        <v>1</v>
      </c>
      <c r="G23" s="416">
        <v>0.91666666666600005</v>
      </c>
      <c r="H23" s="418">
        <v>0</v>
      </c>
      <c r="I23" s="415">
        <v>0</v>
      </c>
      <c r="J23" s="416">
        <v>-0.91666666666600005</v>
      </c>
      <c r="K23" s="419">
        <v>0</v>
      </c>
    </row>
    <row r="24" spans="1:11" ht="14.45" customHeight="1" thickBot="1" x14ac:dyDescent="0.25">
      <c r="A24" s="437" t="s">
        <v>264</v>
      </c>
      <c r="B24" s="415">
        <v>3300</v>
      </c>
      <c r="C24" s="415">
        <v>3263.8187000000098</v>
      </c>
      <c r="D24" s="416">
        <v>-36.181299999993001</v>
      </c>
      <c r="E24" s="417">
        <v>0.98903596969600005</v>
      </c>
      <c r="F24" s="415">
        <v>3300</v>
      </c>
      <c r="G24" s="416">
        <v>3025</v>
      </c>
      <c r="H24" s="418">
        <v>447.05324000000002</v>
      </c>
      <c r="I24" s="415">
        <v>2607.1049200000002</v>
      </c>
      <c r="J24" s="416">
        <v>-417.89508000000097</v>
      </c>
      <c r="K24" s="419">
        <v>0.79003179393900003</v>
      </c>
    </row>
    <row r="25" spans="1:11" ht="14.45" customHeight="1" thickBot="1" x14ac:dyDescent="0.25">
      <c r="A25" s="436" t="s">
        <v>265</v>
      </c>
      <c r="B25" s="420">
        <v>464.35756246402099</v>
      </c>
      <c r="C25" s="420">
        <v>498.35572000000099</v>
      </c>
      <c r="D25" s="421">
        <v>33.998157535978997</v>
      </c>
      <c r="E25" s="427">
        <v>1.0732154707579999</v>
      </c>
      <c r="F25" s="420">
        <v>471.65880055069698</v>
      </c>
      <c r="G25" s="421">
        <v>432.35390050480498</v>
      </c>
      <c r="H25" s="423">
        <v>39.12865</v>
      </c>
      <c r="I25" s="420">
        <v>431.23444999999998</v>
      </c>
      <c r="J25" s="421">
        <v>-1.1194505048050001</v>
      </c>
      <c r="K25" s="428">
        <v>0.914293233787</v>
      </c>
    </row>
    <row r="26" spans="1:11" ht="14.45" customHeight="1" thickBot="1" x14ac:dyDescent="0.25">
      <c r="A26" s="437" t="s">
        <v>266</v>
      </c>
      <c r="B26" s="415">
        <v>0</v>
      </c>
      <c r="C26" s="415">
        <v>0.999</v>
      </c>
      <c r="D26" s="416">
        <v>0.999</v>
      </c>
      <c r="E26" s="425" t="s">
        <v>243</v>
      </c>
      <c r="F26" s="415">
        <v>0</v>
      </c>
      <c r="G26" s="416">
        <v>0</v>
      </c>
      <c r="H26" s="418">
        <v>0</v>
      </c>
      <c r="I26" s="415">
        <v>7.8658399999990003</v>
      </c>
      <c r="J26" s="416">
        <v>7.8658399999990003</v>
      </c>
      <c r="K26" s="426" t="s">
        <v>243</v>
      </c>
    </row>
    <row r="27" spans="1:11" ht="14.45" customHeight="1" thickBot="1" x14ac:dyDescent="0.25">
      <c r="A27" s="437" t="s">
        <v>267</v>
      </c>
      <c r="B27" s="415">
        <v>30</v>
      </c>
      <c r="C27" s="415">
        <v>29.305070000000001</v>
      </c>
      <c r="D27" s="416">
        <v>-0.69492999999899996</v>
      </c>
      <c r="E27" s="417">
        <v>0.97683566666599997</v>
      </c>
      <c r="F27" s="415">
        <v>30</v>
      </c>
      <c r="G27" s="416">
        <v>27.5</v>
      </c>
      <c r="H27" s="418">
        <v>2.7440099999999998</v>
      </c>
      <c r="I27" s="415">
        <v>30.369409999999998</v>
      </c>
      <c r="J27" s="416">
        <v>2.8694099999990001</v>
      </c>
      <c r="K27" s="419">
        <v>1.012313666666</v>
      </c>
    </row>
    <row r="28" spans="1:11" ht="14.45" customHeight="1" thickBot="1" x14ac:dyDescent="0.25">
      <c r="A28" s="437" t="s">
        <v>268</v>
      </c>
      <c r="B28" s="415">
        <v>174.495596474145</v>
      </c>
      <c r="C28" s="415">
        <v>188.78573</v>
      </c>
      <c r="D28" s="416">
        <v>14.290133525853999</v>
      </c>
      <c r="E28" s="417">
        <v>1.0818939492720001</v>
      </c>
      <c r="F28" s="415">
        <v>180</v>
      </c>
      <c r="G28" s="416">
        <v>165</v>
      </c>
      <c r="H28" s="418">
        <v>13.37006</v>
      </c>
      <c r="I28" s="415">
        <v>161.94553999999999</v>
      </c>
      <c r="J28" s="416">
        <v>-3.0544600000000002</v>
      </c>
      <c r="K28" s="419">
        <v>0.89969744444400002</v>
      </c>
    </row>
    <row r="29" spans="1:11" ht="14.45" customHeight="1" thickBot="1" x14ac:dyDescent="0.25">
      <c r="A29" s="437" t="s">
        <v>269</v>
      </c>
      <c r="B29" s="415">
        <v>40</v>
      </c>
      <c r="C29" s="415">
        <v>38.191369999999999</v>
      </c>
      <c r="D29" s="416">
        <v>-1.8086299999990001</v>
      </c>
      <c r="E29" s="417">
        <v>0.95478425</v>
      </c>
      <c r="F29" s="415">
        <v>40</v>
      </c>
      <c r="G29" s="416">
        <v>36.666666666666003</v>
      </c>
      <c r="H29" s="418">
        <v>6.6052499999999998</v>
      </c>
      <c r="I29" s="415">
        <v>37.847140000000003</v>
      </c>
      <c r="J29" s="416">
        <v>1.180473333333</v>
      </c>
      <c r="K29" s="419">
        <v>0.94617849999899994</v>
      </c>
    </row>
    <row r="30" spans="1:11" ht="14.45" customHeight="1" thickBot="1" x14ac:dyDescent="0.25">
      <c r="A30" s="437" t="s">
        <v>270</v>
      </c>
      <c r="B30" s="415">
        <v>30.737021976421001</v>
      </c>
      <c r="C30" s="415">
        <v>51.246960000000001</v>
      </c>
      <c r="D30" s="416">
        <v>20.509938023578002</v>
      </c>
      <c r="E30" s="417">
        <v>1.6672714760489999</v>
      </c>
      <c r="F30" s="415">
        <v>48.671983237334999</v>
      </c>
      <c r="G30" s="416">
        <v>44.615984634223999</v>
      </c>
      <c r="H30" s="418">
        <v>3.0634000000000001</v>
      </c>
      <c r="I30" s="415">
        <v>30.615279999999998</v>
      </c>
      <c r="J30" s="416">
        <v>-14.000704634224</v>
      </c>
      <c r="K30" s="419">
        <v>0.62901237968199997</v>
      </c>
    </row>
    <row r="31" spans="1:11" ht="14.45" customHeight="1" thickBot="1" x14ac:dyDescent="0.25">
      <c r="A31" s="437" t="s">
        <v>271</v>
      </c>
      <c r="B31" s="415">
        <v>1.7282732219999999E-2</v>
      </c>
      <c r="C31" s="415">
        <v>2.5999999999999999E-2</v>
      </c>
      <c r="D31" s="416">
        <v>8.7172677790000007E-3</v>
      </c>
      <c r="E31" s="417">
        <v>1.504391763333</v>
      </c>
      <c r="F31" s="415">
        <v>0</v>
      </c>
      <c r="G31" s="416">
        <v>0</v>
      </c>
      <c r="H31" s="418">
        <v>0</v>
      </c>
      <c r="I31" s="415">
        <v>2.5999999999E-2</v>
      </c>
      <c r="J31" s="416">
        <v>2.5999999999E-2</v>
      </c>
      <c r="K31" s="426" t="s">
        <v>256</v>
      </c>
    </row>
    <row r="32" spans="1:11" ht="14.45" customHeight="1" thickBot="1" x14ac:dyDescent="0.25">
      <c r="A32" s="437" t="s">
        <v>272</v>
      </c>
      <c r="B32" s="415">
        <v>1.0476840065369999</v>
      </c>
      <c r="C32" s="415">
        <v>0.18676000000000001</v>
      </c>
      <c r="D32" s="416">
        <v>-0.86092400653699996</v>
      </c>
      <c r="E32" s="417">
        <v>0.17825985586699999</v>
      </c>
      <c r="F32" s="415">
        <v>0</v>
      </c>
      <c r="G32" s="416">
        <v>0</v>
      </c>
      <c r="H32" s="418">
        <v>0</v>
      </c>
      <c r="I32" s="415">
        <v>0.10672</v>
      </c>
      <c r="J32" s="416">
        <v>0.10672</v>
      </c>
      <c r="K32" s="426" t="s">
        <v>243</v>
      </c>
    </row>
    <row r="33" spans="1:11" ht="14.45" customHeight="1" thickBot="1" x14ac:dyDescent="0.25">
      <c r="A33" s="437" t="s">
        <v>273</v>
      </c>
      <c r="B33" s="415">
        <v>80</v>
      </c>
      <c r="C33" s="415">
        <v>68.870829999999998</v>
      </c>
      <c r="D33" s="416">
        <v>-11.129169999999</v>
      </c>
      <c r="E33" s="417">
        <v>0.86088537499999995</v>
      </c>
      <c r="F33" s="415">
        <v>75</v>
      </c>
      <c r="G33" s="416">
        <v>68.75</v>
      </c>
      <c r="H33" s="418">
        <v>1.33185</v>
      </c>
      <c r="I33" s="415">
        <v>45.911520000000003</v>
      </c>
      <c r="J33" s="416">
        <v>-22.838480000000001</v>
      </c>
      <c r="K33" s="419">
        <v>0.61215359999999996</v>
      </c>
    </row>
    <row r="34" spans="1:11" ht="14.45" customHeight="1" thickBot="1" x14ac:dyDescent="0.25">
      <c r="A34" s="437" t="s">
        <v>274</v>
      </c>
      <c r="B34" s="415">
        <v>18.059977274695999</v>
      </c>
      <c r="C34" s="415">
        <v>8.3199199999999998</v>
      </c>
      <c r="D34" s="416">
        <v>-9.7400572746959995</v>
      </c>
      <c r="E34" s="417">
        <v>0.46068275022999999</v>
      </c>
      <c r="F34" s="415">
        <v>7.9868173133609996</v>
      </c>
      <c r="G34" s="416">
        <v>7.3212492039140002</v>
      </c>
      <c r="H34" s="418">
        <v>2.0274999999999999</v>
      </c>
      <c r="I34" s="415">
        <v>4.5491599999999996</v>
      </c>
      <c r="J34" s="416">
        <v>-2.7720892039140002</v>
      </c>
      <c r="K34" s="419">
        <v>0.56958358023099998</v>
      </c>
    </row>
    <row r="35" spans="1:11" ht="14.45" customHeight="1" thickBot="1" x14ac:dyDescent="0.25">
      <c r="A35" s="437" t="s">
        <v>275</v>
      </c>
      <c r="B35" s="415">
        <v>0</v>
      </c>
      <c r="C35" s="415">
        <v>14.52</v>
      </c>
      <c r="D35" s="416">
        <v>14.52</v>
      </c>
      <c r="E35" s="425" t="s">
        <v>256</v>
      </c>
      <c r="F35" s="415">
        <v>0</v>
      </c>
      <c r="G35" s="416">
        <v>0</v>
      </c>
      <c r="H35" s="418">
        <v>0</v>
      </c>
      <c r="I35" s="415">
        <v>9.7536900000000006</v>
      </c>
      <c r="J35" s="416">
        <v>9.7536900000000006</v>
      </c>
      <c r="K35" s="426" t="s">
        <v>243</v>
      </c>
    </row>
    <row r="36" spans="1:11" ht="14.45" customHeight="1" thickBot="1" x14ac:dyDescent="0.25">
      <c r="A36" s="437" t="s">
        <v>276</v>
      </c>
      <c r="B36" s="415">
        <v>0</v>
      </c>
      <c r="C36" s="415">
        <v>1.325</v>
      </c>
      <c r="D36" s="416">
        <v>1.325</v>
      </c>
      <c r="E36" s="425" t="s">
        <v>243</v>
      </c>
      <c r="F36" s="415">
        <v>0</v>
      </c>
      <c r="G36" s="416">
        <v>0</v>
      </c>
      <c r="H36" s="418">
        <v>1.3248</v>
      </c>
      <c r="I36" s="415">
        <v>4.3258000000000001</v>
      </c>
      <c r="J36" s="416">
        <v>4.3258000000000001</v>
      </c>
      <c r="K36" s="426" t="s">
        <v>243</v>
      </c>
    </row>
    <row r="37" spans="1:11" ht="14.45" customHeight="1" thickBot="1" x14ac:dyDescent="0.25">
      <c r="A37" s="437" t="s">
        <v>277</v>
      </c>
      <c r="B37" s="415">
        <v>0</v>
      </c>
      <c r="C37" s="415">
        <v>1.21</v>
      </c>
      <c r="D37" s="416">
        <v>1.21</v>
      </c>
      <c r="E37" s="425" t="s">
        <v>243</v>
      </c>
      <c r="F37" s="415">
        <v>0</v>
      </c>
      <c r="G37" s="416">
        <v>0</v>
      </c>
      <c r="H37" s="418">
        <v>0</v>
      </c>
      <c r="I37" s="415">
        <v>1.21</v>
      </c>
      <c r="J37" s="416">
        <v>1.21</v>
      </c>
      <c r="K37" s="426" t="s">
        <v>243</v>
      </c>
    </row>
    <row r="38" spans="1:11" ht="14.45" customHeight="1" thickBot="1" x14ac:dyDescent="0.25">
      <c r="A38" s="437" t="s">
        <v>278</v>
      </c>
      <c r="B38" s="415">
        <v>0</v>
      </c>
      <c r="C38" s="415">
        <v>0</v>
      </c>
      <c r="D38" s="416">
        <v>0</v>
      </c>
      <c r="E38" s="417">
        <v>1</v>
      </c>
      <c r="F38" s="415">
        <v>0</v>
      </c>
      <c r="G38" s="416">
        <v>0</v>
      </c>
      <c r="H38" s="418">
        <v>0</v>
      </c>
      <c r="I38" s="415">
        <v>4.6528999999999998</v>
      </c>
      <c r="J38" s="416">
        <v>4.6528999999999998</v>
      </c>
      <c r="K38" s="426" t="s">
        <v>256</v>
      </c>
    </row>
    <row r="39" spans="1:11" ht="14.45" customHeight="1" thickBot="1" x14ac:dyDescent="0.25">
      <c r="A39" s="437" t="s">
        <v>279</v>
      </c>
      <c r="B39" s="415">
        <v>90</v>
      </c>
      <c r="C39" s="415">
        <v>95.369079999999997</v>
      </c>
      <c r="D39" s="416">
        <v>5.3690800000000003</v>
      </c>
      <c r="E39" s="417">
        <v>1.059656444444</v>
      </c>
      <c r="F39" s="415">
        <v>90</v>
      </c>
      <c r="G39" s="416">
        <v>82.5</v>
      </c>
      <c r="H39" s="418">
        <v>8.6617800000000003</v>
      </c>
      <c r="I39" s="415">
        <v>92.055449999999993</v>
      </c>
      <c r="J39" s="416">
        <v>9.5554499999990004</v>
      </c>
      <c r="K39" s="419">
        <v>1.022838333333</v>
      </c>
    </row>
    <row r="40" spans="1:11" ht="14.45" customHeight="1" thickBot="1" x14ac:dyDescent="0.25">
      <c r="A40" s="436" t="s">
        <v>280</v>
      </c>
      <c r="B40" s="420">
        <v>33.431483377132999</v>
      </c>
      <c r="C40" s="420">
        <v>70.343270000000004</v>
      </c>
      <c r="D40" s="421">
        <v>36.911786622866003</v>
      </c>
      <c r="E40" s="427">
        <v>2.1041025672260001</v>
      </c>
      <c r="F40" s="420">
        <v>64.931185044833995</v>
      </c>
      <c r="G40" s="421">
        <v>59.520252957765003</v>
      </c>
      <c r="H40" s="423">
        <v>2.7782499999999999</v>
      </c>
      <c r="I40" s="420">
        <v>58.724429999999003</v>
      </c>
      <c r="J40" s="421">
        <v>-0.79582295776500001</v>
      </c>
      <c r="K40" s="428">
        <v>0.90441026079300002</v>
      </c>
    </row>
    <row r="41" spans="1:11" ht="14.45" customHeight="1" thickBot="1" x14ac:dyDescent="0.25">
      <c r="A41" s="437" t="s">
        <v>281</v>
      </c>
      <c r="B41" s="415">
        <v>27.199608284627999</v>
      </c>
      <c r="C41" s="415">
        <v>22.868230000000001</v>
      </c>
      <c r="D41" s="416">
        <v>-4.3313782846280002</v>
      </c>
      <c r="E41" s="417">
        <v>0.84075585797700003</v>
      </c>
      <c r="F41" s="415">
        <v>23.221999188474001</v>
      </c>
      <c r="G41" s="416">
        <v>21.286832589433999</v>
      </c>
      <c r="H41" s="418">
        <v>2.11775</v>
      </c>
      <c r="I41" s="415">
        <v>31.854049999998999</v>
      </c>
      <c r="J41" s="416">
        <v>10.567217410565</v>
      </c>
      <c r="K41" s="419">
        <v>1.3717186768230001</v>
      </c>
    </row>
    <row r="42" spans="1:11" ht="14.45" customHeight="1" thickBot="1" x14ac:dyDescent="0.25">
      <c r="A42" s="437" t="s">
        <v>282</v>
      </c>
      <c r="B42" s="415">
        <v>0.98704917434899997</v>
      </c>
      <c r="C42" s="415">
        <v>9.0570000000000004</v>
      </c>
      <c r="D42" s="416">
        <v>8.0699508256500003</v>
      </c>
      <c r="E42" s="417">
        <v>9.175834634548</v>
      </c>
      <c r="F42" s="415">
        <v>2.3498863399990002</v>
      </c>
      <c r="G42" s="416">
        <v>2.1540624783319999</v>
      </c>
      <c r="H42" s="418">
        <v>0</v>
      </c>
      <c r="I42" s="415">
        <v>0.39899999999899999</v>
      </c>
      <c r="J42" s="416">
        <v>-1.7550624783319999</v>
      </c>
      <c r="K42" s="419">
        <v>0.169795446361</v>
      </c>
    </row>
    <row r="43" spans="1:11" ht="14.45" customHeight="1" thickBot="1" x14ac:dyDescent="0.25">
      <c r="A43" s="437" t="s">
        <v>283</v>
      </c>
      <c r="B43" s="415">
        <v>1.0675052732250001</v>
      </c>
      <c r="C43" s="415">
        <v>18.984000000000002</v>
      </c>
      <c r="D43" s="416">
        <v>17.916494726774001</v>
      </c>
      <c r="E43" s="417">
        <v>17.783518710534999</v>
      </c>
      <c r="F43" s="415">
        <v>16.554731267013999</v>
      </c>
      <c r="G43" s="416">
        <v>15.175170328096</v>
      </c>
      <c r="H43" s="418">
        <v>0</v>
      </c>
      <c r="I43" s="415">
        <v>21.206499999999998</v>
      </c>
      <c r="J43" s="416">
        <v>6.0313296719030003</v>
      </c>
      <c r="K43" s="419">
        <v>1.2809933098849999</v>
      </c>
    </row>
    <row r="44" spans="1:11" ht="14.45" customHeight="1" thickBot="1" x14ac:dyDescent="0.25">
      <c r="A44" s="437" t="s">
        <v>284</v>
      </c>
      <c r="B44" s="415">
        <v>0</v>
      </c>
      <c r="C44" s="415">
        <v>0.15661</v>
      </c>
      <c r="D44" s="416">
        <v>0.15661</v>
      </c>
      <c r="E44" s="425" t="s">
        <v>243</v>
      </c>
      <c r="F44" s="415">
        <v>0.26375766960800001</v>
      </c>
      <c r="G44" s="416">
        <v>0.241777863807</v>
      </c>
      <c r="H44" s="418">
        <v>0</v>
      </c>
      <c r="I44" s="415">
        <v>0</v>
      </c>
      <c r="J44" s="416">
        <v>-0.241777863807</v>
      </c>
      <c r="K44" s="419">
        <v>0</v>
      </c>
    </row>
    <row r="45" spans="1:11" ht="14.45" customHeight="1" thickBot="1" x14ac:dyDescent="0.25">
      <c r="A45" s="437" t="s">
        <v>285</v>
      </c>
      <c r="B45" s="415">
        <v>4.1773206449289999</v>
      </c>
      <c r="C45" s="415">
        <v>19.277429999999999</v>
      </c>
      <c r="D45" s="416">
        <v>15.10010935507</v>
      </c>
      <c r="E45" s="417">
        <v>4.6147834074930003</v>
      </c>
      <c r="F45" s="415">
        <v>17.057742453073001</v>
      </c>
      <c r="G45" s="416">
        <v>15.636263915317</v>
      </c>
      <c r="H45" s="418">
        <v>0.66049999999999998</v>
      </c>
      <c r="I45" s="415">
        <v>5.2648799999999998</v>
      </c>
      <c r="J45" s="416">
        <v>-10.371383915317001</v>
      </c>
      <c r="K45" s="419">
        <v>0.30865045679300002</v>
      </c>
    </row>
    <row r="46" spans="1:11" ht="14.45" customHeight="1" thickBot="1" x14ac:dyDescent="0.25">
      <c r="A46" s="437" t="s">
        <v>286</v>
      </c>
      <c r="B46" s="415">
        <v>0</v>
      </c>
      <c r="C46" s="415">
        <v>0</v>
      </c>
      <c r="D46" s="416">
        <v>0</v>
      </c>
      <c r="E46" s="417">
        <v>1</v>
      </c>
      <c r="F46" s="415">
        <v>5.4830681266649997</v>
      </c>
      <c r="G46" s="416">
        <v>5.0261457827760001</v>
      </c>
      <c r="H46" s="418">
        <v>0</v>
      </c>
      <c r="I46" s="415">
        <v>0</v>
      </c>
      <c r="J46" s="416">
        <v>-5.0261457827760001</v>
      </c>
      <c r="K46" s="419">
        <v>0</v>
      </c>
    </row>
    <row r="47" spans="1:11" ht="14.45" customHeight="1" thickBot="1" x14ac:dyDescent="0.25">
      <c r="A47" s="436" t="s">
        <v>287</v>
      </c>
      <c r="B47" s="420">
        <v>110.12800384922301</v>
      </c>
      <c r="C47" s="420">
        <v>91.41865</v>
      </c>
      <c r="D47" s="421">
        <v>-18.709353849223</v>
      </c>
      <c r="E47" s="427">
        <v>0.83011265804000001</v>
      </c>
      <c r="F47" s="420">
        <v>70</v>
      </c>
      <c r="G47" s="421">
        <v>64.166666666666003</v>
      </c>
      <c r="H47" s="423">
        <v>7.7651500000000002</v>
      </c>
      <c r="I47" s="420">
        <v>65.867670000000004</v>
      </c>
      <c r="J47" s="421">
        <v>1.7010033333329999</v>
      </c>
      <c r="K47" s="428">
        <v>0.94096671428500001</v>
      </c>
    </row>
    <row r="48" spans="1:11" ht="14.45" customHeight="1" thickBot="1" x14ac:dyDescent="0.25">
      <c r="A48" s="437" t="s">
        <v>288</v>
      </c>
      <c r="B48" s="415">
        <v>40.128003849222999</v>
      </c>
      <c r="C48" s="415">
        <v>26.776759999999999</v>
      </c>
      <c r="D48" s="416">
        <v>-13.351243849223</v>
      </c>
      <c r="E48" s="417">
        <v>0.66728362817599995</v>
      </c>
      <c r="F48" s="415">
        <v>0</v>
      </c>
      <c r="G48" s="416">
        <v>0</v>
      </c>
      <c r="H48" s="418">
        <v>1.62357</v>
      </c>
      <c r="I48" s="415">
        <v>15.833780000000001</v>
      </c>
      <c r="J48" s="416">
        <v>15.833780000000001</v>
      </c>
      <c r="K48" s="426" t="s">
        <v>243</v>
      </c>
    </row>
    <row r="49" spans="1:11" ht="14.45" customHeight="1" thickBot="1" x14ac:dyDescent="0.25">
      <c r="A49" s="437" t="s">
        <v>289</v>
      </c>
      <c r="B49" s="415">
        <v>0</v>
      </c>
      <c r="C49" s="415">
        <v>0</v>
      </c>
      <c r="D49" s="416">
        <v>0</v>
      </c>
      <c r="E49" s="417">
        <v>1</v>
      </c>
      <c r="F49" s="415">
        <v>0</v>
      </c>
      <c r="G49" s="416">
        <v>0</v>
      </c>
      <c r="H49" s="418">
        <v>3.34802</v>
      </c>
      <c r="I49" s="415">
        <v>10.043939999999999</v>
      </c>
      <c r="J49" s="416">
        <v>10.043939999999999</v>
      </c>
      <c r="K49" s="426" t="s">
        <v>256</v>
      </c>
    </row>
    <row r="50" spans="1:11" ht="14.45" customHeight="1" thickBot="1" x14ac:dyDescent="0.25">
      <c r="A50" s="437" t="s">
        <v>290</v>
      </c>
      <c r="B50" s="415">
        <v>20</v>
      </c>
      <c r="C50" s="415">
        <v>15.929589999999999</v>
      </c>
      <c r="D50" s="416">
        <v>-4.0704099999989998</v>
      </c>
      <c r="E50" s="417">
        <v>0.79647950000000001</v>
      </c>
      <c r="F50" s="415">
        <v>20</v>
      </c>
      <c r="G50" s="416">
        <v>18.333333333333002</v>
      </c>
      <c r="H50" s="418">
        <v>1.36121</v>
      </c>
      <c r="I50" s="415">
        <v>13.38307</v>
      </c>
      <c r="J50" s="416">
        <v>-4.9502633333329999</v>
      </c>
      <c r="K50" s="419">
        <v>0.66915349999999996</v>
      </c>
    </row>
    <row r="51" spans="1:11" ht="14.45" customHeight="1" thickBot="1" x14ac:dyDescent="0.25">
      <c r="A51" s="437" t="s">
        <v>291</v>
      </c>
      <c r="B51" s="415">
        <v>20</v>
      </c>
      <c r="C51" s="415">
        <v>21.584440000000001</v>
      </c>
      <c r="D51" s="416">
        <v>1.5844400000000001</v>
      </c>
      <c r="E51" s="417">
        <v>1.0792219999999999</v>
      </c>
      <c r="F51" s="415">
        <v>20</v>
      </c>
      <c r="G51" s="416">
        <v>18.333333333333002</v>
      </c>
      <c r="H51" s="418">
        <v>1.43235</v>
      </c>
      <c r="I51" s="415">
        <v>13.023300000000001</v>
      </c>
      <c r="J51" s="416">
        <v>-5.3100333333330001</v>
      </c>
      <c r="K51" s="419">
        <v>0.65116499999900002</v>
      </c>
    </row>
    <row r="52" spans="1:11" ht="14.45" customHeight="1" thickBot="1" x14ac:dyDescent="0.25">
      <c r="A52" s="437" t="s">
        <v>292</v>
      </c>
      <c r="B52" s="415">
        <v>30</v>
      </c>
      <c r="C52" s="415">
        <v>27.127859999999998</v>
      </c>
      <c r="D52" s="416">
        <v>-2.8721399999989998</v>
      </c>
      <c r="E52" s="417">
        <v>0.90426200000000001</v>
      </c>
      <c r="F52" s="415">
        <v>30</v>
      </c>
      <c r="G52" s="416">
        <v>27.5</v>
      </c>
      <c r="H52" s="418">
        <v>0</v>
      </c>
      <c r="I52" s="415">
        <v>13.58358</v>
      </c>
      <c r="J52" s="416">
        <v>-13.91642</v>
      </c>
      <c r="K52" s="419">
        <v>0.45278600000000002</v>
      </c>
    </row>
    <row r="53" spans="1:11" ht="14.45" customHeight="1" thickBot="1" x14ac:dyDescent="0.25">
      <c r="A53" s="435" t="s">
        <v>29</v>
      </c>
      <c r="B53" s="415">
        <v>1413.2772092397499</v>
      </c>
      <c r="C53" s="415">
        <v>1405.5449599999999</v>
      </c>
      <c r="D53" s="416">
        <v>-7.732249239752</v>
      </c>
      <c r="E53" s="417">
        <v>0.994528851672</v>
      </c>
      <c r="F53" s="415">
        <v>1707.3598970379801</v>
      </c>
      <c r="G53" s="416">
        <v>1565.07990561815</v>
      </c>
      <c r="H53" s="418">
        <v>135.94828000000001</v>
      </c>
      <c r="I53" s="415">
        <v>1247.5313799999999</v>
      </c>
      <c r="J53" s="416">
        <v>-317.54852561814698</v>
      </c>
      <c r="K53" s="419">
        <v>0.73067862385899995</v>
      </c>
    </row>
    <row r="54" spans="1:11" ht="14.45" customHeight="1" thickBot="1" x14ac:dyDescent="0.25">
      <c r="A54" s="436" t="s">
        <v>293</v>
      </c>
      <c r="B54" s="420">
        <v>1413.2772092397499</v>
      </c>
      <c r="C54" s="420">
        <v>1405.5449599999999</v>
      </c>
      <c r="D54" s="421">
        <v>-7.732249239752</v>
      </c>
      <c r="E54" s="427">
        <v>0.994528851672</v>
      </c>
      <c r="F54" s="420">
        <v>1707.3598970379801</v>
      </c>
      <c r="G54" s="421">
        <v>1565.07990561815</v>
      </c>
      <c r="H54" s="423">
        <v>135.94828000000001</v>
      </c>
      <c r="I54" s="420">
        <v>1247.5313799999999</v>
      </c>
      <c r="J54" s="421">
        <v>-317.54852561814698</v>
      </c>
      <c r="K54" s="428">
        <v>0.73067862385899995</v>
      </c>
    </row>
    <row r="55" spans="1:11" ht="14.45" customHeight="1" thickBot="1" x14ac:dyDescent="0.25">
      <c r="A55" s="437" t="s">
        <v>294</v>
      </c>
      <c r="B55" s="415">
        <v>467.64579712222098</v>
      </c>
      <c r="C55" s="415">
        <v>544.34900000000096</v>
      </c>
      <c r="D55" s="416">
        <v>76.703202877779006</v>
      </c>
      <c r="E55" s="417">
        <v>1.1640198700590001</v>
      </c>
      <c r="F55" s="415">
        <v>792.31347984554895</v>
      </c>
      <c r="G55" s="416">
        <v>726.28735652508601</v>
      </c>
      <c r="H55" s="418">
        <v>59.906999999999996</v>
      </c>
      <c r="I55" s="415">
        <v>503.61399999999901</v>
      </c>
      <c r="J55" s="416">
        <v>-222.673356525087</v>
      </c>
      <c r="K55" s="419">
        <v>0.63562467736600003</v>
      </c>
    </row>
    <row r="56" spans="1:11" ht="14.45" customHeight="1" thickBot="1" x14ac:dyDescent="0.25">
      <c r="A56" s="437" t="s">
        <v>295</v>
      </c>
      <c r="B56" s="415">
        <v>209.909632465578</v>
      </c>
      <c r="C56" s="415">
        <v>221.74100000000001</v>
      </c>
      <c r="D56" s="416">
        <v>11.831367534422</v>
      </c>
      <c r="E56" s="417">
        <v>1.056364100091</v>
      </c>
      <c r="F56" s="415">
        <v>218.75724739008101</v>
      </c>
      <c r="G56" s="416">
        <v>200.52747677424099</v>
      </c>
      <c r="H56" s="418">
        <v>17.332999999999998</v>
      </c>
      <c r="I56" s="415">
        <v>197.58500000000001</v>
      </c>
      <c r="J56" s="416">
        <v>-2.9424767742409998</v>
      </c>
      <c r="K56" s="419">
        <v>0.90321578990999996</v>
      </c>
    </row>
    <row r="57" spans="1:11" ht="14.45" customHeight="1" thickBot="1" x14ac:dyDescent="0.25">
      <c r="A57" s="437" t="s">
        <v>296</v>
      </c>
      <c r="B57" s="415">
        <v>729.93455494756802</v>
      </c>
      <c r="C57" s="415">
        <v>635.70596000000103</v>
      </c>
      <c r="D57" s="416">
        <v>-94.228594947565995</v>
      </c>
      <c r="E57" s="417">
        <v>0.87090815976699998</v>
      </c>
      <c r="F57" s="415">
        <v>688.60967805821599</v>
      </c>
      <c r="G57" s="416">
        <v>631.22553822003101</v>
      </c>
      <c r="H57" s="418">
        <v>58.208280000000002</v>
      </c>
      <c r="I57" s="415">
        <v>540.83237999999994</v>
      </c>
      <c r="J57" s="416">
        <v>-90.393158220030998</v>
      </c>
      <c r="K57" s="419">
        <v>0.78539758767900003</v>
      </c>
    </row>
    <row r="58" spans="1:11" ht="14.45" customHeight="1" thickBot="1" x14ac:dyDescent="0.25">
      <c r="A58" s="437" t="s">
        <v>297</v>
      </c>
      <c r="B58" s="415">
        <v>5.7872247043870004</v>
      </c>
      <c r="C58" s="415">
        <v>3.7490000000000001</v>
      </c>
      <c r="D58" s="416">
        <v>-2.0382247043869999</v>
      </c>
      <c r="E58" s="417">
        <v>0.64780619234500003</v>
      </c>
      <c r="F58" s="415">
        <v>7.6794917441320001</v>
      </c>
      <c r="G58" s="416">
        <v>7.0395340987869996</v>
      </c>
      <c r="H58" s="418">
        <v>0.5</v>
      </c>
      <c r="I58" s="415">
        <v>5.5</v>
      </c>
      <c r="J58" s="416">
        <v>-1.5395340987870001</v>
      </c>
      <c r="K58" s="419">
        <v>0.716193230392</v>
      </c>
    </row>
    <row r="59" spans="1:11" ht="14.45" customHeight="1" thickBot="1" x14ac:dyDescent="0.25">
      <c r="A59" s="438" t="s">
        <v>298</v>
      </c>
      <c r="B59" s="420">
        <v>3032.92119940271</v>
      </c>
      <c r="C59" s="420">
        <v>3783.3877200000102</v>
      </c>
      <c r="D59" s="421">
        <v>750.46652059730002</v>
      </c>
      <c r="E59" s="427">
        <v>1.247440164533</v>
      </c>
      <c r="F59" s="420">
        <v>2407.9604321736601</v>
      </c>
      <c r="G59" s="421">
        <v>2207.2970628258499</v>
      </c>
      <c r="H59" s="423">
        <v>213.31566000000001</v>
      </c>
      <c r="I59" s="420">
        <v>3153.89086</v>
      </c>
      <c r="J59" s="421">
        <v>946.59379717414299</v>
      </c>
      <c r="K59" s="428">
        <v>1.309776862551</v>
      </c>
    </row>
    <row r="60" spans="1:11" ht="14.45" customHeight="1" thickBot="1" x14ac:dyDescent="0.25">
      <c r="A60" s="435" t="s">
        <v>32</v>
      </c>
      <c r="B60" s="415">
        <v>901.57504452466503</v>
      </c>
      <c r="C60" s="415">
        <v>1175.9519</v>
      </c>
      <c r="D60" s="416">
        <v>274.37685547533601</v>
      </c>
      <c r="E60" s="417">
        <v>1.304330579181</v>
      </c>
      <c r="F60" s="415">
        <v>1041.1713507357199</v>
      </c>
      <c r="G60" s="416">
        <v>954.40707150774006</v>
      </c>
      <c r="H60" s="418">
        <v>61.550040000000003</v>
      </c>
      <c r="I60" s="415">
        <v>937.05383999999901</v>
      </c>
      <c r="J60" s="416">
        <v>-17.353231507739999</v>
      </c>
      <c r="K60" s="419">
        <v>0.89999963919199999</v>
      </c>
    </row>
    <row r="61" spans="1:11" ht="14.45" customHeight="1" thickBot="1" x14ac:dyDescent="0.25">
      <c r="A61" s="439" t="s">
        <v>299</v>
      </c>
      <c r="B61" s="415">
        <v>901.57504452466503</v>
      </c>
      <c r="C61" s="415">
        <v>1175.9519</v>
      </c>
      <c r="D61" s="416">
        <v>274.37685547533601</v>
      </c>
      <c r="E61" s="417">
        <v>1.304330579181</v>
      </c>
      <c r="F61" s="415">
        <v>1041.1713507357199</v>
      </c>
      <c r="G61" s="416">
        <v>954.40707150774006</v>
      </c>
      <c r="H61" s="418">
        <v>61.550040000000003</v>
      </c>
      <c r="I61" s="415">
        <v>937.05383999999901</v>
      </c>
      <c r="J61" s="416">
        <v>-17.353231507739999</v>
      </c>
      <c r="K61" s="419">
        <v>0.89999963919199999</v>
      </c>
    </row>
    <row r="62" spans="1:11" ht="14.45" customHeight="1" thickBot="1" x14ac:dyDescent="0.25">
      <c r="A62" s="437" t="s">
        <v>300</v>
      </c>
      <c r="B62" s="415">
        <v>468.78060732499</v>
      </c>
      <c r="C62" s="415">
        <v>890.47890000000098</v>
      </c>
      <c r="D62" s="416">
        <v>421.69829267501098</v>
      </c>
      <c r="E62" s="417">
        <v>1.8995642867589999</v>
      </c>
      <c r="F62" s="415">
        <v>719.41754043463095</v>
      </c>
      <c r="G62" s="416">
        <v>659.46607873174503</v>
      </c>
      <c r="H62" s="418">
        <v>24.045269999999999</v>
      </c>
      <c r="I62" s="415">
        <v>259.01911999999999</v>
      </c>
      <c r="J62" s="416">
        <v>-400.44695873174499</v>
      </c>
      <c r="K62" s="419">
        <v>0.36004003995099998</v>
      </c>
    </row>
    <row r="63" spans="1:11" ht="14.45" customHeight="1" thickBot="1" x14ac:dyDescent="0.25">
      <c r="A63" s="437" t="s">
        <v>301</v>
      </c>
      <c r="B63" s="415">
        <v>47.094738550975997</v>
      </c>
      <c r="C63" s="415">
        <v>9.1615000000000002</v>
      </c>
      <c r="D63" s="416">
        <v>-37.933238550976</v>
      </c>
      <c r="E63" s="417">
        <v>0.194533408229</v>
      </c>
      <c r="F63" s="415">
        <v>0.46859238437200001</v>
      </c>
      <c r="G63" s="416">
        <v>0.42954301900800002</v>
      </c>
      <c r="H63" s="418">
        <v>0</v>
      </c>
      <c r="I63" s="415">
        <v>25.38504</v>
      </c>
      <c r="J63" s="416">
        <v>24.955496980991001</v>
      </c>
      <c r="K63" s="419">
        <v>54.172967480018997</v>
      </c>
    </row>
    <row r="64" spans="1:11" ht="14.45" customHeight="1" thickBot="1" x14ac:dyDescent="0.25">
      <c r="A64" s="437" t="s">
        <v>302</v>
      </c>
      <c r="B64" s="415">
        <v>244.944462312497</v>
      </c>
      <c r="C64" s="415">
        <v>112.048</v>
      </c>
      <c r="D64" s="416">
        <v>-132.896462312496</v>
      </c>
      <c r="E64" s="417">
        <v>0.45744247059900001</v>
      </c>
      <c r="F64" s="415">
        <v>177.64151285073299</v>
      </c>
      <c r="G64" s="416">
        <v>162.838053446506</v>
      </c>
      <c r="H64" s="418">
        <v>3.57422</v>
      </c>
      <c r="I64" s="415">
        <v>508.73126999999999</v>
      </c>
      <c r="J64" s="416">
        <v>345.89321655349403</v>
      </c>
      <c r="K64" s="419">
        <v>2.8638084749220001</v>
      </c>
    </row>
    <row r="65" spans="1:11" ht="14.45" customHeight="1" thickBot="1" x14ac:dyDescent="0.25">
      <c r="A65" s="437" t="s">
        <v>303</v>
      </c>
      <c r="B65" s="415">
        <v>140.75523633620199</v>
      </c>
      <c r="C65" s="415">
        <v>164.26349999999999</v>
      </c>
      <c r="D65" s="416">
        <v>23.508263663796999</v>
      </c>
      <c r="E65" s="417">
        <v>1.167015197982</v>
      </c>
      <c r="F65" s="415">
        <v>126.90390544982201</v>
      </c>
      <c r="G65" s="416">
        <v>116.32857999567</v>
      </c>
      <c r="H65" s="418">
        <v>18.363900000000001</v>
      </c>
      <c r="I65" s="415">
        <v>128.35176000000001</v>
      </c>
      <c r="J65" s="416">
        <v>12.023180004328999</v>
      </c>
      <c r="K65" s="419">
        <v>1.011409062195</v>
      </c>
    </row>
    <row r="66" spans="1:11" ht="14.45" customHeight="1" thickBot="1" x14ac:dyDescent="0.25">
      <c r="A66" s="437" t="s">
        <v>304</v>
      </c>
      <c r="B66" s="415">
        <v>0</v>
      </c>
      <c r="C66" s="415">
        <v>0</v>
      </c>
      <c r="D66" s="416">
        <v>0</v>
      </c>
      <c r="E66" s="417">
        <v>1</v>
      </c>
      <c r="F66" s="415">
        <v>7.5128077660320001</v>
      </c>
      <c r="G66" s="416">
        <v>6.8867404521960003</v>
      </c>
      <c r="H66" s="418">
        <v>0</v>
      </c>
      <c r="I66" s="415">
        <v>0</v>
      </c>
      <c r="J66" s="416">
        <v>-6.8867404521960003</v>
      </c>
      <c r="K66" s="419">
        <v>0</v>
      </c>
    </row>
    <row r="67" spans="1:11" ht="14.45" customHeight="1" thickBot="1" x14ac:dyDescent="0.25">
      <c r="A67" s="437" t="s">
        <v>305</v>
      </c>
      <c r="B67" s="415">
        <v>0</v>
      </c>
      <c r="C67" s="415">
        <v>0</v>
      </c>
      <c r="D67" s="416">
        <v>0</v>
      </c>
      <c r="E67" s="417">
        <v>1</v>
      </c>
      <c r="F67" s="415">
        <v>6.9673203766249996</v>
      </c>
      <c r="G67" s="416">
        <v>6.3867103452389999</v>
      </c>
      <c r="H67" s="418">
        <v>15.566649999999999</v>
      </c>
      <c r="I67" s="415">
        <v>15.566649999999999</v>
      </c>
      <c r="J67" s="416">
        <v>9.1799396547600001</v>
      </c>
      <c r="K67" s="419">
        <v>2.234237721036</v>
      </c>
    </row>
    <row r="68" spans="1:11" ht="14.45" customHeight="1" thickBot="1" x14ac:dyDescent="0.25">
      <c r="A68" s="437" t="s">
        <v>306</v>
      </c>
      <c r="B68" s="415">
        <v>0</v>
      </c>
      <c r="C68" s="415">
        <v>0</v>
      </c>
      <c r="D68" s="416">
        <v>0</v>
      </c>
      <c r="E68" s="417">
        <v>1</v>
      </c>
      <c r="F68" s="415">
        <v>2.2596714735000001</v>
      </c>
      <c r="G68" s="416">
        <v>2.0713655173749999</v>
      </c>
      <c r="H68" s="418">
        <v>0</v>
      </c>
      <c r="I68" s="415">
        <v>0</v>
      </c>
      <c r="J68" s="416">
        <v>-2.0713655173749999</v>
      </c>
      <c r="K68" s="419">
        <v>0</v>
      </c>
    </row>
    <row r="69" spans="1:11" ht="14.45" customHeight="1" thickBot="1" x14ac:dyDescent="0.25">
      <c r="A69" s="440" t="s">
        <v>33</v>
      </c>
      <c r="B69" s="420">
        <v>0</v>
      </c>
      <c r="C69" s="420">
        <v>34.545000000000002</v>
      </c>
      <c r="D69" s="421">
        <v>34.545000000000002</v>
      </c>
      <c r="E69" s="422" t="s">
        <v>243</v>
      </c>
      <c r="F69" s="420">
        <v>0</v>
      </c>
      <c r="G69" s="421">
        <v>0</v>
      </c>
      <c r="H69" s="423">
        <v>2.91</v>
      </c>
      <c r="I69" s="420">
        <v>29.824000000000002</v>
      </c>
      <c r="J69" s="421">
        <v>29.824000000000002</v>
      </c>
      <c r="K69" s="424" t="s">
        <v>243</v>
      </c>
    </row>
    <row r="70" spans="1:11" ht="14.45" customHeight="1" thickBot="1" x14ac:dyDescent="0.25">
      <c r="A70" s="436" t="s">
        <v>307</v>
      </c>
      <c r="B70" s="420">
        <v>0</v>
      </c>
      <c r="C70" s="420">
        <v>34.545000000000002</v>
      </c>
      <c r="D70" s="421">
        <v>34.545000000000002</v>
      </c>
      <c r="E70" s="422" t="s">
        <v>243</v>
      </c>
      <c r="F70" s="420">
        <v>0</v>
      </c>
      <c r="G70" s="421">
        <v>0</v>
      </c>
      <c r="H70" s="423">
        <v>2.91</v>
      </c>
      <c r="I70" s="420">
        <v>29.824000000000002</v>
      </c>
      <c r="J70" s="421">
        <v>29.824000000000002</v>
      </c>
      <c r="K70" s="424" t="s">
        <v>243</v>
      </c>
    </row>
    <row r="71" spans="1:11" ht="14.45" customHeight="1" thickBot="1" x14ac:dyDescent="0.25">
      <c r="A71" s="437" t="s">
        <v>308</v>
      </c>
      <c r="B71" s="415">
        <v>0</v>
      </c>
      <c r="C71" s="415">
        <v>34.244999999999997</v>
      </c>
      <c r="D71" s="416">
        <v>34.244999999999997</v>
      </c>
      <c r="E71" s="425" t="s">
        <v>243</v>
      </c>
      <c r="F71" s="415">
        <v>0</v>
      </c>
      <c r="G71" s="416">
        <v>0</v>
      </c>
      <c r="H71" s="418">
        <v>2.91</v>
      </c>
      <c r="I71" s="415">
        <v>29.824000000000002</v>
      </c>
      <c r="J71" s="416">
        <v>29.824000000000002</v>
      </c>
      <c r="K71" s="426" t="s">
        <v>243</v>
      </c>
    </row>
    <row r="72" spans="1:11" ht="14.45" customHeight="1" thickBot="1" x14ac:dyDescent="0.25">
      <c r="A72" s="437" t="s">
        <v>309</v>
      </c>
      <c r="B72" s="415">
        <v>0</v>
      </c>
      <c r="C72" s="415">
        <v>0.3</v>
      </c>
      <c r="D72" s="416">
        <v>0.3</v>
      </c>
      <c r="E72" s="425" t="s">
        <v>256</v>
      </c>
      <c r="F72" s="415">
        <v>0</v>
      </c>
      <c r="G72" s="416">
        <v>0</v>
      </c>
      <c r="H72" s="418">
        <v>0</v>
      </c>
      <c r="I72" s="415">
        <v>0</v>
      </c>
      <c r="J72" s="416">
        <v>0</v>
      </c>
      <c r="K72" s="426" t="s">
        <v>243</v>
      </c>
    </row>
    <row r="73" spans="1:11" ht="14.45" customHeight="1" thickBot="1" x14ac:dyDescent="0.25">
      <c r="A73" s="435" t="s">
        <v>34</v>
      </c>
      <c r="B73" s="415">
        <v>2131.3461548780401</v>
      </c>
      <c r="C73" s="415">
        <v>2572.8908200000001</v>
      </c>
      <c r="D73" s="416">
        <v>441.54466512196302</v>
      </c>
      <c r="E73" s="417">
        <v>1.2071670357769999</v>
      </c>
      <c r="F73" s="415">
        <v>1366.78908143794</v>
      </c>
      <c r="G73" s="416">
        <v>1252.8899913181101</v>
      </c>
      <c r="H73" s="418">
        <v>148.85561999999999</v>
      </c>
      <c r="I73" s="415">
        <v>2187.0130199999999</v>
      </c>
      <c r="J73" s="416">
        <v>934.12302868188306</v>
      </c>
      <c r="K73" s="419">
        <v>1.600110104551</v>
      </c>
    </row>
    <row r="74" spans="1:11" ht="14.45" customHeight="1" thickBot="1" x14ac:dyDescent="0.25">
      <c r="A74" s="436" t="s">
        <v>310</v>
      </c>
      <c r="B74" s="420">
        <v>52.446993742536002</v>
      </c>
      <c r="C74" s="420">
        <v>45.190089999999998</v>
      </c>
      <c r="D74" s="421">
        <v>-7.256903742535</v>
      </c>
      <c r="E74" s="427">
        <v>0.86163356134000002</v>
      </c>
      <c r="F74" s="420">
        <v>45.268006001229999</v>
      </c>
      <c r="G74" s="421">
        <v>41.495672167793998</v>
      </c>
      <c r="H74" s="423">
        <v>4.3323400000000003</v>
      </c>
      <c r="I74" s="420">
        <v>47.821820000000002</v>
      </c>
      <c r="J74" s="421">
        <v>6.3261478322049998</v>
      </c>
      <c r="K74" s="428">
        <v>1.0564154294470001</v>
      </c>
    </row>
    <row r="75" spans="1:11" ht="14.45" customHeight="1" thickBot="1" x14ac:dyDescent="0.25">
      <c r="A75" s="437" t="s">
        <v>311</v>
      </c>
      <c r="B75" s="415">
        <v>2.956438702502</v>
      </c>
      <c r="C75" s="415">
        <v>2.8780000000000001</v>
      </c>
      <c r="D75" s="416">
        <v>-7.8438702501999996E-2</v>
      </c>
      <c r="E75" s="417">
        <v>0.97346851722700001</v>
      </c>
      <c r="F75" s="415">
        <v>2.7309690429010001</v>
      </c>
      <c r="G75" s="416">
        <v>2.5033882893260002</v>
      </c>
      <c r="H75" s="418">
        <v>0.4229</v>
      </c>
      <c r="I75" s="415">
        <v>2.8932000000000002</v>
      </c>
      <c r="J75" s="416">
        <v>0.38981171067300002</v>
      </c>
      <c r="K75" s="419">
        <v>1.059404172859</v>
      </c>
    </row>
    <row r="76" spans="1:11" ht="14.45" customHeight="1" thickBot="1" x14ac:dyDescent="0.25">
      <c r="A76" s="437" t="s">
        <v>312</v>
      </c>
      <c r="B76" s="415">
        <v>49.490555040033001</v>
      </c>
      <c r="C76" s="415">
        <v>42.312089999999998</v>
      </c>
      <c r="D76" s="416">
        <v>-7.1784650400330001</v>
      </c>
      <c r="E76" s="417">
        <v>0.85495282818600005</v>
      </c>
      <c r="F76" s="415">
        <v>42.537036958328002</v>
      </c>
      <c r="G76" s="416">
        <v>38.992283878466999</v>
      </c>
      <c r="H76" s="418">
        <v>3.90944</v>
      </c>
      <c r="I76" s="415">
        <v>44.928620000000002</v>
      </c>
      <c r="J76" s="416">
        <v>5.9363361215320003</v>
      </c>
      <c r="K76" s="419">
        <v>1.0562235457069999</v>
      </c>
    </row>
    <row r="77" spans="1:11" ht="14.45" customHeight="1" thickBot="1" x14ac:dyDescent="0.25">
      <c r="A77" s="436" t="s">
        <v>313</v>
      </c>
      <c r="B77" s="420">
        <v>33.105358402862997</v>
      </c>
      <c r="C77" s="420">
        <v>24.597619999999999</v>
      </c>
      <c r="D77" s="421">
        <v>-8.5077384028629996</v>
      </c>
      <c r="E77" s="427">
        <v>0.74301023117300002</v>
      </c>
      <c r="F77" s="420">
        <v>25.183878197148999</v>
      </c>
      <c r="G77" s="421">
        <v>23.08522168072</v>
      </c>
      <c r="H77" s="423">
        <v>5.629E-2</v>
      </c>
      <c r="I77" s="420">
        <v>27.20626</v>
      </c>
      <c r="J77" s="421">
        <v>4.1210383192790001</v>
      </c>
      <c r="K77" s="428">
        <v>1.080304621354</v>
      </c>
    </row>
    <row r="78" spans="1:11" ht="14.45" customHeight="1" thickBot="1" x14ac:dyDescent="0.25">
      <c r="A78" s="437" t="s">
        <v>314</v>
      </c>
      <c r="B78" s="415">
        <v>2.8394366197180001</v>
      </c>
      <c r="C78" s="415">
        <v>2.5649999999999999</v>
      </c>
      <c r="D78" s="416">
        <v>-0.27443661971799999</v>
      </c>
      <c r="E78" s="417">
        <v>0.90334821428500001</v>
      </c>
      <c r="F78" s="415">
        <v>1.9999999999989999</v>
      </c>
      <c r="G78" s="416">
        <v>1.833333333333</v>
      </c>
      <c r="H78" s="418">
        <v>0</v>
      </c>
      <c r="I78" s="415">
        <v>2.16</v>
      </c>
      <c r="J78" s="416">
        <v>0.32666666666600003</v>
      </c>
      <c r="K78" s="419">
        <v>1.08</v>
      </c>
    </row>
    <row r="79" spans="1:11" ht="14.45" customHeight="1" thickBot="1" x14ac:dyDescent="0.25">
      <c r="A79" s="437" t="s">
        <v>315</v>
      </c>
      <c r="B79" s="415">
        <v>30.265921783144002</v>
      </c>
      <c r="C79" s="415">
        <v>22.032620000000001</v>
      </c>
      <c r="D79" s="416">
        <v>-8.2333017831440003</v>
      </c>
      <c r="E79" s="417">
        <v>0.72796791579200004</v>
      </c>
      <c r="F79" s="415">
        <v>23.183878197148999</v>
      </c>
      <c r="G79" s="416">
        <v>21.251888347386998</v>
      </c>
      <c r="H79" s="418">
        <v>5.629E-2</v>
      </c>
      <c r="I79" s="415">
        <v>25.04626</v>
      </c>
      <c r="J79" s="416">
        <v>3.7943716526119999</v>
      </c>
      <c r="K79" s="419">
        <v>1.080330900076</v>
      </c>
    </row>
    <row r="80" spans="1:11" ht="14.45" customHeight="1" thickBot="1" x14ac:dyDescent="0.25">
      <c r="A80" s="436" t="s">
        <v>316</v>
      </c>
      <c r="B80" s="420">
        <v>0</v>
      </c>
      <c r="C80" s="420">
        <v>3.63</v>
      </c>
      <c r="D80" s="421">
        <v>3.63</v>
      </c>
      <c r="E80" s="422" t="s">
        <v>256</v>
      </c>
      <c r="F80" s="420">
        <v>0</v>
      </c>
      <c r="G80" s="421">
        <v>0</v>
      </c>
      <c r="H80" s="423">
        <v>0</v>
      </c>
      <c r="I80" s="420">
        <v>0</v>
      </c>
      <c r="J80" s="421">
        <v>0</v>
      </c>
      <c r="K80" s="424" t="s">
        <v>243</v>
      </c>
    </row>
    <row r="81" spans="1:11" ht="14.45" customHeight="1" thickBot="1" x14ac:dyDescent="0.25">
      <c r="A81" s="437" t="s">
        <v>317</v>
      </c>
      <c r="B81" s="415">
        <v>0</v>
      </c>
      <c r="C81" s="415">
        <v>3.63</v>
      </c>
      <c r="D81" s="416">
        <v>3.63</v>
      </c>
      <c r="E81" s="425" t="s">
        <v>256</v>
      </c>
      <c r="F81" s="415">
        <v>0</v>
      </c>
      <c r="G81" s="416">
        <v>0</v>
      </c>
      <c r="H81" s="418">
        <v>0</v>
      </c>
      <c r="I81" s="415">
        <v>0</v>
      </c>
      <c r="J81" s="416">
        <v>0</v>
      </c>
      <c r="K81" s="426" t="s">
        <v>243</v>
      </c>
    </row>
    <row r="82" spans="1:11" ht="14.45" customHeight="1" thickBot="1" x14ac:dyDescent="0.25">
      <c r="A82" s="436" t="s">
        <v>318</v>
      </c>
      <c r="B82" s="420">
        <v>945.80730020148496</v>
      </c>
      <c r="C82" s="420">
        <v>866.53006000000096</v>
      </c>
      <c r="D82" s="421">
        <v>-79.277240201482996</v>
      </c>
      <c r="E82" s="427">
        <v>0.91618034647699997</v>
      </c>
      <c r="F82" s="420">
        <v>898.52537796432102</v>
      </c>
      <c r="G82" s="421">
        <v>823.648263133961</v>
      </c>
      <c r="H82" s="423">
        <v>82.015079999999998</v>
      </c>
      <c r="I82" s="420">
        <v>887.07190999999898</v>
      </c>
      <c r="J82" s="421">
        <v>63.423646866037998</v>
      </c>
      <c r="K82" s="428">
        <v>0.98725303898399996</v>
      </c>
    </row>
    <row r="83" spans="1:11" ht="14.45" customHeight="1" thickBot="1" x14ac:dyDescent="0.25">
      <c r="A83" s="437" t="s">
        <v>319</v>
      </c>
      <c r="B83" s="415">
        <v>894.15638612897601</v>
      </c>
      <c r="C83" s="415">
        <v>822.84122000000104</v>
      </c>
      <c r="D83" s="416">
        <v>-71.315166128974994</v>
      </c>
      <c r="E83" s="417">
        <v>0.92024307242500003</v>
      </c>
      <c r="F83" s="415">
        <v>855.081939907888</v>
      </c>
      <c r="G83" s="416">
        <v>783.82511158223099</v>
      </c>
      <c r="H83" s="418">
        <v>72.631230000000002</v>
      </c>
      <c r="I83" s="415">
        <v>785.89680999999905</v>
      </c>
      <c r="J83" s="416">
        <v>2.0716984177679998</v>
      </c>
      <c r="K83" s="419">
        <v>0.91908947355899995</v>
      </c>
    </row>
    <row r="84" spans="1:11" ht="14.45" customHeight="1" thickBot="1" x14ac:dyDescent="0.25">
      <c r="A84" s="437" t="s">
        <v>320</v>
      </c>
      <c r="B84" s="415">
        <v>7.2138035606060003</v>
      </c>
      <c r="C84" s="415">
        <v>1.5972</v>
      </c>
      <c r="D84" s="416">
        <v>-5.6166035606060003</v>
      </c>
      <c r="E84" s="417">
        <v>0.221408856864</v>
      </c>
      <c r="F84" s="415">
        <v>0</v>
      </c>
      <c r="G84" s="416">
        <v>0</v>
      </c>
      <c r="H84" s="418">
        <v>1.5246</v>
      </c>
      <c r="I84" s="415">
        <v>38.798650000000002</v>
      </c>
      <c r="J84" s="416">
        <v>38.798650000000002</v>
      </c>
      <c r="K84" s="426" t="s">
        <v>243</v>
      </c>
    </row>
    <row r="85" spans="1:11" ht="14.45" customHeight="1" thickBot="1" x14ac:dyDescent="0.25">
      <c r="A85" s="437" t="s">
        <v>321</v>
      </c>
      <c r="B85" s="415">
        <v>0.99009900989999999</v>
      </c>
      <c r="C85" s="415">
        <v>3.2669999999999999</v>
      </c>
      <c r="D85" s="416">
        <v>2.276900990099</v>
      </c>
      <c r="E85" s="417">
        <v>3.2996699999999999</v>
      </c>
      <c r="F85" s="415">
        <v>3.2028815149519998</v>
      </c>
      <c r="G85" s="416">
        <v>2.935974722039</v>
      </c>
      <c r="H85" s="418">
        <v>0</v>
      </c>
      <c r="I85" s="415">
        <v>0.96799999999999997</v>
      </c>
      <c r="J85" s="416">
        <v>-1.967974722039</v>
      </c>
      <c r="K85" s="419">
        <v>0.30222785185099998</v>
      </c>
    </row>
    <row r="86" spans="1:11" ht="14.45" customHeight="1" thickBot="1" x14ac:dyDescent="0.25">
      <c r="A86" s="437" t="s">
        <v>322</v>
      </c>
      <c r="B86" s="415">
        <v>43.447011502000997</v>
      </c>
      <c r="C86" s="415">
        <v>38.824640000000002</v>
      </c>
      <c r="D86" s="416">
        <v>-4.6223715020010001</v>
      </c>
      <c r="E86" s="417">
        <v>0.89360898846100001</v>
      </c>
      <c r="F86" s="415">
        <v>40.240556541479997</v>
      </c>
      <c r="G86" s="416">
        <v>36.887176829689999</v>
      </c>
      <c r="H86" s="418">
        <v>2.9378199999999999</v>
      </c>
      <c r="I86" s="415">
        <v>31.826000000000001</v>
      </c>
      <c r="J86" s="416">
        <v>-5.0611768296899999</v>
      </c>
      <c r="K86" s="419">
        <v>0.79089363406699997</v>
      </c>
    </row>
    <row r="87" spans="1:11" ht="14.45" customHeight="1" thickBot="1" x14ac:dyDescent="0.25">
      <c r="A87" s="437" t="s">
        <v>323</v>
      </c>
      <c r="B87" s="415">
        <v>0</v>
      </c>
      <c r="C87" s="415">
        <v>0</v>
      </c>
      <c r="D87" s="416">
        <v>0</v>
      </c>
      <c r="E87" s="417">
        <v>1</v>
      </c>
      <c r="F87" s="415">
        <v>0</v>
      </c>
      <c r="G87" s="416">
        <v>0</v>
      </c>
      <c r="H87" s="418">
        <v>4.92143</v>
      </c>
      <c r="I87" s="415">
        <v>29.582450000000001</v>
      </c>
      <c r="J87" s="416">
        <v>29.582450000000001</v>
      </c>
      <c r="K87" s="426" t="s">
        <v>256</v>
      </c>
    </row>
    <row r="88" spans="1:11" ht="14.45" customHeight="1" thickBot="1" x14ac:dyDescent="0.25">
      <c r="A88" s="436" t="s">
        <v>324</v>
      </c>
      <c r="B88" s="420">
        <v>319.07000719990498</v>
      </c>
      <c r="C88" s="420">
        <v>489.85894000000098</v>
      </c>
      <c r="D88" s="421">
        <v>170.78893280009601</v>
      </c>
      <c r="E88" s="427">
        <v>1.5352710344</v>
      </c>
      <c r="F88" s="420">
        <v>397.34884132274698</v>
      </c>
      <c r="G88" s="421">
        <v>364.23643787918502</v>
      </c>
      <c r="H88" s="423">
        <v>41.038910000000001</v>
      </c>
      <c r="I88" s="420">
        <v>410.67334</v>
      </c>
      <c r="J88" s="421">
        <v>46.436902120813997</v>
      </c>
      <c r="K88" s="428">
        <v>1.033533503288</v>
      </c>
    </row>
    <row r="89" spans="1:11" ht="14.45" customHeight="1" thickBot="1" x14ac:dyDescent="0.25">
      <c r="A89" s="437" t="s">
        <v>325</v>
      </c>
      <c r="B89" s="415">
        <v>35</v>
      </c>
      <c r="C89" s="415">
        <v>59.872999999999998</v>
      </c>
      <c r="D89" s="416">
        <v>24.873000000000001</v>
      </c>
      <c r="E89" s="417">
        <v>1.7106571428570001</v>
      </c>
      <c r="F89" s="415">
        <v>47.898108779498003</v>
      </c>
      <c r="G89" s="416">
        <v>43.90659971454</v>
      </c>
      <c r="H89" s="418">
        <v>0</v>
      </c>
      <c r="I89" s="415">
        <v>0</v>
      </c>
      <c r="J89" s="416">
        <v>-43.90659971454</v>
      </c>
      <c r="K89" s="419">
        <v>0</v>
      </c>
    </row>
    <row r="90" spans="1:11" ht="14.45" customHeight="1" thickBot="1" x14ac:dyDescent="0.25">
      <c r="A90" s="437" t="s">
        <v>326</v>
      </c>
      <c r="B90" s="415">
        <v>151.96115977724301</v>
      </c>
      <c r="C90" s="415">
        <v>319.33934000000102</v>
      </c>
      <c r="D90" s="416">
        <v>167.37818022275701</v>
      </c>
      <c r="E90" s="417">
        <v>2.1014536903250001</v>
      </c>
      <c r="F90" s="415">
        <v>224.227842681033</v>
      </c>
      <c r="G90" s="416">
        <v>205.54218912427999</v>
      </c>
      <c r="H90" s="418">
        <v>26.157119999999999</v>
      </c>
      <c r="I90" s="415">
        <v>318.61185</v>
      </c>
      <c r="J90" s="416">
        <v>113.06966087572</v>
      </c>
      <c r="K90" s="419">
        <v>1.4209290255410001</v>
      </c>
    </row>
    <row r="91" spans="1:11" ht="14.45" customHeight="1" thickBot="1" x14ac:dyDescent="0.25">
      <c r="A91" s="437" t="s">
        <v>327</v>
      </c>
      <c r="B91" s="415">
        <v>13.451389804366</v>
      </c>
      <c r="C91" s="415">
        <v>4.0090000000000003</v>
      </c>
      <c r="D91" s="416">
        <v>-9.442389804366</v>
      </c>
      <c r="E91" s="417">
        <v>0.29803611807399999</v>
      </c>
      <c r="F91" s="415">
        <v>4</v>
      </c>
      <c r="G91" s="416">
        <v>3.6666666666659999</v>
      </c>
      <c r="H91" s="418">
        <v>1.5899399999999999</v>
      </c>
      <c r="I91" s="415">
        <v>1.5899399999999999</v>
      </c>
      <c r="J91" s="416">
        <v>-2.076726666666</v>
      </c>
      <c r="K91" s="419">
        <v>0.39748499999999998</v>
      </c>
    </row>
    <row r="92" spans="1:11" ht="14.45" customHeight="1" thickBot="1" x14ac:dyDescent="0.25">
      <c r="A92" s="437" t="s">
        <v>328</v>
      </c>
      <c r="B92" s="415">
        <v>0</v>
      </c>
      <c r="C92" s="415">
        <v>6.7515999999999998</v>
      </c>
      <c r="D92" s="416">
        <v>6.7515999999999998</v>
      </c>
      <c r="E92" s="425" t="s">
        <v>256</v>
      </c>
      <c r="F92" s="415">
        <v>9.4790245158869997</v>
      </c>
      <c r="G92" s="416">
        <v>8.6891058062299997</v>
      </c>
      <c r="H92" s="418">
        <v>0</v>
      </c>
      <c r="I92" s="415">
        <v>1.9259999999990001</v>
      </c>
      <c r="J92" s="416">
        <v>-6.7631058062299996</v>
      </c>
      <c r="K92" s="419">
        <v>0.20318546457700001</v>
      </c>
    </row>
    <row r="93" spans="1:11" ht="14.45" customHeight="1" thickBot="1" x14ac:dyDescent="0.25">
      <c r="A93" s="437" t="s">
        <v>329</v>
      </c>
      <c r="B93" s="415">
        <v>118.657457618295</v>
      </c>
      <c r="C93" s="415">
        <v>99.885999999999996</v>
      </c>
      <c r="D93" s="416">
        <v>-18.771457618294999</v>
      </c>
      <c r="E93" s="417">
        <v>0.84180128248899999</v>
      </c>
      <c r="F93" s="415">
        <v>111.74386534632799</v>
      </c>
      <c r="G93" s="416">
        <v>102.431876567468</v>
      </c>
      <c r="H93" s="418">
        <v>13.29185</v>
      </c>
      <c r="I93" s="415">
        <v>88.545549999998997</v>
      </c>
      <c r="J93" s="416">
        <v>-13.886326567467</v>
      </c>
      <c r="K93" s="419">
        <v>0.79239741461900004</v>
      </c>
    </row>
    <row r="94" spans="1:11" ht="14.45" customHeight="1" thickBot="1" x14ac:dyDescent="0.25">
      <c r="A94" s="436" t="s">
        <v>330</v>
      </c>
      <c r="B94" s="420">
        <v>0</v>
      </c>
      <c r="C94" s="420">
        <v>0.24737999999999999</v>
      </c>
      <c r="D94" s="421">
        <v>0.24737999999999999</v>
      </c>
      <c r="E94" s="422" t="s">
        <v>256</v>
      </c>
      <c r="F94" s="420">
        <v>0.46297795249500001</v>
      </c>
      <c r="G94" s="421">
        <v>0.424396456453</v>
      </c>
      <c r="H94" s="423">
        <v>0</v>
      </c>
      <c r="I94" s="420">
        <v>0</v>
      </c>
      <c r="J94" s="421">
        <v>-0.424396456453</v>
      </c>
      <c r="K94" s="428">
        <v>0</v>
      </c>
    </row>
    <row r="95" spans="1:11" ht="14.45" customHeight="1" thickBot="1" x14ac:dyDescent="0.25">
      <c r="A95" s="437" t="s">
        <v>331</v>
      </c>
      <c r="B95" s="415">
        <v>0</v>
      </c>
      <c r="C95" s="415">
        <v>0.24737999999999999</v>
      </c>
      <c r="D95" s="416">
        <v>0.24737999999999999</v>
      </c>
      <c r="E95" s="425" t="s">
        <v>256</v>
      </c>
      <c r="F95" s="415">
        <v>0.46297795249500001</v>
      </c>
      <c r="G95" s="416">
        <v>0.424396456453</v>
      </c>
      <c r="H95" s="418">
        <v>0</v>
      </c>
      <c r="I95" s="415">
        <v>0</v>
      </c>
      <c r="J95" s="416">
        <v>-0.424396456453</v>
      </c>
      <c r="K95" s="419">
        <v>0</v>
      </c>
    </row>
    <row r="96" spans="1:11" ht="14.45" customHeight="1" thickBot="1" x14ac:dyDescent="0.25">
      <c r="A96" s="436" t="s">
        <v>332</v>
      </c>
      <c r="B96" s="420">
        <v>780.91649533125201</v>
      </c>
      <c r="C96" s="420">
        <v>1142.83673</v>
      </c>
      <c r="D96" s="421">
        <v>361.92023466875003</v>
      </c>
      <c r="E96" s="427">
        <v>1.463455743133</v>
      </c>
      <c r="F96" s="420">
        <v>0</v>
      </c>
      <c r="G96" s="421">
        <v>0</v>
      </c>
      <c r="H96" s="423">
        <v>21.413</v>
      </c>
      <c r="I96" s="420">
        <v>814.23968999999897</v>
      </c>
      <c r="J96" s="421">
        <v>814.23968999999897</v>
      </c>
      <c r="K96" s="424" t="s">
        <v>243</v>
      </c>
    </row>
    <row r="97" spans="1:11" ht="14.45" customHeight="1" thickBot="1" x14ac:dyDescent="0.25">
      <c r="A97" s="437" t="s">
        <v>333</v>
      </c>
      <c r="B97" s="415">
        <v>0</v>
      </c>
      <c r="C97" s="415">
        <v>7.8650000000000002</v>
      </c>
      <c r="D97" s="416">
        <v>7.8650000000000002</v>
      </c>
      <c r="E97" s="425" t="s">
        <v>243</v>
      </c>
      <c r="F97" s="415">
        <v>0</v>
      </c>
      <c r="G97" s="416">
        <v>0</v>
      </c>
      <c r="H97" s="418">
        <v>0</v>
      </c>
      <c r="I97" s="415">
        <v>0</v>
      </c>
      <c r="J97" s="416">
        <v>0</v>
      </c>
      <c r="K97" s="426" t="s">
        <v>243</v>
      </c>
    </row>
    <row r="98" spans="1:11" ht="14.45" customHeight="1" thickBot="1" x14ac:dyDescent="0.25">
      <c r="A98" s="437" t="s">
        <v>334</v>
      </c>
      <c r="B98" s="415">
        <v>780.91649533125201</v>
      </c>
      <c r="C98" s="415">
        <v>1126.18803</v>
      </c>
      <c r="D98" s="416">
        <v>345.27153466875001</v>
      </c>
      <c r="E98" s="417">
        <v>1.442136306164</v>
      </c>
      <c r="F98" s="415">
        <v>0</v>
      </c>
      <c r="G98" s="416">
        <v>0</v>
      </c>
      <c r="H98" s="418">
        <v>21.013000000000002</v>
      </c>
      <c r="I98" s="415">
        <v>747.48024999999905</v>
      </c>
      <c r="J98" s="416">
        <v>747.48024999999905</v>
      </c>
      <c r="K98" s="426" t="s">
        <v>243</v>
      </c>
    </row>
    <row r="99" spans="1:11" ht="14.45" customHeight="1" thickBot="1" x14ac:dyDescent="0.25">
      <c r="A99" s="437" t="s">
        <v>335</v>
      </c>
      <c r="B99" s="415">
        <v>0</v>
      </c>
      <c r="C99" s="415">
        <v>4.4640000000000004</v>
      </c>
      <c r="D99" s="416">
        <v>4.4640000000000004</v>
      </c>
      <c r="E99" s="425" t="s">
        <v>243</v>
      </c>
      <c r="F99" s="415">
        <v>0</v>
      </c>
      <c r="G99" s="416">
        <v>0</v>
      </c>
      <c r="H99" s="418">
        <v>0.4</v>
      </c>
      <c r="I99" s="415">
        <v>2.8309999999989999</v>
      </c>
      <c r="J99" s="416">
        <v>2.8309999999989999</v>
      </c>
      <c r="K99" s="426" t="s">
        <v>243</v>
      </c>
    </row>
    <row r="100" spans="1:11" ht="14.45" customHeight="1" thickBot="1" x14ac:dyDescent="0.25">
      <c r="A100" s="437" t="s">
        <v>336</v>
      </c>
      <c r="B100" s="415">
        <v>0</v>
      </c>
      <c r="C100" s="415">
        <v>4.3197000000000001</v>
      </c>
      <c r="D100" s="416">
        <v>4.3197000000000001</v>
      </c>
      <c r="E100" s="425" t="s">
        <v>256</v>
      </c>
      <c r="F100" s="415">
        <v>0</v>
      </c>
      <c r="G100" s="416">
        <v>0</v>
      </c>
      <c r="H100" s="418">
        <v>0</v>
      </c>
      <c r="I100" s="415">
        <v>63.928440000000002</v>
      </c>
      <c r="J100" s="416">
        <v>63.928440000000002</v>
      </c>
      <c r="K100" s="426" t="s">
        <v>243</v>
      </c>
    </row>
    <row r="101" spans="1:11" ht="14.45" customHeight="1" thickBot="1" x14ac:dyDescent="0.25">
      <c r="A101" s="434" t="s">
        <v>35</v>
      </c>
      <c r="B101" s="415">
        <v>31812.880000717902</v>
      </c>
      <c r="C101" s="415">
        <v>34234.832830000101</v>
      </c>
      <c r="D101" s="416">
        <v>2421.9528292821201</v>
      </c>
      <c r="E101" s="417">
        <v>1.0761312031229999</v>
      </c>
      <c r="F101" s="415">
        <v>34841.715801999999</v>
      </c>
      <c r="G101" s="416">
        <v>31938.239485166701</v>
      </c>
      <c r="H101" s="418">
        <v>3835.5544799999998</v>
      </c>
      <c r="I101" s="415">
        <v>33634.912550000001</v>
      </c>
      <c r="J101" s="416">
        <v>1696.67306483327</v>
      </c>
      <c r="K101" s="419">
        <v>0.96536326572200004</v>
      </c>
    </row>
    <row r="102" spans="1:11" ht="14.45" customHeight="1" thickBot="1" x14ac:dyDescent="0.25">
      <c r="A102" s="440" t="s">
        <v>337</v>
      </c>
      <c r="B102" s="420">
        <v>23474.560000717898</v>
      </c>
      <c r="C102" s="420">
        <v>25274.526000000002</v>
      </c>
      <c r="D102" s="421">
        <v>1799.9659992821</v>
      </c>
      <c r="E102" s="427">
        <v>1.0766773051</v>
      </c>
      <c r="F102" s="420">
        <v>25062.9</v>
      </c>
      <c r="G102" s="421">
        <v>22974.325000000001</v>
      </c>
      <c r="H102" s="423">
        <v>2837.4169999999999</v>
      </c>
      <c r="I102" s="420">
        <v>24875.641</v>
      </c>
      <c r="J102" s="421">
        <v>1901.31599999994</v>
      </c>
      <c r="K102" s="428">
        <v>0.99252843844799998</v>
      </c>
    </row>
    <row r="103" spans="1:11" ht="14.45" customHeight="1" thickBot="1" x14ac:dyDescent="0.25">
      <c r="A103" s="436" t="s">
        <v>338</v>
      </c>
      <c r="B103" s="420">
        <v>23161.999999999902</v>
      </c>
      <c r="C103" s="420">
        <v>24723.78</v>
      </c>
      <c r="D103" s="421">
        <v>1561.78000000012</v>
      </c>
      <c r="E103" s="427">
        <v>1.0674285467569999</v>
      </c>
      <c r="F103" s="420">
        <v>24626.69</v>
      </c>
      <c r="G103" s="421">
        <v>22574.465833333401</v>
      </c>
      <c r="H103" s="423">
        <v>2782.3319999999999</v>
      </c>
      <c r="I103" s="420">
        <v>24369.124</v>
      </c>
      <c r="J103" s="421">
        <v>1794.65816666661</v>
      </c>
      <c r="K103" s="428">
        <v>0.98954118478700004</v>
      </c>
    </row>
    <row r="104" spans="1:11" ht="14.45" customHeight="1" thickBot="1" x14ac:dyDescent="0.25">
      <c r="A104" s="437" t="s">
        <v>339</v>
      </c>
      <c r="B104" s="415">
        <v>23161.999999999902</v>
      </c>
      <c r="C104" s="415">
        <v>24723.78</v>
      </c>
      <c r="D104" s="416">
        <v>1561.78000000012</v>
      </c>
      <c r="E104" s="417">
        <v>1.0674285467569999</v>
      </c>
      <c r="F104" s="415">
        <v>24626.69</v>
      </c>
      <c r="G104" s="416">
        <v>22574.465833333401</v>
      </c>
      <c r="H104" s="418">
        <v>2782.3319999999999</v>
      </c>
      <c r="I104" s="415">
        <v>24369.124</v>
      </c>
      <c r="J104" s="416">
        <v>1794.65816666661</v>
      </c>
      <c r="K104" s="419">
        <v>0.98954118478700004</v>
      </c>
    </row>
    <row r="105" spans="1:11" ht="14.45" customHeight="1" thickBot="1" x14ac:dyDescent="0.25">
      <c r="A105" s="436" t="s">
        <v>340</v>
      </c>
      <c r="B105" s="420">
        <v>257.35900071802001</v>
      </c>
      <c r="C105" s="420">
        <v>243.81</v>
      </c>
      <c r="D105" s="421">
        <v>-13.549000718019</v>
      </c>
      <c r="E105" s="427">
        <v>0.94735369394400004</v>
      </c>
      <c r="F105" s="420">
        <v>239.52</v>
      </c>
      <c r="G105" s="421">
        <v>219.56</v>
      </c>
      <c r="H105" s="423">
        <v>29.64</v>
      </c>
      <c r="I105" s="420">
        <v>258.55</v>
      </c>
      <c r="J105" s="421">
        <v>38.989999999999</v>
      </c>
      <c r="K105" s="428">
        <v>1.0794505678020001</v>
      </c>
    </row>
    <row r="106" spans="1:11" ht="14.45" customHeight="1" thickBot="1" x14ac:dyDescent="0.25">
      <c r="A106" s="437" t="s">
        <v>341</v>
      </c>
      <c r="B106" s="415">
        <v>257.35900071802001</v>
      </c>
      <c r="C106" s="415">
        <v>243.81</v>
      </c>
      <c r="D106" s="416">
        <v>-13.549000718019</v>
      </c>
      <c r="E106" s="417">
        <v>0.94735369394400004</v>
      </c>
      <c r="F106" s="415">
        <v>239.52</v>
      </c>
      <c r="G106" s="416">
        <v>219.56</v>
      </c>
      <c r="H106" s="418">
        <v>29.64</v>
      </c>
      <c r="I106" s="415">
        <v>258.55</v>
      </c>
      <c r="J106" s="416">
        <v>38.989999999999</v>
      </c>
      <c r="K106" s="419">
        <v>1.0794505678020001</v>
      </c>
    </row>
    <row r="107" spans="1:11" ht="14.45" customHeight="1" thickBot="1" x14ac:dyDescent="0.25">
      <c r="A107" s="436" t="s">
        <v>342</v>
      </c>
      <c r="B107" s="420">
        <v>55.201000000000001</v>
      </c>
      <c r="C107" s="420">
        <v>98.686000000000007</v>
      </c>
      <c r="D107" s="421">
        <v>43.484999999999999</v>
      </c>
      <c r="E107" s="427">
        <v>1.787757468161</v>
      </c>
      <c r="F107" s="420">
        <v>80.290000000000006</v>
      </c>
      <c r="G107" s="421">
        <v>73.599166666665994</v>
      </c>
      <c r="H107" s="423">
        <v>24.695</v>
      </c>
      <c r="I107" s="420">
        <v>160.96700000000001</v>
      </c>
      <c r="J107" s="421">
        <v>87.367833333332996</v>
      </c>
      <c r="K107" s="428">
        <v>2.0048200274000001</v>
      </c>
    </row>
    <row r="108" spans="1:11" ht="14.45" customHeight="1" thickBot="1" x14ac:dyDescent="0.25">
      <c r="A108" s="437" t="s">
        <v>343</v>
      </c>
      <c r="B108" s="415">
        <v>55.201000000000001</v>
      </c>
      <c r="C108" s="415">
        <v>98.686000000000007</v>
      </c>
      <c r="D108" s="416">
        <v>43.484999999999999</v>
      </c>
      <c r="E108" s="417">
        <v>1.787757468161</v>
      </c>
      <c r="F108" s="415">
        <v>80.290000000000006</v>
      </c>
      <c r="G108" s="416">
        <v>73.599166666665994</v>
      </c>
      <c r="H108" s="418">
        <v>24.695</v>
      </c>
      <c r="I108" s="415">
        <v>160.96700000000001</v>
      </c>
      <c r="J108" s="416">
        <v>87.367833333332996</v>
      </c>
      <c r="K108" s="419">
        <v>2.0048200274000001</v>
      </c>
    </row>
    <row r="109" spans="1:11" ht="14.45" customHeight="1" thickBot="1" x14ac:dyDescent="0.25">
      <c r="A109" s="439" t="s">
        <v>344</v>
      </c>
      <c r="B109" s="415">
        <v>0</v>
      </c>
      <c r="C109" s="415">
        <v>208.25</v>
      </c>
      <c r="D109" s="416">
        <v>208.25</v>
      </c>
      <c r="E109" s="425" t="s">
        <v>243</v>
      </c>
      <c r="F109" s="415">
        <v>116.4</v>
      </c>
      <c r="G109" s="416">
        <v>106.7</v>
      </c>
      <c r="H109" s="418">
        <v>0.75</v>
      </c>
      <c r="I109" s="415">
        <v>86.999999999999005</v>
      </c>
      <c r="J109" s="416">
        <v>-19.7</v>
      </c>
      <c r="K109" s="419">
        <v>0.747422680412</v>
      </c>
    </row>
    <row r="110" spans="1:11" ht="14.45" customHeight="1" thickBot="1" x14ac:dyDescent="0.25">
      <c r="A110" s="437" t="s">
        <v>345</v>
      </c>
      <c r="B110" s="415">
        <v>0</v>
      </c>
      <c r="C110" s="415">
        <v>208.25</v>
      </c>
      <c r="D110" s="416">
        <v>208.25</v>
      </c>
      <c r="E110" s="425" t="s">
        <v>243</v>
      </c>
      <c r="F110" s="415">
        <v>116.4</v>
      </c>
      <c r="G110" s="416">
        <v>106.7</v>
      </c>
      <c r="H110" s="418">
        <v>0.75</v>
      </c>
      <c r="I110" s="415">
        <v>86.999999999999005</v>
      </c>
      <c r="J110" s="416">
        <v>-19.7</v>
      </c>
      <c r="K110" s="419">
        <v>0.747422680412</v>
      </c>
    </row>
    <row r="111" spans="1:11" ht="14.45" customHeight="1" thickBot="1" x14ac:dyDescent="0.25">
      <c r="A111" s="435" t="s">
        <v>346</v>
      </c>
      <c r="B111" s="415">
        <v>7875.08</v>
      </c>
      <c r="C111" s="415">
        <v>8463.8483000000106</v>
      </c>
      <c r="D111" s="416">
        <v>588.76830000001701</v>
      </c>
      <c r="E111" s="417">
        <v>1.074763469069</v>
      </c>
      <c r="F111" s="415">
        <v>9124.6099999999897</v>
      </c>
      <c r="G111" s="416">
        <v>8364.2258333333193</v>
      </c>
      <c r="H111" s="418">
        <v>941.99228000000005</v>
      </c>
      <c r="I111" s="415">
        <v>8268.6357299999909</v>
      </c>
      <c r="J111" s="416">
        <v>-95.590103333330006</v>
      </c>
      <c r="K111" s="419">
        <v>0.90619059115900003</v>
      </c>
    </row>
    <row r="112" spans="1:11" ht="14.45" customHeight="1" thickBot="1" x14ac:dyDescent="0.25">
      <c r="A112" s="436" t="s">
        <v>347</v>
      </c>
      <c r="B112" s="420">
        <v>2084.58</v>
      </c>
      <c r="C112" s="420">
        <v>2254.3290499999998</v>
      </c>
      <c r="D112" s="421">
        <v>169.74904999999899</v>
      </c>
      <c r="E112" s="427">
        <v>1.081430815799</v>
      </c>
      <c r="F112" s="420">
        <v>2415.34</v>
      </c>
      <c r="G112" s="421">
        <v>2214.0616666666601</v>
      </c>
      <c r="H112" s="423">
        <v>251.59129999999999</v>
      </c>
      <c r="I112" s="420">
        <v>2210.8959199999999</v>
      </c>
      <c r="J112" s="421">
        <v>-3.165746666664</v>
      </c>
      <c r="K112" s="428">
        <v>0.91535598300800003</v>
      </c>
    </row>
    <row r="113" spans="1:11" ht="14.45" customHeight="1" thickBot="1" x14ac:dyDescent="0.25">
      <c r="A113" s="437" t="s">
        <v>348</v>
      </c>
      <c r="B113" s="415">
        <v>2084.58</v>
      </c>
      <c r="C113" s="415">
        <v>2254.3290499999998</v>
      </c>
      <c r="D113" s="416">
        <v>169.74904999999899</v>
      </c>
      <c r="E113" s="417">
        <v>1.081430815799</v>
      </c>
      <c r="F113" s="415">
        <v>2415.34</v>
      </c>
      <c r="G113" s="416">
        <v>2214.0616666666601</v>
      </c>
      <c r="H113" s="418">
        <v>251.59129999999999</v>
      </c>
      <c r="I113" s="415">
        <v>2210.8959199999999</v>
      </c>
      <c r="J113" s="416">
        <v>-3.165746666664</v>
      </c>
      <c r="K113" s="419">
        <v>0.91535598300800003</v>
      </c>
    </row>
    <row r="114" spans="1:11" ht="14.45" customHeight="1" thickBot="1" x14ac:dyDescent="0.25">
      <c r="A114" s="436" t="s">
        <v>349</v>
      </c>
      <c r="B114" s="420">
        <v>5790.49999999999</v>
      </c>
      <c r="C114" s="420">
        <v>6209.5192500000103</v>
      </c>
      <c r="D114" s="421">
        <v>419.01925000001802</v>
      </c>
      <c r="E114" s="427">
        <v>1.0723632242459999</v>
      </c>
      <c r="F114" s="420">
        <v>6709.27</v>
      </c>
      <c r="G114" s="421">
        <v>6150.1641666666601</v>
      </c>
      <c r="H114" s="423">
        <v>690.40098</v>
      </c>
      <c r="I114" s="420">
        <v>6057.73981</v>
      </c>
      <c r="J114" s="421">
        <v>-92.424356666666</v>
      </c>
      <c r="K114" s="428">
        <v>0.90289104626799999</v>
      </c>
    </row>
    <row r="115" spans="1:11" ht="14.45" customHeight="1" thickBot="1" x14ac:dyDescent="0.25">
      <c r="A115" s="437" t="s">
        <v>350</v>
      </c>
      <c r="B115" s="415">
        <v>5790.49999999999</v>
      </c>
      <c r="C115" s="415">
        <v>6209.5192500000103</v>
      </c>
      <c r="D115" s="416">
        <v>419.01925000001802</v>
      </c>
      <c r="E115" s="417">
        <v>1.0723632242459999</v>
      </c>
      <c r="F115" s="415">
        <v>6709.27</v>
      </c>
      <c r="G115" s="416">
        <v>6150.1641666666601</v>
      </c>
      <c r="H115" s="418">
        <v>690.40098</v>
      </c>
      <c r="I115" s="415">
        <v>6057.73981</v>
      </c>
      <c r="J115" s="416">
        <v>-92.424356666666</v>
      </c>
      <c r="K115" s="419">
        <v>0.90289104626799999</v>
      </c>
    </row>
    <row r="116" spans="1:11" ht="14.45" customHeight="1" thickBot="1" x14ac:dyDescent="0.25">
      <c r="A116" s="435" t="s">
        <v>351</v>
      </c>
      <c r="B116" s="415">
        <v>0</v>
      </c>
      <c r="C116" s="415">
        <v>0</v>
      </c>
      <c r="D116" s="416">
        <v>0</v>
      </c>
      <c r="E116" s="417">
        <v>1</v>
      </c>
      <c r="F116" s="415">
        <v>112.025802</v>
      </c>
      <c r="G116" s="416">
        <v>102.6903185</v>
      </c>
      <c r="H116" s="418">
        <v>0</v>
      </c>
      <c r="I116" s="415">
        <v>0</v>
      </c>
      <c r="J116" s="416">
        <v>-102.6903185</v>
      </c>
      <c r="K116" s="419">
        <v>0</v>
      </c>
    </row>
    <row r="117" spans="1:11" ht="14.45" customHeight="1" thickBot="1" x14ac:dyDescent="0.25">
      <c r="A117" s="436" t="s">
        <v>352</v>
      </c>
      <c r="B117" s="420">
        <v>0</v>
      </c>
      <c r="C117" s="420">
        <v>0</v>
      </c>
      <c r="D117" s="421">
        <v>0</v>
      </c>
      <c r="E117" s="427">
        <v>1</v>
      </c>
      <c r="F117" s="420">
        <v>112.025802</v>
      </c>
      <c r="G117" s="421">
        <v>102.6903185</v>
      </c>
      <c r="H117" s="423">
        <v>0</v>
      </c>
      <c r="I117" s="420">
        <v>0</v>
      </c>
      <c r="J117" s="421">
        <v>-102.6903185</v>
      </c>
      <c r="K117" s="428">
        <v>0</v>
      </c>
    </row>
    <row r="118" spans="1:11" ht="14.45" customHeight="1" thickBot="1" x14ac:dyDescent="0.25">
      <c r="A118" s="437" t="s">
        <v>353</v>
      </c>
      <c r="B118" s="415">
        <v>0</v>
      </c>
      <c r="C118" s="415">
        <v>0</v>
      </c>
      <c r="D118" s="416">
        <v>0</v>
      </c>
      <c r="E118" s="417">
        <v>1</v>
      </c>
      <c r="F118" s="415">
        <v>112.025802</v>
      </c>
      <c r="G118" s="416">
        <v>102.6903185</v>
      </c>
      <c r="H118" s="418">
        <v>0</v>
      </c>
      <c r="I118" s="415">
        <v>0</v>
      </c>
      <c r="J118" s="416">
        <v>-102.6903185</v>
      </c>
      <c r="K118" s="419">
        <v>0</v>
      </c>
    </row>
    <row r="119" spans="1:11" ht="14.45" customHeight="1" thickBot="1" x14ac:dyDescent="0.25">
      <c r="A119" s="435" t="s">
        <v>354</v>
      </c>
      <c r="B119" s="415">
        <v>463.240000000002</v>
      </c>
      <c r="C119" s="415">
        <v>496.45853000000102</v>
      </c>
      <c r="D119" s="416">
        <v>33.218529999998999</v>
      </c>
      <c r="E119" s="417">
        <v>1.071709114066</v>
      </c>
      <c r="F119" s="415">
        <v>542.17999999999904</v>
      </c>
      <c r="G119" s="416">
        <v>496.99833333333299</v>
      </c>
      <c r="H119" s="418">
        <v>56.145200000000003</v>
      </c>
      <c r="I119" s="415">
        <v>490.63582000000002</v>
      </c>
      <c r="J119" s="416">
        <v>-6.3625133333330002</v>
      </c>
      <c r="K119" s="419">
        <v>0.90493160942799999</v>
      </c>
    </row>
    <row r="120" spans="1:11" ht="14.45" customHeight="1" thickBot="1" x14ac:dyDescent="0.25">
      <c r="A120" s="436" t="s">
        <v>355</v>
      </c>
      <c r="B120" s="420">
        <v>463.240000000002</v>
      </c>
      <c r="C120" s="420">
        <v>496.45853000000102</v>
      </c>
      <c r="D120" s="421">
        <v>33.218529999998999</v>
      </c>
      <c r="E120" s="427">
        <v>1.071709114066</v>
      </c>
      <c r="F120" s="420">
        <v>542.17999999999904</v>
      </c>
      <c r="G120" s="421">
        <v>496.99833333333299</v>
      </c>
      <c r="H120" s="423">
        <v>56.145200000000003</v>
      </c>
      <c r="I120" s="420">
        <v>490.63582000000002</v>
      </c>
      <c r="J120" s="421">
        <v>-6.3625133333330002</v>
      </c>
      <c r="K120" s="428">
        <v>0.90493160942799999</v>
      </c>
    </row>
    <row r="121" spans="1:11" ht="14.45" customHeight="1" thickBot="1" x14ac:dyDescent="0.25">
      <c r="A121" s="437" t="s">
        <v>356</v>
      </c>
      <c r="B121" s="415">
        <v>463.240000000002</v>
      </c>
      <c r="C121" s="415">
        <v>496.45853000000102</v>
      </c>
      <c r="D121" s="416">
        <v>33.218529999998999</v>
      </c>
      <c r="E121" s="417">
        <v>1.071709114066</v>
      </c>
      <c r="F121" s="415">
        <v>542.17999999999904</v>
      </c>
      <c r="G121" s="416">
        <v>496.99833333333299</v>
      </c>
      <c r="H121" s="418">
        <v>56.145200000000003</v>
      </c>
      <c r="I121" s="415">
        <v>490.63582000000002</v>
      </c>
      <c r="J121" s="416">
        <v>-6.3625133333330002</v>
      </c>
      <c r="K121" s="419">
        <v>0.90493160942799999</v>
      </c>
    </row>
    <row r="122" spans="1:11" ht="14.45" customHeight="1" thickBot="1" x14ac:dyDescent="0.25">
      <c r="A122" s="434" t="s">
        <v>357</v>
      </c>
      <c r="B122" s="415">
        <v>0</v>
      </c>
      <c r="C122" s="415">
        <v>86.239750000000001</v>
      </c>
      <c r="D122" s="416">
        <v>86.239750000000001</v>
      </c>
      <c r="E122" s="425" t="s">
        <v>243</v>
      </c>
      <c r="F122" s="415">
        <v>0</v>
      </c>
      <c r="G122" s="416">
        <v>0</v>
      </c>
      <c r="H122" s="418">
        <v>19.224</v>
      </c>
      <c r="I122" s="415">
        <v>67.171750000000003</v>
      </c>
      <c r="J122" s="416">
        <v>67.171750000000003</v>
      </c>
      <c r="K122" s="426" t="s">
        <v>243</v>
      </c>
    </row>
    <row r="123" spans="1:11" ht="14.45" customHeight="1" thickBot="1" x14ac:dyDescent="0.25">
      <c r="A123" s="435" t="s">
        <v>358</v>
      </c>
      <c r="B123" s="415">
        <v>0</v>
      </c>
      <c r="C123" s="415">
        <v>86.239750000000001</v>
      </c>
      <c r="D123" s="416">
        <v>86.239750000000001</v>
      </c>
      <c r="E123" s="425" t="s">
        <v>243</v>
      </c>
      <c r="F123" s="415">
        <v>0</v>
      </c>
      <c r="G123" s="416">
        <v>0</v>
      </c>
      <c r="H123" s="418">
        <v>19.224</v>
      </c>
      <c r="I123" s="415">
        <v>67.171750000000003</v>
      </c>
      <c r="J123" s="416">
        <v>67.171750000000003</v>
      </c>
      <c r="K123" s="426" t="s">
        <v>243</v>
      </c>
    </row>
    <row r="124" spans="1:11" ht="14.45" customHeight="1" thickBot="1" x14ac:dyDescent="0.25">
      <c r="A124" s="436" t="s">
        <v>359</v>
      </c>
      <c r="B124" s="420">
        <v>0</v>
      </c>
      <c r="C124" s="420">
        <v>33.15175</v>
      </c>
      <c r="D124" s="421">
        <v>33.15175</v>
      </c>
      <c r="E124" s="422" t="s">
        <v>243</v>
      </c>
      <c r="F124" s="420">
        <v>0</v>
      </c>
      <c r="G124" s="421">
        <v>0</v>
      </c>
      <c r="H124" s="423">
        <v>19.224</v>
      </c>
      <c r="I124" s="420">
        <v>67.171750000000003</v>
      </c>
      <c r="J124" s="421">
        <v>67.171750000000003</v>
      </c>
      <c r="K124" s="424" t="s">
        <v>243</v>
      </c>
    </row>
    <row r="125" spans="1:11" ht="14.45" customHeight="1" thickBot="1" x14ac:dyDescent="0.25">
      <c r="A125" s="437" t="s">
        <v>360</v>
      </c>
      <c r="B125" s="415">
        <v>0</v>
      </c>
      <c r="C125" s="415">
        <v>1.0747500000000001</v>
      </c>
      <c r="D125" s="416">
        <v>1.0747500000000001</v>
      </c>
      <c r="E125" s="425" t="s">
        <v>243</v>
      </c>
      <c r="F125" s="415">
        <v>0</v>
      </c>
      <c r="G125" s="416">
        <v>0</v>
      </c>
      <c r="H125" s="418">
        <v>1.224</v>
      </c>
      <c r="I125" s="415">
        <v>8.3517499999999991</v>
      </c>
      <c r="J125" s="416">
        <v>8.3517499999999991</v>
      </c>
      <c r="K125" s="426" t="s">
        <v>243</v>
      </c>
    </row>
    <row r="126" spans="1:11" ht="14.45" customHeight="1" thickBot="1" x14ac:dyDescent="0.25">
      <c r="A126" s="437" t="s">
        <v>361</v>
      </c>
      <c r="B126" s="415">
        <v>0</v>
      </c>
      <c r="C126" s="415">
        <v>5.25</v>
      </c>
      <c r="D126" s="416">
        <v>5.25</v>
      </c>
      <c r="E126" s="425" t="s">
        <v>243</v>
      </c>
      <c r="F126" s="415">
        <v>0</v>
      </c>
      <c r="G126" s="416">
        <v>0</v>
      </c>
      <c r="H126" s="418">
        <v>0</v>
      </c>
      <c r="I126" s="415">
        <v>10.1</v>
      </c>
      <c r="J126" s="416">
        <v>10.1</v>
      </c>
      <c r="K126" s="426" t="s">
        <v>243</v>
      </c>
    </row>
    <row r="127" spans="1:11" ht="14.45" customHeight="1" thickBot="1" x14ac:dyDescent="0.25">
      <c r="A127" s="437" t="s">
        <v>362</v>
      </c>
      <c r="B127" s="415">
        <v>0</v>
      </c>
      <c r="C127" s="415">
        <v>26.606999999999999</v>
      </c>
      <c r="D127" s="416">
        <v>26.606999999999999</v>
      </c>
      <c r="E127" s="425" t="s">
        <v>243</v>
      </c>
      <c r="F127" s="415">
        <v>0</v>
      </c>
      <c r="G127" s="416">
        <v>0</v>
      </c>
      <c r="H127" s="418">
        <v>18</v>
      </c>
      <c r="I127" s="415">
        <v>48.5</v>
      </c>
      <c r="J127" s="416">
        <v>48.5</v>
      </c>
      <c r="K127" s="426" t="s">
        <v>243</v>
      </c>
    </row>
    <row r="128" spans="1:11" ht="14.45" customHeight="1" thickBot="1" x14ac:dyDescent="0.25">
      <c r="A128" s="437" t="s">
        <v>363</v>
      </c>
      <c r="B128" s="415">
        <v>0</v>
      </c>
      <c r="C128" s="415">
        <v>0.22</v>
      </c>
      <c r="D128" s="416">
        <v>0.22</v>
      </c>
      <c r="E128" s="425" t="s">
        <v>256</v>
      </c>
      <c r="F128" s="415">
        <v>0</v>
      </c>
      <c r="G128" s="416">
        <v>0</v>
      </c>
      <c r="H128" s="418">
        <v>0</v>
      </c>
      <c r="I128" s="415">
        <v>0.22</v>
      </c>
      <c r="J128" s="416">
        <v>0.22</v>
      </c>
      <c r="K128" s="426" t="s">
        <v>243</v>
      </c>
    </row>
    <row r="129" spans="1:11" ht="14.45" customHeight="1" thickBot="1" x14ac:dyDescent="0.25">
      <c r="A129" s="439" t="s">
        <v>364</v>
      </c>
      <c r="B129" s="415">
        <v>0</v>
      </c>
      <c r="C129" s="415">
        <v>8</v>
      </c>
      <c r="D129" s="416">
        <v>8</v>
      </c>
      <c r="E129" s="425" t="s">
        <v>256</v>
      </c>
      <c r="F129" s="415">
        <v>0</v>
      </c>
      <c r="G129" s="416">
        <v>0</v>
      </c>
      <c r="H129" s="418">
        <v>0</v>
      </c>
      <c r="I129" s="415">
        <v>0</v>
      </c>
      <c r="J129" s="416">
        <v>0</v>
      </c>
      <c r="K129" s="426" t="s">
        <v>243</v>
      </c>
    </row>
    <row r="130" spans="1:11" ht="14.45" customHeight="1" thickBot="1" x14ac:dyDescent="0.25">
      <c r="A130" s="437" t="s">
        <v>365</v>
      </c>
      <c r="B130" s="415">
        <v>0</v>
      </c>
      <c r="C130" s="415">
        <v>8</v>
      </c>
      <c r="D130" s="416">
        <v>8</v>
      </c>
      <c r="E130" s="425" t="s">
        <v>256</v>
      </c>
      <c r="F130" s="415">
        <v>0</v>
      </c>
      <c r="G130" s="416">
        <v>0</v>
      </c>
      <c r="H130" s="418">
        <v>0</v>
      </c>
      <c r="I130" s="415">
        <v>0</v>
      </c>
      <c r="J130" s="416">
        <v>0</v>
      </c>
      <c r="K130" s="426" t="s">
        <v>243</v>
      </c>
    </row>
    <row r="131" spans="1:11" ht="14.45" customHeight="1" thickBot="1" x14ac:dyDescent="0.25">
      <c r="A131" s="439" t="s">
        <v>366</v>
      </c>
      <c r="B131" s="415">
        <v>0</v>
      </c>
      <c r="C131" s="415">
        <v>45.088000000000001</v>
      </c>
      <c r="D131" s="416">
        <v>45.088000000000001</v>
      </c>
      <c r="E131" s="425" t="s">
        <v>256</v>
      </c>
      <c r="F131" s="415">
        <v>0</v>
      </c>
      <c r="G131" s="416">
        <v>0</v>
      </c>
      <c r="H131" s="418">
        <v>0</v>
      </c>
      <c r="I131" s="415">
        <v>0</v>
      </c>
      <c r="J131" s="416">
        <v>0</v>
      </c>
      <c r="K131" s="426" t="s">
        <v>243</v>
      </c>
    </row>
    <row r="132" spans="1:11" ht="14.45" customHeight="1" thickBot="1" x14ac:dyDescent="0.25">
      <c r="A132" s="437" t="s">
        <v>367</v>
      </c>
      <c r="B132" s="415">
        <v>0</v>
      </c>
      <c r="C132" s="415">
        <v>45.088000000000001</v>
      </c>
      <c r="D132" s="416">
        <v>45.088000000000001</v>
      </c>
      <c r="E132" s="425" t="s">
        <v>256</v>
      </c>
      <c r="F132" s="415">
        <v>0</v>
      </c>
      <c r="G132" s="416">
        <v>0</v>
      </c>
      <c r="H132" s="418">
        <v>0</v>
      </c>
      <c r="I132" s="415">
        <v>0</v>
      </c>
      <c r="J132" s="416">
        <v>0</v>
      </c>
      <c r="K132" s="426" t="s">
        <v>243</v>
      </c>
    </row>
    <row r="133" spans="1:11" ht="14.45" customHeight="1" thickBot="1" x14ac:dyDescent="0.25">
      <c r="A133" s="434" t="s">
        <v>368</v>
      </c>
      <c r="B133" s="415">
        <v>1522.5828331402199</v>
      </c>
      <c r="C133" s="415">
        <v>1632.0565200000001</v>
      </c>
      <c r="D133" s="416">
        <v>109.473686859777</v>
      </c>
      <c r="E133" s="417">
        <v>1.0718999876240001</v>
      </c>
      <c r="F133" s="415">
        <v>1352.99999999998</v>
      </c>
      <c r="G133" s="416">
        <v>1240.24999999998</v>
      </c>
      <c r="H133" s="418">
        <v>196.72515999999999</v>
      </c>
      <c r="I133" s="415">
        <v>1549.4916000000001</v>
      </c>
      <c r="J133" s="416">
        <v>309.24160000001802</v>
      </c>
      <c r="K133" s="419">
        <v>1.145226607538</v>
      </c>
    </row>
    <row r="134" spans="1:11" ht="14.45" customHeight="1" thickBot="1" x14ac:dyDescent="0.25">
      <c r="A134" s="435" t="s">
        <v>369</v>
      </c>
      <c r="B134" s="415">
        <v>1481.5828331402199</v>
      </c>
      <c r="C134" s="415">
        <v>1348.4090000000001</v>
      </c>
      <c r="D134" s="416">
        <v>-133.173833140223</v>
      </c>
      <c r="E134" s="417">
        <v>0.91011381195700003</v>
      </c>
      <c r="F134" s="415">
        <v>1344.99999999998</v>
      </c>
      <c r="G134" s="416">
        <v>1232.9166666666499</v>
      </c>
      <c r="H134" s="418">
        <v>110.7086</v>
      </c>
      <c r="I134" s="415">
        <v>1200.76205</v>
      </c>
      <c r="J134" s="416">
        <v>-32.154616666648998</v>
      </c>
      <c r="K134" s="419">
        <v>0.89275988847499999</v>
      </c>
    </row>
    <row r="135" spans="1:11" ht="14.45" customHeight="1" thickBot="1" x14ac:dyDescent="0.25">
      <c r="A135" s="436" t="s">
        <v>370</v>
      </c>
      <c r="B135" s="420">
        <v>1481.5828331402199</v>
      </c>
      <c r="C135" s="420">
        <v>1320.2750000000001</v>
      </c>
      <c r="D135" s="421">
        <v>-161.30783314022301</v>
      </c>
      <c r="E135" s="427">
        <v>0.89112466104999999</v>
      </c>
      <c r="F135" s="420">
        <v>1344.99999999998</v>
      </c>
      <c r="G135" s="421">
        <v>1232.9166666666499</v>
      </c>
      <c r="H135" s="423">
        <v>110.7086</v>
      </c>
      <c r="I135" s="420">
        <v>1200.76205</v>
      </c>
      <c r="J135" s="421">
        <v>-32.154616666648998</v>
      </c>
      <c r="K135" s="428">
        <v>0.89275988847499999</v>
      </c>
    </row>
    <row r="136" spans="1:11" ht="14.45" customHeight="1" thickBot="1" x14ac:dyDescent="0.25">
      <c r="A136" s="437" t="s">
        <v>371</v>
      </c>
      <c r="B136" s="415">
        <v>835.11791995016199</v>
      </c>
      <c r="C136" s="415">
        <v>792.496000000001</v>
      </c>
      <c r="D136" s="416">
        <v>-42.621919950159999</v>
      </c>
      <c r="E136" s="417">
        <v>0.94896299201300005</v>
      </c>
      <c r="F136" s="415">
        <v>872.99999999998704</v>
      </c>
      <c r="G136" s="416">
        <v>800.24999999998795</v>
      </c>
      <c r="H136" s="418">
        <v>72.739429999999999</v>
      </c>
      <c r="I136" s="415">
        <v>800.12025999999901</v>
      </c>
      <c r="J136" s="416">
        <v>-0.12973999998800001</v>
      </c>
      <c r="K136" s="419">
        <v>0.91651805269099995</v>
      </c>
    </row>
    <row r="137" spans="1:11" ht="14.45" customHeight="1" thickBot="1" x14ac:dyDescent="0.25">
      <c r="A137" s="437" t="s">
        <v>372</v>
      </c>
      <c r="B137" s="415">
        <v>174.05073924795201</v>
      </c>
      <c r="C137" s="415">
        <v>91.626999999999995</v>
      </c>
      <c r="D137" s="416">
        <v>-82.423739247952</v>
      </c>
      <c r="E137" s="417">
        <v>0.52643844200699996</v>
      </c>
      <c r="F137" s="415">
        <v>88.999999999997996</v>
      </c>
      <c r="G137" s="416">
        <v>81.583333333332007</v>
      </c>
      <c r="H137" s="418">
        <v>6.0369999999999999</v>
      </c>
      <c r="I137" s="415">
        <v>49.392000000000003</v>
      </c>
      <c r="J137" s="416">
        <v>-32.191333333331997</v>
      </c>
      <c r="K137" s="419">
        <v>0.55496629213399995</v>
      </c>
    </row>
    <row r="138" spans="1:11" ht="14.45" customHeight="1" thickBot="1" x14ac:dyDescent="0.25">
      <c r="A138" s="437" t="s">
        <v>373</v>
      </c>
      <c r="B138" s="415">
        <v>124.737797848306</v>
      </c>
      <c r="C138" s="415">
        <v>117.372</v>
      </c>
      <c r="D138" s="416">
        <v>-7.3657978483060003</v>
      </c>
      <c r="E138" s="417">
        <v>0.94094975239699996</v>
      </c>
      <c r="F138" s="415">
        <v>116.999999999998</v>
      </c>
      <c r="G138" s="416">
        <v>107.249999999998</v>
      </c>
      <c r="H138" s="418">
        <v>9.7810000000000006</v>
      </c>
      <c r="I138" s="415">
        <v>107.59099999999999</v>
      </c>
      <c r="J138" s="416">
        <v>0.341000000001</v>
      </c>
      <c r="K138" s="419">
        <v>0.91958119658100002</v>
      </c>
    </row>
    <row r="139" spans="1:11" ht="14.45" customHeight="1" thickBot="1" x14ac:dyDescent="0.25">
      <c r="A139" s="437" t="s">
        <v>374</v>
      </c>
      <c r="B139" s="415">
        <v>271.993269935868</v>
      </c>
      <c r="C139" s="415">
        <v>256.33300000000003</v>
      </c>
      <c r="D139" s="416">
        <v>-15.660269935866999</v>
      </c>
      <c r="E139" s="417">
        <v>0.94242405358199999</v>
      </c>
      <c r="F139" s="415">
        <v>265.99999999999602</v>
      </c>
      <c r="G139" s="416">
        <v>243.83333333332999</v>
      </c>
      <c r="H139" s="418">
        <v>22.15117</v>
      </c>
      <c r="I139" s="415">
        <v>243.65879000000001</v>
      </c>
      <c r="J139" s="416">
        <v>-0.17454333332899999</v>
      </c>
      <c r="K139" s="419">
        <v>0.91601048872099999</v>
      </c>
    </row>
    <row r="140" spans="1:11" ht="14.45" customHeight="1" thickBot="1" x14ac:dyDescent="0.25">
      <c r="A140" s="437" t="s">
        <v>375</v>
      </c>
      <c r="B140" s="415">
        <v>75.683106157935995</v>
      </c>
      <c r="C140" s="415">
        <v>62.447000000000003</v>
      </c>
      <c r="D140" s="416">
        <v>-13.236106157936</v>
      </c>
      <c r="E140" s="417">
        <v>0.82511148352800001</v>
      </c>
      <c r="F140" s="415">
        <v>0</v>
      </c>
      <c r="G140" s="416">
        <v>0</v>
      </c>
      <c r="H140" s="418">
        <v>0</v>
      </c>
      <c r="I140" s="415">
        <v>0</v>
      </c>
      <c r="J140" s="416">
        <v>0</v>
      </c>
      <c r="K140" s="426" t="s">
        <v>243</v>
      </c>
    </row>
    <row r="141" spans="1:11" ht="14.45" customHeight="1" thickBot="1" x14ac:dyDescent="0.25">
      <c r="A141" s="436" t="s">
        <v>376</v>
      </c>
      <c r="B141" s="420">
        <v>0</v>
      </c>
      <c r="C141" s="420">
        <v>28.134</v>
      </c>
      <c r="D141" s="421">
        <v>28.134</v>
      </c>
      <c r="E141" s="422" t="s">
        <v>256</v>
      </c>
      <c r="F141" s="420">
        <v>0</v>
      </c>
      <c r="G141" s="421">
        <v>0</v>
      </c>
      <c r="H141" s="423">
        <v>0</v>
      </c>
      <c r="I141" s="420">
        <v>0</v>
      </c>
      <c r="J141" s="421">
        <v>0</v>
      </c>
      <c r="K141" s="424" t="s">
        <v>243</v>
      </c>
    </row>
    <row r="142" spans="1:11" ht="14.45" customHeight="1" thickBot="1" x14ac:dyDescent="0.25">
      <c r="A142" s="437" t="s">
        <v>377</v>
      </c>
      <c r="B142" s="415">
        <v>0</v>
      </c>
      <c r="C142" s="415">
        <v>28.134</v>
      </c>
      <c r="D142" s="416">
        <v>28.134</v>
      </c>
      <c r="E142" s="425" t="s">
        <v>256</v>
      </c>
      <c r="F142" s="415">
        <v>0</v>
      </c>
      <c r="G142" s="416">
        <v>0</v>
      </c>
      <c r="H142" s="418">
        <v>0</v>
      </c>
      <c r="I142" s="415">
        <v>0</v>
      </c>
      <c r="J142" s="416">
        <v>0</v>
      </c>
      <c r="K142" s="426" t="s">
        <v>243</v>
      </c>
    </row>
    <row r="143" spans="1:11" ht="14.45" customHeight="1" thickBot="1" x14ac:dyDescent="0.25">
      <c r="A143" s="435" t="s">
        <v>378</v>
      </c>
      <c r="B143" s="415">
        <v>41</v>
      </c>
      <c r="C143" s="415">
        <v>283.64751999999999</v>
      </c>
      <c r="D143" s="416">
        <v>242.64751999999999</v>
      </c>
      <c r="E143" s="417">
        <v>6.918232195121</v>
      </c>
      <c r="F143" s="415">
        <v>8</v>
      </c>
      <c r="G143" s="416">
        <v>7.333333333333</v>
      </c>
      <c r="H143" s="418">
        <v>86.016559999999998</v>
      </c>
      <c r="I143" s="415">
        <v>348.72955000000002</v>
      </c>
      <c r="J143" s="416">
        <v>341.39621666666699</v>
      </c>
      <c r="K143" s="419">
        <v>43.591193750000002</v>
      </c>
    </row>
    <row r="144" spans="1:11" ht="14.45" customHeight="1" thickBot="1" x14ac:dyDescent="0.25">
      <c r="A144" s="436" t="s">
        <v>379</v>
      </c>
      <c r="B144" s="420">
        <v>41</v>
      </c>
      <c r="C144" s="420">
        <v>53.252400000000002</v>
      </c>
      <c r="D144" s="421">
        <v>12.2524</v>
      </c>
      <c r="E144" s="427">
        <v>1.2988390243900001</v>
      </c>
      <c r="F144" s="420">
        <v>8</v>
      </c>
      <c r="G144" s="421">
        <v>7.333333333333</v>
      </c>
      <c r="H144" s="423">
        <v>0</v>
      </c>
      <c r="I144" s="420">
        <v>7.5389999999999997</v>
      </c>
      <c r="J144" s="421">
        <v>0.205666666666</v>
      </c>
      <c r="K144" s="428">
        <v>0.94237499999999996</v>
      </c>
    </row>
    <row r="145" spans="1:11" ht="14.45" customHeight="1" thickBot="1" x14ac:dyDescent="0.25">
      <c r="A145" s="437" t="s">
        <v>380</v>
      </c>
      <c r="B145" s="415">
        <v>41</v>
      </c>
      <c r="C145" s="415">
        <v>41.252400000000002</v>
      </c>
      <c r="D145" s="416">
        <v>0.25240000000000001</v>
      </c>
      <c r="E145" s="417">
        <v>1.0061560975599999</v>
      </c>
      <c r="F145" s="415">
        <v>8</v>
      </c>
      <c r="G145" s="416">
        <v>7.333333333333</v>
      </c>
      <c r="H145" s="418">
        <v>0</v>
      </c>
      <c r="I145" s="415">
        <v>7.5389999999999997</v>
      </c>
      <c r="J145" s="416">
        <v>0.205666666666</v>
      </c>
      <c r="K145" s="419">
        <v>0.94237499999999996</v>
      </c>
    </row>
    <row r="146" spans="1:11" ht="14.45" customHeight="1" thickBot="1" x14ac:dyDescent="0.25">
      <c r="A146" s="437" t="s">
        <v>381</v>
      </c>
      <c r="B146" s="415">
        <v>0</v>
      </c>
      <c r="C146" s="415">
        <v>12</v>
      </c>
      <c r="D146" s="416">
        <v>12</v>
      </c>
      <c r="E146" s="425" t="s">
        <v>256</v>
      </c>
      <c r="F146" s="415">
        <v>0</v>
      </c>
      <c r="G146" s="416">
        <v>0</v>
      </c>
      <c r="H146" s="418">
        <v>0</v>
      </c>
      <c r="I146" s="415">
        <v>0</v>
      </c>
      <c r="J146" s="416">
        <v>0</v>
      </c>
      <c r="K146" s="426" t="s">
        <v>243</v>
      </c>
    </row>
    <row r="147" spans="1:11" ht="14.45" customHeight="1" thickBot="1" x14ac:dyDescent="0.25">
      <c r="A147" s="436" t="s">
        <v>382</v>
      </c>
      <c r="B147" s="420">
        <v>0</v>
      </c>
      <c r="C147" s="420">
        <v>31.423829999999999</v>
      </c>
      <c r="D147" s="421">
        <v>31.423829999999999</v>
      </c>
      <c r="E147" s="422" t="s">
        <v>243</v>
      </c>
      <c r="F147" s="420">
        <v>0</v>
      </c>
      <c r="G147" s="421">
        <v>0</v>
      </c>
      <c r="H147" s="423">
        <v>6.2145599999999996</v>
      </c>
      <c r="I147" s="420">
        <v>19.43805</v>
      </c>
      <c r="J147" s="421">
        <v>19.43805</v>
      </c>
      <c r="K147" s="424" t="s">
        <v>243</v>
      </c>
    </row>
    <row r="148" spans="1:11" ht="14.45" customHeight="1" thickBot="1" x14ac:dyDescent="0.25">
      <c r="A148" s="437" t="s">
        <v>383</v>
      </c>
      <c r="B148" s="415">
        <v>0</v>
      </c>
      <c r="C148" s="415">
        <v>26.438500000000001</v>
      </c>
      <c r="D148" s="416">
        <v>26.438500000000001</v>
      </c>
      <c r="E148" s="425" t="s">
        <v>243</v>
      </c>
      <c r="F148" s="415">
        <v>0</v>
      </c>
      <c r="G148" s="416">
        <v>0</v>
      </c>
      <c r="H148" s="418">
        <v>0</v>
      </c>
      <c r="I148" s="415">
        <v>8.3114899999990008</v>
      </c>
      <c r="J148" s="416">
        <v>8.3114899999990008</v>
      </c>
      <c r="K148" s="426" t="s">
        <v>243</v>
      </c>
    </row>
    <row r="149" spans="1:11" ht="14.45" customHeight="1" thickBot="1" x14ac:dyDescent="0.25">
      <c r="A149" s="437" t="s">
        <v>384</v>
      </c>
      <c r="B149" s="415">
        <v>0</v>
      </c>
      <c r="C149" s="415">
        <v>0</v>
      </c>
      <c r="D149" s="416">
        <v>0</v>
      </c>
      <c r="E149" s="425" t="s">
        <v>243</v>
      </c>
      <c r="F149" s="415">
        <v>0</v>
      </c>
      <c r="G149" s="416">
        <v>0</v>
      </c>
      <c r="H149" s="418">
        <v>6.2145599999999996</v>
      </c>
      <c r="I149" s="415">
        <v>6.2145599999999996</v>
      </c>
      <c r="J149" s="416">
        <v>6.2145599999999996</v>
      </c>
      <c r="K149" s="426" t="s">
        <v>243</v>
      </c>
    </row>
    <row r="150" spans="1:11" ht="14.45" customHeight="1" thickBot="1" x14ac:dyDescent="0.25">
      <c r="A150" s="437" t="s">
        <v>385</v>
      </c>
      <c r="B150" s="415">
        <v>0</v>
      </c>
      <c r="C150" s="415">
        <v>4.9853300000000003</v>
      </c>
      <c r="D150" s="416">
        <v>4.9853300000000003</v>
      </c>
      <c r="E150" s="425" t="s">
        <v>256</v>
      </c>
      <c r="F150" s="415">
        <v>0</v>
      </c>
      <c r="G150" s="416">
        <v>0</v>
      </c>
      <c r="H150" s="418">
        <v>0</v>
      </c>
      <c r="I150" s="415">
        <v>4.9119999999999999</v>
      </c>
      <c r="J150" s="416">
        <v>4.9119999999999999</v>
      </c>
      <c r="K150" s="426" t="s">
        <v>243</v>
      </c>
    </row>
    <row r="151" spans="1:11" ht="14.45" customHeight="1" thickBot="1" x14ac:dyDescent="0.25">
      <c r="A151" s="436" t="s">
        <v>386</v>
      </c>
      <c r="B151" s="420">
        <v>0</v>
      </c>
      <c r="C151" s="420">
        <v>198.97129000000001</v>
      </c>
      <c r="D151" s="421">
        <v>198.97129000000001</v>
      </c>
      <c r="E151" s="422" t="s">
        <v>243</v>
      </c>
      <c r="F151" s="420">
        <v>0</v>
      </c>
      <c r="G151" s="421">
        <v>0</v>
      </c>
      <c r="H151" s="423">
        <v>79.802000000000007</v>
      </c>
      <c r="I151" s="420">
        <v>321.7525</v>
      </c>
      <c r="J151" s="421">
        <v>321.7525</v>
      </c>
      <c r="K151" s="424" t="s">
        <v>243</v>
      </c>
    </row>
    <row r="152" spans="1:11" ht="14.45" customHeight="1" thickBot="1" x14ac:dyDescent="0.25">
      <c r="A152" s="437" t="s">
        <v>387</v>
      </c>
      <c r="B152" s="415">
        <v>0</v>
      </c>
      <c r="C152" s="415">
        <v>198.97129000000001</v>
      </c>
      <c r="D152" s="416">
        <v>198.97129000000001</v>
      </c>
      <c r="E152" s="425" t="s">
        <v>243</v>
      </c>
      <c r="F152" s="415">
        <v>0</v>
      </c>
      <c r="G152" s="416">
        <v>0</v>
      </c>
      <c r="H152" s="418">
        <v>79.802000000000007</v>
      </c>
      <c r="I152" s="415">
        <v>321.7525</v>
      </c>
      <c r="J152" s="416">
        <v>321.7525</v>
      </c>
      <c r="K152" s="426" t="s">
        <v>243</v>
      </c>
    </row>
    <row r="153" spans="1:11" ht="14.45" customHeight="1" thickBot="1" x14ac:dyDescent="0.25">
      <c r="A153" s="433" t="s">
        <v>388</v>
      </c>
      <c r="B153" s="415">
        <v>31041.149120659898</v>
      </c>
      <c r="C153" s="415">
        <v>31158.049940000001</v>
      </c>
      <c r="D153" s="416">
        <v>116.90081934011</v>
      </c>
      <c r="E153" s="417">
        <v>1.0037659952239999</v>
      </c>
      <c r="F153" s="415">
        <v>24993.2720254081</v>
      </c>
      <c r="G153" s="416">
        <v>22910.499356624099</v>
      </c>
      <c r="H153" s="418">
        <v>3478.3526499999998</v>
      </c>
      <c r="I153" s="415">
        <v>28748.154569999999</v>
      </c>
      <c r="J153" s="416">
        <v>5837.6552133759396</v>
      </c>
      <c r="K153" s="419">
        <v>1.150235733071</v>
      </c>
    </row>
    <row r="154" spans="1:11" ht="14.45" customHeight="1" thickBot="1" x14ac:dyDescent="0.25">
      <c r="A154" s="434" t="s">
        <v>389</v>
      </c>
      <c r="B154" s="415">
        <v>30494.1245554208</v>
      </c>
      <c r="C154" s="415">
        <v>30401.674279999999</v>
      </c>
      <c r="D154" s="416">
        <v>-92.450275420785999</v>
      </c>
      <c r="E154" s="417">
        <v>0.99696825940099998</v>
      </c>
      <c r="F154" s="415">
        <v>24993.2720254081</v>
      </c>
      <c r="G154" s="416">
        <v>22910.499356624099</v>
      </c>
      <c r="H154" s="418">
        <v>3457.6899400000002</v>
      </c>
      <c r="I154" s="415">
        <v>28211.265340000002</v>
      </c>
      <c r="J154" s="416">
        <v>5300.7659833759399</v>
      </c>
      <c r="K154" s="419">
        <v>1.1287543828319999</v>
      </c>
    </row>
    <row r="155" spans="1:11" ht="14.45" customHeight="1" thickBot="1" x14ac:dyDescent="0.25">
      <c r="A155" s="435" t="s">
        <v>390</v>
      </c>
      <c r="B155" s="415">
        <v>30494.1245554208</v>
      </c>
      <c r="C155" s="415">
        <v>30401.674279999999</v>
      </c>
      <c r="D155" s="416">
        <v>-92.450275420785999</v>
      </c>
      <c r="E155" s="417">
        <v>0.99696825940099998</v>
      </c>
      <c r="F155" s="415">
        <v>24993.2720254081</v>
      </c>
      <c r="G155" s="416">
        <v>22910.499356624099</v>
      </c>
      <c r="H155" s="418">
        <v>3457.6899400000002</v>
      </c>
      <c r="I155" s="415">
        <v>28211.265340000002</v>
      </c>
      <c r="J155" s="416">
        <v>5300.7659833759399</v>
      </c>
      <c r="K155" s="419">
        <v>1.1287543828319999</v>
      </c>
    </row>
    <row r="156" spans="1:11" ht="14.45" customHeight="1" thickBot="1" x14ac:dyDescent="0.25">
      <c r="A156" s="436" t="s">
        <v>391</v>
      </c>
      <c r="B156" s="420">
        <v>11015.8325546249</v>
      </c>
      <c r="C156" s="420">
        <v>11043.626679999999</v>
      </c>
      <c r="D156" s="421">
        <v>27.794125375063</v>
      </c>
      <c r="E156" s="427">
        <v>1.0025231071039999</v>
      </c>
      <c r="F156" s="420">
        <v>11027.072056225201</v>
      </c>
      <c r="G156" s="421">
        <v>10108.149384873101</v>
      </c>
      <c r="H156" s="423">
        <v>1195.2999400000001</v>
      </c>
      <c r="I156" s="420">
        <v>10364.89839</v>
      </c>
      <c r="J156" s="421">
        <v>256.74900512691198</v>
      </c>
      <c r="K156" s="428">
        <v>0.93995018234600003</v>
      </c>
    </row>
    <row r="157" spans="1:11" ht="14.45" customHeight="1" thickBot="1" x14ac:dyDescent="0.25">
      <c r="A157" s="437" t="s">
        <v>392</v>
      </c>
      <c r="B157" s="415">
        <v>52.252497851035997</v>
      </c>
      <c r="C157" s="415">
        <v>73.788619999999995</v>
      </c>
      <c r="D157" s="416">
        <v>21.536122148962999</v>
      </c>
      <c r="E157" s="417">
        <v>1.4121548832040001</v>
      </c>
      <c r="F157" s="415">
        <v>74.691140004003003</v>
      </c>
      <c r="G157" s="416">
        <v>68.466878337002996</v>
      </c>
      <c r="H157" s="418">
        <v>17.940000000000001</v>
      </c>
      <c r="I157" s="415">
        <v>144.71600000000001</v>
      </c>
      <c r="J157" s="416">
        <v>76.249121662996004</v>
      </c>
      <c r="K157" s="419">
        <v>1.9375256555489999</v>
      </c>
    </row>
    <row r="158" spans="1:11" ht="14.45" customHeight="1" thickBot="1" x14ac:dyDescent="0.25">
      <c r="A158" s="437" t="s">
        <v>393</v>
      </c>
      <c r="B158" s="415">
        <v>34.197295984941</v>
      </c>
      <c r="C158" s="415">
        <v>30.859000000000002</v>
      </c>
      <c r="D158" s="416">
        <v>-3.3382959849409999</v>
      </c>
      <c r="E158" s="417">
        <v>0.90238128808700002</v>
      </c>
      <c r="F158" s="415">
        <v>29.990900702356999</v>
      </c>
      <c r="G158" s="416">
        <v>27.49165897716</v>
      </c>
      <c r="H158" s="418">
        <v>0.9</v>
      </c>
      <c r="I158" s="415">
        <v>17.082999999999998</v>
      </c>
      <c r="J158" s="416">
        <v>-10.40865897716</v>
      </c>
      <c r="K158" s="419">
        <v>0.56960610051399996</v>
      </c>
    </row>
    <row r="159" spans="1:11" ht="14.45" customHeight="1" thickBot="1" x14ac:dyDescent="0.25">
      <c r="A159" s="437" t="s">
        <v>394</v>
      </c>
      <c r="B159" s="415">
        <v>10929.382760789</v>
      </c>
      <c r="C159" s="415">
        <v>10938.97906</v>
      </c>
      <c r="D159" s="416">
        <v>9.5962992110409999</v>
      </c>
      <c r="E159" s="417">
        <v>1.000878027553</v>
      </c>
      <c r="F159" s="415">
        <v>10922.3900155188</v>
      </c>
      <c r="G159" s="416">
        <v>10012.190847558901</v>
      </c>
      <c r="H159" s="418">
        <v>1176.45994</v>
      </c>
      <c r="I159" s="415">
        <v>10203.099389999999</v>
      </c>
      <c r="J159" s="416">
        <v>190.90854244107899</v>
      </c>
      <c r="K159" s="419">
        <v>0.93414530844400001</v>
      </c>
    </row>
    <row r="160" spans="1:11" ht="14.45" customHeight="1" thickBot="1" x14ac:dyDescent="0.25">
      <c r="A160" s="436" t="s">
        <v>395</v>
      </c>
      <c r="B160" s="420">
        <v>5874.7505643078202</v>
      </c>
      <c r="C160" s="420">
        <v>5601.4888000000001</v>
      </c>
      <c r="D160" s="421">
        <v>-273.26176430781999</v>
      </c>
      <c r="E160" s="427">
        <v>0.95348538438899999</v>
      </c>
      <c r="F160" s="420">
        <v>0</v>
      </c>
      <c r="G160" s="421">
        <v>0</v>
      </c>
      <c r="H160" s="423">
        <v>0</v>
      </c>
      <c r="I160" s="420">
        <v>0</v>
      </c>
      <c r="J160" s="421">
        <v>0</v>
      </c>
      <c r="K160" s="424" t="s">
        <v>243</v>
      </c>
    </row>
    <row r="161" spans="1:11" ht="14.45" customHeight="1" thickBot="1" x14ac:dyDescent="0.25">
      <c r="A161" s="437" t="s">
        <v>396</v>
      </c>
      <c r="B161" s="415">
        <v>5872</v>
      </c>
      <c r="C161" s="415">
        <v>5603.4517999999998</v>
      </c>
      <c r="D161" s="416">
        <v>-268.54819999999899</v>
      </c>
      <c r="E161" s="417">
        <v>0.95426631471300005</v>
      </c>
      <c r="F161" s="415">
        <v>0</v>
      </c>
      <c r="G161" s="416">
        <v>0</v>
      </c>
      <c r="H161" s="418">
        <v>0</v>
      </c>
      <c r="I161" s="415">
        <v>0</v>
      </c>
      <c r="J161" s="416">
        <v>0</v>
      </c>
      <c r="K161" s="426" t="s">
        <v>243</v>
      </c>
    </row>
    <row r="162" spans="1:11" ht="14.45" customHeight="1" thickBot="1" x14ac:dyDescent="0.25">
      <c r="A162" s="437" t="s">
        <v>397</v>
      </c>
      <c r="B162" s="415">
        <v>0</v>
      </c>
      <c r="C162" s="415">
        <v>-4.3330000000000002</v>
      </c>
      <c r="D162" s="416">
        <v>-4.3330000000000002</v>
      </c>
      <c r="E162" s="425" t="s">
        <v>256</v>
      </c>
      <c r="F162" s="415">
        <v>0</v>
      </c>
      <c r="G162" s="416">
        <v>0</v>
      </c>
      <c r="H162" s="418">
        <v>0</v>
      </c>
      <c r="I162" s="415">
        <v>0</v>
      </c>
      <c r="J162" s="416">
        <v>0</v>
      </c>
      <c r="K162" s="426" t="s">
        <v>243</v>
      </c>
    </row>
    <row r="163" spans="1:11" ht="14.45" customHeight="1" thickBot="1" x14ac:dyDescent="0.25">
      <c r="A163" s="437" t="s">
        <v>398</v>
      </c>
      <c r="B163" s="415">
        <v>2.750564307821</v>
      </c>
      <c r="C163" s="415">
        <v>2.37</v>
      </c>
      <c r="D163" s="416">
        <v>-0.38056430782099998</v>
      </c>
      <c r="E163" s="417">
        <v>0.86164137055800005</v>
      </c>
      <c r="F163" s="415">
        <v>0</v>
      </c>
      <c r="G163" s="416">
        <v>0</v>
      </c>
      <c r="H163" s="418">
        <v>0</v>
      </c>
      <c r="I163" s="415">
        <v>0</v>
      </c>
      <c r="J163" s="416">
        <v>0</v>
      </c>
      <c r="K163" s="426" t="s">
        <v>243</v>
      </c>
    </row>
    <row r="164" spans="1:11" ht="14.45" customHeight="1" thickBot="1" x14ac:dyDescent="0.25">
      <c r="A164" s="439" t="s">
        <v>399</v>
      </c>
      <c r="B164" s="415">
        <v>13603.541436488</v>
      </c>
      <c r="C164" s="415">
        <v>13756.558800000001</v>
      </c>
      <c r="D164" s="416">
        <v>153.01736351196999</v>
      </c>
      <c r="E164" s="417">
        <v>1.0112483476609999</v>
      </c>
      <c r="F164" s="415">
        <v>13966.199969182901</v>
      </c>
      <c r="G164" s="416">
        <v>12802.349971751</v>
      </c>
      <c r="H164" s="418">
        <v>2262.39</v>
      </c>
      <c r="I164" s="415">
        <v>17850.871340000002</v>
      </c>
      <c r="J164" s="416">
        <v>5048.5213682490203</v>
      </c>
      <c r="K164" s="419">
        <v>1.278148055977</v>
      </c>
    </row>
    <row r="165" spans="1:11" ht="14.45" customHeight="1" thickBot="1" x14ac:dyDescent="0.25">
      <c r="A165" s="437" t="s">
        <v>400</v>
      </c>
      <c r="B165" s="415">
        <v>0</v>
      </c>
      <c r="C165" s="415">
        <v>0</v>
      </c>
      <c r="D165" s="416">
        <v>0</v>
      </c>
      <c r="E165" s="417">
        <v>1</v>
      </c>
      <c r="F165" s="415">
        <v>13966.199969182901</v>
      </c>
      <c r="G165" s="416">
        <v>12802.349971751</v>
      </c>
      <c r="H165" s="418">
        <v>2262.39</v>
      </c>
      <c r="I165" s="415">
        <v>17849.836340000002</v>
      </c>
      <c r="J165" s="416">
        <v>5047.4863682490204</v>
      </c>
      <c r="K165" s="419">
        <v>1.2780739484879999</v>
      </c>
    </row>
    <row r="166" spans="1:11" ht="14.45" customHeight="1" thickBot="1" x14ac:dyDescent="0.25">
      <c r="A166" s="437" t="s">
        <v>401</v>
      </c>
      <c r="B166" s="415">
        <v>0</v>
      </c>
      <c r="C166" s="415">
        <v>0</v>
      </c>
      <c r="D166" s="416">
        <v>0</v>
      </c>
      <c r="E166" s="417">
        <v>1</v>
      </c>
      <c r="F166" s="415">
        <v>0</v>
      </c>
      <c r="G166" s="416">
        <v>0</v>
      </c>
      <c r="H166" s="418">
        <v>0</v>
      </c>
      <c r="I166" s="415">
        <v>1.0349999999999999</v>
      </c>
      <c r="J166" s="416">
        <v>1.0349999999999999</v>
      </c>
      <c r="K166" s="426" t="s">
        <v>256</v>
      </c>
    </row>
    <row r="167" spans="1:11" ht="14.45" customHeight="1" thickBot="1" x14ac:dyDescent="0.25">
      <c r="A167" s="437" t="s">
        <v>402</v>
      </c>
      <c r="B167" s="415">
        <v>13603.541436488</v>
      </c>
      <c r="C167" s="415">
        <v>13756.558800000001</v>
      </c>
      <c r="D167" s="416">
        <v>153.01736351196999</v>
      </c>
      <c r="E167" s="417">
        <v>1.0112483476609999</v>
      </c>
      <c r="F167" s="415">
        <v>0</v>
      </c>
      <c r="G167" s="416">
        <v>0</v>
      </c>
      <c r="H167" s="418">
        <v>0</v>
      </c>
      <c r="I167" s="415">
        <v>0</v>
      </c>
      <c r="J167" s="416">
        <v>0</v>
      </c>
      <c r="K167" s="426" t="s">
        <v>243</v>
      </c>
    </row>
    <row r="168" spans="1:11" ht="14.45" customHeight="1" thickBot="1" x14ac:dyDescent="0.25">
      <c r="A168" s="436" t="s">
        <v>403</v>
      </c>
      <c r="B168" s="420">
        <v>0</v>
      </c>
      <c r="C168" s="420">
        <v>0</v>
      </c>
      <c r="D168" s="421">
        <v>0</v>
      </c>
      <c r="E168" s="422" t="s">
        <v>243</v>
      </c>
      <c r="F168" s="420">
        <v>0</v>
      </c>
      <c r="G168" s="421">
        <v>0</v>
      </c>
      <c r="H168" s="423">
        <v>0</v>
      </c>
      <c r="I168" s="420">
        <v>-4.5043899999999999</v>
      </c>
      <c r="J168" s="421">
        <v>-4.5043899999999999</v>
      </c>
      <c r="K168" s="424" t="s">
        <v>256</v>
      </c>
    </row>
    <row r="169" spans="1:11" ht="14.45" customHeight="1" thickBot="1" x14ac:dyDescent="0.25">
      <c r="A169" s="437" t="s">
        <v>404</v>
      </c>
      <c r="B169" s="415">
        <v>0</v>
      </c>
      <c r="C169" s="415">
        <v>0</v>
      </c>
      <c r="D169" s="416">
        <v>0</v>
      </c>
      <c r="E169" s="417">
        <v>1</v>
      </c>
      <c r="F169" s="415">
        <v>0</v>
      </c>
      <c r="G169" s="416">
        <v>0</v>
      </c>
      <c r="H169" s="418">
        <v>0</v>
      </c>
      <c r="I169" s="415">
        <v>-4.5043899999999999</v>
      </c>
      <c r="J169" s="416">
        <v>-4.5043899999999999</v>
      </c>
      <c r="K169" s="426" t="s">
        <v>256</v>
      </c>
    </row>
    <row r="170" spans="1:11" ht="14.45" customHeight="1" thickBot="1" x14ac:dyDescent="0.25">
      <c r="A170" s="434" t="s">
        <v>405</v>
      </c>
      <c r="B170" s="415">
        <v>547.02456523910496</v>
      </c>
      <c r="C170" s="415">
        <v>756.37566000000004</v>
      </c>
      <c r="D170" s="416">
        <v>209.35109476089499</v>
      </c>
      <c r="E170" s="417">
        <v>1.382708763123</v>
      </c>
      <c r="F170" s="415">
        <v>0</v>
      </c>
      <c r="G170" s="416">
        <v>0</v>
      </c>
      <c r="H170" s="418">
        <v>20.662710000000001</v>
      </c>
      <c r="I170" s="415">
        <v>536.88923</v>
      </c>
      <c r="J170" s="416">
        <v>536.88923</v>
      </c>
      <c r="K170" s="426" t="s">
        <v>243</v>
      </c>
    </row>
    <row r="171" spans="1:11" ht="14.45" customHeight="1" thickBot="1" x14ac:dyDescent="0.25">
      <c r="A171" s="435" t="s">
        <v>406</v>
      </c>
      <c r="B171" s="415">
        <v>0</v>
      </c>
      <c r="C171" s="415">
        <v>208.25</v>
      </c>
      <c r="D171" s="416">
        <v>208.25</v>
      </c>
      <c r="E171" s="425" t="s">
        <v>243</v>
      </c>
      <c r="F171" s="415">
        <v>0</v>
      </c>
      <c r="G171" s="416">
        <v>0</v>
      </c>
      <c r="H171" s="418">
        <v>0.75</v>
      </c>
      <c r="I171" s="415">
        <v>87</v>
      </c>
      <c r="J171" s="416">
        <v>87</v>
      </c>
      <c r="K171" s="426" t="s">
        <v>243</v>
      </c>
    </row>
    <row r="172" spans="1:11" ht="14.45" customHeight="1" thickBot="1" x14ac:dyDescent="0.25">
      <c r="A172" s="436" t="s">
        <v>407</v>
      </c>
      <c r="B172" s="420">
        <v>0</v>
      </c>
      <c r="C172" s="420">
        <v>208.25</v>
      </c>
      <c r="D172" s="421">
        <v>208.25</v>
      </c>
      <c r="E172" s="422" t="s">
        <v>243</v>
      </c>
      <c r="F172" s="420">
        <v>0</v>
      </c>
      <c r="G172" s="421">
        <v>0</v>
      </c>
      <c r="H172" s="423">
        <v>0.75</v>
      </c>
      <c r="I172" s="420">
        <v>87</v>
      </c>
      <c r="J172" s="421">
        <v>87</v>
      </c>
      <c r="K172" s="424" t="s">
        <v>243</v>
      </c>
    </row>
    <row r="173" spans="1:11" ht="14.45" customHeight="1" thickBot="1" x14ac:dyDescent="0.25">
      <c r="A173" s="437" t="s">
        <v>408</v>
      </c>
      <c r="B173" s="415">
        <v>0</v>
      </c>
      <c r="C173" s="415">
        <v>208.25</v>
      </c>
      <c r="D173" s="416">
        <v>208.25</v>
      </c>
      <c r="E173" s="425" t="s">
        <v>243</v>
      </c>
      <c r="F173" s="415">
        <v>0</v>
      </c>
      <c r="G173" s="416">
        <v>0</v>
      </c>
      <c r="H173" s="418">
        <v>0.75</v>
      </c>
      <c r="I173" s="415">
        <v>87</v>
      </c>
      <c r="J173" s="416">
        <v>87</v>
      </c>
      <c r="K173" s="426" t="s">
        <v>243</v>
      </c>
    </row>
    <row r="174" spans="1:11" ht="14.45" customHeight="1" thickBot="1" x14ac:dyDescent="0.25">
      <c r="A174" s="440" t="s">
        <v>409</v>
      </c>
      <c r="B174" s="420">
        <v>547.02456523910496</v>
      </c>
      <c r="C174" s="420">
        <v>548.12566000000004</v>
      </c>
      <c r="D174" s="421">
        <v>1.101094760894</v>
      </c>
      <c r="E174" s="427">
        <v>1.0020128799150001</v>
      </c>
      <c r="F174" s="420">
        <v>0</v>
      </c>
      <c r="G174" s="421">
        <v>0</v>
      </c>
      <c r="H174" s="423">
        <v>19.912710000000001</v>
      </c>
      <c r="I174" s="420">
        <v>449.88923</v>
      </c>
      <c r="J174" s="421">
        <v>449.88923</v>
      </c>
      <c r="K174" s="424" t="s">
        <v>243</v>
      </c>
    </row>
    <row r="175" spans="1:11" ht="14.45" customHeight="1" thickBot="1" x14ac:dyDescent="0.25">
      <c r="A175" s="436" t="s">
        <v>410</v>
      </c>
      <c r="B175" s="420">
        <v>0</v>
      </c>
      <c r="C175" s="420">
        <v>2.5000000000000001E-4</v>
      </c>
      <c r="D175" s="421">
        <v>2.5000000000000001E-4</v>
      </c>
      <c r="E175" s="422" t="s">
        <v>243</v>
      </c>
      <c r="F175" s="420">
        <v>0</v>
      </c>
      <c r="G175" s="421">
        <v>0</v>
      </c>
      <c r="H175" s="423">
        <v>-1.0000000000000001E-5</v>
      </c>
      <c r="I175" s="420">
        <v>2.9999999999999997E-4</v>
      </c>
      <c r="J175" s="421">
        <v>2.9999999999999997E-4</v>
      </c>
      <c r="K175" s="424" t="s">
        <v>243</v>
      </c>
    </row>
    <row r="176" spans="1:11" ht="14.45" customHeight="1" thickBot="1" x14ac:dyDescent="0.25">
      <c r="A176" s="437" t="s">
        <v>411</v>
      </c>
      <c r="B176" s="415">
        <v>0</v>
      </c>
      <c r="C176" s="415">
        <v>2.5000000000000001E-4</v>
      </c>
      <c r="D176" s="416">
        <v>2.5000000000000001E-4</v>
      </c>
      <c r="E176" s="425" t="s">
        <v>243</v>
      </c>
      <c r="F176" s="415">
        <v>0</v>
      </c>
      <c r="G176" s="416">
        <v>0</v>
      </c>
      <c r="H176" s="418">
        <v>-1.0000000000000001E-5</v>
      </c>
      <c r="I176" s="415">
        <v>2.9999999999999997E-4</v>
      </c>
      <c r="J176" s="416">
        <v>2.9999999999999997E-4</v>
      </c>
      <c r="K176" s="426" t="s">
        <v>243</v>
      </c>
    </row>
    <row r="177" spans="1:11" ht="14.45" customHeight="1" thickBot="1" x14ac:dyDescent="0.25">
      <c r="A177" s="436" t="s">
        <v>412</v>
      </c>
      <c r="B177" s="420">
        <v>547.02456523910496</v>
      </c>
      <c r="C177" s="420">
        <v>536.12540999999999</v>
      </c>
      <c r="D177" s="421">
        <v>-10.899155239104999</v>
      </c>
      <c r="E177" s="427">
        <v>0.98007556528200002</v>
      </c>
      <c r="F177" s="420">
        <v>0</v>
      </c>
      <c r="G177" s="421">
        <v>0</v>
      </c>
      <c r="H177" s="423">
        <v>19.91272</v>
      </c>
      <c r="I177" s="420">
        <v>449.88893000000002</v>
      </c>
      <c r="J177" s="421">
        <v>449.88893000000002</v>
      </c>
      <c r="K177" s="424" t="s">
        <v>243</v>
      </c>
    </row>
    <row r="178" spans="1:11" ht="14.45" customHeight="1" thickBot="1" x14ac:dyDescent="0.25">
      <c r="A178" s="437" t="s">
        <v>413</v>
      </c>
      <c r="B178" s="415">
        <v>2.4429977373759999</v>
      </c>
      <c r="C178" s="415">
        <v>0.91900000000000004</v>
      </c>
      <c r="D178" s="416">
        <v>-1.5239977373760001</v>
      </c>
      <c r="E178" s="417">
        <v>0.37617718016599999</v>
      </c>
      <c r="F178" s="415">
        <v>0</v>
      </c>
      <c r="G178" s="416">
        <v>0</v>
      </c>
      <c r="H178" s="418">
        <v>7.8E-2</v>
      </c>
      <c r="I178" s="415">
        <v>0.63300000000000001</v>
      </c>
      <c r="J178" s="416">
        <v>0.63300000000000001</v>
      </c>
      <c r="K178" s="426" t="s">
        <v>243</v>
      </c>
    </row>
    <row r="179" spans="1:11" ht="14.45" customHeight="1" thickBot="1" x14ac:dyDescent="0.25">
      <c r="A179" s="437" t="s">
        <v>414</v>
      </c>
      <c r="B179" s="415">
        <v>544.58156750172805</v>
      </c>
      <c r="C179" s="415">
        <v>535.20641000000001</v>
      </c>
      <c r="D179" s="416">
        <v>-9.3751575017279993</v>
      </c>
      <c r="E179" s="417">
        <v>0.98278465878900001</v>
      </c>
      <c r="F179" s="415">
        <v>0</v>
      </c>
      <c r="G179" s="416">
        <v>0</v>
      </c>
      <c r="H179" s="418">
        <v>19.834720000000001</v>
      </c>
      <c r="I179" s="415">
        <v>449.25592999999998</v>
      </c>
      <c r="J179" s="416">
        <v>449.25592999999998</v>
      </c>
      <c r="K179" s="426" t="s">
        <v>243</v>
      </c>
    </row>
    <row r="180" spans="1:11" ht="14.45" customHeight="1" thickBot="1" x14ac:dyDescent="0.25">
      <c r="A180" s="436" t="s">
        <v>415</v>
      </c>
      <c r="B180" s="420">
        <v>0</v>
      </c>
      <c r="C180" s="420">
        <v>12</v>
      </c>
      <c r="D180" s="421">
        <v>12</v>
      </c>
      <c r="E180" s="422" t="s">
        <v>256</v>
      </c>
      <c r="F180" s="420">
        <v>0</v>
      </c>
      <c r="G180" s="421">
        <v>0</v>
      </c>
      <c r="H180" s="423">
        <v>0</v>
      </c>
      <c r="I180" s="420">
        <v>0</v>
      </c>
      <c r="J180" s="421">
        <v>0</v>
      </c>
      <c r="K180" s="424" t="s">
        <v>243</v>
      </c>
    </row>
    <row r="181" spans="1:11" ht="14.45" customHeight="1" thickBot="1" x14ac:dyDescent="0.25">
      <c r="A181" s="437" t="s">
        <v>416</v>
      </c>
      <c r="B181" s="415">
        <v>0</v>
      </c>
      <c r="C181" s="415">
        <v>12</v>
      </c>
      <c r="D181" s="416">
        <v>12</v>
      </c>
      <c r="E181" s="425" t="s">
        <v>256</v>
      </c>
      <c r="F181" s="415">
        <v>0</v>
      </c>
      <c r="G181" s="416">
        <v>0</v>
      </c>
      <c r="H181" s="418">
        <v>0</v>
      </c>
      <c r="I181" s="415">
        <v>0</v>
      </c>
      <c r="J181" s="416">
        <v>0</v>
      </c>
      <c r="K181" s="426" t="s">
        <v>243</v>
      </c>
    </row>
    <row r="182" spans="1:11" ht="14.45" customHeight="1" thickBot="1" x14ac:dyDescent="0.25">
      <c r="A182" s="433" t="s">
        <v>417</v>
      </c>
      <c r="B182" s="415">
        <v>6094.4807656904004</v>
      </c>
      <c r="C182" s="415">
        <v>5975.8764199999996</v>
      </c>
      <c r="D182" s="416">
        <v>-118.60434569040299</v>
      </c>
      <c r="E182" s="417">
        <v>0.98053905652499995</v>
      </c>
      <c r="F182" s="415">
        <v>6401.5356237505002</v>
      </c>
      <c r="G182" s="416">
        <v>5868.0743217712898</v>
      </c>
      <c r="H182" s="418">
        <v>350.59483</v>
      </c>
      <c r="I182" s="415">
        <v>5731.40146</v>
      </c>
      <c r="J182" s="416">
        <v>-136.672861771291</v>
      </c>
      <c r="K182" s="419">
        <v>0.89531665476199995</v>
      </c>
    </row>
    <row r="183" spans="1:11" ht="14.45" customHeight="1" thickBot="1" x14ac:dyDescent="0.25">
      <c r="A183" s="438" t="s">
        <v>418</v>
      </c>
      <c r="B183" s="420">
        <v>6094.4807656904004</v>
      </c>
      <c r="C183" s="420">
        <v>5975.8764199999996</v>
      </c>
      <c r="D183" s="421">
        <v>-118.60434569040299</v>
      </c>
      <c r="E183" s="427">
        <v>0.98053905652499995</v>
      </c>
      <c r="F183" s="420">
        <v>6401.5356237505002</v>
      </c>
      <c r="G183" s="421">
        <v>5868.0743217712898</v>
      </c>
      <c r="H183" s="423">
        <v>350.59483</v>
      </c>
      <c r="I183" s="420">
        <v>5731.40146</v>
      </c>
      <c r="J183" s="421">
        <v>-136.672861771291</v>
      </c>
      <c r="K183" s="428">
        <v>0.89531665476199995</v>
      </c>
    </row>
    <row r="184" spans="1:11" ht="14.45" customHeight="1" thickBot="1" x14ac:dyDescent="0.25">
      <c r="A184" s="440" t="s">
        <v>41</v>
      </c>
      <c r="B184" s="420">
        <v>6094.4807656904004</v>
      </c>
      <c r="C184" s="420">
        <v>5975.8764199999996</v>
      </c>
      <c r="D184" s="421">
        <v>-118.60434569040299</v>
      </c>
      <c r="E184" s="427">
        <v>0.98053905652499995</v>
      </c>
      <c r="F184" s="420">
        <v>6401.5356237505002</v>
      </c>
      <c r="G184" s="421">
        <v>5868.0743217712898</v>
      </c>
      <c r="H184" s="423">
        <v>350.59483</v>
      </c>
      <c r="I184" s="420">
        <v>5731.40146</v>
      </c>
      <c r="J184" s="421">
        <v>-136.672861771291</v>
      </c>
      <c r="K184" s="428">
        <v>0.89531665476199995</v>
      </c>
    </row>
    <row r="185" spans="1:11" ht="14.45" customHeight="1" thickBot="1" x14ac:dyDescent="0.25">
      <c r="A185" s="439" t="s">
        <v>419</v>
      </c>
      <c r="B185" s="415">
        <v>0</v>
      </c>
      <c r="C185" s="415">
        <v>12.24436</v>
      </c>
      <c r="D185" s="416">
        <v>12.24436</v>
      </c>
      <c r="E185" s="425" t="s">
        <v>256</v>
      </c>
      <c r="F185" s="415">
        <v>21.197419334801999</v>
      </c>
      <c r="G185" s="416">
        <v>19.430967723569001</v>
      </c>
      <c r="H185" s="418">
        <v>2.2326700000000002</v>
      </c>
      <c r="I185" s="415">
        <v>17.517690000000002</v>
      </c>
      <c r="J185" s="416">
        <v>-1.9132777235689999</v>
      </c>
      <c r="K185" s="419">
        <v>0.82640673014499999</v>
      </c>
    </row>
    <row r="186" spans="1:11" ht="14.45" customHeight="1" thickBot="1" x14ac:dyDescent="0.25">
      <c r="A186" s="437" t="s">
        <v>420</v>
      </c>
      <c r="B186" s="415">
        <v>0</v>
      </c>
      <c r="C186" s="415">
        <v>12.24436</v>
      </c>
      <c r="D186" s="416">
        <v>12.24436</v>
      </c>
      <c r="E186" s="425" t="s">
        <v>256</v>
      </c>
      <c r="F186" s="415">
        <v>21.197419334801999</v>
      </c>
      <c r="G186" s="416">
        <v>19.430967723569001</v>
      </c>
      <c r="H186" s="418">
        <v>2.2326700000000002</v>
      </c>
      <c r="I186" s="415">
        <v>17.517690000000002</v>
      </c>
      <c r="J186" s="416">
        <v>-1.9132777235689999</v>
      </c>
      <c r="K186" s="419">
        <v>0.82640673014499999</v>
      </c>
    </row>
    <row r="187" spans="1:11" ht="14.45" customHeight="1" thickBot="1" x14ac:dyDescent="0.25">
      <c r="A187" s="436" t="s">
        <v>421</v>
      </c>
      <c r="B187" s="420">
        <v>49.167005595321001</v>
      </c>
      <c r="C187" s="420">
        <v>27.781500000000001</v>
      </c>
      <c r="D187" s="421">
        <v>-21.385505595321</v>
      </c>
      <c r="E187" s="427">
        <v>0.56504356251900001</v>
      </c>
      <c r="F187" s="420">
        <v>14.607188174319001</v>
      </c>
      <c r="G187" s="421">
        <v>13.389922493125001</v>
      </c>
      <c r="H187" s="423">
        <v>0</v>
      </c>
      <c r="I187" s="420">
        <v>18.783000000000001</v>
      </c>
      <c r="J187" s="421">
        <v>5.3930775068739996</v>
      </c>
      <c r="K187" s="428">
        <v>1.285873761318</v>
      </c>
    </row>
    <row r="188" spans="1:11" ht="14.45" customHeight="1" thickBot="1" x14ac:dyDescent="0.25">
      <c r="A188" s="437" t="s">
        <v>422</v>
      </c>
      <c r="B188" s="415">
        <v>49.167005595321001</v>
      </c>
      <c r="C188" s="415">
        <v>27.781500000000001</v>
      </c>
      <c r="D188" s="416">
        <v>-21.385505595321</v>
      </c>
      <c r="E188" s="417">
        <v>0.56504356251900001</v>
      </c>
      <c r="F188" s="415">
        <v>14.607188174319001</v>
      </c>
      <c r="G188" s="416">
        <v>13.389922493125001</v>
      </c>
      <c r="H188" s="418">
        <v>0</v>
      </c>
      <c r="I188" s="415">
        <v>18.783000000000001</v>
      </c>
      <c r="J188" s="416">
        <v>5.3930775068739996</v>
      </c>
      <c r="K188" s="419">
        <v>1.285873761318</v>
      </c>
    </row>
    <row r="189" spans="1:11" ht="14.45" customHeight="1" thickBot="1" x14ac:dyDescent="0.25">
      <c r="A189" s="436" t="s">
        <v>423</v>
      </c>
      <c r="B189" s="420">
        <v>42.713655974437998</v>
      </c>
      <c r="C189" s="420">
        <v>37.992260000000002</v>
      </c>
      <c r="D189" s="421">
        <v>-4.7213959744379999</v>
      </c>
      <c r="E189" s="427">
        <v>0.88946401644299999</v>
      </c>
      <c r="F189" s="420">
        <v>51.590726505120003</v>
      </c>
      <c r="G189" s="421">
        <v>47.291499296360001</v>
      </c>
      <c r="H189" s="423">
        <v>3.79514</v>
      </c>
      <c r="I189" s="420">
        <v>42.062959999999997</v>
      </c>
      <c r="J189" s="421">
        <v>-5.2285392963600001</v>
      </c>
      <c r="K189" s="428">
        <v>0.81532017184899996</v>
      </c>
    </row>
    <row r="190" spans="1:11" ht="14.45" customHeight="1" thickBot="1" x14ac:dyDescent="0.25">
      <c r="A190" s="437" t="s">
        <v>424</v>
      </c>
      <c r="B190" s="415">
        <v>0</v>
      </c>
      <c r="C190" s="415">
        <v>0.74</v>
      </c>
      <c r="D190" s="416">
        <v>0.74</v>
      </c>
      <c r="E190" s="425" t="s">
        <v>256</v>
      </c>
      <c r="F190" s="415">
        <v>0</v>
      </c>
      <c r="G190" s="416">
        <v>0</v>
      </c>
      <c r="H190" s="418">
        <v>0</v>
      </c>
      <c r="I190" s="415">
        <v>1.48</v>
      </c>
      <c r="J190" s="416">
        <v>1.48</v>
      </c>
      <c r="K190" s="426" t="s">
        <v>256</v>
      </c>
    </row>
    <row r="191" spans="1:11" ht="14.45" customHeight="1" thickBot="1" x14ac:dyDescent="0.25">
      <c r="A191" s="437" t="s">
        <v>425</v>
      </c>
      <c r="B191" s="415">
        <v>42.713655974437998</v>
      </c>
      <c r="C191" s="415">
        <v>37.25226</v>
      </c>
      <c r="D191" s="416">
        <v>-5.4613959744380001</v>
      </c>
      <c r="E191" s="417">
        <v>0.87213934630800005</v>
      </c>
      <c r="F191" s="415">
        <v>51.590726505120003</v>
      </c>
      <c r="G191" s="416">
        <v>47.291499296360001</v>
      </c>
      <c r="H191" s="418">
        <v>3.79514</v>
      </c>
      <c r="I191" s="415">
        <v>40.58296</v>
      </c>
      <c r="J191" s="416">
        <v>-6.7085392963599997</v>
      </c>
      <c r="K191" s="419">
        <v>0.78663284565199998</v>
      </c>
    </row>
    <row r="192" spans="1:11" ht="14.45" customHeight="1" thickBot="1" x14ac:dyDescent="0.25">
      <c r="A192" s="439" t="s">
        <v>426</v>
      </c>
      <c r="B192" s="415">
        <v>0</v>
      </c>
      <c r="C192" s="415">
        <v>0</v>
      </c>
      <c r="D192" s="416">
        <v>0</v>
      </c>
      <c r="E192" s="417">
        <v>1</v>
      </c>
      <c r="F192" s="415">
        <v>0</v>
      </c>
      <c r="G192" s="416">
        <v>0</v>
      </c>
      <c r="H192" s="418">
        <v>0.25912000000000002</v>
      </c>
      <c r="I192" s="415">
        <v>1.8907499999999999</v>
      </c>
      <c r="J192" s="416">
        <v>1.8907499999999999</v>
      </c>
      <c r="K192" s="426" t="s">
        <v>256</v>
      </c>
    </row>
    <row r="193" spans="1:11" ht="14.45" customHeight="1" thickBot="1" x14ac:dyDescent="0.25">
      <c r="A193" s="437" t="s">
        <v>427</v>
      </c>
      <c r="B193" s="415">
        <v>0</v>
      </c>
      <c r="C193" s="415">
        <v>0</v>
      </c>
      <c r="D193" s="416">
        <v>0</v>
      </c>
      <c r="E193" s="417">
        <v>1</v>
      </c>
      <c r="F193" s="415">
        <v>0</v>
      </c>
      <c r="G193" s="416">
        <v>0</v>
      </c>
      <c r="H193" s="418">
        <v>0.25912000000000002</v>
      </c>
      <c r="I193" s="415">
        <v>1.8907499999999999</v>
      </c>
      <c r="J193" s="416">
        <v>1.8907499999999999</v>
      </c>
      <c r="K193" s="426" t="s">
        <v>256</v>
      </c>
    </row>
    <row r="194" spans="1:11" ht="14.45" customHeight="1" thickBot="1" x14ac:dyDescent="0.25">
      <c r="A194" s="436" t="s">
        <v>428</v>
      </c>
      <c r="B194" s="420">
        <v>151.44985382700901</v>
      </c>
      <c r="C194" s="420">
        <v>152.20831000000001</v>
      </c>
      <c r="D194" s="421">
        <v>0.75845617299000001</v>
      </c>
      <c r="E194" s="427">
        <v>1.0050079689989999</v>
      </c>
      <c r="F194" s="420">
        <v>158.726101422733</v>
      </c>
      <c r="G194" s="421">
        <v>145.49892630417199</v>
      </c>
      <c r="H194" s="423">
        <v>0</v>
      </c>
      <c r="I194" s="420">
        <v>40.506129999999999</v>
      </c>
      <c r="J194" s="421">
        <v>-104.992796304172</v>
      </c>
      <c r="K194" s="428">
        <v>0.255195142052</v>
      </c>
    </row>
    <row r="195" spans="1:11" ht="14.45" customHeight="1" thickBot="1" x14ac:dyDescent="0.25">
      <c r="A195" s="437" t="s">
        <v>429</v>
      </c>
      <c r="B195" s="415">
        <v>151.44985382700901</v>
      </c>
      <c r="C195" s="415">
        <v>152.20831000000001</v>
      </c>
      <c r="D195" s="416">
        <v>0.75845617299000001</v>
      </c>
      <c r="E195" s="417">
        <v>1.0050079689989999</v>
      </c>
      <c r="F195" s="415">
        <v>158.726101422733</v>
      </c>
      <c r="G195" s="416">
        <v>145.49892630417199</v>
      </c>
      <c r="H195" s="418">
        <v>0</v>
      </c>
      <c r="I195" s="415">
        <v>40.506129999999999</v>
      </c>
      <c r="J195" s="416">
        <v>-104.992796304172</v>
      </c>
      <c r="K195" s="419">
        <v>0.255195142052</v>
      </c>
    </row>
    <row r="196" spans="1:11" ht="14.45" customHeight="1" thickBot="1" x14ac:dyDescent="0.25">
      <c r="A196" s="436" t="s">
        <v>430</v>
      </c>
      <c r="B196" s="420">
        <v>0</v>
      </c>
      <c r="C196" s="420">
        <v>8.6579999999999995</v>
      </c>
      <c r="D196" s="421">
        <v>8.6579999999999995</v>
      </c>
      <c r="E196" s="422" t="s">
        <v>256</v>
      </c>
      <c r="F196" s="420">
        <v>0</v>
      </c>
      <c r="G196" s="421">
        <v>0</v>
      </c>
      <c r="H196" s="423">
        <v>0.72599999999999998</v>
      </c>
      <c r="I196" s="420">
        <v>5.26</v>
      </c>
      <c r="J196" s="421">
        <v>5.26</v>
      </c>
      <c r="K196" s="424" t="s">
        <v>256</v>
      </c>
    </row>
    <row r="197" spans="1:11" ht="14.45" customHeight="1" thickBot="1" x14ac:dyDescent="0.25">
      <c r="A197" s="437" t="s">
        <v>431</v>
      </c>
      <c r="B197" s="415">
        <v>0</v>
      </c>
      <c r="C197" s="415">
        <v>8.6579999999999995</v>
      </c>
      <c r="D197" s="416">
        <v>8.6579999999999995</v>
      </c>
      <c r="E197" s="425" t="s">
        <v>256</v>
      </c>
      <c r="F197" s="415">
        <v>0</v>
      </c>
      <c r="G197" s="416">
        <v>0</v>
      </c>
      <c r="H197" s="418">
        <v>0.72599999999999998</v>
      </c>
      <c r="I197" s="415">
        <v>5.26</v>
      </c>
      <c r="J197" s="416">
        <v>5.26</v>
      </c>
      <c r="K197" s="426" t="s">
        <v>256</v>
      </c>
    </row>
    <row r="198" spans="1:11" ht="14.45" customHeight="1" thickBot="1" x14ac:dyDescent="0.25">
      <c r="A198" s="436" t="s">
        <v>432</v>
      </c>
      <c r="B198" s="420">
        <v>2610.8472565762399</v>
      </c>
      <c r="C198" s="420">
        <v>2186.7183500000001</v>
      </c>
      <c r="D198" s="421">
        <v>-424.128906576242</v>
      </c>
      <c r="E198" s="427">
        <v>0.83755123724299996</v>
      </c>
      <c r="F198" s="420">
        <v>2936.10721435916</v>
      </c>
      <c r="G198" s="421">
        <v>2691.4316131625601</v>
      </c>
      <c r="H198" s="423">
        <v>76.96172</v>
      </c>
      <c r="I198" s="420">
        <v>2152.3589299999999</v>
      </c>
      <c r="J198" s="421">
        <v>-539.07268316256295</v>
      </c>
      <c r="K198" s="428">
        <v>0.73306550914500002</v>
      </c>
    </row>
    <row r="199" spans="1:11" ht="14.45" customHeight="1" thickBot="1" x14ac:dyDescent="0.25">
      <c r="A199" s="437" t="s">
        <v>433</v>
      </c>
      <c r="B199" s="415">
        <v>2610.8472565762399</v>
      </c>
      <c r="C199" s="415">
        <v>2186.7183500000001</v>
      </c>
      <c r="D199" s="416">
        <v>-424.128906576242</v>
      </c>
      <c r="E199" s="417">
        <v>0.83755123724299996</v>
      </c>
      <c r="F199" s="415">
        <v>2936.10721435916</v>
      </c>
      <c r="G199" s="416">
        <v>2691.4316131625601</v>
      </c>
      <c r="H199" s="418">
        <v>76.96172</v>
      </c>
      <c r="I199" s="415">
        <v>2152.3589299999999</v>
      </c>
      <c r="J199" s="416">
        <v>-539.07268316256295</v>
      </c>
      <c r="K199" s="419">
        <v>0.73306550914500002</v>
      </c>
    </row>
    <row r="200" spans="1:11" ht="14.45" customHeight="1" thickBot="1" x14ac:dyDescent="0.25">
      <c r="A200" s="436" t="s">
        <v>434</v>
      </c>
      <c r="B200" s="420">
        <v>3240.3029937173901</v>
      </c>
      <c r="C200" s="420">
        <v>3550.2736399999999</v>
      </c>
      <c r="D200" s="421">
        <v>309.97064628260898</v>
      </c>
      <c r="E200" s="427">
        <v>1.095661006666</v>
      </c>
      <c r="F200" s="420">
        <v>3219.3069739543598</v>
      </c>
      <c r="G200" s="421">
        <v>2951.0313927914999</v>
      </c>
      <c r="H200" s="423">
        <v>266.62018</v>
      </c>
      <c r="I200" s="420">
        <v>3453.0219999999999</v>
      </c>
      <c r="J200" s="421">
        <v>501.99060720850002</v>
      </c>
      <c r="K200" s="428">
        <v>1.0725979311489999</v>
      </c>
    </row>
    <row r="201" spans="1:11" ht="14.45" customHeight="1" thickBot="1" x14ac:dyDescent="0.25">
      <c r="A201" s="437" t="s">
        <v>435</v>
      </c>
      <c r="B201" s="415">
        <v>3240.3029937173901</v>
      </c>
      <c r="C201" s="415">
        <v>3550.2736399999999</v>
      </c>
      <c r="D201" s="416">
        <v>309.97064628260898</v>
      </c>
      <c r="E201" s="417">
        <v>1.095661006666</v>
      </c>
      <c r="F201" s="415">
        <v>3219.3069739543598</v>
      </c>
      <c r="G201" s="416">
        <v>2951.0313927914999</v>
      </c>
      <c r="H201" s="418">
        <v>266.62018</v>
      </c>
      <c r="I201" s="415">
        <v>3453.0219999999999</v>
      </c>
      <c r="J201" s="416">
        <v>501.99060720850002</v>
      </c>
      <c r="K201" s="419">
        <v>1.0725979311489999</v>
      </c>
    </row>
    <row r="202" spans="1:11" ht="14.45" customHeight="1" thickBot="1" x14ac:dyDescent="0.25">
      <c r="A202" s="441"/>
      <c r="B202" s="415">
        <v>-17542.909937221499</v>
      </c>
      <c r="C202" s="415">
        <v>-20535.579660000101</v>
      </c>
      <c r="D202" s="416">
        <v>-2992.6697227785598</v>
      </c>
      <c r="E202" s="417">
        <v>1.1705914089210001</v>
      </c>
      <c r="F202" s="415">
        <v>-26376.889715149598</v>
      </c>
      <c r="G202" s="416">
        <v>-24178.815572220501</v>
      </c>
      <c r="H202" s="418">
        <v>-1842.0400500000001</v>
      </c>
      <c r="I202" s="415">
        <v>-20372.49627</v>
      </c>
      <c r="J202" s="416">
        <v>3806.3193022205201</v>
      </c>
      <c r="K202" s="419">
        <v>0.77236158205100003</v>
      </c>
    </row>
    <row r="203" spans="1:11" ht="14.45" customHeight="1" thickBot="1" x14ac:dyDescent="0.25">
      <c r="A203" s="442" t="s">
        <v>53</v>
      </c>
      <c r="B203" s="429">
        <v>-17542.909937221499</v>
      </c>
      <c r="C203" s="429">
        <v>-20535.579660000101</v>
      </c>
      <c r="D203" s="430">
        <v>-2992.6697227785498</v>
      </c>
      <c r="E203" s="431">
        <v>-1.052748747988</v>
      </c>
      <c r="F203" s="429">
        <v>-26376.889715149598</v>
      </c>
      <c r="G203" s="430">
        <v>-24178.815572220501</v>
      </c>
      <c r="H203" s="429">
        <v>-1842.0400500000001</v>
      </c>
      <c r="I203" s="429">
        <v>-20372.49627</v>
      </c>
      <c r="J203" s="430">
        <v>3806.3193022205301</v>
      </c>
      <c r="K203" s="432">
        <v>0.77236158205100003</v>
      </c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 xr:uid="{5FC832BB-4049-44CC-B567-E979BD342F16}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9">
    <tabColor theme="3" tint="0.39997558519241921"/>
    <pageSetUpPr fitToPage="1"/>
  </sheetPr>
  <dimension ref="A1:J1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190" customWidth="1"/>
    <col min="2" max="2" width="61.140625" style="190" customWidth="1"/>
    <col min="3" max="3" width="9.5703125" style="114" hidden="1" customWidth="1" outlineLevel="1"/>
    <col min="4" max="4" width="9.5703125" style="191" customWidth="1" collapsed="1"/>
    <col min="5" max="5" width="2.28515625" style="191" customWidth="1"/>
    <col min="6" max="6" width="9.5703125" style="192" customWidth="1"/>
    <col min="7" max="7" width="9.5703125" style="189" customWidth="1"/>
    <col min="8" max="9" width="9.5703125" style="114" customWidth="1"/>
    <col min="10" max="10" width="0" style="114" hidden="1" customWidth="1"/>
    <col min="11" max="16384" width="8.85546875" style="114"/>
  </cols>
  <sheetData>
    <row r="1" spans="1:10" ht="18.600000000000001" customHeight="1" thickBot="1" x14ac:dyDescent="0.35">
      <c r="A1" s="334" t="s">
        <v>117</v>
      </c>
      <c r="B1" s="335"/>
      <c r="C1" s="335"/>
      <c r="D1" s="335"/>
      <c r="E1" s="335"/>
      <c r="F1" s="335"/>
      <c r="G1" s="305"/>
      <c r="H1" s="336"/>
      <c r="I1" s="336"/>
    </row>
    <row r="2" spans="1:10" ht="14.45" customHeight="1" thickBot="1" x14ac:dyDescent="0.25">
      <c r="A2" s="207" t="s">
        <v>242</v>
      </c>
      <c r="B2" s="188"/>
      <c r="C2" s="188"/>
      <c r="D2" s="188"/>
      <c r="E2" s="188"/>
      <c r="F2" s="188"/>
    </row>
    <row r="3" spans="1:10" ht="14.45" customHeight="1" thickBot="1" x14ac:dyDescent="0.25">
      <c r="A3" s="207"/>
      <c r="B3" s="246"/>
      <c r="C3" s="245">
        <v>2015</v>
      </c>
      <c r="D3" s="214">
        <v>2018</v>
      </c>
      <c r="E3" s="7"/>
      <c r="F3" s="313">
        <v>2019</v>
      </c>
      <c r="G3" s="331"/>
      <c r="H3" s="331"/>
      <c r="I3" s="314"/>
    </row>
    <row r="4" spans="1:10" ht="14.45" customHeight="1" thickBot="1" x14ac:dyDescent="0.25">
      <c r="A4" s="218" t="s">
        <v>0</v>
      </c>
      <c r="B4" s="219" t="s">
        <v>167</v>
      </c>
      <c r="C4" s="332" t="s">
        <v>59</v>
      </c>
      <c r="D4" s="333"/>
      <c r="E4" s="220"/>
      <c r="F4" s="215" t="s">
        <v>59</v>
      </c>
      <c r="G4" s="216" t="s">
        <v>60</v>
      </c>
      <c r="H4" s="216" t="s">
        <v>54</v>
      </c>
      <c r="I4" s="217" t="s">
        <v>61</v>
      </c>
    </row>
    <row r="5" spans="1:10" ht="14.45" customHeight="1" x14ac:dyDescent="0.2">
      <c r="A5" s="443" t="s">
        <v>436</v>
      </c>
      <c r="B5" s="444" t="s">
        <v>437</v>
      </c>
      <c r="C5" s="445" t="s">
        <v>438</v>
      </c>
      <c r="D5" s="445" t="s">
        <v>438</v>
      </c>
      <c r="E5" s="445"/>
      <c r="F5" s="445" t="s">
        <v>438</v>
      </c>
      <c r="G5" s="445" t="s">
        <v>438</v>
      </c>
      <c r="H5" s="445" t="s">
        <v>438</v>
      </c>
      <c r="I5" s="446" t="s">
        <v>438</v>
      </c>
      <c r="J5" s="447" t="s">
        <v>55</v>
      </c>
    </row>
    <row r="6" spans="1:10" ht="14.45" customHeight="1" x14ac:dyDescent="0.2">
      <c r="A6" s="443" t="s">
        <v>436</v>
      </c>
      <c r="B6" s="444" t="s">
        <v>439</v>
      </c>
      <c r="C6" s="445">
        <v>220.78070999999997</v>
      </c>
      <c r="D6" s="445">
        <v>183.58094000000003</v>
      </c>
      <c r="E6" s="445"/>
      <c r="F6" s="445">
        <v>201.8929</v>
      </c>
      <c r="G6" s="445">
        <v>245.66667187499999</v>
      </c>
      <c r="H6" s="445">
        <v>-43.773771874999994</v>
      </c>
      <c r="I6" s="446">
        <v>0.821816400487271</v>
      </c>
      <c r="J6" s="447" t="s">
        <v>1</v>
      </c>
    </row>
    <row r="7" spans="1:10" ht="14.45" customHeight="1" x14ac:dyDescent="0.2">
      <c r="A7" s="443" t="s">
        <v>436</v>
      </c>
      <c r="B7" s="444" t="s">
        <v>440</v>
      </c>
      <c r="C7" s="445">
        <v>1.4117500000000003</v>
      </c>
      <c r="D7" s="445">
        <v>1.55217</v>
      </c>
      <c r="E7" s="445"/>
      <c r="F7" s="445">
        <v>1.6096699999999999</v>
      </c>
      <c r="G7" s="445">
        <v>1.8333333740234374</v>
      </c>
      <c r="H7" s="445">
        <v>-0.2236633740234375</v>
      </c>
      <c r="I7" s="446">
        <v>0.87800179869491746</v>
      </c>
      <c r="J7" s="447" t="s">
        <v>1</v>
      </c>
    </row>
    <row r="8" spans="1:10" ht="14.45" customHeight="1" x14ac:dyDescent="0.2">
      <c r="A8" s="443" t="s">
        <v>436</v>
      </c>
      <c r="B8" s="444" t="s">
        <v>441</v>
      </c>
      <c r="C8" s="445">
        <v>99.084000000000003</v>
      </c>
      <c r="D8" s="445">
        <v>91.632000000000005</v>
      </c>
      <c r="E8" s="445"/>
      <c r="F8" s="445">
        <v>78.648499999999999</v>
      </c>
      <c r="G8" s="445">
        <v>100.8333359375</v>
      </c>
      <c r="H8" s="445">
        <v>-22.184835937499997</v>
      </c>
      <c r="I8" s="446">
        <v>0.77998510382269881</v>
      </c>
      <c r="J8" s="447" t="s">
        <v>1</v>
      </c>
    </row>
    <row r="9" spans="1:10" ht="14.45" customHeight="1" x14ac:dyDescent="0.2">
      <c r="A9" s="443" t="s">
        <v>436</v>
      </c>
      <c r="B9" s="444" t="s">
        <v>442</v>
      </c>
      <c r="C9" s="445">
        <v>321.27645999999999</v>
      </c>
      <c r="D9" s="445">
        <v>276.76511000000005</v>
      </c>
      <c r="E9" s="445"/>
      <c r="F9" s="445">
        <v>282.15107</v>
      </c>
      <c r="G9" s="445">
        <v>348.3333411865234</v>
      </c>
      <c r="H9" s="445">
        <v>-66.182271186523394</v>
      </c>
      <c r="I9" s="446">
        <v>0.8100030535087811</v>
      </c>
      <c r="J9" s="447" t="s">
        <v>443</v>
      </c>
    </row>
    <row r="11" spans="1:10" ht="14.45" customHeight="1" x14ac:dyDescent="0.2">
      <c r="A11" s="443" t="s">
        <v>436</v>
      </c>
      <c r="B11" s="444" t="s">
        <v>437</v>
      </c>
      <c r="C11" s="445" t="s">
        <v>438</v>
      </c>
      <c r="D11" s="445" t="s">
        <v>438</v>
      </c>
      <c r="E11" s="445"/>
      <c r="F11" s="445" t="s">
        <v>438</v>
      </c>
      <c r="G11" s="445" t="s">
        <v>438</v>
      </c>
      <c r="H11" s="445" t="s">
        <v>438</v>
      </c>
      <c r="I11" s="446" t="s">
        <v>438</v>
      </c>
      <c r="J11" s="447" t="s">
        <v>55</v>
      </c>
    </row>
    <row r="12" spans="1:10" ht="14.45" customHeight="1" x14ac:dyDescent="0.2">
      <c r="A12" s="443" t="s">
        <v>444</v>
      </c>
      <c r="B12" s="444" t="s">
        <v>445</v>
      </c>
      <c r="C12" s="445" t="s">
        <v>438</v>
      </c>
      <c r="D12" s="445" t="s">
        <v>438</v>
      </c>
      <c r="E12" s="445"/>
      <c r="F12" s="445" t="s">
        <v>438</v>
      </c>
      <c r="G12" s="445" t="s">
        <v>438</v>
      </c>
      <c r="H12" s="445" t="s">
        <v>438</v>
      </c>
      <c r="I12" s="446" t="s">
        <v>438</v>
      </c>
      <c r="J12" s="447" t="s">
        <v>0</v>
      </c>
    </row>
    <row r="13" spans="1:10" ht="14.45" customHeight="1" x14ac:dyDescent="0.2">
      <c r="A13" s="443" t="s">
        <v>444</v>
      </c>
      <c r="B13" s="444" t="s">
        <v>439</v>
      </c>
      <c r="C13" s="445">
        <v>220.78070999999997</v>
      </c>
      <c r="D13" s="445">
        <v>183.58094000000003</v>
      </c>
      <c r="E13" s="445"/>
      <c r="F13" s="445">
        <v>201.8929</v>
      </c>
      <c r="G13" s="445">
        <v>246</v>
      </c>
      <c r="H13" s="445">
        <v>-44.107100000000003</v>
      </c>
      <c r="I13" s="446">
        <v>0.82070284552845529</v>
      </c>
      <c r="J13" s="447" t="s">
        <v>1</v>
      </c>
    </row>
    <row r="14" spans="1:10" ht="14.45" customHeight="1" x14ac:dyDescent="0.2">
      <c r="A14" s="443" t="s">
        <v>444</v>
      </c>
      <c r="B14" s="444" t="s">
        <v>440</v>
      </c>
      <c r="C14" s="445">
        <v>1.4117500000000003</v>
      </c>
      <c r="D14" s="445">
        <v>1.55217</v>
      </c>
      <c r="E14" s="445"/>
      <c r="F14" s="445">
        <v>1.6096699999999999</v>
      </c>
      <c r="G14" s="445">
        <v>2</v>
      </c>
      <c r="H14" s="445">
        <v>-0.39033000000000007</v>
      </c>
      <c r="I14" s="446">
        <v>0.80483499999999997</v>
      </c>
      <c r="J14" s="447" t="s">
        <v>1</v>
      </c>
    </row>
    <row r="15" spans="1:10" ht="14.45" customHeight="1" x14ac:dyDescent="0.2">
      <c r="A15" s="443" t="s">
        <v>444</v>
      </c>
      <c r="B15" s="444" t="s">
        <v>441</v>
      </c>
      <c r="C15" s="445">
        <v>99.084000000000003</v>
      </c>
      <c r="D15" s="445">
        <v>91.632000000000005</v>
      </c>
      <c r="E15" s="445"/>
      <c r="F15" s="445">
        <v>78.648499999999999</v>
      </c>
      <c r="G15" s="445">
        <v>101</v>
      </c>
      <c r="H15" s="445">
        <v>-22.351500000000001</v>
      </c>
      <c r="I15" s="446">
        <v>0.77869801980198017</v>
      </c>
      <c r="J15" s="447" t="s">
        <v>1</v>
      </c>
    </row>
    <row r="16" spans="1:10" ht="14.45" customHeight="1" x14ac:dyDescent="0.2">
      <c r="A16" s="443" t="s">
        <v>444</v>
      </c>
      <c r="B16" s="444" t="s">
        <v>446</v>
      </c>
      <c r="C16" s="445">
        <v>321.27645999999999</v>
      </c>
      <c r="D16" s="445">
        <v>276.76511000000005</v>
      </c>
      <c r="E16" s="445"/>
      <c r="F16" s="445">
        <v>282.15107</v>
      </c>
      <c r="G16" s="445">
        <v>348</v>
      </c>
      <c r="H16" s="445">
        <v>-65.848929999999996</v>
      </c>
      <c r="I16" s="446">
        <v>0.81077893678160917</v>
      </c>
      <c r="J16" s="447" t="s">
        <v>447</v>
      </c>
    </row>
    <row r="17" spans="1:10" ht="14.45" customHeight="1" x14ac:dyDescent="0.2">
      <c r="A17" s="443" t="s">
        <v>438</v>
      </c>
      <c r="B17" s="444" t="s">
        <v>438</v>
      </c>
      <c r="C17" s="445" t="s">
        <v>438</v>
      </c>
      <c r="D17" s="445" t="s">
        <v>438</v>
      </c>
      <c r="E17" s="445"/>
      <c r="F17" s="445" t="s">
        <v>438</v>
      </c>
      <c r="G17" s="445" t="s">
        <v>438</v>
      </c>
      <c r="H17" s="445" t="s">
        <v>438</v>
      </c>
      <c r="I17" s="446" t="s">
        <v>438</v>
      </c>
      <c r="J17" s="447" t="s">
        <v>448</v>
      </c>
    </row>
    <row r="18" spans="1:10" ht="14.45" customHeight="1" x14ac:dyDescent="0.2">
      <c r="A18" s="443" t="s">
        <v>436</v>
      </c>
      <c r="B18" s="444" t="s">
        <v>442</v>
      </c>
      <c r="C18" s="445">
        <v>321.27645999999999</v>
      </c>
      <c r="D18" s="445">
        <v>276.76511000000005</v>
      </c>
      <c r="E18" s="445"/>
      <c r="F18" s="445">
        <v>282.15107</v>
      </c>
      <c r="G18" s="445">
        <v>348</v>
      </c>
      <c r="H18" s="445">
        <v>-65.848929999999996</v>
      </c>
      <c r="I18" s="446">
        <v>0.81077893678160917</v>
      </c>
      <c r="J18" s="447" t="s">
        <v>443</v>
      </c>
    </row>
  </sheetData>
  <mergeCells count="3">
    <mergeCell ref="F3:I3"/>
    <mergeCell ref="C4:D4"/>
    <mergeCell ref="A1:I1"/>
  </mergeCells>
  <conditionalFormatting sqref="F10 F19:F65537">
    <cfRule type="cellIs" dxfId="39" priority="18" stopIfTrue="1" operator="greaterThan">
      <formula>1</formula>
    </cfRule>
  </conditionalFormatting>
  <conditionalFormatting sqref="H5:H9">
    <cfRule type="expression" dxfId="38" priority="14">
      <formula>$H5&gt;0</formula>
    </cfRule>
  </conditionalFormatting>
  <conditionalFormatting sqref="I5:I9">
    <cfRule type="expression" dxfId="37" priority="15">
      <formula>$I5&gt;1</formula>
    </cfRule>
  </conditionalFormatting>
  <conditionalFormatting sqref="B5:B9">
    <cfRule type="expression" dxfId="36" priority="11">
      <formula>OR($J5="NS",$J5="SumaNS",$J5="Účet")</formula>
    </cfRule>
  </conditionalFormatting>
  <conditionalFormatting sqref="B5:D9 F5:I9">
    <cfRule type="expression" dxfId="35" priority="17">
      <formula>AND($J5&lt;&gt;"",$J5&lt;&gt;"mezeraKL")</formula>
    </cfRule>
  </conditionalFormatting>
  <conditionalFormatting sqref="B5:D9 F5:I9">
    <cfRule type="expression" dxfId="34" priority="12">
      <formula>OR($J5="KL",$J5="SumaKL")</formula>
    </cfRule>
    <cfRule type="expression" priority="16" stopIfTrue="1">
      <formula>OR($J5="mezeraNS",$J5="mezeraKL")</formula>
    </cfRule>
  </conditionalFormatting>
  <conditionalFormatting sqref="F5:I9 B5:D9">
    <cfRule type="expression" dxfId="33" priority="13">
      <formula>OR($J5="SumaNS",$J5="NS")</formula>
    </cfRule>
  </conditionalFormatting>
  <conditionalFormatting sqref="A5:A9">
    <cfRule type="expression" dxfId="32" priority="9">
      <formula>AND($J5&lt;&gt;"mezeraKL",$J5&lt;&gt;"")</formula>
    </cfRule>
  </conditionalFormatting>
  <conditionalFormatting sqref="A5:A9">
    <cfRule type="expression" dxfId="31" priority="10">
      <formula>AND($J5&lt;&gt;"",$J5&lt;&gt;"mezeraKL")</formula>
    </cfRule>
  </conditionalFormatting>
  <conditionalFormatting sqref="H11:H18">
    <cfRule type="expression" dxfId="30" priority="5">
      <formula>$H11&gt;0</formula>
    </cfRule>
  </conditionalFormatting>
  <conditionalFormatting sqref="A11:A18">
    <cfRule type="expression" dxfId="29" priority="2">
      <formula>AND($J11&lt;&gt;"mezeraKL",$J11&lt;&gt;"")</formula>
    </cfRule>
  </conditionalFormatting>
  <conditionalFormatting sqref="I11:I18">
    <cfRule type="expression" dxfId="28" priority="6">
      <formula>$I11&gt;1</formula>
    </cfRule>
  </conditionalFormatting>
  <conditionalFormatting sqref="B11:B18">
    <cfRule type="expression" dxfId="27" priority="1">
      <formula>OR($J11="NS",$J11="SumaNS",$J11="Účet")</formula>
    </cfRule>
  </conditionalFormatting>
  <conditionalFormatting sqref="A11:D18 F11:I18">
    <cfRule type="expression" dxfId="26" priority="8">
      <formula>AND($J11&lt;&gt;"",$J11&lt;&gt;"mezeraKL")</formula>
    </cfRule>
  </conditionalFormatting>
  <conditionalFormatting sqref="B11:D18 F11:I18">
    <cfRule type="expression" dxfId="25" priority="3">
      <formula>OR($J11="KL",$J11="SumaKL")</formula>
    </cfRule>
    <cfRule type="expression" priority="7" stopIfTrue="1">
      <formula>OR($J11="mezeraNS",$J11="mezeraKL")</formula>
    </cfRule>
  </conditionalFormatting>
  <conditionalFormatting sqref="B11:D18 F11:I18">
    <cfRule type="expression" dxfId="24" priority="4">
      <formula>OR($J11="SumaNS",$J11="NS")</formula>
    </cfRule>
  </conditionalFormatting>
  <hyperlinks>
    <hyperlink ref="A2" location="Obsah!A1" display="Zpět na Obsah  KL 01  1.-4.měsíc" xr:uid="{6C7AC1B4-62EE-478E-AAAA-EEC6C12EED67}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>
    <tabColor theme="0" tint="-0.249977111117893"/>
    <pageSetUpPr fitToPage="1"/>
  </sheetPr>
  <dimension ref="A1:N84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ColWidth="8.85546875" defaultRowHeight="14.45" customHeight="1" outlineLevelCol="1" x14ac:dyDescent="0.2"/>
  <cols>
    <col min="1" max="1" width="6.7109375" style="114" hidden="1" customWidth="1" outlineLevel="1"/>
    <col min="2" max="2" width="28.28515625" style="114" hidden="1" customWidth="1" outlineLevel="1"/>
    <col min="3" max="3" width="5.28515625" style="191" bestFit="1" customWidth="1" collapsed="1"/>
    <col min="4" max="4" width="18.7109375" style="195" customWidth="1"/>
    <col min="5" max="5" width="9" style="250" bestFit="1" customWidth="1"/>
    <col min="6" max="6" width="18.7109375" style="195" customWidth="1"/>
    <col min="7" max="7" width="5" style="191" customWidth="1"/>
    <col min="8" max="8" width="12.42578125" style="191" hidden="1" customWidth="1" outlineLevel="1"/>
    <col min="9" max="9" width="8.5703125" style="191" hidden="1" customWidth="1" outlineLevel="1"/>
    <col min="10" max="10" width="25.7109375" style="191" customWidth="1" collapsed="1"/>
    <col min="11" max="11" width="8.7109375" style="191" customWidth="1"/>
    <col min="12" max="13" width="7.7109375" style="189" customWidth="1"/>
    <col min="14" max="14" width="12.7109375" style="189" customWidth="1"/>
    <col min="15" max="16384" width="8.85546875" style="114"/>
  </cols>
  <sheetData>
    <row r="1" spans="1:14" ht="18.600000000000001" customHeight="1" thickBot="1" x14ac:dyDescent="0.35">
      <c r="A1" s="341" t="s">
        <v>136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</row>
    <row r="2" spans="1:14" ht="14.45" customHeight="1" thickBot="1" x14ac:dyDescent="0.25">
      <c r="A2" s="207" t="s">
        <v>242</v>
      </c>
      <c r="B2" s="62"/>
      <c r="C2" s="193"/>
      <c r="D2" s="193"/>
      <c r="E2" s="249"/>
      <c r="F2" s="193"/>
      <c r="G2" s="193"/>
      <c r="H2" s="193"/>
      <c r="I2" s="193"/>
      <c r="J2" s="193"/>
      <c r="K2" s="193"/>
      <c r="L2" s="194"/>
      <c r="M2" s="194"/>
      <c r="N2" s="194"/>
    </row>
    <row r="3" spans="1:14" ht="14.45" customHeight="1" thickBot="1" x14ac:dyDescent="0.25">
      <c r="A3" s="62"/>
      <c r="B3" s="62"/>
      <c r="C3" s="337"/>
      <c r="D3" s="338"/>
      <c r="E3" s="338"/>
      <c r="F3" s="338"/>
      <c r="G3" s="338"/>
      <c r="H3" s="338"/>
      <c r="I3" s="338"/>
      <c r="J3" s="339" t="s">
        <v>107</v>
      </c>
      <c r="K3" s="340"/>
      <c r="L3" s="84">
        <f>IF(M3&lt;&gt;0,N3/M3,0)</f>
        <v>130.75926099499222</v>
      </c>
      <c r="M3" s="84">
        <f>SUBTOTAL(9,M5:M1048576)</f>
        <v>1555.05</v>
      </c>
      <c r="N3" s="85">
        <f>SUBTOTAL(9,N5:N1048576)</f>
        <v>203337.18881026265</v>
      </c>
    </row>
    <row r="4" spans="1:14" s="190" customFormat="1" ht="14.45" customHeight="1" thickBot="1" x14ac:dyDescent="0.25">
      <c r="A4" s="448" t="s">
        <v>4</v>
      </c>
      <c r="B4" s="449" t="s">
        <v>5</v>
      </c>
      <c r="C4" s="449" t="s">
        <v>0</v>
      </c>
      <c r="D4" s="449" t="s">
        <v>6</v>
      </c>
      <c r="E4" s="450" t="s">
        <v>7</v>
      </c>
      <c r="F4" s="449" t="s">
        <v>1</v>
      </c>
      <c r="G4" s="449" t="s">
        <v>8</v>
      </c>
      <c r="H4" s="449" t="s">
        <v>9</v>
      </c>
      <c r="I4" s="449" t="s">
        <v>10</v>
      </c>
      <c r="J4" s="451" t="s">
        <v>11</v>
      </c>
      <c r="K4" s="451" t="s">
        <v>12</v>
      </c>
      <c r="L4" s="452" t="s">
        <v>121</v>
      </c>
      <c r="M4" s="452" t="s">
        <v>13</v>
      </c>
      <c r="N4" s="453" t="s">
        <v>132</v>
      </c>
    </row>
    <row r="5" spans="1:14" ht="14.45" customHeight="1" x14ac:dyDescent="0.2">
      <c r="A5" s="456" t="s">
        <v>436</v>
      </c>
      <c r="B5" s="457" t="s">
        <v>437</v>
      </c>
      <c r="C5" s="458" t="s">
        <v>444</v>
      </c>
      <c r="D5" s="459" t="s">
        <v>445</v>
      </c>
      <c r="E5" s="460">
        <v>50113001</v>
      </c>
      <c r="F5" s="459" t="s">
        <v>449</v>
      </c>
      <c r="G5" s="458" t="s">
        <v>450</v>
      </c>
      <c r="H5" s="458">
        <v>196886</v>
      </c>
      <c r="I5" s="458">
        <v>96886</v>
      </c>
      <c r="J5" s="458" t="s">
        <v>451</v>
      </c>
      <c r="K5" s="458" t="s">
        <v>452</v>
      </c>
      <c r="L5" s="461">
        <v>50.16</v>
      </c>
      <c r="M5" s="461">
        <v>5</v>
      </c>
      <c r="N5" s="462">
        <v>250.79999999999998</v>
      </c>
    </row>
    <row r="6" spans="1:14" ht="14.45" customHeight="1" x14ac:dyDescent="0.2">
      <c r="A6" s="463" t="s">
        <v>436</v>
      </c>
      <c r="B6" s="464" t="s">
        <v>437</v>
      </c>
      <c r="C6" s="465" t="s">
        <v>444</v>
      </c>
      <c r="D6" s="466" t="s">
        <v>445</v>
      </c>
      <c r="E6" s="467">
        <v>50113001</v>
      </c>
      <c r="F6" s="466" t="s">
        <v>449</v>
      </c>
      <c r="G6" s="465" t="s">
        <v>450</v>
      </c>
      <c r="H6" s="465">
        <v>100362</v>
      </c>
      <c r="I6" s="465">
        <v>362</v>
      </c>
      <c r="J6" s="465" t="s">
        <v>453</v>
      </c>
      <c r="K6" s="465" t="s">
        <v>454</v>
      </c>
      <c r="L6" s="468">
        <v>73.957272727272724</v>
      </c>
      <c r="M6" s="468">
        <v>11</v>
      </c>
      <c r="N6" s="469">
        <v>813.53</v>
      </c>
    </row>
    <row r="7" spans="1:14" ht="14.45" customHeight="1" x14ac:dyDescent="0.2">
      <c r="A7" s="463" t="s">
        <v>436</v>
      </c>
      <c r="B7" s="464" t="s">
        <v>437</v>
      </c>
      <c r="C7" s="465" t="s">
        <v>444</v>
      </c>
      <c r="D7" s="466" t="s">
        <v>445</v>
      </c>
      <c r="E7" s="467">
        <v>50113001</v>
      </c>
      <c r="F7" s="466" t="s">
        <v>449</v>
      </c>
      <c r="G7" s="465" t="s">
        <v>450</v>
      </c>
      <c r="H7" s="465">
        <v>196610</v>
      </c>
      <c r="I7" s="465">
        <v>96610</v>
      </c>
      <c r="J7" s="465" t="s">
        <v>455</v>
      </c>
      <c r="K7" s="465" t="s">
        <v>456</v>
      </c>
      <c r="L7" s="468">
        <v>51.739999999999988</v>
      </c>
      <c r="M7" s="468">
        <v>1</v>
      </c>
      <c r="N7" s="469">
        <v>51.739999999999988</v>
      </c>
    </row>
    <row r="8" spans="1:14" ht="14.45" customHeight="1" x14ac:dyDescent="0.2">
      <c r="A8" s="463" t="s">
        <v>436</v>
      </c>
      <c r="B8" s="464" t="s">
        <v>437</v>
      </c>
      <c r="C8" s="465" t="s">
        <v>444</v>
      </c>
      <c r="D8" s="466" t="s">
        <v>445</v>
      </c>
      <c r="E8" s="467">
        <v>50113001</v>
      </c>
      <c r="F8" s="466" t="s">
        <v>449</v>
      </c>
      <c r="G8" s="465" t="s">
        <v>450</v>
      </c>
      <c r="H8" s="465">
        <v>156926</v>
      </c>
      <c r="I8" s="465">
        <v>56926</v>
      </c>
      <c r="J8" s="465" t="s">
        <v>457</v>
      </c>
      <c r="K8" s="465" t="s">
        <v>458</v>
      </c>
      <c r="L8" s="468">
        <v>48.399994744069645</v>
      </c>
      <c r="M8" s="468">
        <v>28</v>
      </c>
      <c r="N8" s="469">
        <v>1355.19985283395</v>
      </c>
    </row>
    <row r="9" spans="1:14" ht="14.45" customHeight="1" x14ac:dyDescent="0.2">
      <c r="A9" s="463" t="s">
        <v>436</v>
      </c>
      <c r="B9" s="464" t="s">
        <v>437</v>
      </c>
      <c r="C9" s="465" t="s">
        <v>444</v>
      </c>
      <c r="D9" s="466" t="s">
        <v>445</v>
      </c>
      <c r="E9" s="467">
        <v>50113001</v>
      </c>
      <c r="F9" s="466" t="s">
        <v>449</v>
      </c>
      <c r="G9" s="465" t="s">
        <v>450</v>
      </c>
      <c r="H9" s="465">
        <v>208456</v>
      </c>
      <c r="I9" s="465">
        <v>208456</v>
      </c>
      <c r="J9" s="465" t="s">
        <v>459</v>
      </c>
      <c r="K9" s="465" t="s">
        <v>460</v>
      </c>
      <c r="L9" s="468">
        <v>738.54</v>
      </c>
      <c r="M9" s="468">
        <v>0.05</v>
      </c>
      <c r="N9" s="469">
        <v>36.927</v>
      </c>
    </row>
    <row r="10" spans="1:14" ht="14.45" customHeight="1" x14ac:dyDescent="0.2">
      <c r="A10" s="463" t="s">
        <v>436</v>
      </c>
      <c r="B10" s="464" t="s">
        <v>437</v>
      </c>
      <c r="C10" s="465" t="s">
        <v>444</v>
      </c>
      <c r="D10" s="466" t="s">
        <v>445</v>
      </c>
      <c r="E10" s="467">
        <v>50113001</v>
      </c>
      <c r="F10" s="466" t="s">
        <v>449</v>
      </c>
      <c r="G10" s="465" t="s">
        <v>450</v>
      </c>
      <c r="H10" s="465">
        <v>100394</v>
      </c>
      <c r="I10" s="465">
        <v>394</v>
      </c>
      <c r="J10" s="465" t="s">
        <v>461</v>
      </c>
      <c r="K10" s="465" t="s">
        <v>462</v>
      </c>
      <c r="L10" s="468">
        <v>65.669999999999987</v>
      </c>
      <c r="M10" s="468">
        <v>1</v>
      </c>
      <c r="N10" s="469">
        <v>65.669999999999987</v>
      </c>
    </row>
    <row r="11" spans="1:14" ht="14.45" customHeight="1" x14ac:dyDescent="0.2">
      <c r="A11" s="463" t="s">
        <v>436</v>
      </c>
      <c r="B11" s="464" t="s">
        <v>437</v>
      </c>
      <c r="C11" s="465" t="s">
        <v>444</v>
      </c>
      <c r="D11" s="466" t="s">
        <v>445</v>
      </c>
      <c r="E11" s="467">
        <v>50113001</v>
      </c>
      <c r="F11" s="466" t="s">
        <v>449</v>
      </c>
      <c r="G11" s="465" t="s">
        <v>450</v>
      </c>
      <c r="H11" s="465">
        <v>112895</v>
      </c>
      <c r="I11" s="465">
        <v>12895</v>
      </c>
      <c r="J11" s="465" t="s">
        <v>463</v>
      </c>
      <c r="K11" s="465" t="s">
        <v>464</v>
      </c>
      <c r="L11" s="468">
        <v>105.55000000000001</v>
      </c>
      <c r="M11" s="468">
        <v>2</v>
      </c>
      <c r="N11" s="469">
        <v>211.10000000000002</v>
      </c>
    </row>
    <row r="12" spans="1:14" ht="14.45" customHeight="1" x14ac:dyDescent="0.2">
      <c r="A12" s="463" t="s">
        <v>436</v>
      </c>
      <c r="B12" s="464" t="s">
        <v>437</v>
      </c>
      <c r="C12" s="465" t="s">
        <v>444</v>
      </c>
      <c r="D12" s="466" t="s">
        <v>445</v>
      </c>
      <c r="E12" s="467">
        <v>50113001</v>
      </c>
      <c r="F12" s="466" t="s">
        <v>449</v>
      </c>
      <c r="G12" s="465" t="s">
        <v>450</v>
      </c>
      <c r="H12" s="465">
        <v>112894</v>
      </c>
      <c r="I12" s="465">
        <v>12894</v>
      </c>
      <c r="J12" s="465" t="s">
        <v>463</v>
      </c>
      <c r="K12" s="465" t="s">
        <v>465</v>
      </c>
      <c r="L12" s="468">
        <v>59.989999999999988</v>
      </c>
      <c r="M12" s="468">
        <v>2</v>
      </c>
      <c r="N12" s="469">
        <v>119.97999999999998</v>
      </c>
    </row>
    <row r="13" spans="1:14" ht="14.45" customHeight="1" x14ac:dyDescent="0.2">
      <c r="A13" s="463" t="s">
        <v>436</v>
      </c>
      <c r="B13" s="464" t="s">
        <v>437</v>
      </c>
      <c r="C13" s="465" t="s">
        <v>444</v>
      </c>
      <c r="D13" s="466" t="s">
        <v>445</v>
      </c>
      <c r="E13" s="467">
        <v>50113001</v>
      </c>
      <c r="F13" s="466" t="s">
        <v>449</v>
      </c>
      <c r="G13" s="465" t="s">
        <v>450</v>
      </c>
      <c r="H13" s="465">
        <v>139968</v>
      </c>
      <c r="I13" s="465">
        <v>139968</v>
      </c>
      <c r="J13" s="465" t="s">
        <v>466</v>
      </c>
      <c r="K13" s="465" t="s">
        <v>467</v>
      </c>
      <c r="L13" s="468">
        <v>69.55</v>
      </c>
      <c r="M13" s="468">
        <v>1</v>
      </c>
      <c r="N13" s="469">
        <v>69.55</v>
      </c>
    </row>
    <row r="14" spans="1:14" ht="14.45" customHeight="1" x14ac:dyDescent="0.2">
      <c r="A14" s="463" t="s">
        <v>436</v>
      </c>
      <c r="B14" s="464" t="s">
        <v>437</v>
      </c>
      <c r="C14" s="465" t="s">
        <v>444</v>
      </c>
      <c r="D14" s="466" t="s">
        <v>445</v>
      </c>
      <c r="E14" s="467">
        <v>50113001</v>
      </c>
      <c r="F14" s="466" t="s">
        <v>449</v>
      </c>
      <c r="G14" s="465" t="s">
        <v>450</v>
      </c>
      <c r="H14" s="465">
        <v>841498</v>
      </c>
      <c r="I14" s="465">
        <v>31951</v>
      </c>
      <c r="J14" s="465" t="s">
        <v>468</v>
      </c>
      <c r="K14" s="465" t="s">
        <v>469</v>
      </c>
      <c r="L14" s="468">
        <v>51.760000000000012</v>
      </c>
      <c r="M14" s="468">
        <v>3</v>
      </c>
      <c r="N14" s="469">
        <v>155.28000000000003</v>
      </c>
    </row>
    <row r="15" spans="1:14" ht="14.45" customHeight="1" x14ac:dyDescent="0.2">
      <c r="A15" s="463" t="s">
        <v>436</v>
      </c>
      <c r="B15" s="464" t="s">
        <v>437</v>
      </c>
      <c r="C15" s="465" t="s">
        <v>444</v>
      </c>
      <c r="D15" s="466" t="s">
        <v>445</v>
      </c>
      <c r="E15" s="467">
        <v>50113001</v>
      </c>
      <c r="F15" s="466" t="s">
        <v>449</v>
      </c>
      <c r="G15" s="465" t="s">
        <v>450</v>
      </c>
      <c r="H15" s="465">
        <v>230422</v>
      </c>
      <c r="I15" s="465">
        <v>230422</v>
      </c>
      <c r="J15" s="465" t="s">
        <v>470</v>
      </c>
      <c r="K15" s="465" t="s">
        <v>471</v>
      </c>
      <c r="L15" s="468">
        <v>39.9</v>
      </c>
      <c r="M15" s="468">
        <v>1</v>
      </c>
      <c r="N15" s="469">
        <v>39.9</v>
      </c>
    </row>
    <row r="16" spans="1:14" ht="14.45" customHeight="1" x14ac:dyDescent="0.2">
      <c r="A16" s="463" t="s">
        <v>436</v>
      </c>
      <c r="B16" s="464" t="s">
        <v>437</v>
      </c>
      <c r="C16" s="465" t="s">
        <v>444</v>
      </c>
      <c r="D16" s="466" t="s">
        <v>445</v>
      </c>
      <c r="E16" s="467">
        <v>50113001</v>
      </c>
      <c r="F16" s="466" t="s">
        <v>449</v>
      </c>
      <c r="G16" s="465" t="s">
        <v>450</v>
      </c>
      <c r="H16" s="465">
        <v>117011</v>
      </c>
      <c r="I16" s="465">
        <v>17011</v>
      </c>
      <c r="J16" s="465" t="s">
        <v>472</v>
      </c>
      <c r="K16" s="465" t="s">
        <v>473</v>
      </c>
      <c r="L16" s="468">
        <v>145.5</v>
      </c>
      <c r="M16" s="468">
        <v>1</v>
      </c>
      <c r="N16" s="469">
        <v>145.5</v>
      </c>
    </row>
    <row r="17" spans="1:14" ht="14.45" customHeight="1" x14ac:dyDescent="0.2">
      <c r="A17" s="463" t="s">
        <v>436</v>
      </c>
      <c r="B17" s="464" t="s">
        <v>437</v>
      </c>
      <c r="C17" s="465" t="s">
        <v>444</v>
      </c>
      <c r="D17" s="466" t="s">
        <v>445</v>
      </c>
      <c r="E17" s="467">
        <v>50113001</v>
      </c>
      <c r="F17" s="466" t="s">
        <v>449</v>
      </c>
      <c r="G17" s="465" t="s">
        <v>450</v>
      </c>
      <c r="H17" s="465">
        <v>900240</v>
      </c>
      <c r="I17" s="465">
        <v>0</v>
      </c>
      <c r="J17" s="465" t="s">
        <v>474</v>
      </c>
      <c r="K17" s="465" t="s">
        <v>438</v>
      </c>
      <c r="L17" s="468">
        <v>67.759971948223026</v>
      </c>
      <c r="M17" s="468">
        <v>2</v>
      </c>
      <c r="N17" s="469">
        <v>135.51994389644605</v>
      </c>
    </row>
    <row r="18" spans="1:14" ht="14.45" customHeight="1" x14ac:dyDescent="0.2">
      <c r="A18" s="463" t="s">
        <v>436</v>
      </c>
      <c r="B18" s="464" t="s">
        <v>437</v>
      </c>
      <c r="C18" s="465" t="s">
        <v>444</v>
      </c>
      <c r="D18" s="466" t="s">
        <v>445</v>
      </c>
      <c r="E18" s="467">
        <v>50113001</v>
      </c>
      <c r="F18" s="466" t="s">
        <v>449</v>
      </c>
      <c r="G18" s="465" t="s">
        <v>450</v>
      </c>
      <c r="H18" s="465">
        <v>501596</v>
      </c>
      <c r="I18" s="465">
        <v>0</v>
      </c>
      <c r="J18" s="465" t="s">
        <v>475</v>
      </c>
      <c r="K18" s="465" t="s">
        <v>476</v>
      </c>
      <c r="L18" s="468">
        <v>113.26</v>
      </c>
      <c r="M18" s="468">
        <v>9</v>
      </c>
      <c r="N18" s="469">
        <v>1019.34</v>
      </c>
    </row>
    <row r="19" spans="1:14" ht="14.45" customHeight="1" x14ac:dyDescent="0.2">
      <c r="A19" s="463" t="s">
        <v>436</v>
      </c>
      <c r="B19" s="464" t="s">
        <v>437</v>
      </c>
      <c r="C19" s="465" t="s">
        <v>444</v>
      </c>
      <c r="D19" s="466" t="s">
        <v>445</v>
      </c>
      <c r="E19" s="467">
        <v>50113001</v>
      </c>
      <c r="F19" s="466" t="s">
        <v>449</v>
      </c>
      <c r="G19" s="465" t="s">
        <v>450</v>
      </c>
      <c r="H19" s="465">
        <v>140631</v>
      </c>
      <c r="I19" s="465">
        <v>203909</v>
      </c>
      <c r="J19" s="465" t="s">
        <v>477</v>
      </c>
      <c r="K19" s="465" t="s">
        <v>478</v>
      </c>
      <c r="L19" s="468">
        <v>175.75</v>
      </c>
      <c r="M19" s="468">
        <v>6</v>
      </c>
      <c r="N19" s="469">
        <v>1054.5</v>
      </c>
    </row>
    <row r="20" spans="1:14" ht="14.45" customHeight="1" x14ac:dyDescent="0.2">
      <c r="A20" s="463" t="s">
        <v>436</v>
      </c>
      <c r="B20" s="464" t="s">
        <v>437</v>
      </c>
      <c r="C20" s="465" t="s">
        <v>444</v>
      </c>
      <c r="D20" s="466" t="s">
        <v>445</v>
      </c>
      <c r="E20" s="467">
        <v>50113001</v>
      </c>
      <c r="F20" s="466" t="s">
        <v>449</v>
      </c>
      <c r="G20" s="465" t="s">
        <v>450</v>
      </c>
      <c r="H20" s="465">
        <v>992047</v>
      </c>
      <c r="I20" s="465">
        <v>0</v>
      </c>
      <c r="J20" s="465" t="s">
        <v>479</v>
      </c>
      <c r="K20" s="465" t="s">
        <v>438</v>
      </c>
      <c r="L20" s="468">
        <v>158.86000000000001</v>
      </c>
      <c r="M20" s="468">
        <v>2</v>
      </c>
      <c r="N20" s="469">
        <v>317.72000000000003</v>
      </c>
    </row>
    <row r="21" spans="1:14" ht="14.45" customHeight="1" x14ac:dyDescent="0.2">
      <c r="A21" s="463" t="s">
        <v>436</v>
      </c>
      <c r="B21" s="464" t="s">
        <v>437</v>
      </c>
      <c r="C21" s="465" t="s">
        <v>444</v>
      </c>
      <c r="D21" s="466" t="s">
        <v>445</v>
      </c>
      <c r="E21" s="467">
        <v>50113001</v>
      </c>
      <c r="F21" s="466" t="s">
        <v>449</v>
      </c>
      <c r="G21" s="465" t="s">
        <v>450</v>
      </c>
      <c r="H21" s="465">
        <v>216572</v>
      </c>
      <c r="I21" s="465">
        <v>216572</v>
      </c>
      <c r="J21" s="465" t="s">
        <v>480</v>
      </c>
      <c r="K21" s="465" t="s">
        <v>481</v>
      </c>
      <c r="L21" s="468">
        <v>36.28</v>
      </c>
      <c r="M21" s="468">
        <v>10</v>
      </c>
      <c r="N21" s="469">
        <v>362.8</v>
      </c>
    </row>
    <row r="22" spans="1:14" ht="14.45" customHeight="1" x14ac:dyDescent="0.2">
      <c r="A22" s="463" t="s">
        <v>436</v>
      </c>
      <c r="B22" s="464" t="s">
        <v>437</v>
      </c>
      <c r="C22" s="465" t="s">
        <v>444</v>
      </c>
      <c r="D22" s="466" t="s">
        <v>445</v>
      </c>
      <c r="E22" s="467">
        <v>50113001</v>
      </c>
      <c r="F22" s="466" t="s">
        <v>449</v>
      </c>
      <c r="G22" s="465" t="s">
        <v>450</v>
      </c>
      <c r="H22" s="465">
        <v>51367</v>
      </c>
      <c r="I22" s="465">
        <v>51367</v>
      </c>
      <c r="J22" s="465" t="s">
        <v>482</v>
      </c>
      <c r="K22" s="465" t="s">
        <v>483</v>
      </c>
      <c r="L22" s="468">
        <v>92.95</v>
      </c>
      <c r="M22" s="468">
        <v>6</v>
      </c>
      <c r="N22" s="469">
        <v>557.70000000000005</v>
      </c>
    </row>
    <row r="23" spans="1:14" ht="14.45" customHeight="1" x14ac:dyDescent="0.2">
      <c r="A23" s="463" t="s">
        <v>436</v>
      </c>
      <c r="B23" s="464" t="s">
        <v>437</v>
      </c>
      <c r="C23" s="465" t="s">
        <v>444</v>
      </c>
      <c r="D23" s="466" t="s">
        <v>445</v>
      </c>
      <c r="E23" s="467">
        <v>50113001</v>
      </c>
      <c r="F23" s="466" t="s">
        <v>449</v>
      </c>
      <c r="G23" s="465" t="s">
        <v>450</v>
      </c>
      <c r="H23" s="465">
        <v>51383</v>
      </c>
      <c r="I23" s="465">
        <v>51383</v>
      </c>
      <c r="J23" s="465" t="s">
        <v>482</v>
      </c>
      <c r="K23" s="465" t="s">
        <v>484</v>
      </c>
      <c r="L23" s="468">
        <v>93.500006553176064</v>
      </c>
      <c r="M23" s="468">
        <v>4</v>
      </c>
      <c r="N23" s="469">
        <v>374.00002621270426</v>
      </c>
    </row>
    <row r="24" spans="1:14" ht="14.45" customHeight="1" x14ac:dyDescent="0.2">
      <c r="A24" s="463" t="s">
        <v>436</v>
      </c>
      <c r="B24" s="464" t="s">
        <v>437</v>
      </c>
      <c r="C24" s="465" t="s">
        <v>444</v>
      </c>
      <c r="D24" s="466" t="s">
        <v>445</v>
      </c>
      <c r="E24" s="467">
        <v>50113001</v>
      </c>
      <c r="F24" s="466" t="s">
        <v>449</v>
      </c>
      <c r="G24" s="465" t="s">
        <v>450</v>
      </c>
      <c r="H24" s="465">
        <v>207898</v>
      </c>
      <c r="I24" s="465">
        <v>207898</v>
      </c>
      <c r="J24" s="465" t="s">
        <v>485</v>
      </c>
      <c r="K24" s="465" t="s">
        <v>486</v>
      </c>
      <c r="L24" s="468">
        <v>59.490000000000023</v>
      </c>
      <c r="M24" s="468">
        <v>1</v>
      </c>
      <c r="N24" s="469">
        <v>59.490000000000023</v>
      </c>
    </row>
    <row r="25" spans="1:14" ht="14.45" customHeight="1" x14ac:dyDescent="0.2">
      <c r="A25" s="463" t="s">
        <v>436</v>
      </c>
      <c r="B25" s="464" t="s">
        <v>437</v>
      </c>
      <c r="C25" s="465" t="s">
        <v>444</v>
      </c>
      <c r="D25" s="466" t="s">
        <v>445</v>
      </c>
      <c r="E25" s="467">
        <v>50113001</v>
      </c>
      <c r="F25" s="466" t="s">
        <v>449</v>
      </c>
      <c r="G25" s="465" t="s">
        <v>450</v>
      </c>
      <c r="H25" s="465">
        <v>207899</v>
      </c>
      <c r="I25" s="465">
        <v>207899</v>
      </c>
      <c r="J25" s="465" t="s">
        <v>485</v>
      </c>
      <c r="K25" s="465" t="s">
        <v>487</v>
      </c>
      <c r="L25" s="468">
        <v>66.919999999999973</v>
      </c>
      <c r="M25" s="468">
        <v>2</v>
      </c>
      <c r="N25" s="469">
        <v>133.83999999999995</v>
      </c>
    </row>
    <row r="26" spans="1:14" ht="14.45" customHeight="1" x14ac:dyDescent="0.2">
      <c r="A26" s="463" t="s">
        <v>436</v>
      </c>
      <c r="B26" s="464" t="s">
        <v>437</v>
      </c>
      <c r="C26" s="465" t="s">
        <v>444</v>
      </c>
      <c r="D26" s="466" t="s">
        <v>445</v>
      </c>
      <c r="E26" s="467">
        <v>50113001</v>
      </c>
      <c r="F26" s="466" t="s">
        <v>449</v>
      </c>
      <c r="G26" s="465" t="s">
        <v>450</v>
      </c>
      <c r="H26" s="465">
        <v>207897</v>
      </c>
      <c r="I26" s="465">
        <v>207897</v>
      </c>
      <c r="J26" s="465" t="s">
        <v>485</v>
      </c>
      <c r="K26" s="465" t="s">
        <v>488</v>
      </c>
      <c r="L26" s="468">
        <v>44.59</v>
      </c>
      <c r="M26" s="468">
        <v>2</v>
      </c>
      <c r="N26" s="469">
        <v>89.18</v>
      </c>
    </row>
    <row r="27" spans="1:14" ht="14.45" customHeight="1" x14ac:dyDescent="0.2">
      <c r="A27" s="463" t="s">
        <v>436</v>
      </c>
      <c r="B27" s="464" t="s">
        <v>437</v>
      </c>
      <c r="C27" s="465" t="s">
        <v>444</v>
      </c>
      <c r="D27" s="466" t="s">
        <v>445</v>
      </c>
      <c r="E27" s="467">
        <v>50113001</v>
      </c>
      <c r="F27" s="466" t="s">
        <v>449</v>
      </c>
      <c r="G27" s="465" t="s">
        <v>450</v>
      </c>
      <c r="H27" s="465">
        <v>202878</v>
      </c>
      <c r="I27" s="465">
        <v>202878</v>
      </c>
      <c r="J27" s="465" t="s">
        <v>489</v>
      </c>
      <c r="K27" s="465" t="s">
        <v>490</v>
      </c>
      <c r="L27" s="468">
        <v>43.160000000000004</v>
      </c>
      <c r="M27" s="468">
        <v>1</v>
      </c>
      <c r="N27" s="469">
        <v>43.160000000000004</v>
      </c>
    </row>
    <row r="28" spans="1:14" ht="14.45" customHeight="1" x14ac:dyDescent="0.2">
      <c r="A28" s="463" t="s">
        <v>436</v>
      </c>
      <c r="B28" s="464" t="s">
        <v>437</v>
      </c>
      <c r="C28" s="465" t="s">
        <v>444</v>
      </c>
      <c r="D28" s="466" t="s">
        <v>445</v>
      </c>
      <c r="E28" s="467">
        <v>50113001</v>
      </c>
      <c r="F28" s="466" t="s">
        <v>449</v>
      </c>
      <c r="G28" s="465" t="s">
        <v>450</v>
      </c>
      <c r="H28" s="465">
        <v>394712</v>
      </c>
      <c r="I28" s="465">
        <v>0</v>
      </c>
      <c r="J28" s="465" t="s">
        <v>491</v>
      </c>
      <c r="K28" s="465" t="s">
        <v>492</v>
      </c>
      <c r="L28" s="468">
        <v>28.75</v>
      </c>
      <c r="M28" s="468">
        <v>138</v>
      </c>
      <c r="N28" s="469">
        <v>3967.5</v>
      </c>
    </row>
    <row r="29" spans="1:14" ht="14.45" customHeight="1" x14ac:dyDescent="0.2">
      <c r="A29" s="463" t="s">
        <v>436</v>
      </c>
      <c r="B29" s="464" t="s">
        <v>437</v>
      </c>
      <c r="C29" s="465" t="s">
        <v>444</v>
      </c>
      <c r="D29" s="466" t="s">
        <v>445</v>
      </c>
      <c r="E29" s="467">
        <v>50113001</v>
      </c>
      <c r="F29" s="466" t="s">
        <v>449</v>
      </c>
      <c r="G29" s="465" t="s">
        <v>450</v>
      </c>
      <c r="H29" s="465">
        <v>164758</v>
      </c>
      <c r="I29" s="465">
        <v>64758</v>
      </c>
      <c r="J29" s="465" t="s">
        <v>493</v>
      </c>
      <c r="K29" s="465" t="s">
        <v>494</v>
      </c>
      <c r="L29" s="468">
        <v>92.78</v>
      </c>
      <c r="M29" s="468">
        <v>5</v>
      </c>
      <c r="N29" s="469">
        <v>463.9</v>
      </c>
    </row>
    <row r="30" spans="1:14" ht="14.45" customHeight="1" x14ac:dyDescent="0.2">
      <c r="A30" s="463" t="s">
        <v>436</v>
      </c>
      <c r="B30" s="464" t="s">
        <v>437</v>
      </c>
      <c r="C30" s="465" t="s">
        <v>444</v>
      </c>
      <c r="D30" s="466" t="s">
        <v>445</v>
      </c>
      <c r="E30" s="467">
        <v>50113001</v>
      </c>
      <c r="F30" s="466" t="s">
        <v>449</v>
      </c>
      <c r="G30" s="465" t="s">
        <v>450</v>
      </c>
      <c r="H30" s="465">
        <v>930444</v>
      </c>
      <c r="I30" s="465">
        <v>0</v>
      </c>
      <c r="J30" s="465" t="s">
        <v>495</v>
      </c>
      <c r="K30" s="465" t="s">
        <v>438</v>
      </c>
      <c r="L30" s="468">
        <v>43.236204547516593</v>
      </c>
      <c r="M30" s="468">
        <v>14</v>
      </c>
      <c r="N30" s="469">
        <v>605.3068636652323</v>
      </c>
    </row>
    <row r="31" spans="1:14" ht="14.45" customHeight="1" x14ac:dyDescent="0.2">
      <c r="A31" s="463" t="s">
        <v>436</v>
      </c>
      <c r="B31" s="464" t="s">
        <v>437</v>
      </c>
      <c r="C31" s="465" t="s">
        <v>444</v>
      </c>
      <c r="D31" s="466" t="s">
        <v>445</v>
      </c>
      <c r="E31" s="467">
        <v>50113001</v>
      </c>
      <c r="F31" s="466" t="s">
        <v>449</v>
      </c>
      <c r="G31" s="465" t="s">
        <v>450</v>
      </c>
      <c r="H31" s="465">
        <v>921245</v>
      </c>
      <c r="I31" s="465">
        <v>0</v>
      </c>
      <c r="J31" s="465" t="s">
        <v>496</v>
      </c>
      <c r="K31" s="465" t="s">
        <v>438</v>
      </c>
      <c r="L31" s="468">
        <v>115.90691276635803</v>
      </c>
      <c r="M31" s="468">
        <v>1</v>
      </c>
      <c r="N31" s="469">
        <v>115.90691276635803</v>
      </c>
    </row>
    <row r="32" spans="1:14" ht="14.45" customHeight="1" x14ac:dyDescent="0.2">
      <c r="A32" s="463" t="s">
        <v>436</v>
      </c>
      <c r="B32" s="464" t="s">
        <v>437</v>
      </c>
      <c r="C32" s="465" t="s">
        <v>444</v>
      </c>
      <c r="D32" s="466" t="s">
        <v>445</v>
      </c>
      <c r="E32" s="467">
        <v>50113001</v>
      </c>
      <c r="F32" s="466" t="s">
        <v>449</v>
      </c>
      <c r="G32" s="465" t="s">
        <v>450</v>
      </c>
      <c r="H32" s="465">
        <v>500326</v>
      </c>
      <c r="I32" s="465">
        <v>1000</v>
      </c>
      <c r="J32" s="465" t="s">
        <v>497</v>
      </c>
      <c r="K32" s="465" t="s">
        <v>438</v>
      </c>
      <c r="L32" s="468">
        <v>155.42339259465865</v>
      </c>
      <c r="M32" s="468">
        <v>1</v>
      </c>
      <c r="N32" s="469">
        <v>155.42339259465865</v>
      </c>
    </row>
    <row r="33" spans="1:14" ht="14.45" customHeight="1" x14ac:dyDescent="0.2">
      <c r="A33" s="463" t="s">
        <v>436</v>
      </c>
      <c r="B33" s="464" t="s">
        <v>437</v>
      </c>
      <c r="C33" s="465" t="s">
        <v>444</v>
      </c>
      <c r="D33" s="466" t="s">
        <v>445</v>
      </c>
      <c r="E33" s="467">
        <v>50113001</v>
      </c>
      <c r="F33" s="466" t="s">
        <v>449</v>
      </c>
      <c r="G33" s="465" t="s">
        <v>450</v>
      </c>
      <c r="H33" s="465">
        <v>930224</v>
      </c>
      <c r="I33" s="465">
        <v>0</v>
      </c>
      <c r="J33" s="465" t="s">
        <v>498</v>
      </c>
      <c r="K33" s="465" t="s">
        <v>438</v>
      </c>
      <c r="L33" s="468">
        <v>111.54925785689277</v>
      </c>
      <c r="M33" s="468">
        <v>2</v>
      </c>
      <c r="N33" s="469">
        <v>223.09851571378553</v>
      </c>
    </row>
    <row r="34" spans="1:14" ht="14.45" customHeight="1" x14ac:dyDescent="0.2">
      <c r="A34" s="463" t="s">
        <v>436</v>
      </c>
      <c r="B34" s="464" t="s">
        <v>437</v>
      </c>
      <c r="C34" s="465" t="s">
        <v>444</v>
      </c>
      <c r="D34" s="466" t="s">
        <v>445</v>
      </c>
      <c r="E34" s="467">
        <v>50113001</v>
      </c>
      <c r="F34" s="466" t="s">
        <v>449</v>
      </c>
      <c r="G34" s="465" t="s">
        <v>450</v>
      </c>
      <c r="H34" s="465">
        <v>921454</v>
      </c>
      <c r="I34" s="465">
        <v>0</v>
      </c>
      <c r="J34" s="465" t="s">
        <v>499</v>
      </c>
      <c r="K34" s="465" t="s">
        <v>438</v>
      </c>
      <c r="L34" s="468">
        <v>44.900221206652965</v>
      </c>
      <c r="M34" s="468">
        <v>4</v>
      </c>
      <c r="N34" s="469">
        <v>179.60088482661186</v>
      </c>
    </row>
    <row r="35" spans="1:14" ht="14.45" customHeight="1" x14ac:dyDescent="0.2">
      <c r="A35" s="463" t="s">
        <v>436</v>
      </c>
      <c r="B35" s="464" t="s">
        <v>437</v>
      </c>
      <c r="C35" s="465" t="s">
        <v>444</v>
      </c>
      <c r="D35" s="466" t="s">
        <v>445</v>
      </c>
      <c r="E35" s="467">
        <v>50113001</v>
      </c>
      <c r="F35" s="466" t="s">
        <v>449</v>
      </c>
      <c r="G35" s="465" t="s">
        <v>450</v>
      </c>
      <c r="H35" s="465">
        <v>921244</v>
      </c>
      <c r="I35" s="465">
        <v>0</v>
      </c>
      <c r="J35" s="465" t="s">
        <v>500</v>
      </c>
      <c r="K35" s="465" t="s">
        <v>438</v>
      </c>
      <c r="L35" s="468">
        <v>80.49562728659626</v>
      </c>
      <c r="M35" s="468">
        <v>3</v>
      </c>
      <c r="N35" s="469">
        <v>241.48688185978878</v>
      </c>
    </row>
    <row r="36" spans="1:14" ht="14.45" customHeight="1" x14ac:dyDescent="0.2">
      <c r="A36" s="463" t="s">
        <v>436</v>
      </c>
      <c r="B36" s="464" t="s">
        <v>437</v>
      </c>
      <c r="C36" s="465" t="s">
        <v>444</v>
      </c>
      <c r="D36" s="466" t="s">
        <v>445</v>
      </c>
      <c r="E36" s="467">
        <v>50113001</v>
      </c>
      <c r="F36" s="466" t="s">
        <v>449</v>
      </c>
      <c r="G36" s="465" t="s">
        <v>450</v>
      </c>
      <c r="H36" s="465">
        <v>911927</v>
      </c>
      <c r="I36" s="465">
        <v>0</v>
      </c>
      <c r="J36" s="465" t="s">
        <v>501</v>
      </c>
      <c r="K36" s="465" t="s">
        <v>438</v>
      </c>
      <c r="L36" s="468">
        <v>94.238491060666831</v>
      </c>
      <c r="M36" s="468">
        <v>1</v>
      </c>
      <c r="N36" s="469">
        <v>94.238491060666831</v>
      </c>
    </row>
    <row r="37" spans="1:14" ht="14.45" customHeight="1" x14ac:dyDescent="0.2">
      <c r="A37" s="463" t="s">
        <v>436</v>
      </c>
      <c r="B37" s="464" t="s">
        <v>437</v>
      </c>
      <c r="C37" s="465" t="s">
        <v>444</v>
      </c>
      <c r="D37" s="466" t="s">
        <v>445</v>
      </c>
      <c r="E37" s="467">
        <v>50113001</v>
      </c>
      <c r="F37" s="466" t="s">
        <v>449</v>
      </c>
      <c r="G37" s="465" t="s">
        <v>450</v>
      </c>
      <c r="H37" s="465">
        <v>900513</v>
      </c>
      <c r="I37" s="465">
        <v>0</v>
      </c>
      <c r="J37" s="465" t="s">
        <v>502</v>
      </c>
      <c r="K37" s="465" t="s">
        <v>438</v>
      </c>
      <c r="L37" s="468">
        <v>73.510181324589865</v>
      </c>
      <c r="M37" s="468">
        <v>26</v>
      </c>
      <c r="N37" s="469">
        <v>1911.2647144393366</v>
      </c>
    </row>
    <row r="38" spans="1:14" ht="14.45" customHeight="1" x14ac:dyDescent="0.2">
      <c r="A38" s="463" t="s">
        <v>436</v>
      </c>
      <c r="B38" s="464" t="s">
        <v>437</v>
      </c>
      <c r="C38" s="465" t="s">
        <v>444</v>
      </c>
      <c r="D38" s="466" t="s">
        <v>445</v>
      </c>
      <c r="E38" s="467">
        <v>50113001</v>
      </c>
      <c r="F38" s="466" t="s">
        <v>449</v>
      </c>
      <c r="G38" s="465" t="s">
        <v>450</v>
      </c>
      <c r="H38" s="465">
        <v>397238</v>
      </c>
      <c r="I38" s="465">
        <v>0</v>
      </c>
      <c r="J38" s="465" t="s">
        <v>503</v>
      </c>
      <c r="K38" s="465" t="s">
        <v>438</v>
      </c>
      <c r="L38" s="468">
        <v>136.48536576909612</v>
      </c>
      <c r="M38" s="468">
        <v>2</v>
      </c>
      <c r="N38" s="469">
        <v>272.97073153819224</v>
      </c>
    </row>
    <row r="39" spans="1:14" ht="14.45" customHeight="1" x14ac:dyDescent="0.2">
      <c r="A39" s="463" t="s">
        <v>436</v>
      </c>
      <c r="B39" s="464" t="s">
        <v>437</v>
      </c>
      <c r="C39" s="465" t="s">
        <v>444</v>
      </c>
      <c r="D39" s="466" t="s">
        <v>445</v>
      </c>
      <c r="E39" s="467">
        <v>50113001</v>
      </c>
      <c r="F39" s="466" t="s">
        <v>449</v>
      </c>
      <c r="G39" s="465" t="s">
        <v>450</v>
      </c>
      <c r="H39" s="465">
        <v>501828</v>
      </c>
      <c r="I39" s="465">
        <v>0</v>
      </c>
      <c r="J39" s="465" t="s">
        <v>504</v>
      </c>
      <c r="K39" s="465" t="s">
        <v>438</v>
      </c>
      <c r="L39" s="468">
        <v>76.318362455113743</v>
      </c>
      <c r="M39" s="468">
        <v>23</v>
      </c>
      <c r="N39" s="469">
        <v>1755.322336467616</v>
      </c>
    </row>
    <row r="40" spans="1:14" ht="14.45" customHeight="1" x14ac:dyDescent="0.2">
      <c r="A40" s="463" t="s">
        <v>436</v>
      </c>
      <c r="B40" s="464" t="s">
        <v>437</v>
      </c>
      <c r="C40" s="465" t="s">
        <v>444</v>
      </c>
      <c r="D40" s="466" t="s">
        <v>445</v>
      </c>
      <c r="E40" s="467">
        <v>50113001</v>
      </c>
      <c r="F40" s="466" t="s">
        <v>449</v>
      </c>
      <c r="G40" s="465" t="s">
        <v>450</v>
      </c>
      <c r="H40" s="465">
        <v>900857</v>
      </c>
      <c r="I40" s="465">
        <v>0</v>
      </c>
      <c r="J40" s="465" t="s">
        <v>505</v>
      </c>
      <c r="K40" s="465" t="s">
        <v>438</v>
      </c>
      <c r="L40" s="468">
        <v>236.07257758770177</v>
      </c>
      <c r="M40" s="468">
        <v>23</v>
      </c>
      <c r="N40" s="469">
        <v>5429.669284517141</v>
      </c>
    </row>
    <row r="41" spans="1:14" ht="14.45" customHeight="1" x14ac:dyDescent="0.2">
      <c r="A41" s="463" t="s">
        <v>436</v>
      </c>
      <c r="B41" s="464" t="s">
        <v>437</v>
      </c>
      <c r="C41" s="465" t="s">
        <v>444</v>
      </c>
      <c r="D41" s="466" t="s">
        <v>445</v>
      </c>
      <c r="E41" s="467">
        <v>50113001</v>
      </c>
      <c r="F41" s="466" t="s">
        <v>449</v>
      </c>
      <c r="G41" s="465" t="s">
        <v>450</v>
      </c>
      <c r="H41" s="465">
        <v>930673</v>
      </c>
      <c r="I41" s="465">
        <v>0</v>
      </c>
      <c r="J41" s="465" t="s">
        <v>506</v>
      </c>
      <c r="K41" s="465" t="s">
        <v>507</v>
      </c>
      <c r="L41" s="468">
        <v>176.78582190358787</v>
      </c>
      <c r="M41" s="468">
        <v>8</v>
      </c>
      <c r="N41" s="469">
        <v>1414.286575228703</v>
      </c>
    </row>
    <row r="42" spans="1:14" ht="14.45" customHeight="1" x14ac:dyDescent="0.2">
      <c r="A42" s="463" t="s">
        <v>436</v>
      </c>
      <c r="B42" s="464" t="s">
        <v>437</v>
      </c>
      <c r="C42" s="465" t="s">
        <v>444</v>
      </c>
      <c r="D42" s="466" t="s">
        <v>445</v>
      </c>
      <c r="E42" s="467">
        <v>50113001</v>
      </c>
      <c r="F42" s="466" t="s">
        <v>449</v>
      </c>
      <c r="G42" s="465" t="s">
        <v>450</v>
      </c>
      <c r="H42" s="465">
        <v>930671</v>
      </c>
      <c r="I42" s="465">
        <v>0</v>
      </c>
      <c r="J42" s="465" t="s">
        <v>508</v>
      </c>
      <c r="K42" s="465" t="s">
        <v>507</v>
      </c>
      <c r="L42" s="468">
        <v>195.70293666402191</v>
      </c>
      <c r="M42" s="468">
        <v>30</v>
      </c>
      <c r="N42" s="469">
        <v>5871.0880999206574</v>
      </c>
    </row>
    <row r="43" spans="1:14" ht="14.45" customHeight="1" x14ac:dyDescent="0.2">
      <c r="A43" s="463" t="s">
        <v>436</v>
      </c>
      <c r="B43" s="464" t="s">
        <v>437</v>
      </c>
      <c r="C43" s="465" t="s">
        <v>444</v>
      </c>
      <c r="D43" s="466" t="s">
        <v>445</v>
      </c>
      <c r="E43" s="467">
        <v>50113001</v>
      </c>
      <c r="F43" s="466" t="s">
        <v>449</v>
      </c>
      <c r="G43" s="465" t="s">
        <v>450</v>
      </c>
      <c r="H43" s="465">
        <v>930670</v>
      </c>
      <c r="I43" s="465">
        <v>0</v>
      </c>
      <c r="J43" s="465" t="s">
        <v>509</v>
      </c>
      <c r="K43" s="465" t="s">
        <v>507</v>
      </c>
      <c r="L43" s="468">
        <v>137.48776201444639</v>
      </c>
      <c r="M43" s="468">
        <v>35</v>
      </c>
      <c r="N43" s="469">
        <v>4812.0716705056238</v>
      </c>
    </row>
    <row r="44" spans="1:14" ht="14.45" customHeight="1" x14ac:dyDescent="0.2">
      <c r="A44" s="463" t="s">
        <v>436</v>
      </c>
      <c r="B44" s="464" t="s">
        <v>437</v>
      </c>
      <c r="C44" s="465" t="s">
        <v>444</v>
      </c>
      <c r="D44" s="466" t="s">
        <v>445</v>
      </c>
      <c r="E44" s="467">
        <v>50113001</v>
      </c>
      <c r="F44" s="466" t="s">
        <v>449</v>
      </c>
      <c r="G44" s="465" t="s">
        <v>450</v>
      </c>
      <c r="H44" s="465">
        <v>501957</v>
      </c>
      <c r="I44" s="465">
        <v>0</v>
      </c>
      <c r="J44" s="465" t="s">
        <v>510</v>
      </c>
      <c r="K44" s="465" t="s">
        <v>438</v>
      </c>
      <c r="L44" s="468">
        <v>133.24847333611388</v>
      </c>
      <c r="M44" s="468">
        <v>10</v>
      </c>
      <c r="N44" s="469">
        <v>1332.4847333611388</v>
      </c>
    </row>
    <row r="45" spans="1:14" ht="14.45" customHeight="1" x14ac:dyDescent="0.2">
      <c r="A45" s="463" t="s">
        <v>436</v>
      </c>
      <c r="B45" s="464" t="s">
        <v>437</v>
      </c>
      <c r="C45" s="465" t="s">
        <v>444</v>
      </c>
      <c r="D45" s="466" t="s">
        <v>445</v>
      </c>
      <c r="E45" s="467">
        <v>50113001</v>
      </c>
      <c r="F45" s="466" t="s">
        <v>449</v>
      </c>
      <c r="G45" s="465" t="s">
        <v>450</v>
      </c>
      <c r="H45" s="465">
        <v>930674</v>
      </c>
      <c r="I45" s="465">
        <v>0</v>
      </c>
      <c r="J45" s="465" t="s">
        <v>511</v>
      </c>
      <c r="K45" s="465" t="s">
        <v>438</v>
      </c>
      <c r="L45" s="468">
        <v>154.56465454958354</v>
      </c>
      <c r="M45" s="468">
        <v>80</v>
      </c>
      <c r="N45" s="469">
        <v>12365.172363966683</v>
      </c>
    </row>
    <row r="46" spans="1:14" ht="14.45" customHeight="1" x14ac:dyDescent="0.2">
      <c r="A46" s="463" t="s">
        <v>436</v>
      </c>
      <c r="B46" s="464" t="s">
        <v>437</v>
      </c>
      <c r="C46" s="465" t="s">
        <v>444</v>
      </c>
      <c r="D46" s="466" t="s">
        <v>445</v>
      </c>
      <c r="E46" s="467">
        <v>50113001</v>
      </c>
      <c r="F46" s="466" t="s">
        <v>449</v>
      </c>
      <c r="G46" s="465" t="s">
        <v>450</v>
      </c>
      <c r="H46" s="465">
        <v>921272</v>
      </c>
      <c r="I46" s="465">
        <v>0</v>
      </c>
      <c r="J46" s="465" t="s">
        <v>512</v>
      </c>
      <c r="K46" s="465" t="s">
        <v>438</v>
      </c>
      <c r="L46" s="468">
        <v>149.31037926675739</v>
      </c>
      <c r="M46" s="468">
        <v>19</v>
      </c>
      <c r="N46" s="469">
        <v>2836.8972060683905</v>
      </c>
    </row>
    <row r="47" spans="1:14" ht="14.45" customHeight="1" x14ac:dyDescent="0.2">
      <c r="A47" s="463" t="s">
        <v>436</v>
      </c>
      <c r="B47" s="464" t="s">
        <v>437</v>
      </c>
      <c r="C47" s="465" t="s">
        <v>444</v>
      </c>
      <c r="D47" s="466" t="s">
        <v>445</v>
      </c>
      <c r="E47" s="467">
        <v>50113001</v>
      </c>
      <c r="F47" s="466" t="s">
        <v>449</v>
      </c>
      <c r="G47" s="465" t="s">
        <v>450</v>
      </c>
      <c r="H47" s="465">
        <v>921277</v>
      </c>
      <c r="I47" s="465">
        <v>0</v>
      </c>
      <c r="J47" s="465" t="s">
        <v>513</v>
      </c>
      <c r="K47" s="465" t="s">
        <v>438</v>
      </c>
      <c r="L47" s="468">
        <v>309.41831255928474</v>
      </c>
      <c r="M47" s="468">
        <v>1</v>
      </c>
      <c r="N47" s="469">
        <v>309.41831255928474</v>
      </c>
    </row>
    <row r="48" spans="1:14" ht="14.45" customHeight="1" x14ac:dyDescent="0.2">
      <c r="A48" s="463" t="s">
        <v>436</v>
      </c>
      <c r="B48" s="464" t="s">
        <v>437</v>
      </c>
      <c r="C48" s="465" t="s">
        <v>444</v>
      </c>
      <c r="D48" s="466" t="s">
        <v>445</v>
      </c>
      <c r="E48" s="467">
        <v>50113001</v>
      </c>
      <c r="F48" s="466" t="s">
        <v>449</v>
      </c>
      <c r="G48" s="465" t="s">
        <v>450</v>
      </c>
      <c r="H48" s="465">
        <v>900321</v>
      </c>
      <c r="I48" s="465">
        <v>0</v>
      </c>
      <c r="J48" s="465" t="s">
        <v>514</v>
      </c>
      <c r="K48" s="465" t="s">
        <v>438</v>
      </c>
      <c r="L48" s="468">
        <v>195.91495793991487</v>
      </c>
      <c r="M48" s="468">
        <v>26</v>
      </c>
      <c r="N48" s="469">
        <v>5093.7889064377869</v>
      </c>
    </row>
    <row r="49" spans="1:14" ht="14.45" customHeight="1" x14ac:dyDescent="0.2">
      <c r="A49" s="463" t="s">
        <v>436</v>
      </c>
      <c r="B49" s="464" t="s">
        <v>437</v>
      </c>
      <c r="C49" s="465" t="s">
        <v>444</v>
      </c>
      <c r="D49" s="466" t="s">
        <v>445</v>
      </c>
      <c r="E49" s="467">
        <v>50113001</v>
      </c>
      <c r="F49" s="466" t="s">
        <v>449</v>
      </c>
      <c r="G49" s="465" t="s">
        <v>450</v>
      </c>
      <c r="H49" s="465">
        <v>501990</v>
      </c>
      <c r="I49" s="465">
        <v>0</v>
      </c>
      <c r="J49" s="465" t="s">
        <v>515</v>
      </c>
      <c r="K49" s="465" t="s">
        <v>438</v>
      </c>
      <c r="L49" s="468">
        <v>349.0455981099833</v>
      </c>
      <c r="M49" s="468">
        <v>2</v>
      </c>
      <c r="N49" s="469">
        <v>698.0911962199666</v>
      </c>
    </row>
    <row r="50" spans="1:14" ht="14.45" customHeight="1" x14ac:dyDescent="0.2">
      <c r="A50" s="463" t="s">
        <v>436</v>
      </c>
      <c r="B50" s="464" t="s">
        <v>437</v>
      </c>
      <c r="C50" s="465" t="s">
        <v>444</v>
      </c>
      <c r="D50" s="466" t="s">
        <v>445</v>
      </c>
      <c r="E50" s="467">
        <v>50113001</v>
      </c>
      <c r="F50" s="466" t="s">
        <v>449</v>
      </c>
      <c r="G50" s="465" t="s">
        <v>450</v>
      </c>
      <c r="H50" s="465">
        <v>501065</v>
      </c>
      <c r="I50" s="465">
        <v>0</v>
      </c>
      <c r="J50" s="465" t="s">
        <v>516</v>
      </c>
      <c r="K50" s="465" t="s">
        <v>438</v>
      </c>
      <c r="L50" s="468">
        <v>80.455997128467928</v>
      </c>
      <c r="M50" s="468">
        <v>8</v>
      </c>
      <c r="N50" s="469">
        <v>643.64797702774342</v>
      </c>
    </row>
    <row r="51" spans="1:14" ht="14.45" customHeight="1" x14ac:dyDescent="0.2">
      <c r="A51" s="463" t="s">
        <v>436</v>
      </c>
      <c r="B51" s="464" t="s">
        <v>437</v>
      </c>
      <c r="C51" s="465" t="s">
        <v>444</v>
      </c>
      <c r="D51" s="466" t="s">
        <v>445</v>
      </c>
      <c r="E51" s="467">
        <v>50113001</v>
      </c>
      <c r="F51" s="466" t="s">
        <v>449</v>
      </c>
      <c r="G51" s="465" t="s">
        <v>450</v>
      </c>
      <c r="H51" s="465">
        <v>921241</v>
      </c>
      <c r="I51" s="465">
        <v>0</v>
      </c>
      <c r="J51" s="465" t="s">
        <v>517</v>
      </c>
      <c r="K51" s="465" t="s">
        <v>438</v>
      </c>
      <c r="L51" s="468">
        <v>147.84173415167089</v>
      </c>
      <c r="M51" s="468">
        <v>10</v>
      </c>
      <c r="N51" s="469">
        <v>1478.417341516709</v>
      </c>
    </row>
    <row r="52" spans="1:14" ht="14.45" customHeight="1" x14ac:dyDescent="0.2">
      <c r="A52" s="463" t="s">
        <v>436</v>
      </c>
      <c r="B52" s="464" t="s">
        <v>437</v>
      </c>
      <c r="C52" s="465" t="s">
        <v>444</v>
      </c>
      <c r="D52" s="466" t="s">
        <v>445</v>
      </c>
      <c r="E52" s="467">
        <v>50113001</v>
      </c>
      <c r="F52" s="466" t="s">
        <v>449</v>
      </c>
      <c r="G52" s="465" t="s">
        <v>450</v>
      </c>
      <c r="H52" s="465">
        <v>920380</v>
      </c>
      <c r="I52" s="465">
        <v>0</v>
      </c>
      <c r="J52" s="465" t="s">
        <v>518</v>
      </c>
      <c r="K52" s="465" t="s">
        <v>438</v>
      </c>
      <c r="L52" s="468">
        <v>70.882438977225547</v>
      </c>
      <c r="M52" s="468">
        <v>2</v>
      </c>
      <c r="N52" s="469">
        <v>141.76487795445109</v>
      </c>
    </row>
    <row r="53" spans="1:14" ht="14.45" customHeight="1" x14ac:dyDescent="0.2">
      <c r="A53" s="463" t="s">
        <v>436</v>
      </c>
      <c r="B53" s="464" t="s">
        <v>437</v>
      </c>
      <c r="C53" s="465" t="s">
        <v>444</v>
      </c>
      <c r="D53" s="466" t="s">
        <v>445</v>
      </c>
      <c r="E53" s="467">
        <v>50113001</v>
      </c>
      <c r="F53" s="466" t="s">
        <v>449</v>
      </c>
      <c r="G53" s="465" t="s">
        <v>450</v>
      </c>
      <c r="H53" s="465">
        <v>921320</v>
      </c>
      <c r="I53" s="465">
        <v>0</v>
      </c>
      <c r="J53" s="465" t="s">
        <v>519</v>
      </c>
      <c r="K53" s="465" t="s">
        <v>438</v>
      </c>
      <c r="L53" s="468">
        <v>43.901380762011257</v>
      </c>
      <c r="M53" s="468">
        <v>15</v>
      </c>
      <c r="N53" s="469">
        <v>658.52071143016883</v>
      </c>
    </row>
    <row r="54" spans="1:14" ht="14.45" customHeight="1" x14ac:dyDescent="0.2">
      <c r="A54" s="463" t="s">
        <v>436</v>
      </c>
      <c r="B54" s="464" t="s">
        <v>437</v>
      </c>
      <c r="C54" s="465" t="s">
        <v>444</v>
      </c>
      <c r="D54" s="466" t="s">
        <v>445</v>
      </c>
      <c r="E54" s="467">
        <v>50113001</v>
      </c>
      <c r="F54" s="466" t="s">
        <v>449</v>
      </c>
      <c r="G54" s="465" t="s">
        <v>450</v>
      </c>
      <c r="H54" s="465">
        <v>920376</v>
      </c>
      <c r="I54" s="465">
        <v>0</v>
      </c>
      <c r="J54" s="465" t="s">
        <v>520</v>
      </c>
      <c r="K54" s="465" t="s">
        <v>438</v>
      </c>
      <c r="L54" s="468">
        <v>71.644186050520588</v>
      </c>
      <c r="M54" s="468">
        <v>34</v>
      </c>
      <c r="N54" s="469">
        <v>2435.9023257177</v>
      </c>
    </row>
    <row r="55" spans="1:14" ht="14.45" customHeight="1" x14ac:dyDescent="0.2">
      <c r="A55" s="463" t="s">
        <v>436</v>
      </c>
      <c r="B55" s="464" t="s">
        <v>437</v>
      </c>
      <c r="C55" s="465" t="s">
        <v>444</v>
      </c>
      <c r="D55" s="466" t="s">
        <v>445</v>
      </c>
      <c r="E55" s="467">
        <v>50113001</v>
      </c>
      <c r="F55" s="466" t="s">
        <v>449</v>
      </c>
      <c r="G55" s="465" t="s">
        <v>450</v>
      </c>
      <c r="H55" s="465">
        <v>920377</v>
      </c>
      <c r="I55" s="465">
        <v>0</v>
      </c>
      <c r="J55" s="465" t="s">
        <v>521</v>
      </c>
      <c r="K55" s="465" t="s">
        <v>438</v>
      </c>
      <c r="L55" s="468">
        <v>110.26531768236845</v>
      </c>
      <c r="M55" s="468">
        <v>9</v>
      </c>
      <c r="N55" s="469">
        <v>992.38785914131608</v>
      </c>
    </row>
    <row r="56" spans="1:14" ht="14.45" customHeight="1" x14ac:dyDescent="0.2">
      <c r="A56" s="463" t="s">
        <v>436</v>
      </c>
      <c r="B56" s="464" t="s">
        <v>437</v>
      </c>
      <c r="C56" s="465" t="s">
        <v>444</v>
      </c>
      <c r="D56" s="466" t="s">
        <v>445</v>
      </c>
      <c r="E56" s="467">
        <v>50113001</v>
      </c>
      <c r="F56" s="466" t="s">
        <v>449</v>
      </c>
      <c r="G56" s="465" t="s">
        <v>450</v>
      </c>
      <c r="H56" s="465">
        <v>920064</v>
      </c>
      <c r="I56" s="465">
        <v>0</v>
      </c>
      <c r="J56" s="465" t="s">
        <v>522</v>
      </c>
      <c r="K56" s="465" t="s">
        <v>438</v>
      </c>
      <c r="L56" s="468">
        <v>64.445499505724456</v>
      </c>
      <c r="M56" s="468">
        <v>2</v>
      </c>
      <c r="N56" s="469">
        <v>128.89099901144891</v>
      </c>
    </row>
    <row r="57" spans="1:14" ht="14.45" customHeight="1" x14ac:dyDescent="0.2">
      <c r="A57" s="463" t="s">
        <v>436</v>
      </c>
      <c r="B57" s="464" t="s">
        <v>437</v>
      </c>
      <c r="C57" s="465" t="s">
        <v>444</v>
      </c>
      <c r="D57" s="466" t="s">
        <v>445</v>
      </c>
      <c r="E57" s="467">
        <v>50113001</v>
      </c>
      <c r="F57" s="466" t="s">
        <v>449</v>
      </c>
      <c r="G57" s="465" t="s">
        <v>450</v>
      </c>
      <c r="H57" s="465">
        <v>921453</v>
      </c>
      <c r="I57" s="465">
        <v>0</v>
      </c>
      <c r="J57" s="465" t="s">
        <v>523</v>
      </c>
      <c r="K57" s="465" t="s">
        <v>438</v>
      </c>
      <c r="L57" s="468">
        <v>76.029852439705664</v>
      </c>
      <c r="M57" s="468">
        <v>20</v>
      </c>
      <c r="N57" s="469">
        <v>1520.5970487941133</v>
      </c>
    </row>
    <row r="58" spans="1:14" ht="14.45" customHeight="1" x14ac:dyDescent="0.2">
      <c r="A58" s="463" t="s">
        <v>436</v>
      </c>
      <c r="B58" s="464" t="s">
        <v>437</v>
      </c>
      <c r="C58" s="465" t="s">
        <v>444</v>
      </c>
      <c r="D58" s="466" t="s">
        <v>445</v>
      </c>
      <c r="E58" s="467">
        <v>50113001</v>
      </c>
      <c r="F58" s="466" t="s">
        <v>449</v>
      </c>
      <c r="G58" s="465" t="s">
        <v>450</v>
      </c>
      <c r="H58" s="465">
        <v>930417</v>
      </c>
      <c r="I58" s="465">
        <v>0</v>
      </c>
      <c r="J58" s="465" t="s">
        <v>524</v>
      </c>
      <c r="K58" s="465" t="s">
        <v>438</v>
      </c>
      <c r="L58" s="468">
        <v>111.67740237639961</v>
      </c>
      <c r="M58" s="468">
        <v>34</v>
      </c>
      <c r="N58" s="469">
        <v>3797.0316807975869</v>
      </c>
    </row>
    <row r="59" spans="1:14" ht="14.45" customHeight="1" x14ac:dyDescent="0.2">
      <c r="A59" s="463" t="s">
        <v>436</v>
      </c>
      <c r="B59" s="464" t="s">
        <v>437</v>
      </c>
      <c r="C59" s="465" t="s">
        <v>444</v>
      </c>
      <c r="D59" s="466" t="s">
        <v>445</v>
      </c>
      <c r="E59" s="467">
        <v>50113001</v>
      </c>
      <c r="F59" s="466" t="s">
        <v>449</v>
      </c>
      <c r="G59" s="465" t="s">
        <v>450</v>
      </c>
      <c r="H59" s="465">
        <v>921184</v>
      </c>
      <c r="I59" s="465">
        <v>0</v>
      </c>
      <c r="J59" s="465" t="s">
        <v>525</v>
      </c>
      <c r="K59" s="465" t="s">
        <v>438</v>
      </c>
      <c r="L59" s="468">
        <v>204.69350397515964</v>
      </c>
      <c r="M59" s="468">
        <v>1</v>
      </c>
      <c r="N59" s="469">
        <v>204.69350397515964</v>
      </c>
    </row>
    <row r="60" spans="1:14" ht="14.45" customHeight="1" x14ac:dyDescent="0.2">
      <c r="A60" s="463" t="s">
        <v>436</v>
      </c>
      <c r="B60" s="464" t="s">
        <v>437</v>
      </c>
      <c r="C60" s="465" t="s">
        <v>444</v>
      </c>
      <c r="D60" s="466" t="s">
        <v>445</v>
      </c>
      <c r="E60" s="467">
        <v>50113001</v>
      </c>
      <c r="F60" s="466" t="s">
        <v>449</v>
      </c>
      <c r="G60" s="465" t="s">
        <v>450</v>
      </c>
      <c r="H60" s="465">
        <v>900873</v>
      </c>
      <c r="I60" s="465">
        <v>0</v>
      </c>
      <c r="J60" s="465" t="s">
        <v>526</v>
      </c>
      <c r="K60" s="465" t="s">
        <v>438</v>
      </c>
      <c r="L60" s="468">
        <v>62.019067435318739</v>
      </c>
      <c r="M60" s="468">
        <v>8</v>
      </c>
      <c r="N60" s="469">
        <v>496.15253948254991</v>
      </c>
    </row>
    <row r="61" spans="1:14" ht="14.45" customHeight="1" x14ac:dyDescent="0.2">
      <c r="A61" s="463" t="s">
        <v>436</v>
      </c>
      <c r="B61" s="464" t="s">
        <v>437</v>
      </c>
      <c r="C61" s="465" t="s">
        <v>444</v>
      </c>
      <c r="D61" s="466" t="s">
        <v>445</v>
      </c>
      <c r="E61" s="467">
        <v>50113001</v>
      </c>
      <c r="F61" s="466" t="s">
        <v>449</v>
      </c>
      <c r="G61" s="465" t="s">
        <v>450</v>
      </c>
      <c r="H61" s="465">
        <v>921230</v>
      </c>
      <c r="I61" s="465">
        <v>0</v>
      </c>
      <c r="J61" s="465" t="s">
        <v>527</v>
      </c>
      <c r="K61" s="465" t="s">
        <v>438</v>
      </c>
      <c r="L61" s="468">
        <v>45.979394299956198</v>
      </c>
      <c r="M61" s="468">
        <v>49</v>
      </c>
      <c r="N61" s="469">
        <v>2252.9903206978538</v>
      </c>
    </row>
    <row r="62" spans="1:14" ht="14.45" customHeight="1" x14ac:dyDescent="0.2">
      <c r="A62" s="463" t="s">
        <v>436</v>
      </c>
      <c r="B62" s="464" t="s">
        <v>437</v>
      </c>
      <c r="C62" s="465" t="s">
        <v>444</v>
      </c>
      <c r="D62" s="466" t="s">
        <v>445</v>
      </c>
      <c r="E62" s="467">
        <v>50113001</v>
      </c>
      <c r="F62" s="466" t="s">
        <v>449</v>
      </c>
      <c r="G62" s="465" t="s">
        <v>450</v>
      </c>
      <c r="H62" s="465">
        <v>930095</v>
      </c>
      <c r="I62" s="465">
        <v>0</v>
      </c>
      <c r="J62" s="465" t="s">
        <v>528</v>
      </c>
      <c r="K62" s="465" t="s">
        <v>438</v>
      </c>
      <c r="L62" s="468">
        <v>50.428946462842276</v>
      </c>
      <c r="M62" s="468">
        <v>1</v>
      </c>
      <c r="N62" s="469">
        <v>50.428946462842276</v>
      </c>
    </row>
    <row r="63" spans="1:14" ht="14.45" customHeight="1" x14ac:dyDescent="0.2">
      <c r="A63" s="463" t="s">
        <v>436</v>
      </c>
      <c r="B63" s="464" t="s">
        <v>437</v>
      </c>
      <c r="C63" s="465" t="s">
        <v>444</v>
      </c>
      <c r="D63" s="466" t="s">
        <v>445</v>
      </c>
      <c r="E63" s="467">
        <v>50113001</v>
      </c>
      <c r="F63" s="466" t="s">
        <v>449</v>
      </c>
      <c r="G63" s="465" t="s">
        <v>450</v>
      </c>
      <c r="H63" s="465">
        <v>921403</v>
      </c>
      <c r="I63" s="465">
        <v>0</v>
      </c>
      <c r="J63" s="465" t="s">
        <v>529</v>
      </c>
      <c r="K63" s="465" t="s">
        <v>438</v>
      </c>
      <c r="L63" s="468">
        <v>52.52389079614148</v>
      </c>
      <c r="M63" s="468">
        <v>2</v>
      </c>
      <c r="N63" s="469">
        <v>105.04778159228296</v>
      </c>
    </row>
    <row r="64" spans="1:14" ht="14.45" customHeight="1" x14ac:dyDescent="0.2">
      <c r="A64" s="463" t="s">
        <v>436</v>
      </c>
      <c r="B64" s="464" t="s">
        <v>437</v>
      </c>
      <c r="C64" s="465" t="s">
        <v>444</v>
      </c>
      <c r="D64" s="466" t="s">
        <v>445</v>
      </c>
      <c r="E64" s="467">
        <v>50113001</v>
      </c>
      <c r="F64" s="466" t="s">
        <v>449</v>
      </c>
      <c r="G64" s="465" t="s">
        <v>450</v>
      </c>
      <c r="H64" s="465">
        <v>203092</v>
      </c>
      <c r="I64" s="465">
        <v>203092</v>
      </c>
      <c r="J64" s="465" t="s">
        <v>530</v>
      </c>
      <c r="K64" s="465" t="s">
        <v>531</v>
      </c>
      <c r="L64" s="468">
        <v>149.88695652173914</v>
      </c>
      <c r="M64" s="468">
        <v>23</v>
      </c>
      <c r="N64" s="469">
        <v>3447.4</v>
      </c>
    </row>
    <row r="65" spans="1:14" ht="14.45" customHeight="1" x14ac:dyDescent="0.2">
      <c r="A65" s="463" t="s">
        <v>436</v>
      </c>
      <c r="B65" s="464" t="s">
        <v>437</v>
      </c>
      <c r="C65" s="465" t="s">
        <v>444</v>
      </c>
      <c r="D65" s="466" t="s">
        <v>445</v>
      </c>
      <c r="E65" s="467">
        <v>50113001</v>
      </c>
      <c r="F65" s="466" t="s">
        <v>449</v>
      </c>
      <c r="G65" s="465" t="s">
        <v>450</v>
      </c>
      <c r="H65" s="465">
        <v>100498</v>
      </c>
      <c r="I65" s="465">
        <v>498</v>
      </c>
      <c r="J65" s="465" t="s">
        <v>532</v>
      </c>
      <c r="K65" s="465" t="s">
        <v>533</v>
      </c>
      <c r="L65" s="468">
        <v>108.71333333333332</v>
      </c>
      <c r="M65" s="468">
        <v>9</v>
      </c>
      <c r="N65" s="469">
        <v>978.42</v>
      </c>
    </row>
    <row r="66" spans="1:14" ht="14.45" customHeight="1" x14ac:dyDescent="0.2">
      <c r="A66" s="463" t="s">
        <v>436</v>
      </c>
      <c r="B66" s="464" t="s">
        <v>437</v>
      </c>
      <c r="C66" s="465" t="s">
        <v>444</v>
      </c>
      <c r="D66" s="466" t="s">
        <v>445</v>
      </c>
      <c r="E66" s="467">
        <v>50113001</v>
      </c>
      <c r="F66" s="466" t="s">
        <v>449</v>
      </c>
      <c r="G66" s="465" t="s">
        <v>450</v>
      </c>
      <c r="H66" s="465">
        <v>237330</v>
      </c>
      <c r="I66" s="465">
        <v>237330</v>
      </c>
      <c r="J66" s="465" t="s">
        <v>534</v>
      </c>
      <c r="K66" s="465" t="s">
        <v>535</v>
      </c>
      <c r="L66" s="468">
        <v>113.06</v>
      </c>
      <c r="M66" s="468">
        <v>1</v>
      </c>
      <c r="N66" s="469">
        <v>113.06</v>
      </c>
    </row>
    <row r="67" spans="1:14" ht="14.45" customHeight="1" x14ac:dyDescent="0.2">
      <c r="A67" s="463" t="s">
        <v>436</v>
      </c>
      <c r="B67" s="464" t="s">
        <v>437</v>
      </c>
      <c r="C67" s="465" t="s">
        <v>444</v>
      </c>
      <c r="D67" s="466" t="s">
        <v>445</v>
      </c>
      <c r="E67" s="467">
        <v>50113001</v>
      </c>
      <c r="F67" s="466" t="s">
        <v>449</v>
      </c>
      <c r="G67" s="465" t="s">
        <v>450</v>
      </c>
      <c r="H67" s="465">
        <v>100499</v>
      </c>
      <c r="I67" s="465">
        <v>499</v>
      </c>
      <c r="J67" s="465" t="s">
        <v>534</v>
      </c>
      <c r="K67" s="465" t="s">
        <v>535</v>
      </c>
      <c r="L67" s="468">
        <v>113.13500000000002</v>
      </c>
      <c r="M67" s="468">
        <v>4</v>
      </c>
      <c r="N67" s="469">
        <v>452.54000000000008</v>
      </c>
    </row>
    <row r="68" spans="1:14" ht="14.45" customHeight="1" x14ac:dyDescent="0.2">
      <c r="A68" s="463" t="s">
        <v>436</v>
      </c>
      <c r="B68" s="464" t="s">
        <v>437</v>
      </c>
      <c r="C68" s="465" t="s">
        <v>444</v>
      </c>
      <c r="D68" s="466" t="s">
        <v>445</v>
      </c>
      <c r="E68" s="467">
        <v>50113001</v>
      </c>
      <c r="F68" s="466" t="s">
        <v>449</v>
      </c>
      <c r="G68" s="465" t="s">
        <v>450</v>
      </c>
      <c r="H68" s="465">
        <v>234736</v>
      </c>
      <c r="I68" s="465">
        <v>234736</v>
      </c>
      <c r="J68" s="465" t="s">
        <v>536</v>
      </c>
      <c r="K68" s="465" t="s">
        <v>537</v>
      </c>
      <c r="L68" s="468">
        <v>120.367</v>
      </c>
      <c r="M68" s="468">
        <v>10</v>
      </c>
      <c r="N68" s="469">
        <v>1203.67</v>
      </c>
    </row>
    <row r="69" spans="1:14" ht="14.45" customHeight="1" x14ac:dyDescent="0.2">
      <c r="A69" s="463" t="s">
        <v>436</v>
      </c>
      <c r="B69" s="464" t="s">
        <v>437</v>
      </c>
      <c r="C69" s="465" t="s">
        <v>444</v>
      </c>
      <c r="D69" s="466" t="s">
        <v>445</v>
      </c>
      <c r="E69" s="467">
        <v>50113001</v>
      </c>
      <c r="F69" s="466" t="s">
        <v>449</v>
      </c>
      <c r="G69" s="465" t="s">
        <v>450</v>
      </c>
      <c r="H69" s="465">
        <v>215978</v>
      </c>
      <c r="I69" s="465">
        <v>215978</v>
      </c>
      <c r="J69" s="465" t="s">
        <v>536</v>
      </c>
      <c r="K69" s="465" t="s">
        <v>537</v>
      </c>
      <c r="L69" s="468">
        <v>120.68000000000004</v>
      </c>
      <c r="M69" s="468">
        <v>4</v>
      </c>
      <c r="N69" s="469">
        <v>482.72000000000014</v>
      </c>
    </row>
    <row r="70" spans="1:14" ht="14.45" customHeight="1" x14ac:dyDescent="0.2">
      <c r="A70" s="463" t="s">
        <v>436</v>
      </c>
      <c r="B70" s="464" t="s">
        <v>437</v>
      </c>
      <c r="C70" s="465" t="s">
        <v>444</v>
      </c>
      <c r="D70" s="466" t="s">
        <v>445</v>
      </c>
      <c r="E70" s="467">
        <v>50113001</v>
      </c>
      <c r="F70" s="466" t="s">
        <v>449</v>
      </c>
      <c r="G70" s="465" t="s">
        <v>450</v>
      </c>
      <c r="H70" s="465">
        <v>239551</v>
      </c>
      <c r="I70" s="465">
        <v>239551</v>
      </c>
      <c r="J70" s="465" t="s">
        <v>538</v>
      </c>
      <c r="K70" s="465" t="s">
        <v>539</v>
      </c>
      <c r="L70" s="468">
        <v>99.11999999999999</v>
      </c>
      <c r="M70" s="468">
        <v>1</v>
      </c>
      <c r="N70" s="469">
        <v>99.11999999999999</v>
      </c>
    </row>
    <row r="71" spans="1:14" ht="14.45" customHeight="1" x14ac:dyDescent="0.2">
      <c r="A71" s="463" t="s">
        <v>436</v>
      </c>
      <c r="B71" s="464" t="s">
        <v>437</v>
      </c>
      <c r="C71" s="465" t="s">
        <v>444</v>
      </c>
      <c r="D71" s="466" t="s">
        <v>445</v>
      </c>
      <c r="E71" s="467">
        <v>50113001</v>
      </c>
      <c r="F71" s="466" t="s">
        <v>449</v>
      </c>
      <c r="G71" s="465" t="s">
        <v>450</v>
      </c>
      <c r="H71" s="465">
        <v>100514</v>
      </c>
      <c r="I71" s="465">
        <v>514</v>
      </c>
      <c r="J71" s="465" t="s">
        <v>540</v>
      </c>
      <c r="K71" s="465" t="s">
        <v>541</v>
      </c>
      <c r="L71" s="468">
        <v>87.589999999999989</v>
      </c>
      <c r="M71" s="468">
        <v>24</v>
      </c>
      <c r="N71" s="469">
        <v>2102.16</v>
      </c>
    </row>
    <row r="72" spans="1:14" ht="14.45" customHeight="1" x14ac:dyDescent="0.2">
      <c r="A72" s="463" t="s">
        <v>436</v>
      </c>
      <c r="B72" s="464" t="s">
        <v>437</v>
      </c>
      <c r="C72" s="465" t="s">
        <v>444</v>
      </c>
      <c r="D72" s="466" t="s">
        <v>445</v>
      </c>
      <c r="E72" s="467">
        <v>50113001</v>
      </c>
      <c r="F72" s="466" t="s">
        <v>449</v>
      </c>
      <c r="G72" s="465" t="s">
        <v>450</v>
      </c>
      <c r="H72" s="465">
        <v>117187</v>
      </c>
      <c r="I72" s="465">
        <v>17187</v>
      </c>
      <c r="J72" s="465" t="s">
        <v>542</v>
      </c>
      <c r="K72" s="465" t="s">
        <v>543</v>
      </c>
      <c r="L72" s="468">
        <v>88.992499999999993</v>
      </c>
      <c r="M72" s="468">
        <v>4</v>
      </c>
      <c r="N72" s="469">
        <v>355.96999999999997</v>
      </c>
    </row>
    <row r="73" spans="1:14" ht="14.45" customHeight="1" x14ac:dyDescent="0.2">
      <c r="A73" s="463" t="s">
        <v>436</v>
      </c>
      <c r="B73" s="464" t="s">
        <v>437</v>
      </c>
      <c r="C73" s="465" t="s">
        <v>444</v>
      </c>
      <c r="D73" s="466" t="s">
        <v>445</v>
      </c>
      <c r="E73" s="467">
        <v>50113001</v>
      </c>
      <c r="F73" s="466" t="s">
        <v>449</v>
      </c>
      <c r="G73" s="465" t="s">
        <v>450</v>
      </c>
      <c r="H73" s="465">
        <v>101940</v>
      </c>
      <c r="I73" s="465">
        <v>1940</v>
      </c>
      <c r="J73" s="465" t="s">
        <v>544</v>
      </c>
      <c r="K73" s="465" t="s">
        <v>545</v>
      </c>
      <c r="L73" s="468">
        <v>34.911999999999992</v>
      </c>
      <c r="M73" s="468">
        <v>5</v>
      </c>
      <c r="N73" s="469">
        <v>174.55999999999997</v>
      </c>
    </row>
    <row r="74" spans="1:14" ht="14.45" customHeight="1" x14ac:dyDescent="0.2">
      <c r="A74" s="463" t="s">
        <v>436</v>
      </c>
      <c r="B74" s="464" t="s">
        <v>437</v>
      </c>
      <c r="C74" s="465" t="s">
        <v>444</v>
      </c>
      <c r="D74" s="466" t="s">
        <v>445</v>
      </c>
      <c r="E74" s="467">
        <v>50113001</v>
      </c>
      <c r="F74" s="466" t="s">
        <v>449</v>
      </c>
      <c r="G74" s="465" t="s">
        <v>450</v>
      </c>
      <c r="H74" s="465">
        <v>207820</v>
      </c>
      <c r="I74" s="465">
        <v>207820</v>
      </c>
      <c r="J74" s="465" t="s">
        <v>546</v>
      </c>
      <c r="K74" s="465" t="s">
        <v>547</v>
      </c>
      <c r="L74" s="468">
        <v>30.615000000000002</v>
      </c>
      <c r="M74" s="468">
        <v>4</v>
      </c>
      <c r="N74" s="469">
        <v>122.46000000000001</v>
      </c>
    </row>
    <row r="75" spans="1:14" ht="14.45" customHeight="1" x14ac:dyDescent="0.2">
      <c r="A75" s="463" t="s">
        <v>436</v>
      </c>
      <c r="B75" s="464" t="s">
        <v>437</v>
      </c>
      <c r="C75" s="465" t="s">
        <v>444</v>
      </c>
      <c r="D75" s="466" t="s">
        <v>445</v>
      </c>
      <c r="E75" s="467">
        <v>50113001</v>
      </c>
      <c r="F75" s="466" t="s">
        <v>449</v>
      </c>
      <c r="G75" s="465" t="s">
        <v>450</v>
      </c>
      <c r="H75" s="465">
        <v>202953</v>
      </c>
      <c r="I75" s="465">
        <v>202953</v>
      </c>
      <c r="J75" s="465" t="s">
        <v>548</v>
      </c>
      <c r="K75" s="465" t="s">
        <v>549</v>
      </c>
      <c r="L75" s="468">
        <v>486.62363636363642</v>
      </c>
      <c r="M75" s="468">
        <v>11</v>
      </c>
      <c r="N75" s="469">
        <v>5352.8600000000006</v>
      </c>
    </row>
    <row r="76" spans="1:14" ht="14.45" customHeight="1" x14ac:dyDescent="0.2">
      <c r="A76" s="463" t="s">
        <v>436</v>
      </c>
      <c r="B76" s="464" t="s">
        <v>437</v>
      </c>
      <c r="C76" s="465" t="s">
        <v>444</v>
      </c>
      <c r="D76" s="466" t="s">
        <v>445</v>
      </c>
      <c r="E76" s="467">
        <v>50113001</v>
      </c>
      <c r="F76" s="466" t="s">
        <v>449</v>
      </c>
      <c r="G76" s="465" t="s">
        <v>450</v>
      </c>
      <c r="H76" s="465">
        <v>193109</v>
      </c>
      <c r="I76" s="465">
        <v>93109</v>
      </c>
      <c r="J76" s="465" t="s">
        <v>550</v>
      </c>
      <c r="K76" s="465" t="s">
        <v>551</v>
      </c>
      <c r="L76" s="468">
        <v>165.77883408071747</v>
      </c>
      <c r="M76" s="468">
        <v>669</v>
      </c>
      <c r="N76" s="469">
        <v>110906.04</v>
      </c>
    </row>
    <row r="77" spans="1:14" ht="14.45" customHeight="1" x14ac:dyDescent="0.2">
      <c r="A77" s="463" t="s">
        <v>436</v>
      </c>
      <c r="B77" s="464" t="s">
        <v>437</v>
      </c>
      <c r="C77" s="465" t="s">
        <v>444</v>
      </c>
      <c r="D77" s="466" t="s">
        <v>445</v>
      </c>
      <c r="E77" s="467">
        <v>50113001</v>
      </c>
      <c r="F77" s="466" t="s">
        <v>449</v>
      </c>
      <c r="G77" s="465" t="s">
        <v>450</v>
      </c>
      <c r="H77" s="465">
        <v>395294</v>
      </c>
      <c r="I77" s="465">
        <v>180306</v>
      </c>
      <c r="J77" s="465" t="s">
        <v>552</v>
      </c>
      <c r="K77" s="465" t="s">
        <v>553</v>
      </c>
      <c r="L77" s="468">
        <v>177.20823529411766</v>
      </c>
      <c r="M77" s="468">
        <v>17</v>
      </c>
      <c r="N77" s="469">
        <v>3012.54</v>
      </c>
    </row>
    <row r="78" spans="1:14" ht="14.45" customHeight="1" x14ac:dyDescent="0.2">
      <c r="A78" s="463" t="s">
        <v>436</v>
      </c>
      <c r="B78" s="464" t="s">
        <v>437</v>
      </c>
      <c r="C78" s="465" t="s">
        <v>444</v>
      </c>
      <c r="D78" s="466" t="s">
        <v>445</v>
      </c>
      <c r="E78" s="467">
        <v>50113001</v>
      </c>
      <c r="F78" s="466" t="s">
        <v>449</v>
      </c>
      <c r="G78" s="465" t="s">
        <v>554</v>
      </c>
      <c r="H78" s="465">
        <v>131934</v>
      </c>
      <c r="I78" s="465">
        <v>31934</v>
      </c>
      <c r="J78" s="465" t="s">
        <v>555</v>
      </c>
      <c r="K78" s="465" t="s">
        <v>556</v>
      </c>
      <c r="L78" s="468">
        <v>49.812000000000012</v>
      </c>
      <c r="M78" s="468">
        <v>5</v>
      </c>
      <c r="N78" s="469">
        <v>249.06000000000006</v>
      </c>
    </row>
    <row r="79" spans="1:14" ht="14.45" customHeight="1" x14ac:dyDescent="0.2">
      <c r="A79" s="463" t="s">
        <v>436</v>
      </c>
      <c r="B79" s="464" t="s">
        <v>437</v>
      </c>
      <c r="C79" s="465" t="s">
        <v>444</v>
      </c>
      <c r="D79" s="466" t="s">
        <v>445</v>
      </c>
      <c r="E79" s="467">
        <v>50113001</v>
      </c>
      <c r="F79" s="466" t="s">
        <v>449</v>
      </c>
      <c r="G79" s="465" t="s">
        <v>450</v>
      </c>
      <c r="H79" s="465">
        <v>100643</v>
      </c>
      <c r="I79" s="465">
        <v>643</v>
      </c>
      <c r="J79" s="465" t="s">
        <v>557</v>
      </c>
      <c r="K79" s="465" t="s">
        <v>558</v>
      </c>
      <c r="L79" s="468">
        <v>63.6</v>
      </c>
      <c r="M79" s="468">
        <v>2</v>
      </c>
      <c r="N79" s="469">
        <v>127.2</v>
      </c>
    </row>
    <row r="80" spans="1:14" ht="14.45" customHeight="1" x14ac:dyDescent="0.2">
      <c r="A80" s="463" t="s">
        <v>436</v>
      </c>
      <c r="B80" s="464" t="s">
        <v>437</v>
      </c>
      <c r="C80" s="465" t="s">
        <v>444</v>
      </c>
      <c r="D80" s="466" t="s">
        <v>445</v>
      </c>
      <c r="E80" s="467">
        <v>50113001</v>
      </c>
      <c r="F80" s="466" t="s">
        <v>449</v>
      </c>
      <c r="G80" s="465" t="s">
        <v>554</v>
      </c>
      <c r="H80" s="465">
        <v>166030</v>
      </c>
      <c r="I80" s="465">
        <v>66030</v>
      </c>
      <c r="J80" s="465" t="s">
        <v>559</v>
      </c>
      <c r="K80" s="465" t="s">
        <v>560</v>
      </c>
      <c r="L80" s="468">
        <v>29.85</v>
      </c>
      <c r="M80" s="468">
        <v>1</v>
      </c>
      <c r="N80" s="469">
        <v>29.85</v>
      </c>
    </row>
    <row r="81" spans="1:14" ht="14.45" customHeight="1" x14ac:dyDescent="0.2">
      <c r="A81" s="463" t="s">
        <v>436</v>
      </c>
      <c r="B81" s="464" t="s">
        <v>437</v>
      </c>
      <c r="C81" s="465" t="s">
        <v>444</v>
      </c>
      <c r="D81" s="466" t="s">
        <v>445</v>
      </c>
      <c r="E81" s="467">
        <v>50113013</v>
      </c>
      <c r="F81" s="466" t="s">
        <v>561</v>
      </c>
      <c r="G81" s="465" t="s">
        <v>554</v>
      </c>
      <c r="H81" s="465">
        <v>185525</v>
      </c>
      <c r="I81" s="465">
        <v>85525</v>
      </c>
      <c r="J81" s="465" t="s">
        <v>562</v>
      </c>
      <c r="K81" s="465" t="s">
        <v>563</v>
      </c>
      <c r="L81" s="468">
        <v>111.31000000000002</v>
      </c>
      <c r="M81" s="468">
        <v>1</v>
      </c>
      <c r="N81" s="469">
        <v>111.31000000000002</v>
      </c>
    </row>
    <row r="82" spans="1:14" ht="14.45" customHeight="1" x14ac:dyDescent="0.2">
      <c r="A82" s="463" t="s">
        <v>436</v>
      </c>
      <c r="B82" s="464" t="s">
        <v>437</v>
      </c>
      <c r="C82" s="465" t="s">
        <v>444</v>
      </c>
      <c r="D82" s="466" t="s">
        <v>445</v>
      </c>
      <c r="E82" s="467">
        <v>50113013</v>
      </c>
      <c r="F82" s="466" t="s">
        <v>561</v>
      </c>
      <c r="G82" s="465" t="s">
        <v>450</v>
      </c>
      <c r="H82" s="465">
        <v>203097</v>
      </c>
      <c r="I82" s="465">
        <v>203097</v>
      </c>
      <c r="J82" s="465" t="s">
        <v>564</v>
      </c>
      <c r="K82" s="465" t="s">
        <v>565</v>
      </c>
      <c r="L82" s="468">
        <v>167.43428571428572</v>
      </c>
      <c r="M82" s="468">
        <v>7</v>
      </c>
      <c r="N82" s="469">
        <v>1172.04</v>
      </c>
    </row>
    <row r="83" spans="1:14" ht="14.45" customHeight="1" x14ac:dyDescent="0.2">
      <c r="A83" s="463" t="s">
        <v>436</v>
      </c>
      <c r="B83" s="464" t="s">
        <v>437</v>
      </c>
      <c r="C83" s="465" t="s">
        <v>444</v>
      </c>
      <c r="D83" s="466" t="s">
        <v>445</v>
      </c>
      <c r="E83" s="467">
        <v>50113013</v>
      </c>
      <c r="F83" s="466" t="s">
        <v>561</v>
      </c>
      <c r="G83" s="465" t="s">
        <v>554</v>
      </c>
      <c r="H83" s="465">
        <v>105951</v>
      </c>
      <c r="I83" s="465">
        <v>5951</v>
      </c>
      <c r="J83" s="465" t="s">
        <v>566</v>
      </c>
      <c r="K83" s="465" t="s">
        <v>567</v>
      </c>
      <c r="L83" s="468">
        <v>114.36000000000001</v>
      </c>
      <c r="M83" s="468">
        <v>2</v>
      </c>
      <c r="N83" s="469">
        <v>228.72000000000003</v>
      </c>
    </row>
    <row r="84" spans="1:14" ht="14.45" customHeight="1" thickBot="1" x14ac:dyDescent="0.25">
      <c r="A84" s="470" t="s">
        <v>436</v>
      </c>
      <c r="B84" s="471" t="s">
        <v>437</v>
      </c>
      <c r="C84" s="472" t="s">
        <v>444</v>
      </c>
      <c r="D84" s="473" t="s">
        <v>445</v>
      </c>
      <c r="E84" s="474">
        <v>50113013</v>
      </c>
      <c r="F84" s="473" t="s">
        <v>561</v>
      </c>
      <c r="G84" s="472" t="s">
        <v>450</v>
      </c>
      <c r="H84" s="472">
        <v>844576</v>
      </c>
      <c r="I84" s="472">
        <v>100339</v>
      </c>
      <c r="J84" s="472" t="s">
        <v>568</v>
      </c>
      <c r="K84" s="472" t="s">
        <v>569</v>
      </c>
      <c r="L84" s="475">
        <v>97.600000000000023</v>
      </c>
      <c r="M84" s="475">
        <v>1</v>
      </c>
      <c r="N84" s="476">
        <v>97.600000000000023</v>
      </c>
    </row>
  </sheetData>
  <autoFilter ref="A4:N4" xr:uid="{00000000-0009-0000-0000-000009000000}"/>
  <mergeCells count="3">
    <mergeCell ref="C3:I3"/>
    <mergeCell ref="J3:K3"/>
    <mergeCell ref="A1:N1"/>
  </mergeCells>
  <hyperlinks>
    <hyperlink ref="A2" location="Obsah!A1" display="Zpět na Obsah  KL 01  1.-4.měsíc" xr:uid="{9C5CF6E7-BC48-4F36-A3E4-F3C0996FB7C9}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8">
    <tabColor theme="0" tint="-0.249977111117893"/>
    <pageSetUpPr fitToPage="1"/>
  </sheetPr>
  <dimension ref="A1:F11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ColWidth="8.85546875" defaultRowHeight="14.45" customHeight="1" x14ac:dyDescent="0.2"/>
  <cols>
    <col min="1" max="1" width="46.7109375" style="114" customWidth="1"/>
    <col min="2" max="2" width="10" style="189" customWidth="1"/>
    <col min="3" max="3" width="5.5703125" style="192" customWidth="1"/>
    <col min="4" max="4" width="10.85546875" style="189" customWidth="1"/>
    <col min="5" max="5" width="5.5703125" style="192" customWidth="1"/>
    <col min="6" max="6" width="10.85546875" style="189" customWidth="1"/>
    <col min="7" max="16384" width="8.85546875" style="114"/>
  </cols>
  <sheetData>
    <row r="1" spans="1:6" ht="37.15" customHeight="1" thickBot="1" x14ac:dyDescent="0.35">
      <c r="A1" s="342" t="s">
        <v>137</v>
      </c>
      <c r="B1" s="343"/>
      <c r="C1" s="343"/>
      <c r="D1" s="343"/>
      <c r="E1" s="343"/>
      <c r="F1" s="343"/>
    </row>
    <row r="2" spans="1:6" ht="14.45" customHeight="1" thickBot="1" x14ac:dyDescent="0.25">
      <c r="A2" s="207" t="s">
        <v>242</v>
      </c>
      <c r="B2" s="63"/>
      <c r="C2" s="64"/>
      <c r="D2" s="65"/>
      <c r="E2" s="64"/>
      <c r="F2" s="65"/>
    </row>
    <row r="3" spans="1:6" ht="14.45" customHeight="1" thickBot="1" x14ac:dyDescent="0.25">
      <c r="A3" s="86"/>
      <c r="B3" s="344" t="s">
        <v>109</v>
      </c>
      <c r="C3" s="345"/>
      <c r="D3" s="346" t="s">
        <v>108</v>
      </c>
      <c r="E3" s="345"/>
      <c r="F3" s="72" t="s">
        <v>3</v>
      </c>
    </row>
    <row r="4" spans="1:6" ht="14.45" customHeight="1" thickBot="1" x14ac:dyDescent="0.25">
      <c r="A4" s="477" t="s">
        <v>122</v>
      </c>
      <c r="B4" s="478" t="s">
        <v>14</v>
      </c>
      <c r="C4" s="479" t="s">
        <v>2</v>
      </c>
      <c r="D4" s="478" t="s">
        <v>14</v>
      </c>
      <c r="E4" s="479" t="s">
        <v>2</v>
      </c>
      <c r="F4" s="480" t="s">
        <v>14</v>
      </c>
    </row>
    <row r="5" spans="1:6" ht="14.45" customHeight="1" thickBot="1" x14ac:dyDescent="0.25">
      <c r="A5" s="489" t="s">
        <v>570</v>
      </c>
      <c r="B5" s="454"/>
      <c r="C5" s="481">
        <v>0</v>
      </c>
      <c r="D5" s="454">
        <v>618.94000000000017</v>
      </c>
      <c r="E5" s="481">
        <v>1</v>
      </c>
      <c r="F5" s="455">
        <v>618.94000000000017</v>
      </c>
    </row>
    <row r="6" spans="1:6" ht="14.45" customHeight="1" thickBot="1" x14ac:dyDescent="0.25">
      <c r="A6" s="485" t="s">
        <v>3</v>
      </c>
      <c r="B6" s="486"/>
      <c r="C6" s="487">
        <v>0</v>
      </c>
      <c r="D6" s="486">
        <v>618.94000000000017</v>
      </c>
      <c r="E6" s="487">
        <v>1</v>
      </c>
      <c r="F6" s="488">
        <v>618.94000000000017</v>
      </c>
    </row>
    <row r="7" spans="1:6" ht="14.45" customHeight="1" thickBot="1" x14ac:dyDescent="0.25"/>
    <row r="8" spans="1:6" ht="14.45" customHeight="1" x14ac:dyDescent="0.2">
      <c r="A8" s="495" t="s">
        <v>571</v>
      </c>
      <c r="B8" s="461"/>
      <c r="C8" s="482">
        <v>0</v>
      </c>
      <c r="D8" s="461">
        <v>249.06000000000006</v>
      </c>
      <c r="E8" s="482">
        <v>1</v>
      </c>
      <c r="F8" s="462">
        <v>249.06000000000006</v>
      </c>
    </row>
    <row r="9" spans="1:6" ht="14.45" customHeight="1" x14ac:dyDescent="0.2">
      <c r="A9" s="496" t="s">
        <v>572</v>
      </c>
      <c r="B9" s="468"/>
      <c r="C9" s="491">
        <v>0</v>
      </c>
      <c r="D9" s="468">
        <v>29.85</v>
      </c>
      <c r="E9" s="491">
        <v>1</v>
      </c>
      <c r="F9" s="469">
        <v>29.85</v>
      </c>
    </row>
    <row r="10" spans="1:6" ht="14.45" customHeight="1" thickBot="1" x14ac:dyDescent="0.25">
      <c r="A10" s="497" t="s">
        <v>573</v>
      </c>
      <c r="B10" s="492"/>
      <c r="C10" s="493">
        <v>0</v>
      </c>
      <c r="D10" s="492">
        <v>340.03000000000003</v>
      </c>
      <c r="E10" s="493">
        <v>1</v>
      </c>
      <c r="F10" s="494">
        <v>340.03000000000003</v>
      </c>
    </row>
    <row r="11" spans="1:6" ht="14.45" customHeight="1" thickBot="1" x14ac:dyDescent="0.25">
      <c r="A11" s="485" t="s">
        <v>3</v>
      </c>
      <c r="B11" s="486"/>
      <c r="C11" s="487">
        <v>0</v>
      </c>
      <c r="D11" s="486">
        <v>618.94000000000005</v>
      </c>
      <c r="E11" s="487">
        <v>1</v>
      </c>
      <c r="F11" s="488">
        <v>618.94000000000005</v>
      </c>
    </row>
  </sheetData>
  <mergeCells count="3">
    <mergeCell ref="A1:F1"/>
    <mergeCell ref="B3:C3"/>
    <mergeCell ref="D3:E3"/>
  </mergeCells>
  <conditionalFormatting sqref="C5:C1048576">
    <cfRule type="cellIs" dxfId="23" priority="8" stopIfTrue="1" operator="greaterThan">
      <formula>0.1</formula>
    </cfRule>
  </conditionalFormatting>
  <hyperlinks>
    <hyperlink ref="A2" location="Obsah!A1" display="Zpět na Obsah  KL 01  1.-4.měsíc" xr:uid="{B9B9CF27-925B-4219-834A-0203CEE6B10E}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19</vt:i4>
      </vt:variant>
      <vt:variant>
        <vt:lpstr>Pojmenované oblasti</vt:lpstr>
      </vt:variant>
      <vt:variant>
        <vt:i4>3</vt:i4>
      </vt:variant>
    </vt:vector>
  </HeadingPairs>
  <TitlesOfParts>
    <vt:vector size="22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2019-12-23T10:16:22Z</dcterms:modified>
</cp:coreProperties>
</file>